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2020/February 4, 2020 Adj Goals Teleconference/"/>
    </mc:Choice>
  </mc:AlternateContent>
  <xr:revisionPtr revIDLastSave="0" documentId="8_{A2EEC577-5197-4492-B261-B60AA099082F}" xr6:coauthVersionLast="45" xr6:coauthVersionMax="45" xr10:uidLastSave="{00000000-0000-0000-0000-000000000000}"/>
  <bookViews>
    <workbookView xWindow="-110" yWindow="-110" windowWidth="19420" windowHeight="10420" tabRatio="921"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Food Equipment Detail" sheetId="15" r:id="rId6"/>
    <sheet name="Pipe Insulation Detail" sheetId="12" r:id="rId7"/>
    <sheet name="Thermostat Detail" sheetId="11" r:id="rId8"/>
    <sheet name="Laundromat Boiler Detail" sheetId="13" r:id="rId9"/>
    <sheet name="Behavior" sheetId="16"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9"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'v8 Revisions'!$B$6:$P$184</definedName>
    <definedName name="_Hlk514074254" localSheetId="0">'v8 Revisions'!$F$149</definedName>
    <definedName name="_Key1" localSheetId="9" hidden="1">#REF!</definedName>
    <definedName name="_Key2" localSheetId="9" hidden="1">#REF!</definedName>
    <definedName name="_Order1" hidden="1">0</definedName>
    <definedName name="_Order2" hidden="1">255</definedName>
    <definedName name="_Sort" localSheetId="9"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9"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9" hidden="1">#REF!</definedName>
    <definedName name="DATA_02" localSheetId="9" hidden="1">#REF!</definedName>
    <definedName name="DATA_03" localSheetId="9" hidden="1">#REF!</definedName>
    <definedName name="DATA_04" localSheetId="9" hidden="1">#REF!</definedName>
    <definedName name="DATA_05" localSheetId="9" hidden="1">#REF!</definedName>
    <definedName name="DATA_06" localSheetId="9" hidden="1">#REF!</definedName>
    <definedName name="DATA_07" localSheetId="9" hidden="1">#REF!</definedName>
    <definedName name="DATA_08" localSheetId="9" hidden="1">#REF!</definedName>
    <definedName name="IntroPrintArea" localSheetId="9" hidden="1">#REF!</definedName>
    <definedName name="Million">1000000</definedName>
    <definedName name="old_1" hidden="1">[6]old!$V$5</definedName>
    <definedName name="P">"P"</definedName>
    <definedName name="_xlnm.Print_Area" localSheetId="5">'Food Equipment Detail'!$A$1:$AA$64</definedName>
    <definedName name="_xlnm.Print_Area" localSheetId="8">'Laundromat Boiler Detail'!$A$1:$L$28</definedName>
    <definedName name="_xlnm.Print_Area" localSheetId="2">'Measure-Level Adjustments Tab'!$A$1:$BE$428</definedName>
    <definedName name="_xlnm.Print_Area" localSheetId="6">'Pipe Insulation Detail'!$A$1:$Y$120</definedName>
    <definedName name="_xlnm.Print_Area" localSheetId="1">'Program-Level Adjustments Tab'!$A$1:$T$27</definedName>
    <definedName name="_xlnm.Print_Area" localSheetId="7">'Thermostat Detail'!$A$1:$W$14</definedName>
    <definedName name="_xlnm.Print_Area" localSheetId="4">'Unit Savings Calculations'!$C$1:$AT$421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384" i="10" l="1"/>
  <c r="N62" i="10"/>
  <c r="N383" i="10"/>
  <c r="N104" i="10"/>
  <c r="N61" i="10"/>
  <c r="AD309" i="10" l="1"/>
  <c r="AD253" i="10"/>
  <c r="AD164" i="10"/>
  <c r="AD112" i="10"/>
  <c r="AD76" i="10"/>
  <c r="R12" i="20" l="1"/>
  <c r="L12" i="20"/>
  <c r="J12" i="20"/>
  <c r="N12" i="20" l="1"/>
  <c r="M12" i="20"/>
  <c r="L8" i="20"/>
  <c r="L9" i="20"/>
  <c r="L10" i="20"/>
  <c r="L11" i="20"/>
  <c r="L13" i="20"/>
  <c r="L181" i="20"/>
  <c r="L182" i="20"/>
  <c r="L183" i="20"/>
  <c r="L184" i="20"/>
  <c r="L7" i="20"/>
  <c r="R184" i="20"/>
  <c r="R183"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7"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1" i="20"/>
  <c r="R10" i="20"/>
  <c r="R9" i="20"/>
  <c r="R8" i="20"/>
  <c r="R7" i="20"/>
  <c r="J184" i="20" l="1"/>
  <c r="J183" i="20"/>
  <c r="N183" i="20" s="1"/>
  <c r="J182" i="20"/>
  <c r="J181" i="20"/>
  <c r="M181" i="20" s="1"/>
  <c r="J180" i="20"/>
  <c r="J179" i="20"/>
  <c r="K179" i="20" s="1"/>
  <c r="J178" i="20"/>
  <c r="J177" i="20"/>
  <c r="J176" i="20"/>
  <c r="J175" i="20"/>
  <c r="K175" i="20" s="1"/>
  <c r="J174" i="20"/>
  <c r="J173" i="20"/>
  <c r="J172" i="20"/>
  <c r="J171" i="20"/>
  <c r="J169" i="20"/>
  <c r="J168" i="20"/>
  <c r="K168" i="20" s="1"/>
  <c r="J167" i="20"/>
  <c r="K167" i="20" s="1"/>
  <c r="J166" i="20"/>
  <c r="J165" i="20"/>
  <c r="J164" i="20"/>
  <c r="K164" i="20" s="1"/>
  <c r="J163" i="20"/>
  <c r="K163" i="20" s="1"/>
  <c r="J162" i="20"/>
  <c r="J161" i="20"/>
  <c r="J160" i="20"/>
  <c r="J159" i="20"/>
  <c r="K159" i="20" s="1"/>
  <c r="J158" i="20"/>
  <c r="J157" i="20"/>
  <c r="J156" i="20"/>
  <c r="J155" i="20"/>
  <c r="J154" i="20"/>
  <c r="J153" i="20"/>
  <c r="J152" i="20"/>
  <c r="J151" i="20"/>
  <c r="J150" i="20"/>
  <c r="J149" i="20"/>
  <c r="J148" i="20"/>
  <c r="J147" i="20"/>
  <c r="K147" i="20" s="1"/>
  <c r="J146" i="20"/>
  <c r="J145" i="20"/>
  <c r="J144" i="20"/>
  <c r="J143" i="20"/>
  <c r="J142" i="20"/>
  <c r="J141" i="20"/>
  <c r="J140" i="20"/>
  <c r="J139" i="20"/>
  <c r="J138" i="20"/>
  <c r="K138" i="20" s="1"/>
  <c r="J137" i="20"/>
  <c r="J136" i="20"/>
  <c r="J135" i="20"/>
  <c r="J134" i="20"/>
  <c r="J133" i="20"/>
  <c r="J132" i="20"/>
  <c r="J131" i="20"/>
  <c r="J130" i="20"/>
  <c r="J129" i="20"/>
  <c r="J128" i="20"/>
  <c r="J127" i="20"/>
  <c r="K127" i="20" s="1"/>
  <c r="J126" i="20"/>
  <c r="K126" i="20" s="1"/>
  <c r="J125" i="20"/>
  <c r="J124" i="20"/>
  <c r="J123" i="20"/>
  <c r="J122" i="20"/>
  <c r="J121" i="20"/>
  <c r="J120" i="20"/>
  <c r="J119" i="20"/>
  <c r="J118" i="20"/>
  <c r="J117" i="20"/>
  <c r="J116" i="20"/>
  <c r="K116" i="20" s="1"/>
  <c r="J115" i="20"/>
  <c r="K115" i="20" s="1"/>
  <c r="J114" i="20"/>
  <c r="K114" i="20" s="1"/>
  <c r="J113" i="20"/>
  <c r="J112" i="20"/>
  <c r="J111" i="20"/>
  <c r="K111" i="20" s="1"/>
  <c r="J110" i="20"/>
  <c r="J109" i="20"/>
  <c r="J108" i="20"/>
  <c r="J107" i="20"/>
  <c r="J106" i="20"/>
  <c r="K106" i="20" s="1"/>
  <c r="J105" i="20"/>
  <c r="J104" i="20"/>
  <c r="J103" i="20"/>
  <c r="J102" i="20"/>
  <c r="J101" i="20"/>
  <c r="J100" i="20"/>
  <c r="K100" i="20" s="1"/>
  <c r="J99" i="20"/>
  <c r="J98" i="20"/>
  <c r="J97" i="20"/>
  <c r="J96" i="20"/>
  <c r="J95" i="20"/>
  <c r="J94" i="20"/>
  <c r="J93" i="20"/>
  <c r="J92" i="20"/>
  <c r="J91" i="20"/>
  <c r="K91" i="20" s="1"/>
  <c r="J90" i="20"/>
  <c r="J89" i="20"/>
  <c r="J88" i="20"/>
  <c r="J87" i="20"/>
  <c r="J86" i="20"/>
  <c r="K86" i="20" s="1"/>
  <c r="J85" i="20"/>
  <c r="J84" i="20"/>
  <c r="J83" i="20"/>
  <c r="J82" i="20"/>
  <c r="J81" i="20"/>
  <c r="J80" i="20"/>
  <c r="J79" i="20"/>
  <c r="J78" i="20"/>
  <c r="J77" i="20"/>
  <c r="J76" i="20"/>
  <c r="K76" i="20" s="1"/>
  <c r="J75" i="20"/>
  <c r="K75" i="20" s="1"/>
  <c r="J74" i="20"/>
  <c r="J73" i="20"/>
  <c r="J72" i="20"/>
  <c r="J71" i="20"/>
  <c r="K71" i="20" s="1"/>
  <c r="J70" i="20"/>
  <c r="J69" i="20"/>
  <c r="K69" i="20" s="1"/>
  <c r="J68" i="20"/>
  <c r="J67" i="20"/>
  <c r="J66" i="20"/>
  <c r="J65" i="20"/>
  <c r="J64" i="20"/>
  <c r="J63" i="20"/>
  <c r="J62" i="20"/>
  <c r="J61" i="20"/>
  <c r="K61" i="20" s="1"/>
  <c r="J60" i="20"/>
  <c r="J59" i="20"/>
  <c r="J58" i="20"/>
  <c r="J57" i="20"/>
  <c r="J56" i="20"/>
  <c r="J55" i="20"/>
  <c r="J54" i="20"/>
  <c r="J53" i="20"/>
  <c r="J52" i="20"/>
  <c r="J51" i="20"/>
  <c r="J50" i="20"/>
  <c r="J49" i="20"/>
  <c r="J48" i="20"/>
  <c r="J47" i="20"/>
  <c r="J46" i="20"/>
  <c r="J45" i="20"/>
  <c r="J44" i="20"/>
  <c r="J43" i="20"/>
  <c r="M43" i="20" s="1"/>
  <c r="J42" i="20"/>
  <c r="J41" i="20"/>
  <c r="J40" i="20"/>
  <c r="J39" i="20"/>
  <c r="J38" i="20"/>
  <c r="J37" i="20"/>
  <c r="J36" i="20"/>
  <c r="J35" i="20"/>
  <c r="J34" i="20"/>
  <c r="J33" i="20"/>
  <c r="J32" i="20"/>
  <c r="J31" i="20"/>
  <c r="J30" i="20"/>
  <c r="J29" i="20"/>
  <c r="J28" i="20"/>
  <c r="J27" i="20"/>
  <c r="J26" i="20"/>
  <c r="J25" i="20"/>
  <c r="J24" i="20"/>
  <c r="J23" i="20"/>
  <c r="J22" i="20"/>
  <c r="K22" i="20" s="1"/>
  <c r="J21" i="20"/>
  <c r="K21" i="20" s="1"/>
  <c r="J20" i="20"/>
  <c r="J19" i="20"/>
  <c r="J18" i="20"/>
  <c r="K18" i="20" s="1"/>
  <c r="J17" i="20"/>
  <c r="K17" i="20" s="1"/>
  <c r="J16" i="20"/>
  <c r="J15" i="20"/>
  <c r="J14" i="20"/>
  <c r="K14" i="20" s="1"/>
  <c r="J13" i="20"/>
  <c r="N13" i="20" s="1"/>
  <c r="J11" i="20"/>
  <c r="M11" i="20" s="1"/>
  <c r="J10" i="20"/>
  <c r="J9" i="20"/>
  <c r="N9" i="20" s="1"/>
  <c r="J8" i="20"/>
  <c r="J7" i="20"/>
  <c r="A1" i="20"/>
  <c r="K12" i="20" l="1"/>
  <c r="K101" i="20"/>
  <c r="K50" i="20"/>
  <c r="K131" i="20"/>
  <c r="K135" i="20"/>
  <c r="K23" i="20"/>
  <c r="K34" i="20"/>
  <c r="K142" i="20"/>
  <c r="N184" i="20"/>
  <c r="M182" i="20"/>
  <c r="K99" i="20"/>
  <c r="K160" i="20"/>
  <c r="K54" i="20"/>
  <c r="K65" i="20"/>
  <c r="K68" i="20"/>
  <c r="K139" i="20"/>
  <c r="K45" i="20"/>
  <c r="K51" i="20"/>
  <c r="K19" i="20"/>
  <c r="N43" i="20"/>
  <c r="K15" i="20"/>
  <c r="K108" i="20"/>
  <c r="K30" i="20"/>
  <c r="K38" i="20"/>
  <c r="M13" i="20"/>
  <c r="K27" i="20"/>
  <c r="K98" i="20"/>
  <c r="K134" i="20"/>
  <c r="K155" i="20"/>
  <c r="K180" i="20"/>
  <c r="K56" i="20"/>
  <c r="K130" i="20"/>
  <c r="K83" i="20"/>
  <c r="K93" i="20"/>
  <c r="N42" i="20"/>
  <c r="M42" i="20"/>
  <c r="K53" i="20"/>
  <c r="K70" i="20"/>
  <c r="N10" i="20"/>
  <c r="M10" i="20"/>
  <c r="K49" i="20"/>
  <c r="K74" i="20"/>
  <c r="N8" i="20"/>
  <c r="M8" i="20"/>
  <c r="K62" i="20"/>
  <c r="K67" i="20"/>
  <c r="K107" i="20"/>
  <c r="K43" i="20"/>
  <c r="M41" i="20"/>
  <c r="K46" i="20"/>
  <c r="K52" i="20"/>
  <c r="K55" i="20"/>
  <c r="K72" i="20"/>
  <c r="K92" i="20"/>
  <c r="M9" i="20"/>
  <c r="K26" i="20"/>
  <c r="K31" i="20"/>
  <c r="K35" i="20"/>
  <c r="K39" i="20"/>
  <c r="N41" i="20"/>
  <c r="K77" i="20"/>
  <c r="K109" i="20"/>
  <c r="K119" i="20"/>
  <c r="K122" i="20"/>
  <c r="K143" i="20"/>
  <c r="K148" i="20"/>
  <c r="K172" i="20"/>
  <c r="K57" i="20"/>
  <c r="K117" i="20"/>
  <c r="K123" i="20"/>
  <c r="K156" i="20"/>
  <c r="N182" i="20"/>
  <c r="K183" i="20"/>
  <c r="K182" i="20"/>
  <c r="K181" i="20"/>
  <c r="K184" i="20"/>
  <c r="N7" i="20"/>
  <c r="K10" i="20"/>
  <c r="N11" i="20"/>
  <c r="K105" i="20"/>
  <c r="K104" i="20"/>
  <c r="K103" i="20"/>
  <c r="K110" i="20"/>
  <c r="K113" i="20"/>
  <c r="K121" i="20"/>
  <c r="K120" i="20"/>
  <c r="K129" i="20"/>
  <c r="K136" i="20"/>
  <c r="K151" i="20"/>
  <c r="K150" i="20"/>
  <c r="K157" i="20"/>
  <c r="K166" i="20"/>
  <c r="K7" i="20"/>
  <c r="K11" i="20"/>
  <c r="K16" i="20"/>
  <c r="K20" i="20"/>
  <c r="K24" i="20"/>
  <c r="K28" i="20"/>
  <c r="K82" i="20"/>
  <c r="K97" i="20"/>
  <c r="K125" i="20"/>
  <c r="K132" i="20"/>
  <c r="K141" i="20"/>
  <c r="K153" i="20"/>
  <c r="K162" i="20"/>
  <c r="K78" i="20"/>
  <c r="K79" i="20"/>
  <c r="K88" i="20"/>
  <c r="K87" i="20"/>
  <c r="K8" i="20"/>
  <c r="K13" i="20"/>
  <c r="K25" i="20"/>
  <c r="K29" i="20"/>
  <c r="K32" i="20"/>
  <c r="K36" i="20"/>
  <c r="K40" i="20"/>
  <c r="K44" i="20"/>
  <c r="K58" i="20"/>
  <c r="K59" i="20"/>
  <c r="K60" i="20"/>
  <c r="K84" i="20"/>
  <c r="K85" i="20"/>
  <c r="M7" i="20"/>
  <c r="K9" i="20"/>
  <c r="K33" i="20"/>
  <c r="K37" i="20"/>
  <c r="K41" i="20"/>
  <c r="K42" i="20"/>
  <c r="K47" i="20"/>
  <c r="K48" i="20"/>
  <c r="K63" i="20"/>
  <c r="K64" i="20"/>
  <c r="K81" i="20"/>
  <c r="K96" i="20"/>
  <c r="K112" i="20"/>
  <c r="K118" i="20"/>
  <c r="K128" i="20"/>
  <c r="K137" i="20"/>
  <c r="K144" i="20"/>
  <c r="K149" i="20"/>
  <c r="K158" i="20"/>
  <c r="K165" i="20"/>
  <c r="K66" i="20"/>
  <c r="K73" i="20"/>
  <c r="K80" i="20"/>
  <c r="K90" i="20"/>
  <c r="K89" i="20"/>
  <c r="K94" i="20"/>
  <c r="K95" i="20"/>
  <c r="K124" i="20"/>
  <c r="K133" i="20"/>
  <c r="K140" i="20"/>
  <c r="K146" i="20"/>
  <c r="K145" i="20"/>
  <c r="K152" i="20"/>
  <c r="K154" i="20"/>
  <c r="K161" i="20"/>
  <c r="K174" i="20"/>
  <c r="K176" i="20"/>
  <c r="K173" i="20"/>
  <c r="K171" i="20"/>
  <c r="K170" i="20"/>
  <c r="K178" i="20"/>
  <c r="K102" i="20"/>
  <c r="K169" i="20"/>
  <c r="K177" i="20"/>
  <c r="N181" i="20"/>
  <c r="M183" i="20"/>
  <c r="M184" i="2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AO9" i="5"/>
  <c r="AO10" i="5"/>
  <c r="AO11" i="5"/>
  <c r="AO12" i="5"/>
  <c r="AO13" i="5"/>
  <c r="AO14" i="5"/>
  <c r="AO15" i="5"/>
  <c r="AO16" i="5"/>
  <c r="AO17" i="5"/>
  <c r="AO18" i="5"/>
  <c r="AO19" i="5"/>
  <c r="AO20" i="5"/>
  <c r="AO21" i="5"/>
  <c r="AO22" i="5"/>
  <c r="AO23" i="5"/>
  <c r="AO24" i="5"/>
  <c r="AO25" i="5"/>
  <c r="AO26" i="5"/>
  <c r="AO27" i="5"/>
  <c r="AO28" i="5"/>
  <c r="AO354" i="5"/>
  <c r="AO355" i="5"/>
  <c r="AO356" i="5"/>
  <c r="AO357" i="5"/>
  <c r="AO358" i="5"/>
  <c r="AO359" i="5"/>
  <c r="AO360" i="5"/>
  <c r="AO361" i="5"/>
  <c r="AO362" i="5"/>
  <c r="AO363" i="5"/>
  <c r="AO364" i="5"/>
  <c r="AO365" i="5"/>
  <c r="AO366" i="5"/>
  <c r="AO367" i="5"/>
  <c r="AO368" i="5"/>
  <c r="AO369" i="5"/>
  <c r="AO370" i="5"/>
  <c r="AO371" i="5"/>
  <c r="AO372" i="5"/>
  <c r="AO373" i="5"/>
  <c r="AO374" i="5"/>
  <c r="AO8" i="5"/>
  <c r="AI9" i="5"/>
  <c r="AI10" i="5"/>
  <c r="AI11" i="5"/>
  <c r="AI12" i="5"/>
  <c r="AI13" i="5"/>
  <c r="AI14" i="5"/>
  <c r="AI15" i="5"/>
  <c r="AI16" i="5"/>
  <c r="AI17" i="5"/>
  <c r="AI18" i="5"/>
  <c r="AI19" i="5"/>
  <c r="AI20" i="5"/>
  <c r="AI21" i="5"/>
  <c r="AI22" i="5"/>
  <c r="AI23" i="5"/>
  <c r="AI24" i="5"/>
  <c r="AI25" i="5"/>
  <c r="AI26" i="5"/>
  <c r="AI27" i="5"/>
  <c r="AI28" i="5"/>
  <c r="AI354" i="5"/>
  <c r="AI355" i="5"/>
  <c r="AI356" i="5"/>
  <c r="AI357" i="5"/>
  <c r="AI358" i="5"/>
  <c r="AI359" i="5"/>
  <c r="AI360" i="5"/>
  <c r="AI361" i="5"/>
  <c r="AI362" i="5"/>
  <c r="AI363" i="5"/>
  <c r="AI364" i="5"/>
  <c r="AI365" i="5"/>
  <c r="AI366" i="5"/>
  <c r="AI367" i="5"/>
  <c r="AI368" i="5"/>
  <c r="AI369" i="5"/>
  <c r="AI370" i="5"/>
  <c r="AI371" i="5"/>
  <c r="AI372" i="5"/>
  <c r="AI373" i="5"/>
  <c r="AI374" i="5"/>
  <c r="AI8" i="5"/>
  <c r="AC9" i="5"/>
  <c r="AC10" i="5"/>
  <c r="AC11" i="5"/>
  <c r="AC12" i="5"/>
  <c r="AC13" i="5"/>
  <c r="AC14" i="5"/>
  <c r="AC15" i="5"/>
  <c r="AC16" i="5"/>
  <c r="AC17" i="5"/>
  <c r="AC18" i="5"/>
  <c r="AC19" i="5"/>
  <c r="AC20" i="5"/>
  <c r="AC21" i="5"/>
  <c r="AC22" i="5"/>
  <c r="AC23" i="5"/>
  <c r="AC24" i="5"/>
  <c r="AC25" i="5"/>
  <c r="AC26" i="5"/>
  <c r="AC27" i="5"/>
  <c r="AC28" i="5"/>
  <c r="AC53" i="5"/>
  <c r="AC106" i="5"/>
  <c r="AC143" i="5"/>
  <c r="AC145" i="5"/>
  <c r="AC157" i="5"/>
  <c r="AC158" i="5"/>
  <c r="AC159" i="5"/>
  <c r="AC160" i="5"/>
  <c r="AC169" i="5"/>
  <c r="AC171" i="5"/>
  <c r="AC207" i="5"/>
  <c r="AC280" i="5"/>
  <c r="AC283" i="5"/>
  <c r="AC285" i="5"/>
  <c r="AC296" i="5"/>
  <c r="AC297" i="5"/>
  <c r="AC298" i="5"/>
  <c r="AC304" i="5"/>
  <c r="AC305" i="5"/>
  <c r="AC336" i="5"/>
  <c r="AC339" i="5"/>
  <c r="AC34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96" i="5"/>
  <c r="AC408" i="5"/>
  <c r="AC409" i="5"/>
  <c r="AC410" i="5"/>
  <c r="AC411" i="5"/>
  <c r="AC412" i="5"/>
  <c r="AC413" i="5"/>
  <c r="AC414" i="5"/>
  <c r="AC415" i="5"/>
  <c r="AC416" i="5"/>
  <c r="AC417" i="5"/>
  <c r="AC418" i="5"/>
  <c r="AC419" i="5"/>
  <c r="AC420" i="5"/>
  <c r="AC425" i="5"/>
  <c r="AC8" i="5"/>
  <c r="N417" i="10" l="1"/>
  <c r="N390" i="10"/>
  <c r="N389" i="10"/>
  <c r="N387" i="10"/>
  <c r="N385" i="10"/>
  <c r="N117" i="10"/>
  <c r="N114" i="10"/>
  <c r="N80" i="10"/>
  <c r="N64" i="10"/>
  <c r="N54" i="10"/>
  <c r="N53" i="10"/>
  <c r="N52" i="10"/>
  <c r="N51" i="10"/>
  <c r="X418" i="10"/>
  <c r="N418" i="10" s="1"/>
  <c r="AD396" i="10"/>
  <c r="N396" i="10" s="1"/>
  <c r="AD395" i="10"/>
  <c r="AH394" i="10"/>
  <c r="AH393" i="10"/>
  <c r="X388" i="10"/>
  <c r="N388" i="10" s="1"/>
  <c r="Z386" i="10"/>
  <c r="Z384" i="10"/>
  <c r="AJ375" i="10"/>
  <c r="AF375" i="10"/>
  <c r="AD375" i="10"/>
  <c r="Z375" i="10"/>
  <c r="AD374" i="10"/>
  <c r="N374" i="10" s="1"/>
  <c r="AD373" i="10"/>
  <c r="AH372" i="10"/>
  <c r="AH371" i="10"/>
  <c r="AB338" i="10"/>
  <c r="Z338" i="10"/>
  <c r="X338" i="10"/>
  <c r="AB336" i="10"/>
  <c r="Z336" i="10"/>
  <c r="X336" i="10"/>
  <c r="AJ334" i="10"/>
  <c r="AD334" i="10"/>
  <c r="AB334" i="10"/>
  <c r="AF327" i="10"/>
  <c r="AF299" i="10"/>
  <c r="AB282" i="10"/>
  <c r="Z282" i="10"/>
  <c r="X282" i="10"/>
  <c r="AB280" i="10"/>
  <c r="Z280" i="10"/>
  <c r="X280" i="10"/>
  <c r="AJ278" i="10"/>
  <c r="AD278" i="10"/>
  <c r="AB278" i="10"/>
  <c r="AF271" i="10"/>
  <c r="V245" i="10"/>
  <c r="V243" i="10"/>
  <c r="V240" i="10"/>
  <c r="V239" i="10"/>
  <c r="V238" i="10"/>
  <c r="V237" i="10"/>
  <c r="V236" i="10"/>
  <c r="V220" i="10"/>
  <c r="V219" i="10"/>
  <c r="V218"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D205" i="10"/>
  <c r="AB205" i="10"/>
  <c r="AF198" i="10"/>
  <c r="AB168" i="10"/>
  <c r="Z168" i="10"/>
  <c r="X168" i="10"/>
  <c r="AB166" i="10"/>
  <c r="Z166" i="10"/>
  <c r="X166" i="10"/>
  <c r="AF151" i="10"/>
  <c r="AF145" i="10"/>
  <c r="AB104" i="10"/>
  <c r="Z65" i="10"/>
  <c r="Z62" i="10"/>
  <c r="AF50" i="10"/>
  <c r="AJ41" i="10"/>
  <c r="AF41" i="10"/>
  <c r="AD41" i="10"/>
  <c r="Z41" i="10"/>
  <c r="AD40" i="10"/>
  <c r="N40" i="10" s="1"/>
  <c r="AD39" i="10"/>
  <c r="AH38" i="10"/>
  <c r="AH37" i="10"/>
  <c r="AJ29" i="10"/>
  <c r="AF29" i="10"/>
  <c r="AD29" i="10"/>
  <c r="Z29" i="10"/>
  <c r="AD28" i="10"/>
  <c r="N28" i="10" s="1"/>
  <c r="AD27" i="10"/>
  <c r="AH26" i="10"/>
  <c r="AH25" i="10"/>
  <c r="AC66" i="5" l="1"/>
  <c r="AC422" i="5"/>
  <c r="AC58" i="5"/>
  <c r="AC118" i="5"/>
  <c r="AC389" i="5"/>
  <c r="AC421" i="5"/>
  <c r="AC388" i="5"/>
  <c r="AC55" i="5"/>
  <c r="AC65" i="5"/>
  <c r="AC121" i="5"/>
  <c r="AC391" i="5"/>
  <c r="AC32" i="5"/>
  <c r="AC44" i="5"/>
  <c r="AC56" i="5"/>
  <c r="AC68" i="5"/>
  <c r="AC378" i="5"/>
  <c r="AC393" i="5"/>
  <c r="AC108" i="5"/>
  <c r="AC392" i="5"/>
  <c r="AC400" i="5"/>
  <c r="AC57" i="5"/>
  <c r="AC84" i="5"/>
  <c r="AC387" i="5"/>
  <c r="AC394" i="5"/>
  <c r="B112" i="12"/>
  <c r="B105" i="12"/>
  <c r="B113" i="12" s="1"/>
  <c r="K96" i="12"/>
  <c r="L96" i="12" s="1"/>
  <c r="K95" i="12"/>
  <c r="L95" i="12" s="1"/>
  <c r="K94" i="12"/>
  <c r="L94" i="12" s="1"/>
  <c r="K93" i="12"/>
  <c r="L93" i="12" s="1"/>
  <c r="K92" i="12"/>
  <c r="L92" i="12" s="1"/>
  <c r="K91" i="12"/>
  <c r="L91" i="12" s="1"/>
  <c r="K90" i="12"/>
  <c r="L90" i="12" s="1"/>
  <c r="K89" i="12"/>
  <c r="L89" i="12" s="1"/>
  <c r="B114" i="12" l="1"/>
  <c r="C120" i="12" s="1"/>
  <c r="L97"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BE294" i="5"/>
  <c r="BE407" i="5"/>
  <c r="M220" i="5"/>
  <c r="BE220" i="5" s="1"/>
  <c r="T216" i="10"/>
  <c r="U216" i="10"/>
  <c r="M221" i="5"/>
  <c r="BE221" i="5" s="1"/>
  <c r="T217" i="10"/>
  <c r="U217" i="10"/>
  <c r="M222" i="5"/>
  <c r="BE222" i="5" s="1"/>
  <c r="T218" i="10"/>
  <c r="U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U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U210" i="10"/>
  <c r="M215" i="5"/>
  <c r="BE215" i="5" s="1"/>
  <c r="T211" i="10"/>
  <c r="U211" i="10"/>
  <c r="M216" i="5"/>
  <c r="BE216" i="5" s="1"/>
  <c r="T212" i="10"/>
  <c r="U212" i="10"/>
  <c r="M217" i="5"/>
  <c r="BE217" i="5" s="1"/>
  <c r="T213" i="10"/>
  <c r="U213" i="10"/>
  <c r="M218" i="5"/>
  <c r="BE218" i="5" s="1"/>
  <c r="T214" i="10"/>
  <c r="U214" i="10"/>
  <c r="M212" i="5"/>
  <c r="BE212" i="5" s="1"/>
  <c r="T208" i="10"/>
  <c r="U208" i="10"/>
  <c r="T152" i="10"/>
  <c r="U152" i="10"/>
  <c r="M156" i="5"/>
  <c r="BE156" i="5" s="1"/>
  <c r="O38" i="16"/>
  <c r="P38" i="16"/>
  <c r="Q38" i="16"/>
  <c r="N38" i="16"/>
  <c r="C43" i="16"/>
  <c r="D43" i="16"/>
  <c r="E43" i="16"/>
  <c r="B43" i="16"/>
  <c r="B120" i="12" l="1"/>
  <c r="AC245" i="5"/>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K12" i="5"/>
  <c r="L12" i="5"/>
  <c r="R12" i="5"/>
  <c r="S12" i="5"/>
  <c r="T12" i="5"/>
  <c r="U12" i="5"/>
  <c r="AH12" i="5"/>
  <c r="A13" i="5"/>
  <c r="B13" i="5"/>
  <c r="D13" i="5"/>
  <c r="G13" i="5"/>
  <c r="K13" i="5"/>
  <c r="L13" i="5"/>
  <c r="R13" i="5"/>
  <c r="S13" i="5"/>
  <c r="T13" i="5"/>
  <c r="U13" i="5"/>
  <c r="AH13" i="5"/>
  <c r="A14" i="5"/>
  <c r="B14" i="5"/>
  <c r="D14" i="5"/>
  <c r="G14" i="5"/>
  <c r="K14" i="5"/>
  <c r="L14" i="5"/>
  <c r="R14" i="5"/>
  <c r="S14" i="5"/>
  <c r="T14" i="5"/>
  <c r="U14" i="5"/>
  <c r="AH14" i="5"/>
  <c r="A15" i="5"/>
  <c r="B15" i="5"/>
  <c r="D15" i="5"/>
  <c r="G15" i="5"/>
  <c r="K15" i="5"/>
  <c r="L15" i="5"/>
  <c r="R15" i="5"/>
  <c r="S15" i="5"/>
  <c r="T15" i="5"/>
  <c r="U15" i="5"/>
  <c r="AH15" i="5"/>
  <c r="A16" i="5"/>
  <c r="B16" i="5"/>
  <c r="D16" i="5"/>
  <c r="G16" i="5"/>
  <c r="K16" i="5"/>
  <c r="L16" i="5"/>
  <c r="R16" i="5"/>
  <c r="S16" i="5"/>
  <c r="AK16" i="5" s="1"/>
  <c r="T16" i="5"/>
  <c r="U16" i="5"/>
  <c r="AH16" i="5"/>
  <c r="A17" i="5"/>
  <c r="B17" i="5"/>
  <c r="D17" i="5"/>
  <c r="G17" i="5"/>
  <c r="K17" i="5"/>
  <c r="L17" i="5"/>
  <c r="R17" i="5"/>
  <c r="V17" i="5" s="1"/>
  <c r="S17" i="5"/>
  <c r="W17" i="5" s="1"/>
  <c r="T17" i="5"/>
  <c r="U17" i="5"/>
  <c r="AH17" i="5"/>
  <c r="A18" i="5"/>
  <c r="B18" i="5"/>
  <c r="D18" i="5"/>
  <c r="G18" i="5"/>
  <c r="K18" i="5"/>
  <c r="L18" i="5"/>
  <c r="R18" i="5"/>
  <c r="S18" i="5"/>
  <c r="T18" i="5"/>
  <c r="U18" i="5"/>
  <c r="AH18" i="5"/>
  <c r="A19" i="5"/>
  <c r="B19" i="5"/>
  <c r="D19" i="5"/>
  <c r="G19" i="5"/>
  <c r="K19" i="5"/>
  <c r="L19" i="5"/>
  <c r="R19" i="5"/>
  <c r="S19" i="5"/>
  <c r="T19" i="5"/>
  <c r="U19" i="5"/>
  <c r="AH19" i="5"/>
  <c r="A20" i="5"/>
  <c r="B20" i="5"/>
  <c r="D20" i="5"/>
  <c r="G20" i="5"/>
  <c r="K20" i="5"/>
  <c r="L20" i="5"/>
  <c r="R20" i="5"/>
  <c r="S20" i="5"/>
  <c r="T20" i="5"/>
  <c r="U20" i="5"/>
  <c r="AH20" i="5"/>
  <c r="A21" i="5"/>
  <c r="B21" i="5"/>
  <c r="D21" i="5"/>
  <c r="G21" i="5"/>
  <c r="K21" i="5"/>
  <c r="L21" i="5"/>
  <c r="R21" i="5"/>
  <c r="S21" i="5"/>
  <c r="T21" i="5"/>
  <c r="U21" i="5"/>
  <c r="AH21" i="5"/>
  <c r="A22" i="5"/>
  <c r="B22" i="5"/>
  <c r="D22" i="5"/>
  <c r="G22" i="5"/>
  <c r="K22" i="5"/>
  <c r="L22" i="5"/>
  <c r="R22" i="5"/>
  <c r="S22" i="5"/>
  <c r="T22" i="5"/>
  <c r="U22" i="5"/>
  <c r="AH22" i="5"/>
  <c r="A23" i="5"/>
  <c r="B23" i="5"/>
  <c r="D23" i="5"/>
  <c r="G23" i="5"/>
  <c r="K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I28" i="5"/>
  <c r="J28" i="5"/>
  <c r="K28" i="5"/>
  <c r="L28" i="5"/>
  <c r="R28" i="5"/>
  <c r="S28" i="5"/>
  <c r="T28" i="5"/>
  <c r="U28" i="5"/>
  <c r="AH28" i="5"/>
  <c r="C426" i="5"/>
  <c r="C427"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N79" i="10"/>
  <c r="O80" i="10"/>
  <c r="N97" i="10"/>
  <c r="N98" i="10"/>
  <c r="N99" i="10"/>
  <c r="N100" i="10"/>
  <c r="N101" i="10"/>
  <c r="O102" i="10"/>
  <c r="O104" i="10"/>
  <c r="N105" i="10"/>
  <c r="N106" i="10"/>
  <c r="N107" i="10"/>
  <c r="N108" i="10"/>
  <c r="N109" i="10"/>
  <c r="N110" i="10"/>
  <c r="N111" i="10"/>
  <c r="N112" i="10"/>
  <c r="N113" i="10"/>
  <c r="O114" i="10"/>
  <c r="N115" i="10"/>
  <c r="N116" i="10"/>
  <c r="O117" i="10"/>
  <c r="N134" i="10"/>
  <c r="N135" i="10"/>
  <c r="N136" i="10"/>
  <c r="N137" i="10"/>
  <c r="N138"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0" i="10"/>
  <c r="N181" i="10"/>
  <c r="AC185" i="5" s="1"/>
  <c r="N182" i="10"/>
  <c r="N199" i="10"/>
  <c r="N200" i="10"/>
  <c r="N201" i="10"/>
  <c r="N202" i="10"/>
  <c r="O203" i="10"/>
  <c r="AI207" i="5" s="1"/>
  <c r="N246" i="10"/>
  <c r="N247" i="10"/>
  <c r="N248" i="10"/>
  <c r="N249" i="10"/>
  <c r="N250" i="10"/>
  <c r="N251" i="10"/>
  <c r="N252" i="10"/>
  <c r="N253" i="10"/>
  <c r="N254" i="10"/>
  <c r="N255" i="10"/>
  <c r="N256" i="10"/>
  <c r="N257" i="10"/>
  <c r="N271" i="10"/>
  <c r="N272" i="10"/>
  <c r="N273" i="10"/>
  <c r="N274" i="10"/>
  <c r="N275"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1" i="10"/>
  <c r="N312" i="10"/>
  <c r="N313" i="10"/>
  <c r="N327" i="10"/>
  <c r="N328" i="10"/>
  <c r="N329" i="10"/>
  <c r="N330" i="10"/>
  <c r="N331"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C23" i="5" l="1"/>
  <c r="AV23" i="5"/>
  <c r="C19" i="5"/>
  <c r="AV19" i="5"/>
  <c r="C15" i="5"/>
  <c r="AV15" i="5"/>
  <c r="C28" i="5"/>
  <c r="AV28" i="5"/>
  <c r="C26" i="5"/>
  <c r="AV26" i="5"/>
  <c r="C24" i="5"/>
  <c r="AV24" i="5"/>
  <c r="C20" i="5"/>
  <c r="AV20" i="5"/>
  <c r="C16" i="5"/>
  <c r="AV16" i="5"/>
  <c r="C12" i="5"/>
  <c r="AV12" i="5"/>
  <c r="C21" i="5"/>
  <c r="AV21" i="5"/>
  <c r="C17" i="5"/>
  <c r="AV17" i="5"/>
  <c r="C13" i="5"/>
  <c r="AV13" i="5"/>
  <c r="C27" i="5"/>
  <c r="AV27" i="5"/>
  <c r="C25" i="5"/>
  <c r="AV25" i="5"/>
  <c r="C22" i="5"/>
  <c r="AV22" i="5"/>
  <c r="C18" i="5"/>
  <c r="AV18" i="5"/>
  <c r="C14" i="5"/>
  <c r="AV14" i="5"/>
  <c r="C156" i="5"/>
  <c r="AV156" i="5"/>
  <c r="E23" i="5"/>
  <c r="E19" i="5"/>
  <c r="E14" i="5"/>
  <c r="E21" i="5"/>
  <c r="E17" i="5"/>
  <c r="E16" i="5"/>
  <c r="E12" i="5"/>
  <c r="E28" i="5"/>
  <c r="E26" i="5"/>
  <c r="E24" i="5"/>
  <c r="E20" i="5"/>
  <c r="E15" i="5"/>
  <c r="E156" i="5"/>
  <c r="E27" i="5"/>
  <c r="E25" i="5"/>
  <c r="E22" i="5"/>
  <c r="E18" i="5"/>
  <c r="E13" i="5"/>
  <c r="K13" i="11"/>
  <c r="F23" i="5"/>
  <c r="F19" i="5"/>
  <c r="F14" i="5"/>
  <c r="F28" i="5"/>
  <c r="F26" i="5"/>
  <c r="F24" i="5"/>
  <c r="F20" i="5"/>
  <c r="F15" i="5"/>
  <c r="F156" i="5"/>
  <c r="F21" i="5"/>
  <c r="F17" i="5"/>
  <c r="F16" i="5"/>
  <c r="F12" i="5"/>
  <c r="F27" i="5"/>
  <c r="F25" i="5"/>
  <c r="F22" i="5"/>
  <c r="F18" i="5"/>
  <c r="F13" i="5"/>
  <c r="AC203" i="5"/>
  <c r="AC183" i="5"/>
  <c r="AC165" i="5"/>
  <c r="AC161" i="5"/>
  <c r="AC206" i="5"/>
  <c r="AC186" i="5"/>
  <c r="AC182" i="5"/>
  <c r="AC168" i="5"/>
  <c r="AC164" i="5"/>
  <c r="AC205" i="5"/>
  <c r="AC167" i="5"/>
  <c r="AC163" i="5"/>
  <c r="AC204" i="5"/>
  <c r="AC184" i="5"/>
  <c r="AC166" i="5"/>
  <c r="AC162" i="5"/>
  <c r="O312" i="10"/>
  <c r="P312" i="10" s="1"/>
  <c r="AC316" i="5"/>
  <c r="O66" i="10"/>
  <c r="P66" i="10" s="1"/>
  <c r="AC70" i="5"/>
  <c r="O67" i="10"/>
  <c r="P67" i="10" s="1"/>
  <c r="AC71" i="5"/>
  <c r="O69" i="10"/>
  <c r="P69" i="10" s="1"/>
  <c r="AC73" i="5"/>
  <c r="O256" i="10"/>
  <c r="P256" i="10" s="1"/>
  <c r="AC260" i="5"/>
  <c r="O146" i="10"/>
  <c r="P146" i="10" s="1"/>
  <c r="AC150" i="5"/>
  <c r="O68" i="10"/>
  <c r="P68" i="10" s="1"/>
  <c r="AC72" i="5"/>
  <c r="P412" i="10"/>
  <c r="AI416" i="5"/>
  <c r="O400" i="10"/>
  <c r="AC404" i="5"/>
  <c r="P388" i="10"/>
  <c r="AI392" i="5"/>
  <c r="O380" i="10"/>
  <c r="AC384" i="5"/>
  <c r="O346" i="10"/>
  <c r="AC350" i="5"/>
  <c r="P337" i="10"/>
  <c r="AI341" i="5"/>
  <c r="O309" i="10"/>
  <c r="AC313" i="5"/>
  <c r="O288" i="10"/>
  <c r="AC292" i="5"/>
  <c r="O173" i="10"/>
  <c r="AC177" i="5"/>
  <c r="O145" i="10"/>
  <c r="AC149" i="5"/>
  <c r="O112" i="10"/>
  <c r="AC116" i="5"/>
  <c r="P104" i="10"/>
  <c r="AI108" i="5"/>
  <c r="O71" i="10"/>
  <c r="AC75" i="5"/>
  <c r="O55" i="10"/>
  <c r="AC59" i="5"/>
  <c r="O38" i="10"/>
  <c r="AC42" i="5"/>
  <c r="O30" i="10"/>
  <c r="AC34" i="5"/>
  <c r="P415" i="10"/>
  <c r="AI419" i="5"/>
  <c r="P411" i="10"/>
  <c r="AI415" i="5"/>
  <c r="P407" i="10"/>
  <c r="AI411" i="5"/>
  <c r="O399" i="10"/>
  <c r="AC403" i="5"/>
  <c r="O391" i="10"/>
  <c r="AC395" i="5"/>
  <c r="O379" i="10"/>
  <c r="AC383" i="5"/>
  <c r="O345" i="10"/>
  <c r="AC349" i="5"/>
  <c r="P335" i="10"/>
  <c r="AI339" i="5"/>
  <c r="O304" i="10"/>
  <c r="AC308" i="5"/>
  <c r="O295" i="10"/>
  <c r="AC299" i="5"/>
  <c r="O291" i="10"/>
  <c r="AC295" i="5"/>
  <c r="O287" i="10"/>
  <c r="AC291" i="5"/>
  <c r="O275" i="10"/>
  <c r="AC279" i="5"/>
  <c r="O271" i="10"/>
  <c r="AC275" i="5"/>
  <c r="O254" i="10"/>
  <c r="AC258" i="5"/>
  <c r="O250" i="10"/>
  <c r="AC254" i="5"/>
  <c r="O246" i="10"/>
  <c r="AC250" i="5"/>
  <c r="O176" i="10"/>
  <c r="AC180" i="5"/>
  <c r="P167" i="10"/>
  <c r="AI171" i="5"/>
  <c r="P154" i="10"/>
  <c r="AI158" i="5"/>
  <c r="O148" i="10"/>
  <c r="AC152" i="5"/>
  <c r="O144" i="10"/>
  <c r="AC148" i="5"/>
  <c r="P139" i="10"/>
  <c r="AI143" i="5"/>
  <c r="O135" i="10"/>
  <c r="AC139" i="5"/>
  <c r="O115" i="10"/>
  <c r="AC119" i="5"/>
  <c r="O111" i="10"/>
  <c r="AC115" i="5"/>
  <c r="O107" i="10"/>
  <c r="AC111" i="5"/>
  <c r="P102" i="10"/>
  <c r="AI106" i="5"/>
  <c r="O98" i="10"/>
  <c r="AC102" i="5"/>
  <c r="O78" i="10"/>
  <c r="AC82" i="5"/>
  <c r="O74" i="10"/>
  <c r="AC78" i="5"/>
  <c r="O70" i="10"/>
  <c r="AC74" i="5"/>
  <c r="P62" i="10"/>
  <c r="AI66" i="5"/>
  <c r="O58" i="10"/>
  <c r="AC62" i="5"/>
  <c r="P54" i="10"/>
  <c r="AI58" i="5"/>
  <c r="O50" i="10"/>
  <c r="AC54" i="5"/>
  <c r="O46" i="10"/>
  <c r="AC50" i="5"/>
  <c r="O42" i="10"/>
  <c r="AC46" i="5"/>
  <c r="O37" i="10"/>
  <c r="AC41" i="5"/>
  <c r="O33" i="10"/>
  <c r="AC37" i="5"/>
  <c r="P28" i="10"/>
  <c r="AI32" i="5"/>
  <c r="O420" i="10"/>
  <c r="AC424" i="5"/>
  <c r="P408" i="10"/>
  <c r="AI412" i="5"/>
  <c r="P404" i="10"/>
  <c r="AI408" i="5"/>
  <c r="P392" i="10"/>
  <c r="AI396" i="5"/>
  <c r="P384" i="10"/>
  <c r="AI388" i="5"/>
  <c r="O376" i="10"/>
  <c r="AC380" i="5"/>
  <c r="O330" i="10"/>
  <c r="AC334" i="5"/>
  <c r="O305" i="10"/>
  <c r="AC309" i="5"/>
  <c r="P301" i="10"/>
  <c r="AI305" i="5"/>
  <c r="O272" i="10"/>
  <c r="AC276" i="5"/>
  <c r="O247" i="10"/>
  <c r="AC251" i="5"/>
  <c r="O149" i="10"/>
  <c r="AC153" i="5"/>
  <c r="P141" i="10"/>
  <c r="AI145" i="5"/>
  <c r="O116" i="10"/>
  <c r="AC120" i="5"/>
  <c r="O108" i="10"/>
  <c r="AC112" i="5"/>
  <c r="O79" i="10"/>
  <c r="AC83" i="5"/>
  <c r="O75" i="10"/>
  <c r="AC79" i="5"/>
  <c r="O59" i="10"/>
  <c r="AC63" i="5"/>
  <c r="O47" i="10"/>
  <c r="AC51" i="5"/>
  <c r="O25" i="10"/>
  <c r="AC29" i="5"/>
  <c r="O419" i="10"/>
  <c r="AC423" i="5"/>
  <c r="O403" i="10"/>
  <c r="AC407" i="5"/>
  <c r="O395" i="10"/>
  <c r="AC399" i="5"/>
  <c r="P387" i="10"/>
  <c r="AI391" i="5"/>
  <c r="P383" i="10"/>
  <c r="AI387" i="5"/>
  <c r="P374" i="10"/>
  <c r="AI378" i="5"/>
  <c r="P349" i="10"/>
  <c r="AI353" i="5"/>
  <c r="O329" i="10"/>
  <c r="AC333" i="5"/>
  <c r="O308" i="10"/>
  <c r="AC312" i="5"/>
  <c r="P300" i="10"/>
  <c r="AI304" i="5"/>
  <c r="P418" i="10"/>
  <c r="AI422" i="5"/>
  <c r="P414" i="10"/>
  <c r="AI418" i="5"/>
  <c r="P410" i="10"/>
  <c r="AI414" i="5"/>
  <c r="P406" i="10"/>
  <c r="AI410" i="5"/>
  <c r="O402" i="10"/>
  <c r="AC406" i="5"/>
  <c r="O398" i="10"/>
  <c r="AC402" i="5"/>
  <c r="O394" i="10"/>
  <c r="AC398" i="5"/>
  <c r="P390" i="10"/>
  <c r="AI394" i="5"/>
  <c r="O386" i="10"/>
  <c r="AC390" i="5"/>
  <c r="O382" i="10"/>
  <c r="AC386" i="5"/>
  <c r="O378" i="10"/>
  <c r="AC382" i="5"/>
  <c r="O373" i="10"/>
  <c r="AC377" i="5"/>
  <c r="P348" i="10"/>
  <c r="AI352" i="5"/>
  <c r="O344" i="10"/>
  <c r="AC348" i="5"/>
  <c r="P332" i="10"/>
  <c r="AI336" i="5"/>
  <c r="O328" i="10"/>
  <c r="AC332" i="5"/>
  <c r="O311" i="10"/>
  <c r="AC315" i="5"/>
  <c r="O307" i="10"/>
  <c r="AC311" i="5"/>
  <c r="O303" i="10"/>
  <c r="AC307" i="5"/>
  <c r="O299" i="10"/>
  <c r="AC303" i="5"/>
  <c r="P294" i="10"/>
  <c r="AI298" i="5"/>
  <c r="O290" i="10"/>
  <c r="AC294" i="5"/>
  <c r="P281" i="10"/>
  <c r="AI285" i="5"/>
  <c r="O274" i="10"/>
  <c r="AC278" i="5"/>
  <c r="O257" i="10"/>
  <c r="AC261" i="5"/>
  <c r="O253" i="10"/>
  <c r="AC257" i="5"/>
  <c r="O249" i="10"/>
  <c r="AC253" i="5"/>
  <c r="O175" i="10"/>
  <c r="AC179" i="5"/>
  <c r="P165" i="10"/>
  <c r="AI169" i="5"/>
  <c r="P153" i="10"/>
  <c r="AI157" i="5"/>
  <c r="O147" i="10"/>
  <c r="AC151" i="5"/>
  <c r="O143" i="10"/>
  <c r="AC147" i="5"/>
  <c r="O138" i="10"/>
  <c r="AC142" i="5"/>
  <c r="O134" i="10"/>
  <c r="AC138" i="5"/>
  <c r="P114" i="10"/>
  <c r="AI118" i="5"/>
  <c r="O110" i="10"/>
  <c r="AC114" i="5"/>
  <c r="O106" i="10"/>
  <c r="AC110" i="5"/>
  <c r="O101" i="10"/>
  <c r="AC105" i="5"/>
  <c r="O97" i="10"/>
  <c r="AC101" i="5"/>
  <c r="O77" i="10"/>
  <c r="AC81" i="5"/>
  <c r="O73" i="10"/>
  <c r="AC77" i="5"/>
  <c r="O65" i="10"/>
  <c r="AC69" i="5"/>
  <c r="P61" i="10"/>
  <c r="AI65" i="5"/>
  <c r="O57" i="10"/>
  <c r="AC61" i="5"/>
  <c r="P53" i="10"/>
  <c r="AI57" i="5"/>
  <c r="P49" i="10"/>
  <c r="AI53" i="5"/>
  <c r="O45" i="10"/>
  <c r="AC49" i="5"/>
  <c r="P40" i="10"/>
  <c r="AI44" i="5"/>
  <c r="O36" i="10"/>
  <c r="AC40" i="5"/>
  <c r="O32" i="10"/>
  <c r="AC36" i="5"/>
  <c r="O27" i="10"/>
  <c r="AC31" i="5"/>
  <c r="P416" i="10"/>
  <c r="AI420" i="5"/>
  <c r="P396" i="10"/>
  <c r="AI400" i="5"/>
  <c r="O371" i="10"/>
  <c r="AC375" i="5"/>
  <c r="O313" i="10"/>
  <c r="AC317" i="5"/>
  <c r="O296" i="10"/>
  <c r="AC300" i="5"/>
  <c r="P292" i="10"/>
  <c r="AI296" i="5"/>
  <c r="P276" i="10"/>
  <c r="AI280" i="5"/>
  <c r="O255" i="10"/>
  <c r="AC259" i="5"/>
  <c r="O251" i="10"/>
  <c r="AC255" i="5"/>
  <c r="O177" i="10"/>
  <c r="AC181" i="5"/>
  <c r="P155" i="10"/>
  <c r="AI159" i="5"/>
  <c r="O136" i="10"/>
  <c r="AC140" i="5"/>
  <c r="O99" i="10"/>
  <c r="AC103" i="5"/>
  <c r="O63" i="10"/>
  <c r="AC67" i="5"/>
  <c r="P51" i="10"/>
  <c r="AI55" i="5"/>
  <c r="O43" i="10"/>
  <c r="AC47" i="5"/>
  <c r="O34" i="10"/>
  <c r="AC38" i="5"/>
  <c r="P421" i="10"/>
  <c r="AI425" i="5"/>
  <c r="P417" i="10"/>
  <c r="AI421" i="5"/>
  <c r="P413" i="10"/>
  <c r="AI417" i="5"/>
  <c r="P409" i="10"/>
  <c r="AI413" i="5"/>
  <c r="P405" i="10"/>
  <c r="AI409" i="5"/>
  <c r="O401" i="10"/>
  <c r="AC405" i="5"/>
  <c r="O397" i="10"/>
  <c r="AC401" i="5"/>
  <c r="O393" i="10"/>
  <c r="AC397" i="5"/>
  <c r="P389" i="10"/>
  <c r="AI393" i="5"/>
  <c r="P385" i="10"/>
  <c r="AI389" i="5"/>
  <c r="O381" i="10"/>
  <c r="AC385" i="5"/>
  <c r="O377" i="10"/>
  <c r="AC381" i="5"/>
  <c r="O372" i="10"/>
  <c r="AC376" i="5"/>
  <c r="O347" i="10"/>
  <c r="AC351" i="5"/>
  <c r="O343" i="10"/>
  <c r="AC347" i="5"/>
  <c r="O331" i="10"/>
  <c r="AC335" i="5"/>
  <c r="O327" i="10"/>
  <c r="AC331" i="5"/>
  <c r="O310" i="10"/>
  <c r="AC314" i="5"/>
  <c r="O306" i="10"/>
  <c r="AC310" i="5"/>
  <c r="O302" i="10"/>
  <c r="AC306" i="5"/>
  <c r="O297" i="10"/>
  <c r="AC301" i="5"/>
  <c r="P293" i="10"/>
  <c r="AI297" i="5"/>
  <c r="O289" i="10"/>
  <c r="AC293" i="5"/>
  <c r="P279" i="10"/>
  <c r="AI283" i="5"/>
  <c r="O273" i="10"/>
  <c r="AC277" i="5"/>
  <c r="O252" i="10"/>
  <c r="AC256" i="5"/>
  <c r="O248" i="10"/>
  <c r="AC252" i="5"/>
  <c r="O174" i="10"/>
  <c r="AC178" i="5"/>
  <c r="P156" i="10"/>
  <c r="AI160" i="5"/>
  <c r="O151" i="10"/>
  <c r="AC155" i="5"/>
  <c r="O142" i="10"/>
  <c r="AC146" i="5"/>
  <c r="O137" i="10"/>
  <c r="AC141" i="5"/>
  <c r="P117" i="10"/>
  <c r="AI121" i="5"/>
  <c r="O113" i="10"/>
  <c r="AC117" i="5"/>
  <c r="O109" i="10"/>
  <c r="AC113" i="5"/>
  <c r="O105" i="10"/>
  <c r="AC109" i="5"/>
  <c r="O100" i="10"/>
  <c r="AC104" i="5"/>
  <c r="P80" i="10"/>
  <c r="AI84" i="5"/>
  <c r="O76" i="10"/>
  <c r="AC80" i="5"/>
  <c r="O72" i="10"/>
  <c r="AC76" i="5"/>
  <c r="P64" i="10"/>
  <c r="AI68" i="5"/>
  <c r="O60" i="10"/>
  <c r="AC64" i="5"/>
  <c r="O56" i="10"/>
  <c r="AC60" i="5"/>
  <c r="P52" i="10"/>
  <c r="AI56" i="5"/>
  <c r="O48" i="10"/>
  <c r="AC52" i="5"/>
  <c r="O44" i="10"/>
  <c r="AC48" i="5"/>
  <c r="O39" i="10"/>
  <c r="AC43" i="5"/>
  <c r="O35" i="10"/>
  <c r="AC39" i="5"/>
  <c r="O31" i="10"/>
  <c r="AC35" i="5"/>
  <c r="O26" i="10"/>
  <c r="AC30" i="5"/>
  <c r="L13" i="11"/>
  <c r="N152" i="10" s="1"/>
  <c r="N29" i="10"/>
  <c r="N166" i="10"/>
  <c r="N41" i="10"/>
  <c r="N334" i="10"/>
  <c r="O181" i="10"/>
  <c r="N219" i="10"/>
  <c r="O201" i="10"/>
  <c r="AI205" i="5" s="1"/>
  <c r="N239" i="10"/>
  <c r="O163" i="10"/>
  <c r="AI167" i="5" s="1"/>
  <c r="N214" i="10"/>
  <c r="O159" i="10"/>
  <c r="AI163" i="5" s="1"/>
  <c r="N210" i="10"/>
  <c r="O180" i="10"/>
  <c r="AI184" i="5" s="1"/>
  <c r="N218" i="10"/>
  <c r="O162" i="10"/>
  <c r="AI166" i="5" s="1"/>
  <c r="N213" i="10"/>
  <c r="P203" i="10"/>
  <c r="AO207" i="5" s="1"/>
  <c r="O241" i="10"/>
  <c r="AI245" i="5" s="1"/>
  <c r="O199" i="10"/>
  <c r="AI203" i="5" s="1"/>
  <c r="N237" i="10"/>
  <c r="O179" i="10"/>
  <c r="AI183" i="5" s="1"/>
  <c r="N217" i="10"/>
  <c r="O161" i="10"/>
  <c r="AI165" i="5" s="1"/>
  <c r="N212" i="10"/>
  <c r="O157" i="10"/>
  <c r="AI161" i="5" s="1"/>
  <c r="N208" i="10"/>
  <c r="O200" i="10"/>
  <c r="AI204" i="5" s="1"/>
  <c r="N238" i="10"/>
  <c r="O158" i="10"/>
  <c r="AI162" i="5" s="1"/>
  <c r="N209" i="10"/>
  <c r="O202" i="10"/>
  <c r="AI206" i="5" s="1"/>
  <c r="N240" i="10"/>
  <c r="N198" i="10"/>
  <c r="O182" i="10"/>
  <c r="AI186" i="5" s="1"/>
  <c r="N220" i="10"/>
  <c r="O178" i="10"/>
  <c r="AI182" i="5" s="1"/>
  <c r="N216" i="10"/>
  <c r="O164" i="10"/>
  <c r="AI168" i="5" s="1"/>
  <c r="N215" i="10"/>
  <c r="O160" i="10"/>
  <c r="AI164" i="5" s="1"/>
  <c r="N211" i="10"/>
  <c r="AK13" i="5"/>
  <c r="AZ13" i="5" s="1"/>
  <c r="AK25" i="5"/>
  <c r="W12" i="5"/>
  <c r="V12" i="5"/>
  <c r="AZ16" i="5"/>
  <c r="V28" i="5"/>
  <c r="AQ12" i="5"/>
  <c r="BA12" i="5" s="1"/>
  <c r="Y22" i="5"/>
  <c r="Y18" i="5"/>
  <c r="AW14" i="5"/>
  <c r="BB14" i="5" s="1"/>
  <c r="AE25" i="5"/>
  <c r="AE24" i="5"/>
  <c r="AY24" i="5" s="1"/>
  <c r="AK15" i="5"/>
  <c r="AZ15" i="5" s="1"/>
  <c r="X27" i="5"/>
  <c r="AE26" i="5"/>
  <c r="AY26" i="5" s="1"/>
  <c r="Y14" i="5"/>
  <c r="W16" i="5"/>
  <c r="AL16" i="5" s="1"/>
  <c r="W15" i="5"/>
  <c r="AK14" i="5"/>
  <c r="AZ14" i="5" s="1"/>
  <c r="X22" i="5"/>
  <c r="X18" i="5"/>
  <c r="AW15" i="5"/>
  <c r="BB15" i="5" s="1"/>
  <c r="W13" i="5"/>
  <c r="X21" i="5"/>
  <c r="W21" i="5"/>
  <c r="Y19" i="5"/>
  <c r="AW26" i="5"/>
  <c r="BB26" i="5" s="1"/>
  <c r="Y26" i="5"/>
  <c r="AQ24" i="5"/>
  <c r="BA24" i="5" s="1"/>
  <c r="X24" i="5"/>
  <c r="AK22" i="5"/>
  <c r="AZ22" i="5" s="1"/>
  <c r="AW21" i="5"/>
  <c r="BB21" i="5" s="1"/>
  <c r="Y21" i="5"/>
  <c r="AK19" i="5"/>
  <c r="W19" i="5"/>
  <c r="AW16" i="5"/>
  <c r="BB16" i="5" s="1"/>
  <c r="AQ26" i="5"/>
  <c r="BA26" i="5" s="1"/>
  <c r="X26" i="5"/>
  <c r="AQ23" i="5"/>
  <c r="BA23" i="5" s="1"/>
  <c r="X23" i="5"/>
  <c r="AE22" i="5"/>
  <c r="AY22" i="5" s="1"/>
  <c r="W22" i="5"/>
  <c r="AW20" i="5"/>
  <c r="BB20" i="5" s="1"/>
  <c r="Y20" i="5"/>
  <c r="AK23" i="5"/>
  <c r="AZ23" i="5" s="1"/>
  <c r="W23" i="5"/>
  <c r="AQ20" i="5"/>
  <c r="BA20" i="5" s="1"/>
  <c r="X20" i="5"/>
  <c r="AK18" i="5"/>
  <c r="AZ18" i="5" s="1"/>
  <c r="W18" i="5"/>
  <c r="V15" i="5"/>
  <c r="AQ14" i="5"/>
  <c r="BA14" i="5" s="1"/>
  <c r="X14" i="5"/>
  <c r="AW13" i="5"/>
  <c r="AK28" i="5"/>
  <c r="AE27" i="5"/>
  <c r="AY27" i="5" s="1"/>
  <c r="AQ25" i="5"/>
  <c r="BA25" i="5" s="1"/>
  <c r="X25" i="5"/>
  <c r="AW24" i="5"/>
  <c r="Y24" i="5"/>
  <c r="AE21" i="5"/>
  <c r="AY21" i="5" s="1"/>
  <c r="AQ19" i="5"/>
  <c r="X19" i="5"/>
  <c r="AE18" i="5"/>
  <c r="AY18" i="5" s="1"/>
  <c r="AK17" i="5"/>
  <c r="AL17" i="5" s="1"/>
  <c r="Y27" i="5"/>
  <c r="AK26" i="5"/>
  <c r="AZ26" i="5" s="1"/>
  <c r="AK24" i="5"/>
  <c r="AZ24" i="5" s="1"/>
  <c r="AE23" i="5"/>
  <c r="AY23" i="5" s="1"/>
  <c r="AW22" i="5"/>
  <c r="BB22" i="5" s="1"/>
  <c r="AK20" i="5"/>
  <c r="AZ20" i="5" s="1"/>
  <c r="AE19" i="5"/>
  <c r="AY19" i="5" s="1"/>
  <c r="AW18" i="5"/>
  <c r="BB18" i="5" s="1"/>
  <c r="X16" i="5"/>
  <c r="Y16" i="5"/>
  <c r="W14" i="5"/>
  <c r="V14" i="5"/>
  <c r="X13" i="5"/>
  <c r="Y13" i="5"/>
  <c r="W26" i="5"/>
  <c r="W25" i="5"/>
  <c r="W24" i="5"/>
  <c r="AW23" i="5"/>
  <c r="BB23" i="5" s="1"/>
  <c r="AK21" i="5"/>
  <c r="AZ21" i="5" s="1"/>
  <c r="AE20" i="5"/>
  <c r="AY20" i="5" s="1"/>
  <c r="W20" i="5"/>
  <c r="AW19" i="5"/>
  <c r="V16" i="5"/>
  <c r="X15" i="5"/>
  <c r="Y15" i="5"/>
  <c r="V13" i="5"/>
  <c r="AK12" i="5"/>
  <c r="AZ12" i="5" s="1"/>
  <c r="Y12" i="5"/>
  <c r="AW17" i="5"/>
  <c r="BB17" i="5" s="1"/>
  <c r="W27" i="5"/>
  <c r="AK27" i="5"/>
  <c r="AZ27" i="5" s="1"/>
  <c r="AW25" i="5"/>
  <c r="BB25" i="5" s="1"/>
  <c r="AW27" i="5"/>
  <c r="BB27" i="5" s="1"/>
  <c r="Y25" i="5"/>
  <c r="AE17" i="5"/>
  <c r="AF17" i="5" s="1"/>
  <c r="AQ17" i="5"/>
  <c r="BA17" i="5" s="1"/>
  <c r="AW12" i="5"/>
  <c r="BB12" i="5" s="1"/>
  <c r="AE12" i="5"/>
  <c r="Y23" i="5"/>
  <c r="AE28" i="5"/>
  <c r="Y17" i="5"/>
  <c r="AE16" i="5"/>
  <c r="AQ16" i="5"/>
  <c r="BA16" i="5" s="1"/>
  <c r="AE15" i="5"/>
  <c r="AY15" i="5" s="1"/>
  <c r="AQ15" i="5"/>
  <c r="BA15" i="5" s="1"/>
  <c r="AE14" i="5"/>
  <c r="AY14" i="5" s="1"/>
  <c r="AE13" i="5"/>
  <c r="AY13" i="5" s="1"/>
  <c r="AQ13" i="5"/>
  <c r="BA13" i="5" s="1"/>
  <c r="V27" i="5"/>
  <c r="V26" i="5"/>
  <c r="V25" i="5"/>
  <c r="V24" i="5"/>
  <c r="V23" i="5"/>
  <c r="V22" i="5"/>
  <c r="V21" i="5"/>
  <c r="V20" i="5"/>
  <c r="V19" i="5"/>
  <c r="V18" i="5"/>
  <c r="X17" i="5"/>
  <c r="X12" i="5"/>
  <c r="AQ27" i="5"/>
  <c r="BA27" i="5" s="1"/>
  <c r="AQ21" i="5"/>
  <c r="AQ22" i="5"/>
  <c r="BA22" i="5" s="1"/>
  <c r="AQ18" i="5"/>
  <c r="BA18" i="5" s="1"/>
  <c r="N282" i="10"/>
  <c r="N336" i="10"/>
  <c r="N280" i="10"/>
  <c r="N205" i="10"/>
  <c r="N168" i="10"/>
  <c r="N375" i="10"/>
  <c r="N338" i="10"/>
  <c r="N278" i="10"/>
  <c r="AY16" i="5" l="1"/>
  <c r="BB24" i="5"/>
  <c r="BC24" i="5" s="1"/>
  <c r="BA21" i="5"/>
  <c r="BC21" i="5" s="1"/>
  <c r="BB19" i="5"/>
  <c r="AY25" i="5"/>
  <c r="BA19" i="5"/>
  <c r="BB13" i="5"/>
  <c r="AZ19" i="5"/>
  <c r="AZ25" i="5"/>
  <c r="AI71" i="5"/>
  <c r="AI72" i="5"/>
  <c r="AI260" i="5"/>
  <c r="AI316" i="5"/>
  <c r="AC244" i="5"/>
  <c r="AC242" i="5"/>
  <c r="AC216" i="5"/>
  <c r="AC241" i="5"/>
  <c r="AC217" i="5"/>
  <c r="AC214" i="5"/>
  <c r="AC243" i="5"/>
  <c r="AC219" i="5"/>
  <c r="AC224" i="5"/>
  <c r="AC209" i="5"/>
  <c r="AC213" i="5"/>
  <c r="AC212" i="5"/>
  <c r="AC221" i="5"/>
  <c r="AC222" i="5"/>
  <c r="AC218" i="5"/>
  <c r="AC223" i="5"/>
  <c r="AC215" i="5"/>
  <c r="AC220" i="5"/>
  <c r="AC202" i="5"/>
  <c r="AI150" i="5"/>
  <c r="AY28" i="5"/>
  <c r="AI73" i="5"/>
  <c r="AI70" i="5"/>
  <c r="O152" i="10"/>
  <c r="P152" i="10" s="1"/>
  <c r="AC156" i="5"/>
  <c r="AE156" i="5" s="1"/>
  <c r="AY156" i="5" s="1"/>
  <c r="O280" i="10"/>
  <c r="AC284" i="5"/>
  <c r="O166" i="10"/>
  <c r="AC170" i="5"/>
  <c r="P26" i="10"/>
  <c r="AI30" i="5"/>
  <c r="P35" i="10"/>
  <c r="AI39" i="5"/>
  <c r="P44" i="10"/>
  <c r="AI48" i="5"/>
  <c r="Q52" i="10"/>
  <c r="AU56" i="5" s="1"/>
  <c r="AO56" i="5"/>
  <c r="P60" i="10"/>
  <c r="AI64" i="5"/>
  <c r="Q68" i="10"/>
  <c r="AU72" i="5" s="1"/>
  <c r="AO72" i="5"/>
  <c r="P76" i="10"/>
  <c r="AI80" i="5"/>
  <c r="P100" i="10"/>
  <c r="AI104" i="5"/>
  <c r="P109" i="10"/>
  <c r="AI113" i="5"/>
  <c r="Q117" i="10"/>
  <c r="AU121" i="5" s="1"/>
  <c r="AO121" i="5"/>
  <c r="P142" i="10"/>
  <c r="AI146" i="5"/>
  <c r="P151" i="10"/>
  <c r="AI155" i="5"/>
  <c r="P174" i="10"/>
  <c r="AI178" i="5"/>
  <c r="P252" i="10"/>
  <c r="AI256" i="5"/>
  <c r="P273" i="10"/>
  <c r="AI277" i="5"/>
  <c r="P289" i="10"/>
  <c r="AI293" i="5"/>
  <c r="P297" i="10"/>
  <c r="AI301" i="5"/>
  <c r="P306" i="10"/>
  <c r="AI310" i="5"/>
  <c r="P327" i="10"/>
  <c r="AI331" i="5"/>
  <c r="P343" i="10"/>
  <c r="AI347" i="5"/>
  <c r="P372" i="10"/>
  <c r="AI376" i="5"/>
  <c r="P381" i="10"/>
  <c r="AI385" i="5"/>
  <c r="Q389" i="10"/>
  <c r="AU393" i="5" s="1"/>
  <c r="AO393" i="5"/>
  <c r="P397" i="10"/>
  <c r="AI401" i="5"/>
  <c r="Q405" i="10"/>
  <c r="AU409" i="5" s="1"/>
  <c r="AO409" i="5"/>
  <c r="Q413" i="10"/>
  <c r="AU417" i="5" s="1"/>
  <c r="AO417" i="5"/>
  <c r="Q421" i="10"/>
  <c r="AU425" i="5" s="1"/>
  <c r="AO425" i="5"/>
  <c r="P43" i="10"/>
  <c r="AI47" i="5"/>
  <c r="P63" i="10"/>
  <c r="AI67" i="5"/>
  <c r="P136" i="10"/>
  <c r="AI140" i="5"/>
  <c r="P177" i="10"/>
  <c r="AI181" i="5"/>
  <c r="P255" i="10"/>
  <c r="AI259" i="5"/>
  <c r="Q292" i="10"/>
  <c r="AU296" i="5" s="1"/>
  <c r="AO296" i="5"/>
  <c r="P313" i="10"/>
  <c r="AI317" i="5"/>
  <c r="Q396" i="10"/>
  <c r="AU400" i="5" s="1"/>
  <c r="AO400" i="5"/>
  <c r="P27" i="10"/>
  <c r="AI31" i="5"/>
  <c r="P36" i="10"/>
  <c r="AI40" i="5"/>
  <c r="P45" i="10"/>
  <c r="AI49" i="5"/>
  <c r="Q53" i="10"/>
  <c r="AU57" i="5" s="1"/>
  <c r="AO57" i="5"/>
  <c r="Q61" i="10"/>
  <c r="AU65" i="5" s="1"/>
  <c r="AO65" i="5"/>
  <c r="Q69" i="10"/>
  <c r="AU73" i="5" s="1"/>
  <c r="AO73" i="5"/>
  <c r="P77" i="10"/>
  <c r="AI81" i="5"/>
  <c r="P101" i="10"/>
  <c r="AI105" i="5"/>
  <c r="P110" i="10"/>
  <c r="AI114" i="5"/>
  <c r="P134" i="10"/>
  <c r="AI138" i="5"/>
  <c r="P143" i="10"/>
  <c r="AI147" i="5"/>
  <c r="Q153" i="10"/>
  <c r="AU157" i="5" s="1"/>
  <c r="AO157" i="5"/>
  <c r="P175" i="10"/>
  <c r="AI179" i="5"/>
  <c r="P253" i="10"/>
  <c r="AI257" i="5"/>
  <c r="P274" i="10"/>
  <c r="AI278" i="5"/>
  <c r="P290" i="10"/>
  <c r="AI294" i="5"/>
  <c r="P299" i="10"/>
  <c r="AI303" i="5"/>
  <c r="P307" i="10"/>
  <c r="AI311" i="5"/>
  <c r="P328" i="10"/>
  <c r="AI332" i="5"/>
  <c r="P344" i="10"/>
  <c r="AI348" i="5"/>
  <c r="P373" i="10"/>
  <c r="AI377" i="5"/>
  <c r="P382" i="10"/>
  <c r="AI386" i="5"/>
  <c r="Q390" i="10"/>
  <c r="AU394" i="5" s="1"/>
  <c r="AO394" i="5"/>
  <c r="P398" i="10"/>
  <c r="AI402" i="5"/>
  <c r="Q406" i="10"/>
  <c r="AU410" i="5" s="1"/>
  <c r="AO410" i="5"/>
  <c r="Q414" i="10"/>
  <c r="AU418" i="5" s="1"/>
  <c r="AO418" i="5"/>
  <c r="Q300" i="10"/>
  <c r="AU304" i="5" s="1"/>
  <c r="AO304" i="5"/>
  <c r="P329" i="10"/>
  <c r="AI333" i="5"/>
  <c r="Q374" i="10"/>
  <c r="AU378" i="5" s="1"/>
  <c r="AO378" i="5"/>
  <c r="Q387" i="10"/>
  <c r="AU391" i="5" s="1"/>
  <c r="AO391" i="5"/>
  <c r="P403" i="10"/>
  <c r="AI407" i="5"/>
  <c r="P25" i="10"/>
  <c r="AI29" i="5"/>
  <c r="P59" i="10"/>
  <c r="AI63" i="5"/>
  <c r="P75" i="10"/>
  <c r="AI79" i="5"/>
  <c r="P108" i="10"/>
  <c r="AI112" i="5"/>
  <c r="Q141" i="10"/>
  <c r="AU145" i="5" s="1"/>
  <c r="AO145" i="5"/>
  <c r="P247" i="10"/>
  <c r="AI251" i="5"/>
  <c r="Q301" i="10"/>
  <c r="AU305" i="5" s="1"/>
  <c r="AO305" i="5"/>
  <c r="P330" i="10"/>
  <c r="AI334" i="5"/>
  <c r="Q384" i="10"/>
  <c r="AU388" i="5" s="1"/>
  <c r="AO388" i="5"/>
  <c r="Q404" i="10"/>
  <c r="AU408" i="5" s="1"/>
  <c r="AO408" i="5"/>
  <c r="P420" i="10"/>
  <c r="AI424" i="5"/>
  <c r="P33" i="10"/>
  <c r="AI37" i="5"/>
  <c r="P42" i="10"/>
  <c r="AI46" i="5"/>
  <c r="P50" i="10"/>
  <c r="AI54" i="5"/>
  <c r="P58" i="10"/>
  <c r="AI62" i="5"/>
  <c r="Q66" i="10"/>
  <c r="AU70" i="5" s="1"/>
  <c r="AO70" i="5"/>
  <c r="P74" i="10"/>
  <c r="AI78" i="5"/>
  <c r="P98" i="10"/>
  <c r="AI102" i="5"/>
  <c r="P107" i="10"/>
  <c r="AI111" i="5"/>
  <c r="P115" i="10"/>
  <c r="AI119" i="5"/>
  <c r="Q139" i="10"/>
  <c r="AU143" i="5" s="1"/>
  <c r="AO143" i="5"/>
  <c r="P148" i="10"/>
  <c r="AI152" i="5"/>
  <c r="Q167" i="10"/>
  <c r="AU171" i="5" s="1"/>
  <c r="AO171" i="5"/>
  <c r="P246" i="10"/>
  <c r="AI250" i="5"/>
  <c r="P254" i="10"/>
  <c r="AI258" i="5"/>
  <c r="P275" i="10"/>
  <c r="AI279" i="5"/>
  <c r="P291" i="10"/>
  <c r="AI295" i="5"/>
  <c r="P304" i="10"/>
  <c r="AI308" i="5"/>
  <c r="Q335" i="10"/>
  <c r="AU339" i="5" s="1"/>
  <c r="AO339" i="5"/>
  <c r="P379" i="10"/>
  <c r="AI383" i="5"/>
  <c r="P399" i="10"/>
  <c r="AI403" i="5"/>
  <c r="Q411" i="10"/>
  <c r="AU415" i="5" s="1"/>
  <c r="AO415" i="5"/>
  <c r="P30" i="10"/>
  <c r="AI34" i="5"/>
  <c r="P55" i="10"/>
  <c r="AI59" i="5"/>
  <c r="Q104" i="10"/>
  <c r="AU108" i="5" s="1"/>
  <c r="AO108" i="5"/>
  <c r="P145" i="10"/>
  <c r="AI149" i="5"/>
  <c r="P288" i="10"/>
  <c r="AI292" i="5"/>
  <c r="Q337" i="10"/>
  <c r="AU341" i="5" s="1"/>
  <c r="AO341" i="5"/>
  <c r="P380" i="10"/>
  <c r="AI384" i="5"/>
  <c r="P400" i="10"/>
  <c r="AI404" i="5"/>
  <c r="O338" i="10"/>
  <c r="AC342" i="5"/>
  <c r="O41" i="10"/>
  <c r="AC45" i="5"/>
  <c r="O375" i="10"/>
  <c r="AC379" i="5"/>
  <c r="O336" i="10"/>
  <c r="AC340" i="5"/>
  <c r="O168" i="10"/>
  <c r="AC172" i="5"/>
  <c r="O282" i="10"/>
  <c r="AC286" i="5"/>
  <c r="P181" i="10"/>
  <c r="AO185" i="5" s="1"/>
  <c r="AI185" i="5"/>
  <c r="O29" i="10"/>
  <c r="AC33" i="5"/>
  <c r="O278" i="10"/>
  <c r="AC282" i="5"/>
  <c r="O334" i="10"/>
  <c r="AC338" i="5"/>
  <c r="P31" i="10"/>
  <c r="AI35" i="5"/>
  <c r="P39" i="10"/>
  <c r="AI43" i="5"/>
  <c r="P48" i="10"/>
  <c r="AI52" i="5"/>
  <c r="P56" i="10"/>
  <c r="AI60" i="5"/>
  <c r="Q64" i="10"/>
  <c r="AU68" i="5" s="1"/>
  <c r="AO68" i="5"/>
  <c r="P72" i="10"/>
  <c r="AI76" i="5"/>
  <c r="Q80" i="10"/>
  <c r="AU84" i="5" s="1"/>
  <c r="AO84" i="5"/>
  <c r="P105" i="10"/>
  <c r="AI109" i="5"/>
  <c r="P113" i="10"/>
  <c r="AI117" i="5"/>
  <c r="P137" i="10"/>
  <c r="AI141" i="5"/>
  <c r="Q146" i="10"/>
  <c r="AU150" i="5" s="1"/>
  <c r="AO150" i="5"/>
  <c r="Q156" i="10"/>
  <c r="AU160" i="5" s="1"/>
  <c r="AO160" i="5"/>
  <c r="P248" i="10"/>
  <c r="AI252" i="5"/>
  <c r="Q256" i="10"/>
  <c r="AU260" i="5" s="1"/>
  <c r="AO260" i="5"/>
  <c r="Q279" i="10"/>
  <c r="AU283" i="5" s="1"/>
  <c r="AO283" i="5"/>
  <c r="Q293" i="10"/>
  <c r="AU297" i="5" s="1"/>
  <c r="AO297" i="5"/>
  <c r="P302" i="10"/>
  <c r="AI306" i="5"/>
  <c r="P310" i="10"/>
  <c r="AI314" i="5"/>
  <c r="P331" i="10"/>
  <c r="AI335" i="5"/>
  <c r="P347" i="10"/>
  <c r="AI351" i="5"/>
  <c r="P377" i="10"/>
  <c r="AI381" i="5"/>
  <c r="Q385" i="10"/>
  <c r="AU389" i="5" s="1"/>
  <c r="AO389" i="5"/>
  <c r="P393" i="10"/>
  <c r="AI397" i="5"/>
  <c r="P401" i="10"/>
  <c r="AI405" i="5"/>
  <c r="Q409" i="10"/>
  <c r="AU413" i="5" s="1"/>
  <c r="AO413" i="5"/>
  <c r="Q417" i="10"/>
  <c r="AU421" i="5" s="1"/>
  <c r="AO421" i="5"/>
  <c r="P34" i="10"/>
  <c r="AI38" i="5"/>
  <c r="Q51" i="10"/>
  <c r="AU55" i="5" s="1"/>
  <c r="AO55" i="5"/>
  <c r="P99" i="10"/>
  <c r="AI103" i="5"/>
  <c r="Q155" i="10"/>
  <c r="AU159" i="5" s="1"/>
  <c r="AO159" i="5"/>
  <c r="P251" i="10"/>
  <c r="AI255" i="5"/>
  <c r="Q276" i="10"/>
  <c r="AU280" i="5" s="1"/>
  <c r="AO280" i="5"/>
  <c r="P296" i="10"/>
  <c r="AI300" i="5"/>
  <c r="P371" i="10"/>
  <c r="AI375" i="5"/>
  <c r="Q416" i="10"/>
  <c r="AU420" i="5" s="1"/>
  <c r="AO420" i="5"/>
  <c r="P32" i="10"/>
  <c r="AI36" i="5"/>
  <c r="Q40" i="10"/>
  <c r="AU44" i="5" s="1"/>
  <c r="AO44" i="5"/>
  <c r="Q49" i="10"/>
  <c r="AU53" i="5" s="1"/>
  <c r="AO53" i="5"/>
  <c r="P57" i="10"/>
  <c r="AI61" i="5"/>
  <c r="P65" i="10"/>
  <c r="AI69" i="5"/>
  <c r="P73" i="10"/>
  <c r="AI77" i="5"/>
  <c r="P97" i="10"/>
  <c r="AI101" i="5"/>
  <c r="P106" i="10"/>
  <c r="AI110" i="5"/>
  <c r="Q114" i="10"/>
  <c r="AU118" i="5" s="1"/>
  <c r="AO118" i="5"/>
  <c r="P138" i="10"/>
  <c r="AI142" i="5"/>
  <c r="P147" i="10"/>
  <c r="AI151" i="5"/>
  <c r="Q165" i="10"/>
  <c r="AU169" i="5" s="1"/>
  <c r="AO169" i="5"/>
  <c r="P249" i="10"/>
  <c r="AI253" i="5"/>
  <c r="P257" i="10"/>
  <c r="AI261" i="5"/>
  <c r="Q281" i="10"/>
  <c r="AU285" i="5" s="1"/>
  <c r="AO285" i="5"/>
  <c r="Q294" i="10"/>
  <c r="AU298" i="5" s="1"/>
  <c r="AO298" i="5"/>
  <c r="P303" i="10"/>
  <c r="AI307" i="5"/>
  <c r="P311" i="10"/>
  <c r="AI315" i="5"/>
  <c r="Q332" i="10"/>
  <c r="AU336" i="5" s="1"/>
  <c r="AO336" i="5"/>
  <c r="Q348" i="10"/>
  <c r="AU352" i="5" s="1"/>
  <c r="AO352" i="5"/>
  <c r="P378" i="10"/>
  <c r="AI382" i="5"/>
  <c r="P386" i="10"/>
  <c r="AI390" i="5"/>
  <c r="P394" i="10"/>
  <c r="AI398" i="5"/>
  <c r="P402" i="10"/>
  <c r="AI406" i="5"/>
  <c r="Q410" i="10"/>
  <c r="AU414" i="5" s="1"/>
  <c r="AO414" i="5"/>
  <c r="Q418" i="10"/>
  <c r="AU422" i="5" s="1"/>
  <c r="AO422" i="5"/>
  <c r="P308" i="10"/>
  <c r="AI312" i="5"/>
  <c r="Q349" i="10"/>
  <c r="AU353" i="5" s="1"/>
  <c r="AO353" i="5"/>
  <c r="Q383" i="10"/>
  <c r="AU387" i="5" s="1"/>
  <c r="AO387" i="5"/>
  <c r="P395" i="10"/>
  <c r="AI399" i="5"/>
  <c r="P419" i="10"/>
  <c r="AI423" i="5"/>
  <c r="P47" i="10"/>
  <c r="AI51" i="5"/>
  <c r="Q67" i="10"/>
  <c r="AU71" i="5" s="1"/>
  <c r="AO71" i="5"/>
  <c r="P79" i="10"/>
  <c r="AI83" i="5"/>
  <c r="P116" i="10"/>
  <c r="AI120" i="5"/>
  <c r="P149" i="10"/>
  <c r="AI153" i="5"/>
  <c r="P272" i="10"/>
  <c r="AI276" i="5"/>
  <c r="P305" i="10"/>
  <c r="AI309" i="5"/>
  <c r="P376" i="10"/>
  <c r="AI380" i="5"/>
  <c r="Q392" i="10"/>
  <c r="AU396" i="5" s="1"/>
  <c r="AO396" i="5"/>
  <c r="Q408" i="10"/>
  <c r="AU412" i="5" s="1"/>
  <c r="AO412" i="5"/>
  <c r="Q28" i="10"/>
  <c r="AU32" i="5" s="1"/>
  <c r="AO32" i="5"/>
  <c r="P37" i="10"/>
  <c r="AI41" i="5"/>
  <c r="P46" i="10"/>
  <c r="AI50" i="5"/>
  <c r="Q54" i="10"/>
  <c r="AU58" i="5" s="1"/>
  <c r="AO58" i="5"/>
  <c r="Q62" i="10"/>
  <c r="AU66" i="5" s="1"/>
  <c r="AO66" i="5"/>
  <c r="P70" i="10"/>
  <c r="AI74" i="5"/>
  <c r="P78" i="10"/>
  <c r="AI82" i="5"/>
  <c r="Q102" i="10"/>
  <c r="AU106" i="5" s="1"/>
  <c r="AO106" i="5"/>
  <c r="P111" i="10"/>
  <c r="AI115" i="5"/>
  <c r="P135" i="10"/>
  <c r="AI139" i="5"/>
  <c r="P144" i="10"/>
  <c r="AI148" i="5"/>
  <c r="Q154" i="10"/>
  <c r="AU158" i="5" s="1"/>
  <c r="AO158" i="5"/>
  <c r="P176" i="10"/>
  <c r="AI180" i="5"/>
  <c r="P250" i="10"/>
  <c r="AI254" i="5"/>
  <c r="P271" i="10"/>
  <c r="AI275" i="5"/>
  <c r="P287" i="10"/>
  <c r="AI291" i="5"/>
  <c r="P295" i="10"/>
  <c r="AI299" i="5"/>
  <c r="Q312" i="10"/>
  <c r="AU316" i="5" s="1"/>
  <c r="AO316" i="5"/>
  <c r="P345" i="10"/>
  <c r="AI349" i="5"/>
  <c r="P391" i="10"/>
  <c r="AI395" i="5"/>
  <c r="Q407" i="10"/>
  <c r="AU411" i="5" s="1"/>
  <c r="AO411" i="5"/>
  <c r="Q415" i="10"/>
  <c r="AU419" i="5" s="1"/>
  <c r="AO419" i="5"/>
  <c r="P38" i="10"/>
  <c r="AI42" i="5"/>
  <c r="P71" i="10"/>
  <c r="AI75" i="5"/>
  <c r="P112" i="10"/>
  <c r="AI116" i="5"/>
  <c r="P173" i="10"/>
  <c r="AI177" i="5"/>
  <c r="P309" i="10"/>
  <c r="AI313" i="5"/>
  <c r="P346" i="10"/>
  <c r="AI350" i="5"/>
  <c r="Q388" i="10"/>
  <c r="AU392" i="5" s="1"/>
  <c r="AO392" i="5"/>
  <c r="Q412" i="10"/>
  <c r="AU416" i="5" s="1"/>
  <c r="AO416" i="5"/>
  <c r="Y156" i="5"/>
  <c r="O219" i="10"/>
  <c r="AI223" i="5" s="1"/>
  <c r="AL13" i="5"/>
  <c r="P160" i="10"/>
  <c r="AO164" i="5" s="1"/>
  <c r="O211" i="10"/>
  <c r="AI215" i="5" s="1"/>
  <c r="P202" i="10"/>
  <c r="AO206" i="5" s="1"/>
  <c r="O240" i="10"/>
  <c r="AI244" i="5" s="1"/>
  <c r="P161" i="10"/>
  <c r="AO165" i="5" s="1"/>
  <c r="O212" i="10"/>
  <c r="AI216" i="5" s="1"/>
  <c r="O205" i="10"/>
  <c r="AI209" i="5" s="1"/>
  <c r="N243" i="10"/>
  <c r="P178" i="10"/>
  <c r="AO182" i="5" s="1"/>
  <c r="O216" i="10"/>
  <c r="AI220" i="5" s="1"/>
  <c r="P199" i="10"/>
  <c r="AO203" i="5" s="1"/>
  <c r="O237" i="10"/>
  <c r="AI241" i="5" s="1"/>
  <c r="P180" i="10"/>
  <c r="AO184" i="5" s="1"/>
  <c r="O218" i="10"/>
  <c r="AI222" i="5" s="1"/>
  <c r="P159" i="10"/>
  <c r="AO163" i="5" s="1"/>
  <c r="O210" i="10"/>
  <c r="AI214" i="5" s="1"/>
  <c r="P164" i="10"/>
  <c r="AO168" i="5" s="1"/>
  <c r="O215" i="10"/>
  <c r="AI219" i="5" s="1"/>
  <c r="P182" i="10"/>
  <c r="AO186" i="5" s="1"/>
  <c r="O220" i="10"/>
  <c r="AI224" i="5" s="1"/>
  <c r="O198" i="10"/>
  <c r="AI202" i="5" s="1"/>
  <c r="N236" i="10"/>
  <c r="P158" i="10"/>
  <c r="AO162" i="5" s="1"/>
  <c r="O209" i="10"/>
  <c r="AI213" i="5" s="1"/>
  <c r="P200" i="10"/>
  <c r="AO204" i="5" s="1"/>
  <c r="O238" i="10"/>
  <c r="AI242" i="5" s="1"/>
  <c r="P157" i="10"/>
  <c r="AO161" i="5" s="1"/>
  <c r="O208" i="10"/>
  <c r="AI212" i="5" s="1"/>
  <c r="P179" i="10"/>
  <c r="AO183" i="5" s="1"/>
  <c r="O217" i="10"/>
  <c r="AI221" i="5" s="1"/>
  <c r="Q203" i="10"/>
  <c r="P241" i="10"/>
  <c r="AO245" i="5" s="1"/>
  <c r="P162" i="10"/>
  <c r="AO166" i="5" s="1"/>
  <c r="O213" i="10"/>
  <c r="AI217" i="5" s="1"/>
  <c r="P163" i="10"/>
  <c r="AO167" i="5" s="1"/>
  <c r="O214" i="10"/>
  <c r="AI218" i="5" s="1"/>
  <c r="P201" i="10"/>
  <c r="AO205" i="5" s="1"/>
  <c r="O239" i="10"/>
  <c r="AI243" i="5" s="1"/>
  <c r="V156" i="5"/>
  <c r="AL25" i="5"/>
  <c r="AF28" i="5"/>
  <c r="AF12" i="5"/>
  <c r="BC13" i="5"/>
  <c r="AZ17" i="5"/>
  <c r="BC27" i="5"/>
  <c r="BC22" i="5"/>
  <c r="BC20" i="5"/>
  <c r="BC26" i="5"/>
  <c r="AY17" i="5"/>
  <c r="BC25" i="5"/>
  <c r="BC18" i="5"/>
  <c r="BC15" i="5"/>
  <c r="BC14" i="5"/>
  <c r="AY12" i="5"/>
  <c r="BC12" i="5" s="1"/>
  <c r="BC23" i="5"/>
  <c r="BC16" i="5"/>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AL23" i="5"/>
  <c r="AL27" i="5"/>
  <c r="AR17" i="5"/>
  <c r="AF20" i="5"/>
  <c r="AF24" i="5"/>
  <c r="Z27" i="5"/>
  <c r="AF19" i="5"/>
  <c r="AF23" i="5"/>
  <c r="Z25" i="5"/>
  <c r="AF21" i="5"/>
  <c r="AF25" i="5"/>
  <c r="AF18" i="5"/>
  <c r="AF22" i="5"/>
  <c r="AF26" i="5"/>
  <c r="AX25" i="5"/>
  <c r="AR19" i="5"/>
  <c r="AR25" i="5"/>
  <c r="AR18" i="5"/>
  <c r="AR26" i="5"/>
  <c r="AR23" i="5"/>
  <c r="AR22" i="5"/>
  <c r="AR27" i="5"/>
  <c r="AR20" i="5"/>
  <c r="AR24" i="5"/>
  <c r="AR21" i="5"/>
  <c r="BC19" i="5" l="1"/>
  <c r="AC247" i="5"/>
  <c r="AC240" i="5"/>
  <c r="P219" i="10"/>
  <c r="AO223" i="5" s="1"/>
  <c r="Q181" i="10"/>
  <c r="Q219" i="10" s="1"/>
  <c r="AU223" i="5" s="1"/>
  <c r="AF156" i="5"/>
  <c r="AI156" i="5"/>
  <c r="AK156" i="5" s="1"/>
  <c r="AZ156" i="5" s="1"/>
  <c r="Q309" i="10"/>
  <c r="AU313" i="5" s="1"/>
  <c r="AO313" i="5"/>
  <c r="Q112" i="10"/>
  <c r="AU116" i="5" s="1"/>
  <c r="AO116" i="5"/>
  <c r="Q38" i="10"/>
  <c r="AU42" i="5" s="1"/>
  <c r="AO42" i="5"/>
  <c r="Q345" i="10"/>
  <c r="AU349" i="5" s="1"/>
  <c r="AO349" i="5"/>
  <c r="Q295" i="10"/>
  <c r="AU299" i="5" s="1"/>
  <c r="AO299" i="5"/>
  <c r="Q271" i="10"/>
  <c r="AU275" i="5" s="1"/>
  <c r="AO275" i="5"/>
  <c r="Q176" i="10"/>
  <c r="AU180" i="5" s="1"/>
  <c r="AO180" i="5"/>
  <c r="Q144" i="10"/>
  <c r="AU148" i="5" s="1"/>
  <c r="AO148" i="5"/>
  <c r="Q111" i="10"/>
  <c r="AU115" i="5" s="1"/>
  <c r="AO115" i="5"/>
  <c r="Q78" i="10"/>
  <c r="AU82" i="5" s="1"/>
  <c r="AO82" i="5"/>
  <c r="Q46" i="10"/>
  <c r="AU50" i="5" s="1"/>
  <c r="AO50" i="5"/>
  <c r="Q305" i="10"/>
  <c r="AU309" i="5" s="1"/>
  <c r="AO309" i="5"/>
  <c r="Q149" i="10"/>
  <c r="AU153" i="5" s="1"/>
  <c r="AO153" i="5"/>
  <c r="Q79" i="10"/>
  <c r="AU83" i="5" s="1"/>
  <c r="AO83" i="5"/>
  <c r="Q47" i="10"/>
  <c r="AU51" i="5" s="1"/>
  <c r="AO51" i="5"/>
  <c r="Q395" i="10"/>
  <c r="AU399" i="5" s="1"/>
  <c r="AO399" i="5"/>
  <c r="Q402" i="10"/>
  <c r="AU406" i="5" s="1"/>
  <c r="AO406" i="5"/>
  <c r="Q386" i="10"/>
  <c r="AU390" i="5" s="1"/>
  <c r="AO390" i="5"/>
  <c r="Q311" i="10"/>
  <c r="AU315" i="5" s="1"/>
  <c r="AO315" i="5"/>
  <c r="Q257" i="10"/>
  <c r="AU261" i="5" s="1"/>
  <c r="AO261" i="5"/>
  <c r="Q138" i="10"/>
  <c r="AU142" i="5" s="1"/>
  <c r="AO142" i="5"/>
  <c r="Q106" i="10"/>
  <c r="AU110" i="5" s="1"/>
  <c r="AO110" i="5"/>
  <c r="Q73" i="10"/>
  <c r="AU77" i="5" s="1"/>
  <c r="AO77" i="5"/>
  <c r="Q57" i="10"/>
  <c r="AU61" i="5" s="1"/>
  <c r="AO61" i="5"/>
  <c r="Q296" i="10"/>
  <c r="AU300" i="5" s="1"/>
  <c r="AO300" i="5"/>
  <c r="Q251" i="10"/>
  <c r="AU255" i="5" s="1"/>
  <c r="AO255" i="5"/>
  <c r="Q99" i="10"/>
  <c r="AU103" i="5" s="1"/>
  <c r="AO103" i="5"/>
  <c r="Q34" i="10"/>
  <c r="AU38" i="5" s="1"/>
  <c r="AO38" i="5"/>
  <c r="Q393" i="10"/>
  <c r="AU397" i="5" s="1"/>
  <c r="AO397" i="5"/>
  <c r="Q377" i="10"/>
  <c r="AU381" i="5" s="1"/>
  <c r="AO381" i="5"/>
  <c r="Q331" i="10"/>
  <c r="AU335" i="5" s="1"/>
  <c r="AO335" i="5"/>
  <c r="Q302" i="10"/>
  <c r="AU306" i="5" s="1"/>
  <c r="AO306" i="5"/>
  <c r="Q248" i="10"/>
  <c r="AU252" i="5" s="1"/>
  <c r="AO252" i="5"/>
  <c r="Q113" i="10"/>
  <c r="AU117" i="5" s="1"/>
  <c r="AO117" i="5"/>
  <c r="Q48" i="10"/>
  <c r="AU52" i="5" s="1"/>
  <c r="AO52" i="5"/>
  <c r="Q31" i="10"/>
  <c r="AU35" i="5" s="1"/>
  <c r="AO35" i="5"/>
  <c r="P334" i="10"/>
  <c r="AI338" i="5"/>
  <c r="P29" i="10"/>
  <c r="AI33" i="5"/>
  <c r="P282" i="10"/>
  <c r="AI286" i="5"/>
  <c r="P336" i="10"/>
  <c r="AI340" i="5"/>
  <c r="P41" i="10"/>
  <c r="AI45" i="5"/>
  <c r="Q400" i="10"/>
  <c r="AU404" i="5" s="1"/>
  <c r="AO404" i="5"/>
  <c r="Q145" i="10"/>
  <c r="AU149" i="5" s="1"/>
  <c r="AO149" i="5"/>
  <c r="Q55" i="10"/>
  <c r="AU59" i="5" s="1"/>
  <c r="AO59" i="5"/>
  <c r="Q379" i="10"/>
  <c r="AU383" i="5" s="1"/>
  <c r="AO383" i="5"/>
  <c r="Q304" i="10"/>
  <c r="AU308" i="5" s="1"/>
  <c r="AO308" i="5"/>
  <c r="Q275" i="10"/>
  <c r="AU279" i="5" s="1"/>
  <c r="AO279" i="5"/>
  <c r="Q246" i="10"/>
  <c r="AU250" i="5" s="1"/>
  <c r="AO250" i="5"/>
  <c r="Q148" i="10"/>
  <c r="AU152" i="5" s="1"/>
  <c r="AO152" i="5"/>
  <c r="Q115" i="10"/>
  <c r="AU119" i="5" s="1"/>
  <c r="AO119" i="5"/>
  <c r="Q98" i="10"/>
  <c r="AU102" i="5" s="1"/>
  <c r="AO102" i="5"/>
  <c r="Q50" i="10"/>
  <c r="AU54" i="5" s="1"/>
  <c r="AO54" i="5"/>
  <c r="Q33" i="10"/>
  <c r="AU37" i="5" s="1"/>
  <c r="AO37" i="5"/>
  <c r="Q330" i="10"/>
  <c r="AU334" i="5" s="1"/>
  <c r="AO334" i="5"/>
  <c r="Q247" i="10"/>
  <c r="AU251" i="5" s="1"/>
  <c r="AO251" i="5"/>
  <c r="Q108" i="10"/>
  <c r="AU112" i="5" s="1"/>
  <c r="AO112" i="5"/>
  <c r="Q59" i="10"/>
  <c r="AU63" i="5" s="1"/>
  <c r="AO63" i="5"/>
  <c r="Q403" i="10"/>
  <c r="AU407" i="5" s="1"/>
  <c r="AO407" i="5"/>
  <c r="Q373" i="10"/>
  <c r="AU377" i="5" s="1"/>
  <c r="AO377" i="5"/>
  <c r="Q328" i="10"/>
  <c r="AU332" i="5" s="1"/>
  <c r="AO332" i="5"/>
  <c r="Q299" i="10"/>
  <c r="AU303" i="5" s="1"/>
  <c r="AO303" i="5"/>
  <c r="Q274" i="10"/>
  <c r="AU278" i="5" s="1"/>
  <c r="AO278" i="5"/>
  <c r="Q175" i="10"/>
  <c r="AU179" i="5" s="1"/>
  <c r="AO179" i="5"/>
  <c r="Q143" i="10"/>
  <c r="AU147" i="5" s="1"/>
  <c r="AO147" i="5"/>
  <c r="Q110" i="10"/>
  <c r="AU114" i="5" s="1"/>
  <c r="AO114" i="5"/>
  <c r="Q77" i="10"/>
  <c r="AU81" i="5" s="1"/>
  <c r="AO81" i="5"/>
  <c r="Q45" i="10"/>
  <c r="AU49" i="5" s="1"/>
  <c r="AO49" i="5"/>
  <c r="Q27" i="10"/>
  <c r="AU31" i="5" s="1"/>
  <c r="AO31" i="5"/>
  <c r="Q313" i="10"/>
  <c r="AU317" i="5" s="1"/>
  <c r="AO317" i="5"/>
  <c r="Q255" i="10"/>
  <c r="AU259" i="5" s="1"/>
  <c r="AO259" i="5"/>
  <c r="Q136" i="10"/>
  <c r="AU140" i="5" s="1"/>
  <c r="AO140" i="5"/>
  <c r="Q43" i="10"/>
  <c r="AU47" i="5" s="1"/>
  <c r="AO47" i="5"/>
  <c r="Q397" i="10"/>
  <c r="AU401" i="5" s="1"/>
  <c r="AO401" i="5"/>
  <c r="Q381" i="10"/>
  <c r="AU385" i="5" s="1"/>
  <c r="AO385" i="5"/>
  <c r="Q343" i="10"/>
  <c r="AU347" i="5" s="1"/>
  <c r="AO347" i="5"/>
  <c r="Q306" i="10"/>
  <c r="AU310" i="5" s="1"/>
  <c r="AO310" i="5"/>
  <c r="Q289" i="10"/>
  <c r="AU293" i="5" s="1"/>
  <c r="AO293" i="5"/>
  <c r="Q252" i="10"/>
  <c r="AU256" i="5" s="1"/>
  <c r="AO256" i="5"/>
  <c r="Q151" i="10"/>
  <c r="AU155" i="5" s="1"/>
  <c r="AO155" i="5"/>
  <c r="Q100" i="10"/>
  <c r="AU104" i="5" s="1"/>
  <c r="AO104" i="5"/>
  <c r="Q35" i="10"/>
  <c r="AU39" i="5" s="1"/>
  <c r="AO39" i="5"/>
  <c r="P166" i="10"/>
  <c r="AI170" i="5"/>
  <c r="Q241" i="10"/>
  <c r="AU245" i="5" s="1"/>
  <c r="AU207" i="5"/>
  <c r="Q346" i="10"/>
  <c r="AU350" i="5" s="1"/>
  <c r="AO350" i="5"/>
  <c r="Q173" i="10"/>
  <c r="AU177" i="5" s="1"/>
  <c r="AO177" i="5"/>
  <c r="Q71" i="10"/>
  <c r="AU75" i="5" s="1"/>
  <c r="AO75" i="5"/>
  <c r="Q391" i="10"/>
  <c r="AU395" i="5" s="1"/>
  <c r="AO395" i="5"/>
  <c r="Q287" i="10"/>
  <c r="AU291" i="5" s="1"/>
  <c r="AO291" i="5"/>
  <c r="Q250" i="10"/>
  <c r="AU254" i="5" s="1"/>
  <c r="AO254" i="5"/>
  <c r="Q135" i="10"/>
  <c r="AU139" i="5" s="1"/>
  <c r="AO139" i="5"/>
  <c r="Q70" i="10"/>
  <c r="AU74" i="5" s="1"/>
  <c r="AO74" i="5"/>
  <c r="Q37" i="10"/>
  <c r="AU41" i="5" s="1"/>
  <c r="AO41" i="5"/>
  <c r="Q376" i="10"/>
  <c r="AU380" i="5" s="1"/>
  <c r="AO380" i="5"/>
  <c r="Q272" i="10"/>
  <c r="AU276" i="5" s="1"/>
  <c r="AO276" i="5"/>
  <c r="Q116" i="10"/>
  <c r="AU120" i="5" s="1"/>
  <c r="AO120" i="5"/>
  <c r="Q419" i="10"/>
  <c r="AU423" i="5" s="1"/>
  <c r="AO423" i="5"/>
  <c r="Q308" i="10"/>
  <c r="AU312" i="5" s="1"/>
  <c r="AO312" i="5"/>
  <c r="Q394" i="10"/>
  <c r="AU398" i="5" s="1"/>
  <c r="AO398" i="5"/>
  <c r="Q378" i="10"/>
  <c r="AU382" i="5" s="1"/>
  <c r="AO382" i="5"/>
  <c r="Q303" i="10"/>
  <c r="AU307" i="5" s="1"/>
  <c r="AO307" i="5"/>
  <c r="Q249" i="10"/>
  <c r="AU253" i="5" s="1"/>
  <c r="AO253" i="5"/>
  <c r="Q147" i="10"/>
  <c r="AU151" i="5" s="1"/>
  <c r="AO151" i="5"/>
  <c r="Q97" i="10"/>
  <c r="AU101" i="5" s="1"/>
  <c r="AO101" i="5"/>
  <c r="Q65" i="10"/>
  <c r="AU69" i="5" s="1"/>
  <c r="AO69" i="5"/>
  <c r="Q32" i="10"/>
  <c r="AU36" i="5" s="1"/>
  <c r="AO36" i="5"/>
  <c r="Q371" i="10"/>
  <c r="AU375" i="5" s="1"/>
  <c r="AO375" i="5"/>
  <c r="Q401" i="10"/>
  <c r="AU405" i="5" s="1"/>
  <c r="AO405" i="5"/>
  <c r="Q347" i="10"/>
  <c r="AU351" i="5" s="1"/>
  <c r="AO351" i="5"/>
  <c r="Q310" i="10"/>
  <c r="AU314" i="5" s="1"/>
  <c r="AO314" i="5"/>
  <c r="Q137" i="10"/>
  <c r="AU141" i="5" s="1"/>
  <c r="AO141" i="5"/>
  <c r="Q105" i="10"/>
  <c r="AU109" i="5" s="1"/>
  <c r="AO109" i="5"/>
  <c r="Q72" i="10"/>
  <c r="AU76" i="5" s="1"/>
  <c r="AO76" i="5"/>
  <c r="Q56" i="10"/>
  <c r="AU60" i="5" s="1"/>
  <c r="AO60" i="5"/>
  <c r="Q39" i="10"/>
  <c r="AU43" i="5" s="1"/>
  <c r="AO43" i="5"/>
  <c r="Q152" i="10"/>
  <c r="AU156" i="5" s="1"/>
  <c r="AW156" i="5" s="1"/>
  <c r="BB156" i="5" s="1"/>
  <c r="AO156" i="5"/>
  <c r="AQ156" i="5" s="1"/>
  <c r="BA156" i="5" s="1"/>
  <c r="P278" i="10"/>
  <c r="AI282" i="5"/>
  <c r="P168" i="10"/>
  <c r="AI172" i="5"/>
  <c r="P375" i="10"/>
  <c r="AI379" i="5"/>
  <c r="P338" i="10"/>
  <c r="AI342" i="5"/>
  <c r="Q380" i="10"/>
  <c r="AU384" i="5" s="1"/>
  <c r="AO384" i="5"/>
  <c r="Q288" i="10"/>
  <c r="AU292" i="5" s="1"/>
  <c r="AO292" i="5"/>
  <c r="Q30" i="10"/>
  <c r="AU34" i="5" s="1"/>
  <c r="AO34" i="5"/>
  <c r="Q399" i="10"/>
  <c r="AU403" i="5" s="1"/>
  <c r="AO403" i="5"/>
  <c r="Q291" i="10"/>
  <c r="AU295" i="5" s="1"/>
  <c r="AO295" i="5"/>
  <c r="Q254" i="10"/>
  <c r="AU258" i="5" s="1"/>
  <c r="AO258" i="5"/>
  <c r="Q107" i="10"/>
  <c r="AU111" i="5" s="1"/>
  <c r="AO111" i="5"/>
  <c r="Q74" i="10"/>
  <c r="AU78" i="5" s="1"/>
  <c r="AO78" i="5"/>
  <c r="Q58" i="10"/>
  <c r="AU62" i="5" s="1"/>
  <c r="AO62" i="5"/>
  <c r="Q42" i="10"/>
  <c r="AU46" i="5" s="1"/>
  <c r="AO46" i="5"/>
  <c r="Q420" i="10"/>
  <c r="AU424" i="5" s="1"/>
  <c r="AO424" i="5"/>
  <c r="Q75" i="10"/>
  <c r="AU79" i="5" s="1"/>
  <c r="AO79" i="5"/>
  <c r="Q25" i="10"/>
  <c r="AU29" i="5" s="1"/>
  <c r="AO29" i="5"/>
  <c r="Q329" i="10"/>
  <c r="AU333" i="5" s="1"/>
  <c r="AO333" i="5"/>
  <c r="Q398" i="10"/>
  <c r="AU402" i="5" s="1"/>
  <c r="AO402" i="5"/>
  <c r="Q382" i="10"/>
  <c r="AU386" i="5" s="1"/>
  <c r="AO386" i="5"/>
  <c r="Q344" i="10"/>
  <c r="AU348" i="5" s="1"/>
  <c r="AO348" i="5"/>
  <c r="Q307" i="10"/>
  <c r="AU311" i="5" s="1"/>
  <c r="AO311" i="5"/>
  <c r="Q290" i="10"/>
  <c r="AU294" i="5" s="1"/>
  <c r="AO294" i="5"/>
  <c r="Q253" i="10"/>
  <c r="AU257" i="5" s="1"/>
  <c r="AO257" i="5"/>
  <c r="Q134" i="10"/>
  <c r="AU138" i="5" s="1"/>
  <c r="AO138" i="5"/>
  <c r="Q101" i="10"/>
  <c r="AU105" i="5" s="1"/>
  <c r="AO105" i="5"/>
  <c r="Q36" i="10"/>
  <c r="AU40" i="5" s="1"/>
  <c r="AO40" i="5"/>
  <c r="Q177" i="10"/>
  <c r="AU181" i="5" s="1"/>
  <c r="AO181" i="5"/>
  <c r="Q63" i="10"/>
  <c r="AU67" i="5" s="1"/>
  <c r="AO67" i="5"/>
  <c r="Q372" i="10"/>
  <c r="AU376" i="5" s="1"/>
  <c r="AO376" i="5"/>
  <c r="Q327" i="10"/>
  <c r="AU331" i="5" s="1"/>
  <c r="AO331" i="5"/>
  <c r="Q297" i="10"/>
  <c r="AU301" i="5" s="1"/>
  <c r="AO301" i="5"/>
  <c r="Q273" i="10"/>
  <c r="AU277" i="5" s="1"/>
  <c r="AO277" i="5"/>
  <c r="Q174" i="10"/>
  <c r="AU178" i="5" s="1"/>
  <c r="AO178" i="5"/>
  <c r="Q142" i="10"/>
  <c r="AU146" i="5" s="1"/>
  <c r="AO146" i="5"/>
  <c r="Q109" i="10"/>
  <c r="AU113" i="5" s="1"/>
  <c r="AO113" i="5"/>
  <c r="Q76" i="10"/>
  <c r="AU80" i="5" s="1"/>
  <c r="AO80" i="5"/>
  <c r="Q60" i="10"/>
  <c r="AU64" i="5" s="1"/>
  <c r="AO64" i="5"/>
  <c r="Q44" i="10"/>
  <c r="AU48" i="5" s="1"/>
  <c r="AO48" i="5"/>
  <c r="Q26" i="10"/>
  <c r="AU30" i="5" s="1"/>
  <c r="AO30" i="5"/>
  <c r="P280" i="10"/>
  <c r="AI284" i="5"/>
  <c r="X156" i="5"/>
  <c r="W156" i="5"/>
  <c r="Q162" i="10"/>
  <c r="P213" i="10"/>
  <c r="AO217" i="5" s="1"/>
  <c r="Q157" i="10"/>
  <c r="P208" i="10"/>
  <c r="AO212" i="5" s="1"/>
  <c r="P198" i="10"/>
  <c r="AO202" i="5" s="1"/>
  <c r="O236" i="10"/>
  <c r="AI240" i="5" s="1"/>
  <c r="Q164" i="10"/>
  <c r="P215" i="10"/>
  <c r="AO219" i="5" s="1"/>
  <c r="Q159" i="10"/>
  <c r="P210" i="10"/>
  <c r="AO214" i="5" s="1"/>
  <c r="Q199" i="10"/>
  <c r="P237" i="10"/>
  <c r="AO241" i="5" s="1"/>
  <c r="P205" i="10"/>
  <c r="AO209" i="5" s="1"/>
  <c r="O243" i="10"/>
  <c r="AI247" i="5" s="1"/>
  <c r="Q201" i="10"/>
  <c r="P239" i="10"/>
  <c r="AO243" i="5" s="1"/>
  <c r="Q163" i="10"/>
  <c r="P214" i="10"/>
  <c r="AO218" i="5" s="1"/>
  <c r="Q179" i="10"/>
  <c r="P217" i="10"/>
  <c r="AO221" i="5" s="1"/>
  <c r="Q200" i="10"/>
  <c r="P238" i="10"/>
  <c r="AO242" i="5" s="1"/>
  <c r="Q158" i="10"/>
  <c r="P209" i="10"/>
  <c r="AO213" i="5" s="1"/>
  <c r="Q182" i="10"/>
  <c r="P220" i="10"/>
  <c r="AO224" i="5" s="1"/>
  <c r="Q180" i="10"/>
  <c r="P218" i="10"/>
  <c r="AO222" i="5" s="1"/>
  <c r="Q178" i="10"/>
  <c r="P216" i="10"/>
  <c r="AO220" i="5" s="1"/>
  <c r="Q161" i="10"/>
  <c r="P212" i="10"/>
  <c r="AO216" i="5" s="1"/>
  <c r="Q202" i="10"/>
  <c r="P240" i="10"/>
  <c r="AO244" i="5" s="1"/>
  <c r="Q160" i="10"/>
  <c r="P211" i="10"/>
  <c r="AO215" i="5" s="1"/>
  <c r="BC17" i="5"/>
  <c r="AL28" i="5"/>
  <c r="AZ28" i="5"/>
  <c r="AQ28" i="5"/>
  <c r="X28" i="5"/>
  <c r="BA28" i="5" s="1"/>
  <c r="AW28" i="5"/>
  <c r="Y28" i="5"/>
  <c r="BB28" i="5" s="1"/>
  <c r="AL156" i="5" l="1"/>
  <c r="AU185" i="5"/>
  <c r="BC156" i="5"/>
  <c r="AR156" i="5"/>
  <c r="Q338" i="10"/>
  <c r="AU342" i="5" s="1"/>
  <c r="AO342" i="5"/>
  <c r="Q168" i="10"/>
  <c r="AU172" i="5" s="1"/>
  <c r="AO172" i="5"/>
  <c r="Q336" i="10"/>
  <c r="AU340" i="5" s="1"/>
  <c r="AO340" i="5"/>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AO33" i="5"/>
  <c r="Q375" i="10"/>
  <c r="AU379" i="5" s="1"/>
  <c r="AO379" i="5"/>
  <c r="Q278" i="10"/>
  <c r="AU282" i="5" s="1"/>
  <c r="AO282" i="5"/>
  <c r="Q41" i="10"/>
  <c r="AU45" i="5" s="1"/>
  <c r="AO45" i="5"/>
  <c r="Q282" i="10"/>
  <c r="AU286" i="5" s="1"/>
  <c r="AO286" i="5"/>
  <c r="Q334" i="10"/>
  <c r="AU338" i="5" s="1"/>
  <c r="AO338" i="5"/>
  <c r="Q166" i="10"/>
  <c r="AU170" i="5" s="1"/>
  <c r="AO170" i="5"/>
  <c r="Q280" i="10"/>
  <c r="AU284" i="5" s="1"/>
  <c r="AO284" i="5"/>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AO247" i="5" s="1"/>
  <c r="Q198" i="10"/>
  <c r="P236" i="10"/>
  <c r="AO240" i="5" s="1"/>
  <c r="BC28" i="5"/>
  <c r="AR28" i="5"/>
  <c r="AX28" i="5"/>
  <c r="Z28" i="5"/>
  <c r="Q236" i="10" l="1"/>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AV9" i="5" s="1"/>
  <c r="G9" i="5"/>
  <c r="H9" i="5"/>
  <c r="I9" i="5"/>
  <c r="J9" i="5"/>
  <c r="K9" i="5"/>
  <c r="D10" i="5"/>
  <c r="AV10" i="5" s="1"/>
  <c r="G10" i="5"/>
  <c r="H10" i="5"/>
  <c r="I10" i="5"/>
  <c r="J10" i="5"/>
  <c r="K10" i="5"/>
  <c r="D11" i="5"/>
  <c r="AV11" i="5" s="1"/>
  <c r="G11" i="5"/>
  <c r="H11" i="5"/>
  <c r="I11" i="5"/>
  <c r="J11" i="5"/>
  <c r="K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45"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C425" i="5" l="1"/>
  <c r="AV425" i="5"/>
  <c r="C421" i="5"/>
  <c r="AV421" i="5"/>
  <c r="C417" i="5"/>
  <c r="AV417" i="5"/>
  <c r="C411" i="5"/>
  <c r="AV411" i="5"/>
  <c r="C407" i="5"/>
  <c r="AV407" i="5"/>
  <c r="C401" i="5"/>
  <c r="AV401" i="5"/>
  <c r="C399" i="5"/>
  <c r="AV399" i="5"/>
  <c r="C397" i="5"/>
  <c r="AV397" i="5"/>
  <c r="C393" i="5"/>
  <c r="AV393" i="5"/>
  <c r="C391" i="5"/>
  <c r="AV391" i="5"/>
  <c r="C379" i="5"/>
  <c r="AV379" i="5"/>
  <c r="C372" i="5"/>
  <c r="AV372" i="5"/>
  <c r="C368" i="5"/>
  <c r="AV368" i="5"/>
  <c r="C357" i="5"/>
  <c r="AV357" i="5"/>
  <c r="C424" i="5"/>
  <c r="AV424" i="5"/>
  <c r="C422" i="5"/>
  <c r="AV422" i="5"/>
  <c r="C420" i="5"/>
  <c r="AV420" i="5"/>
  <c r="C418" i="5"/>
  <c r="AV418" i="5"/>
  <c r="C416" i="5"/>
  <c r="AV416" i="5"/>
  <c r="C414" i="5"/>
  <c r="AV414" i="5"/>
  <c r="C412" i="5"/>
  <c r="AV412" i="5"/>
  <c r="C410" i="5"/>
  <c r="AV410" i="5"/>
  <c r="C408" i="5"/>
  <c r="AV408" i="5"/>
  <c r="C406" i="5"/>
  <c r="AV406" i="5"/>
  <c r="C404" i="5"/>
  <c r="AV404" i="5"/>
  <c r="C402" i="5"/>
  <c r="AV402" i="5"/>
  <c r="C400" i="5"/>
  <c r="AV400" i="5"/>
  <c r="C398" i="5"/>
  <c r="AV398" i="5"/>
  <c r="C396" i="5"/>
  <c r="AV396" i="5"/>
  <c r="C394" i="5"/>
  <c r="AV394" i="5"/>
  <c r="C392" i="5"/>
  <c r="AV392" i="5"/>
  <c r="C390" i="5"/>
  <c r="AV390" i="5"/>
  <c r="C388" i="5"/>
  <c r="AV388" i="5"/>
  <c r="C386" i="5"/>
  <c r="AV386" i="5"/>
  <c r="C384" i="5"/>
  <c r="AV384" i="5"/>
  <c r="C382" i="5"/>
  <c r="AV382" i="5"/>
  <c r="C380" i="5"/>
  <c r="AV380" i="5"/>
  <c r="C378" i="5"/>
  <c r="AV378" i="5"/>
  <c r="C376" i="5"/>
  <c r="AV376" i="5"/>
  <c r="C374" i="5"/>
  <c r="AV374" i="5"/>
  <c r="C370" i="5"/>
  <c r="AV370" i="5"/>
  <c r="C366" i="5"/>
  <c r="AV366" i="5"/>
  <c r="C362" i="5"/>
  <c r="AV362" i="5"/>
  <c r="C358" i="5"/>
  <c r="AV358" i="5"/>
  <c r="C356" i="5"/>
  <c r="AV356" i="5"/>
  <c r="C354" i="5"/>
  <c r="AV354" i="5"/>
  <c r="C352" i="5"/>
  <c r="AV352" i="5"/>
  <c r="C350" i="5"/>
  <c r="AV350" i="5"/>
  <c r="C371" i="5"/>
  <c r="AV371" i="5"/>
  <c r="C367" i="5"/>
  <c r="AV367" i="5"/>
  <c r="C363" i="5"/>
  <c r="AV363" i="5"/>
  <c r="C359" i="5"/>
  <c r="AV359" i="5"/>
  <c r="C413" i="5"/>
  <c r="AV413" i="5"/>
  <c r="C409" i="5"/>
  <c r="AV409" i="5"/>
  <c r="C403" i="5"/>
  <c r="AV403" i="5"/>
  <c r="C395" i="5"/>
  <c r="AV395" i="5"/>
  <c r="C389" i="5"/>
  <c r="AV389" i="5"/>
  <c r="C385" i="5"/>
  <c r="AV385" i="5"/>
  <c r="C383" i="5"/>
  <c r="AV383" i="5"/>
  <c r="C375" i="5"/>
  <c r="AV375" i="5"/>
  <c r="C360" i="5"/>
  <c r="AV360" i="5"/>
  <c r="C353" i="5"/>
  <c r="AV353" i="5"/>
  <c r="C351" i="5"/>
  <c r="AV351" i="5"/>
  <c r="C423" i="5"/>
  <c r="AV423" i="5"/>
  <c r="C419" i="5"/>
  <c r="AV419" i="5"/>
  <c r="C415" i="5"/>
  <c r="AV415" i="5"/>
  <c r="C405" i="5"/>
  <c r="AV405" i="5"/>
  <c r="C387" i="5"/>
  <c r="AV387" i="5"/>
  <c r="C381" i="5"/>
  <c r="AV381" i="5"/>
  <c r="C377" i="5"/>
  <c r="AV377" i="5"/>
  <c r="C364" i="5"/>
  <c r="AV364" i="5"/>
  <c r="C355" i="5"/>
  <c r="AV355" i="5"/>
  <c r="C373" i="5"/>
  <c r="AV373" i="5"/>
  <c r="C369" i="5"/>
  <c r="AV369" i="5"/>
  <c r="C365" i="5"/>
  <c r="AV365" i="5"/>
  <c r="C361" i="5"/>
  <c r="AV361" i="5"/>
  <c r="E352" i="5"/>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E347" i="5"/>
  <c r="E343" i="5"/>
  <c r="E337" i="5"/>
  <c r="E333" i="5"/>
  <c r="E327" i="5"/>
  <c r="E323" i="5"/>
  <c r="E317" i="5"/>
  <c r="E313" i="5"/>
  <c r="E307" i="5"/>
  <c r="E301" i="5"/>
  <c r="E297" i="5"/>
  <c r="E291" i="5"/>
  <c r="E287" i="5"/>
  <c r="E283" i="5"/>
  <c r="E281" i="5"/>
  <c r="E277" i="5"/>
  <c r="E275" i="5"/>
  <c r="E273" i="5"/>
  <c r="E271" i="5"/>
  <c r="E269" i="5"/>
  <c r="E267" i="5"/>
  <c r="E265" i="5"/>
  <c r="E263" i="5"/>
  <c r="E261" i="5"/>
  <c r="E259" i="5"/>
  <c r="E257" i="5"/>
  <c r="E255" i="5"/>
  <c r="E253" i="5"/>
  <c r="E251" i="5"/>
  <c r="E249" i="5"/>
  <c r="E247" i="5"/>
  <c r="E245" i="5"/>
  <c r="E243" i="5"/>
  <c r="E241" i="5"/>
  <c r="E239" i="5"/>
  <c r="E237" i="5"/>
  <c r="E235" i="5"/>
  <c r="E233" i="5"/>
  <c r="E231" i="5"/>
  <c r="E229" i="5"/>
  <c r="E227" i="5"/>
  <c r="E225" i="5"/>
  <c r="E223" i="5"/>
  <c r="E221" i="5"/>
  <c r="E219" i="5"/>
  <c r="E217" i="5"/>
  <c r="E215" i="5"/>
  <c r="E213" i="5"/>
  <c r="E211" i="5"/>
  <c r="E209" i="5"/>
  <c r="E207" i="5"/>
  <c r="E205" i="5"/>
  <c r="E203" i="5"/>
  <c r="E201" i="5"/>
  <c r="E199" i="5"/>
  <c r="E197" i="5"/>
  <c r="E195" i="5"/>
  <c r="E193" i="5"/>
  <c r="F370" i="5"/>
  <c r="E370" i="5"/>
  <c r="F366" i="5"/>
  <c r="E366" i="5"/>
  <c r="F362" i="5"/>
  <c r="E362" i="5"/>
  <c r="F358" i="5"/>
  <c r="E358" i="5"/>
  <c r="F354" i="5"/>
  <c r="E354" i="5"/>
  <c r="E351" i="5"/>
  <c r="E349" i="5"/>
  <c r="E345" i="5"/>
  <c r="E341" i="5"/>
  <c r="E339" i="5"/>
  <c r="E335" i="5"/>
  <c r="E331" i="5"/>
  <c r="E329" i="5"/>
  <c r="E325" i="5"/>
  <c r="E321" i="5"/>
  <c r="E319" i="5"/>
  <c r="E315" i="5"/>
  <c r="E311" i="5"/>
  <c r="E309" i="5"/>
  <c r="E305" i="5"/>
  <c r="E303" i="5"/>
  <c r="E299" i="5"/>
  <c r="E295" i="5"/>
  <c r="E293" i="5"/>
  <c r="E289" i="5"/>
  <c r="E285" i="5"/>
  <c r="E279" i="5"/>
  <c r="E8" i="5"/>
  <c r="F8" i="5"/>
  <c r="E191" i="5"/>
  <c r="E189" i="5"/>
  <c r="E187" i="5"/>
  <c r="E185" i="5"/>
  <c r="E183" i="5"/>
  <c r="E181" i="5"/>
  <c r="E179" i="5"/>
  <c r="E177" i="5"/>
  <c r="E175" i="5"/>
  <c r="E173" i="5"/>
  <c r="E171" i="5"/>
  <c r="E169" i="5"/>
  <c r="E167" i="5"/>
  <c r="E165" i="5"/>
  <c r="E163" i="5"/>
  <c r="E161" i="5"/>
  <c r="E159" i="5"/>
  <c r="E157" i="5"/>
  <c r="E154" i="5"/>
  <c r="E152" i="5"/>
  <c r="E150" i="5"/>
  <c r="E148" i="5"/>
  <c r="E146" i="5"/>
  <c r="E144" i="5"/>
  <c r="E142" i="5"/>
  <c r="E140" i="5"/>
  <c r="E138" i="5"/>
  <c r="E136" i="5"/>
  <c r="E134" i="5"/>
  <c r="E132" i="5"/>
  <c r="E130" i="5"/>
  <c r="E128" i="5"/>
  <c r="E126" i="5"/>
  <c r="E124" i="5"/>
  <c r="E122" i="5"/>
  <c r="E120" i="5"/>
  <c r="E118" i="5"/>
  <c r="E116" i="5"/>
  <c r="E114" i="5"/>
  <c r="E112" i="5"/>
  <c r="E110" i="5"/>
  <c r="E108" i="5"/>
  <c r="E106" i="5"/>
  <c r="E104" i="5"/>
  <c r="E102" i="5"/>
  <c r="E100" i="5"/>
  <c r="E98" i="5"/>
  <c r="E96" i="5"/>
  <c r="E94" i="5"/>
  <c r="E92" i="5"/>
  <c r="E90" i="5"/>
  <c r="E88" i="5"/>
  <c r="E86" i="5"/>
  <c r="E84" i="5"/>
  <c r="E82" i="5"/>
  <c r="E80" i="5"/>
  <c r="E78" i="5"/>
  <c r="E76" i="5"/>
  <c r="E74" i="5"/>
  <c r="E72" i="5"/>
  <c r="E70" i="5"/>
  <c r="E68" i="5"/>
  <c r="E66" i="5"/>
  <c r="E64" i="5"/>
  <c r="E62" i="5"/>
  <c r="E60" i="5"/>
  <c r="E58" i="5"/>
  <c r="E56" i="5"/>
  <c r="E54" i="5"/>
  <c r="E52" i="5"/>
  <c r="E50" i="5"/>
  <c r="E48" i="5"/>
  <c r="E46" i="5"/>
  <c r="E44" i="5"/>
  <c r="E42" i="5"/>
  <c r="E40" i="5"/>
  <c r="E38" i="5"/>
  <c r="E36" i="5"/>
  <c r="E34" i="5"/>
  <c r="E32" i="5"/>
  <c r="E30" i="5"/>
  <c r="E11" i="5"/>
  <c r="E9" i="5"/>
  <c r="F369" i="5"/>
  <c r="E369" i="5"/>
  <c r="F365" i="5"/>
  <c r="E365" i="5"/>
  <c r="F361" i="5"/>
  <c r="E361" i="5"/>
  <c r="F357" i="5"/>
  <c r="E357" i="5"/>
  <c r="F374" i="5"/>
  <c r="E374"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F371" i="5"/>
  <c r="E371" i="5"/>
  <c r="F367" i="5"/>
  <c r="E367" i="5"/>
  <c r="F363" i="5"/>
  <c r="E363" i="5"/>
  <c r="F359" i="5"/>
  <c r="E359" i="5"/>
  <c r="F355" i="5"/>
  <c r="E355"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353" i="5"/>
  <c r="F396" i="5"/>
  <c r="F394" i="5"/>
  <c r="F392" i="5"/>
  <c r="F390" i="5"/>
  <c r="F388" i="5"/>
  <c r="F386" i="5"/>
  <c r="F384" i="5"/>
  <c r="F382" i="5"/>
  <c r="F380" i="5"/>
  <c r="F378" i="5"/>
  <c r="F376" i="5"/>
  <c r="F409" i="5"/>
  <c r="F407" i="5"/>
  <c r="F405" i="5"/>
  <c r="F403" i="5"/>
  <c r="F401" i="5"/>
  <c r="F399" i="5"/>
  <c r="F397" i="5"/>
  <c r="F424" i="5"/>
  <c r="F422" i="5"/>
  <c r="F420" i="5"/>
  <c r="F418" i="5"/>
  <c r="F416" i="5"/>
  <c r="F414" i="5"/>
  <c r="F412"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X370" i="5"/>
  <c r="AQ410" i="5"/>
  <c r="X374" i="5"/>
  <c r="BA374" i="5" s="1"/>
  <c r="W353" i="5"/>
  <c r="AZ353" i="5" s="1"/>
  <c r="W349" i="5"/>
  <c r="W333" i="5"/>
  <c r="W309" i="5"/>
  <c r="W305" i="5"/>
  <c r="W297" i="5"/>
  <c r="W285" i="5"/>
  <c r="W277" i="5"/>
  <c r="W257" i="5"/>
  <c r="W253" i="5"/>
  <c r="W241" i="5"/>
  <c r="W221" i="5"/>
  <c r="W205" i="5"/>
  <c r="W40" i="5"/>
  <c r="AK32" i="5"/>
  <c r="X390" i="5"/>
  <c r="X382" i="5"/>
  <c r="X378" i="5"/>
  <c r="W357" i="5"/>
  <c r="W341" i="5"/>
  <c r="W317" i="5"/>
  <c r="W313" i="5"/>
  <c r="W301" i="5"/>
  <c r="W293" i="5"/>
  <c r="W261" i="5"/>
  <c r="W217" i="5"/>
  <c r="W213" i="5"/>
  <c r="W209" i="5"/>
  <c r="Y335" i="5"/>
  <c r="Y331" i="5"/>
  <c r="Y315" i="5"/>
  <c r="Y311" i="5"/>
  <c r="Y307" i="5"/>
  <c r="Y303" i="5"/>
  <c r="Y299" i="5"/>
  <c r="Y295" i="5"/>
  <c r="Y291" i="5"/>
  <c r="Y283" i="5"/>
  <c r="Y279" i="5"/>
  <c r="Y275" i="5"/>
  <c r="Y259" i="5"/>
  <c r="Y255" i="5"/>
  <c r="Y251" i="5"/>
  <c r="Y247" i="5"/>
  <c r="Y243" i="5"/>
  <c r="Y223" i="5"/>
  <c r="Y219" i="5"/>
  <c r="Y215" i="5"/>
  <c r="Y207" i="5"/>
  <c r="AW203" i="5"/>
  <c r="W373" i="5"/>
  <c r="AQ361" i="5"/>
  <c r="AR361" i="5" s="1"/>
  <c r="AW159" i="5"/>
  <c r="AW118" i="5"/>
  <c r="AW54" i="5"/>
  <c r="V157" i="5"/>
  <c r="X425" i="5"/>
  <c r="X421" i="5"/>
  <c r="X417" i="5"/>
  <c r="BA417" i="5" s="1"/>
  <c r="X413" i="5"/>
  <c r="X409" i="5"/>
  <c r="BA409" i="5" s="1"/>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AW257" i="5"/>
  <c r="AW241"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AK280" i="5"/>
  <c r="W79" i="5"/>
  <c r="W75" i="5"/>
  <c r="W71" i="5"/>
  <c r="W67" i="5"/>
  <c r="W63" i="5"/>
  <c r="W59" i="5"/>
  <c r="W55" i="5"/>
  <c r="W51" i="5"/>
  <c r="W47" i="5"/>
  <c r="W43" i="5"/>
  <c r="W39" i="5"/>
  <c r="W35" i="5"/>
  <c r="W31" i="5"/>
  <c r="W424" i="5"/>
  <c r="W416" i="5"/>
  <c r="W412" i="5"/>
  <c r="AZ412" i="5" s="1"/>
  <c r="W408" i="5"/>
  <c r="AZ408" i="5" s="1"/>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BA416" i="5" s="1"/>
  <c r="X400" i="5"/>
  <c r="X384" i="5"/>
  <c r="X380" i="5"/>
  <c r="X376" i="5"/>
  <c r="X372" i="5"/>
  <c r="AE369" i="5"/>
  <c r="AY369" i="5" s="1"/>
  <c r="X356" i="5"/>
  <c r="X352" i="5"/>
  <c r="BA352" i="5" s="1"/>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BB414" i="5" s="1"/>
  <c r="Y410" i="5"/>
  <c r="BB410" i="5" s="1"/>
  <c r="Y406" i="5"/>
  <c r="Y402" i="5"/>
  <c r="AK399" i="5"/>
  <c r="Y398" i="5"/>
  <c r="Y394" i="5"/>
  <c r="Y390" i="5"/>
  <c r="Y386" i="5"/>
  <c r="W383" i="5"/>
  <c r="W379" i="5"/>
  <c r="W375" i="5"/>
  <c r="W371" i="5"/>
  <c r="W355" i="5"/>
  <c r="W351" i="5"/>
  <c r="W347" i="5"/>
  <c r="W339" i="5"/>
  <c r="AW338" i="5"/>
  <c r="W335" i="5"/>
  <c r="AW334"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AZ418" i="5" s="1"/>
  <c r="W414" i="5"/>
  <c r="AZ414" i="5" s="1"/>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BB420" i="5" s="1"/>
  <c r="Y416" i="5"/>
  <c r="BB416" i="5" s="1"/>
  <c r="Y412" i="5"/>
  <c r="Y408" i="5"/>
  <c r="Y404" i="5"/>
  <c r="Y400" i="5"/>
  <c r="Y396" i="5"/>
  <c r="Y392" i="5"/>
  <c r="Y388" i="5"/>
  <c r="Y384" i="5"/>
  <c r="W378" i="5"/>
  <c r="W370" i="5"/>
  <c r="W354" i="5"/>
  <c r="AK350" i="5"/>
  <c r="W338" i="5"/>
  <c r="AK314" i="5"/>
  <c r="AK310" i="5"/>
  <c r="AK298" i="5"/>
  <c r="AK294" i="5"/>
  <c r="AK282" i="5"/>
  <c r="AK278" i="5"/>
  <c r="AK250" i="5"/>
  <c r="AK218" i="5"/>
  <c r="AK145" i="5"/>
  <c r="AK81" i="5"/>
  <c r="W49" i="5"/>
  <c r="AK9" i="5"/>
  <c r="V260" i="5"/>
  <c r="V256" i="5"/>
  <c r="V252" i="5"/>
  <c r="V244" i="5"/>
  <c r="V240" i="5"/>
  <c r="V224" i="5"/>
  <c r="AE222"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AW240" i="5"/>
  <c r="AW212"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41" i="5"/>
  <c r="AW9" i="5"/>
  <c r="W282" i="5"/>
  <c r="W145" i="5"/>
  <c r="Y54" i="5"/>
  <c r="AQ37" i="5"/>
  <c r="AK40" i="5"/>
  <c r="AQ390" i="5"/>
  <c r="W278" i="5"/>
  <c r="W218" i="5"/>
  <c r="Y203" i="5"/>
  <c r="AE216" i="5"/>
  <c r="AE212" i="5"/>
  <c r="AE204" i="5"/>
  <c r="AE184" i="5"/>
  <c r="AE180" i="5"/>
  <c r="AE172" i="5"/>
  <c r="AE168" i="5"/>
  <c r="AE164" i="5"/>
  <c r="AE160" i="5"/>
  <c r="AE155" i="5"/>
  <c r="AE151" i="5"/>
  <c r="AE147" i="5"/>
  <c r="AE143" i="5"/>
  <c r="AE139" i="5"/>
  <c r="AE67" i="5"/>
  <c r="AE59" i="5"/>
  <c r="AE43" i="5"/>
  <c r="AE35" i="5"/>
  <c r="AE11" i="5"/>
  <c r="AK49" i="5"/>
  <c r="AK423" i="5"/>
  <c r="W423" i="5"/>
  <c r="AK403" i="5"/>
  <c r="W403" i="5"/>
  <c r="AK401" i="5"/>
  <c r="W401" i="5"/>
  <c r="AW376" i="5"/>
  <c r="Y376" i="5"/>
  <c r="AW370" i="5"/>
  <c r="BB370" i="5" s="1"/>
  <c r="Y370" i="5"/>
  <c r="AW368" i="5"/>
  <c r="Y368" i="5"/>
  <c r="AW362" i="5"/>
  <c r="BB362" i="5" s="1"/>
  <c r="Y362" i="5"/>
  <c r="AW358" i="5"/>
  <c r="BB358" i="5" s="1"/>
  <c r="Y358" i="5"/>
  <c r="AW356" i="5"/>
  <c r="BB356" i="5" s="1"/>
  <c r="Y356" i="5"/>
  <c r="AW350" i="5"/>
  <c r="BB350" i="5" s="1"/>
  <c r="Y350" i="5"/>
  <c r="AW312" i="5"/>
  <c r="Y312" i="5"/>
  <c r="AW296" i="5"/>
  <c r="Y296" i="5"/>
  <c r="AW278" i="5"/>
  <c r="Y278" i="5"/>
  <c r="AW276" i="5"/>
  <c r="Y276" i="5"/>
  <c r="AW244" i="5"/>
  <c r="Y244" i="5"/>
  <c r="AW222" i="5"/>
  <c r="Y222" i="5"/>
  <c r="AW218" i="5"/>
  <c r="Y218" i="5"/>
  <c r="AW214" i="5"/>
  <c r="Y214" i="5"/>
  <c r="W399" i="5"/>
  <c r="Y338" i="5"/>
  <c r="AQ420" i="5"/>
  <c r="X420" i="5"/>
  <c r="BA420" i="5" s="1"/>
  <c r="AQ414" i="5"/>
  <c r="X414" i="5"/>
  <c r="BA414" i="5" s="1"/>
  <c r="AQ412" i="5"/>
  <c r="X412" i="5"/>
  <c r="BA412" i="5" s="1"/>
  <c r="AQ402" i="5"/>
  <c r="X402" i="5"/>
  <c r="AE401" i="5"/>
  <c r="AY401" i="5" s="1"/>
  <c r="V401" i="5"/>
  <c r="AQ398" i="5"/>
  <c r="X398" i="5"/>
  <c r="AE393" i="5"/>
  <c r="V393" i="5"/>
  <c r="AQ388" i="5"/>
  <c r="BA388" i="5" s="1"/>
  <c r="X388" i="5"/>
  <c r="AE381" i="5"/>
  <c r="V381" i="5"/>
  <c r="AE365" i="5"/>
  <c r="AY365" i="5" s="1"/>
  <c r="AE357" i="5"/>
  <c r="AY357" i="5" s="1"/>
  <c r="V357" i="5"/>
  <c r="AE341" i="5"/>
  <c r="V341" i="5"/>
  <c r="AQ204" i="5"/>
  <c r="X204" i="5"/>
  <c r="AQ202" i="5"/>
  <c r="X202" i="5"/>
  <c r="AQ184" i="5"/>
  <c r="X184" i="5"/>
  <c r="AQ182" i="5"/>
  <c r="X182" i="5"/>
  <c r="AQ180" i="5"/>
  <c r="X180" i="5"/>
  <c r="AQ178" i="5"/>
  <c r="X178" i="5"/>
  <c r="AQ172" i="5"/>
  <c r="X172" i="5"/>
  <c r="AE167" i="5"/>
  <c r="V167" i="5"/>
  <c r="AE165" i="5"/>
  <c r="V165" i="5"/>
  <c r="AE163" i="5"/>
  <c r="V163" i="5"/>
  <c r="AE161" i="5"/>
  <c r="V161" i="5"/>
  <c r="AQ158" i="5"/>
  <c r="X158" i="5"/>
  <c r="AE157" i="5"/>
  <c r="AE152" i="5"/>
  <c r="V152" i="5"/>
  <c r="V150" i="5"/>
  <c r="AE150" i="5"/>
  <c r="AE148" i="5"/>
  <c r="V148" i="5"/>
  <c r="AE146" i="5"/>
  <c r="V146" i="5"/>
  <c r="V142" i="5"/>
  <c r="AE142" i="5"/>
  <c r="AE140" i="5"/>
  <c r="V140" i="5"/>
  <c r="AE120" i="5"/>
  <c r="V120" i="5"/>
  <c r="AQ117" i="5"/>
  <c r="X117" i="5"/>
  <c r="X115" i="5"/>
  <c r="AQ115" i="5"/>
  <c r="AE114" i="5"/>
  <c r="V114" i="5"/>
  <c r="AE112" i="5"/>
  <c r="V112" i="5"/>
  <c r="V110" i="5"/>
  <c r="AE110" i="5"/>
  <c r="AE108" i="5"/>
  <c r="V108" i="5"/>
  <c r="AE106" i="5"/>
  <c r="V106" i="5"/>
  <c r="AE104" i="5"/>
  <c r="V104" i="5"/>
  <c r="AE84" i="5"/>
  <c r="V84" i="5"/>
  <c r="AE82" i="5"/>
  <c r="V82" i="5"/>
  <c r="AE80" i="5"/>
  <c r="V80" i="5"/>
  <c r="V78" i="5"/>
  <c r="AE78" i="5"/>
  <c r="AE76" i="5"/>
  <c r="V76" i="5"/>
  <c r="AQ71" i="5"/>
  <c r="X71" i="5"/>
  <c r="X69" i="5"/>
  <c r="AQ69" i="5"/>
  <c r="X67" i="5"/>
  <c r="AQ67" i="5"/>
  <c r="X65" i="5"/>
  <c r="AQ65" i="5"/>
  <c r="X63" i="5"/>
  <c r="AQ63" i="5"/>
  <c r="X53" i="5"/>
  <c r="AQ53" i="5"/>
  <c r="AE52" i="5"/>
  <c r="V52" i="5"/>
  <c r="X49" i="5"/>
  <c r="AQ49" i="5"/>
  <c r="AE48" i="5"/>
  <c r="V48" i="5"/>
  <c r="X47" i="5"/>
  <c r="AQ47" i="5"/>
  <c r="X45" i="5"/>
  <c r="AQ45" i="5"/>
  <c r="AE44" i="5"/>
  <c r="V44" i="5"/>
  <c r="AQ43" i="5"/>
  <c r="X43" i="5"/>
  <c r="AE42" i="5"/>
  <c r="V42" i="5"/>
  <c r="AQ41" i="5"/>
  <c r="X41" i="5"/>
  <c r="V40" i="5"/>
  <c r="AE40" i="5"/>
  <c r="AQ39" i="5"/>
  <c r="X39" i="5"/>
  <c r="V38" i="5"/>
  <c r="AE38" i="5"/>
  <c r="AE36" i="5"/>
  <c r="V36" i="5"/>
  <c r="X35" i="5"/>
  <c r="AQ35" i="5"/>
  <c r="AE34" i="5"/>
  <c r="V34" i="5"/>
  <c r="X33" i="5"/>
  <c r="AQ33" i="5"/>
  <c r="AE32" i="5"/>
  <c r="V32" i="5"/>
  <c r="X31" i="5"/>
  <c r="AQ31" i="5"/>
  <c r="X29" i="5"/>
  <c r="AQ29" i="5"/>
  <c r="AE424" i="5"/>
  <c r="AY424" i="5" s="1"/>
  <c r="AE423" i="5"/>
  <c r="AY423" i="5" s="1"/>
  <c r="AE420" i="5"/>
  <c r="AE419" i="5"/>
  <c r="AE418" i="5"/>
  <c r="AE416" i="5"/>
  <c r="AE415" i="5"/>
  <c r="AE412" i="5"/>
  <c r="AE408" i="5"/>
  <c r="AE407" i="5"/>
  <c r="AE404" i="5"/>
  <c r="AE403" i="5"/>
  <c r="AY403" i="5" s="1"/>
  <c r="AE402" i="5"/>
  <c r="AE400" i="5"/>
  <c r="AE398" i="5"/>
  <c r="AY398" i="5" s="1"/>
  <c r="AE396" i="5"/>
  <c r="AY396" i="5" s="1"/>
  <c r="AE394" i="5"/>
  <c r="AE392" i="5"/>
  <c r="AE391" i="5"/>
  <c r="AY391" i="5" s="1"/>
  <c r="AE388" i="5"/>
  <c r="AY388" i="5" s="1"/>
  <c r="AE386" i="5"/>
  <c r="AE384" i="5"/>
  <c r="AE383" i="5"/>
  <c r="AE382" i="5"/>
  <c r="AE379" i="5"/>
  <c r="AY379" i="5" s="1"/>
  <c r="AE378" i="5"/>
  <c r="AY378" i="5" s="1"/>
  <c r="AE375" i="5"/>
  <c r="AY375" i="5" s="1"/>
  <c r="AE374" i="5"/>
  <c r="AE371" i="5"/>
  <c r="AY371" i="5" s="1"/>
  <c r="AE370" i="5"/>
  <c r="AE367" i="5"/>
  <c r="AF367" i="5" s="1"/>
  <c r="AE366" i="5"/>
  <c r="AF366" i="5" s="1"/>
  <c r="AE363" i="5"/>
  <c r="AF363" i="5" s="1"/>
  <c r="AE362" i="5"/>
  <c r="AE359" i="5"/>
  <c r="AF359" i="5" s="1"/>
  <c r="AE358" i="5"/>
  <c r="AE355" i="5"/>
  <c r="AE354" i="5"/>
  <c r="AY354" i="5" s="1"/>
  <c r="AE351" i="5"/>
  <c r="AE350" i="5"/>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W380" i="5"/>
  <c r="W350" i="5"/>
  <c r="Y334" i="5"/>
  <c r="Y304" i="5"/>
  <c r="AE30" i="5"/>
  <c r="AK421" i="5"/>
  <c r="AZ421" i="5" s="1"/>
  <c r="W421" i="5"/>
  <c r="AK417" i="5"/>
  <c r="W417" i="5"/>
  <c r="AZ417" i="5" s="1"/>
  <c r="AK415" i="5"/>
  <c r="W415" i="5"/>
  <c r="AZ415" i="5" s="1"/>
  <c r="AK413" i="5"/>
  <c r="W413" i="5"/>
  <c r="AZ413" i="5" s="1"/>
  <c r="AK411" i="5"/>
  <c r="W411" i="5"/>
  <c r="AZ411" i="5" s="1"/>
  <c r="AK409" i="5"/>
  <c r="W409" i="5"/>
  <c r="AK397" i="5"/>
  <c r="AZ397" i="5" s="1"/>
  <c r="W397" i="5"/>
  <c r="AK395" i="5"/>
  <c r="W395" i="5"/>
  <c r="AK393" i="5"/>
  <c r="W393" i="5"/>
  <c r="AK391" i="5"/>
  <c r="W391" i="5"/>
  <c r="AK387" i="5"/>
  <c r="AZ387" i="5" s="1"/>
  <c r="W387" i="5"/>
  <c r="AK385" i="5"/>
  <c r="W385" i="5"/>
  <c r="AW382" i="5"/>
  <c r="BB382" i="5" s="1"/>
  <c r="Y382" i="5"/>
  <c r="AW380" i="5"/>
  <c r="BB380" i="5" s="1"/>
  <c r="Y380" i="5"/>
  <c r="AW378" i="5"/>
  <c r="BB378" i="5" s="1"/>
  <c r="Y378" i="5"/>
  <c r="AW374" i="5"/>
  <c r="Y374" i="5"/>
  <c r="AW372" i="5"/>
  <c r="BB372" i="5" s="1"/>
  <c r="Y372" i="5"/>
  <c r="AW364" i="5"/>
  <c r="BB364" i="5" s="1"/>
  <c r="Y364" i="5"/>
  <c r="AW360" i="5"/>
  <c r="Y360" i="5"/>
  <c r="AW354" i="5"/>
  <c r="Y354" i="5"/>
  <c r="AW352" i="5"/>
  <c r="Y352" i="5"/>
  <c r="AW348" i="5"/>
  <c r="Y348" i="5"/>
  <c r="AW314" i="5"/>
  <c r="Y314" i="5"/>
  <c r="AW310" i="5"/>
  <c r="Y310" i="5"/>
  <c r="AW308" i="5"/>
  <c r="Y308" i="5"/>
  <c r="AW300" i="5"/>
  <c r="Y300" i="5"/>
  <c r="AW298" i="5"/>
  <c r="Y298" i="5"/>
  <c r="AW294" i="5"/>
  <c r="Y294" i="5"/>
  <c r="AW292" i="5"/>
  <c r="Y292" i="5"/>
  <c r="AW286" i="5"/>
  <c r="Y286" i="5"/>
  <c r="AW282" i="5"/>
  <c r="Y282" i="5"/>
  <c r="AW280" i="5"/>
  <c r="Y280" i="5"/>
  <c r="AW260" i="5"/>
  <c r="Y260" i="5"/>
  <c r="AW258" i="5"/>
  <c r="Y258" i="5"/>
  <c r="AW250" i="5"/>
  <c r="Y250" i="5"/>
  <c r="AW224" i="5"/>
  <c r="Y224" i="5"/>
  <c r="AW220" i="5"/>
  <c r="Y220" i="5"/>
  <c r="AW216" i="5"/>
  <c r="Y216" i="5"/>
  <c r="AQ408" i="5"/>
  <c r="X408" i="5"/>
  <c r="AQ406" i="5"/>
  <c r="X406" i="5"/>
  <c r="AQ404" i="5"/>
  <c r="X404" i="5"/>
  <c r="AQ396" i="5"/>
  <c r="BA396" i="5" s="1"/>
  <c r="X396" i="5"/>
  <c r="AQ394" i="5"/>
  <c r="BA394" i="5" s="1"/>
  <c r="X394" i="5"/>
  <c r="AE389" i="5"/>
  <c r="AY389" i="5" s="1"/>
  <c r="V389" i="5"/>
  <c r="AE387" i="5"/>
  <c r="AY387" i="5" s="1"/>
  <c r="V387" i="5"/>
  <c r="AE205" i="5"/>
  <c r="V205" i="5"/>
  <c r="AE203" i="5"/>
  <c r="V203" i="5"/>
  <c r="AE181" i="5"/>
  <c r="V181" i="5"/>
  <c r="AE171" i="5"/>
  <c r="V171" i="5"/>
  <c r="AQ168" i="5"/>
  <c r="X168" i="5"/>
  <c r="AQ166" i="5"/>
  <c r="X166" i="5"/>
  <c r="AQ164" i="5"/>
  <c r="X164" i="5"/>
  <c r="AE159" i="5"/>
  <c r="V159" i="5"/>
  <c r="AQ155" i="5"/>
  <c r="X155" i="5"/>
  <c r="AQ153" i="5"/>
  <c r="X153" i="5"/>
  <c r="AQ151" i="5"/>
  <c r="X151" i="5"/>
  <c r="AQ149" i="5"/>
  <c r="X149" i="5"/>
  <c r="X147" i="5"/>
  <c r="AQ147" i="5"/>
  <c r="AQ145" i="5"/>
  <c r="X145" i="5"/>
  <c r="X139" i="5"/>
  <c r="AQ139" i="5"/>
  <c r="AE138" i="5"/>
  <c r="V138" i="5"/>
  <c r="AQ121" i="5"/>
  <c r="X121" i="5"/>
  <c r="AE116" i="5"/>
  <c r="V116" i="5"/>
  <c r="AQ113" i="5"/>
  <c r="X113" i="5"/>
  <c r="AQ111" i="5"/>
  <c r="X111" i="5"/>
  <c r="AQ109" i="5"/>
  <c r="X109" i="5"/>
  <c r="AQ105" i="5"/>
  <c r="X105" i="5"/>
  <c r="AQ101" i="5"/>
  <c r="X101" i="5"/>
  <c r="X83" i="5"/>
  <c r="AQ83" i="5"/>
  <c r="AQ81" i="5"/>
  <c r="X81" i="5"/>
  <c r="AQ79" i="5"/>
  <c r="X79" i="5"/>
  <c r="AQ77" i="5"/>
  <c r="X77" i="5"/>
  <c r="AQ75" i="5"/>
  <c r="X75" i="5"/>
  <c r="AE74" i="5"/>
  <c r="V74" i="5"/>
  <c r="AE72" i="5"/>
  <c r="V72" i="5"/>
  <c r="V70" i="5"/>
  <c r="AE70" i="5"/>
  <c r="AE68" i="5"/>
  <c r="V68" i="5"/>
  <c r="AE66" i="5"/>
  <c r="V66" i="5"/>
  <c r="AE64" i="5"/>
  <c r="V64" i="5"/>
  <c r="V62" i="5"/>
  <c r="AE62" i="5"/>
  <c r="AE60" i="5"/>
  <c r="V60" i="5"/>
  <c r="AE58" i="5"/>
  <c r="V58" i="5"/>
  <c r="AQ57" i="5"/>
  <c r="X57" i="5"/>
  <c r="V56" i="5"/>
  <c r="AE56" i="5"/>
  <c r="V54" i="5"/>
  <c r="AE54" i="5"/>
  <c r="X51" i="5"/>
  <c r="AQ51" i="5"/>
  <c r="AE50" i="5"/>
  <c r="V50" i="5"/>
  <c r="V46" i="5"/>
  <c r="AE46" i="5"/>
  <c r="AW423" i="5"/>
  <c r="BB423" i="5" s="1"/>
  <c r="Y423" i="5"/>
  <c r="AK422" i="5"/>
  <c r="W422" i="5"/>
  <c r="AW419" i="5"/>
  <c r="Y419" i="5"/>
  <c r="AW415" i="5"/>
  <c r="Y415" i="5"/>
  <c r="AW411" i="5"/>
  <c r="Y411" i="5"/>
  <c r="BB411" i="5" s="1"/>
  <c r="AK410" i="5"/>
  <c r="W410" i="5"/>
  <c r="AW407" i="5"/>
  <c r="Y407" i="5"/>
  <c r="AK406" i="5"/>
  <c r="W406" i="5"/>
  <c r="AW403" i="5"/>
  <c r="Y403" i="5"/>
  <c r="AW399" i="5"/>
  <c r="BB399" i="5" s="1"/>
  <c r="Y399" i="5"/>
  <c r="AW395" i="5"/>
  <c r="BB395" i="5" s="1"/>
  <c r="Y395" i="5"/>
  <c r="AW391" i="5"/>
  <c r="Y391" i="5"/>
  <c r="AK390" i="5"/>
  <c r="AZ390" i="5" s="1"/>
  <c r="W390" i="5"/>
  <c r="AW387" i="5"/>
  <c r="Y387" i="5"/>
  <c r="AW383" i="5"/>
  <c r="Y383" i="5"/>
  <c r="AK382" i="5"/>
  <c r="W382" i="5"/>
  <c r="AW379" i="5"/>
  <c r="Y379" i="5"/>
  <c r="AK376" i="5"/>
  <c r="AZ376" i="5" s="1"/>
  <c r="W376" i="5"/>
  <c r="AW375" i="5"/>
  <c r="BB375" i="5" s="1"/>
  <c r="Y375" i="5"/>
  <c r="AK374" i="5"/>
  <c r="W374" i="5"/>
  <c r="AK372" i="5"/>
  <c r="AZ372" i="5" s="1"/>
  <c r="W372" i="5"/>
  <c r="AW371" i="5"/>
  <c r="BB371" i="5" s="1"/>
  <c r="Y371" i="5"/>
  <c r="AK368" i="5"/>
  <c r="AW367" i="5"/>
  <c r="BB367" i="5" s="1"/>
  <c r="Y367" i="5"/>
  <c r="AK366" i="5"/>
  <c r="AK364" i="5"/>
  <c r="AW363" i="5"/>
  <c r="Y363" i="5"/>
  <c r="AK360" i="5"/>
  <c r="AZ360" i="5" s="1"/>
  <c r="AW359" i="5"/>
  <c r="BB359" i="5" s="1"/>
  <c r="Y359" i="5"/>
  <c r="AK358" i="5"/>
  <c r="AK356" i="5"/>
  <c r="AZ356" i="5" s="1"/>
  <c r="W356" i="5"/>
  <c r="AW355" i="5"/>
  <c r="BB355" i="5" s="1"/>
  <c r="Y355" i="5"/>
  <c r="AK352" i="5"/>
  <c r="W352" i="5"/>
  <c r="AW351" i="5"/>
  <c r="Y351" i="5"/>
  <c r="AK348" i="5"/>
  <c r="W348" i="5"/>
  <c r="AW347" i="5"/>
  <c r="Y347" i="5"/>
  <c r="AK342" i="5"/>
  <c r="W342" i="5"/>
  <c r="AK340" i="5"/>
  <c r="W340" i="5"/>
  <c r="AW339" i="5"/>
  <c r="Y339" i="5"/>
  <c r="AK334" i="5"/>
  <c r="W334" i="5"/>
  <c r="AW333" i="5"/>
  <c r="Y333" i="5"/>
  <c r="AK332" i="5"/>
  <c r="W332" i="5"/>
  <c r="X391" i="5"/>
  <c r="V286" i="5"/>
  <c r="Y240" i="5"/>
  <c r="V177" i="5"/>
  <c r="AK425" i="5"/>
  <c r="W425" i="5"/>
  <c r="AK419" i="5"/>
  <c r="W419" i="5"/>
  <c r="AZ419" i="5" s="1"/>
  <c r="AK407" i="5"/>
  <c r="AZ407" i="5" s="1"/>
  <c r="W407" i="5"/>
  <c r="AK405" i="5"/>
  <c r="W405" i="5"/>
  <c r="AK389" i="5"/>
  <c r="AZ389" i="5" s="1"/>
  <c r="W389" i="5"/>
  <c r="AW366" i="5"/>
  <c r="BB366" i="5" s="1"/>
  <c r="Y366" i="5"/>
  <c r="AW342" i="5"/>
  <c r="Y342" i="5"/>
  <c r="AW340" i="5"/>
  <c r="Y340" i="5"/>
  <c r="AW336" i="5"/>
  <c r="Y336" i="5"/>
  <c r="AW332" i="5"/>
  <c r="Y332" i="5"/>
  <c r="AW316" i="5"/>
  <c r="Y316" i="5"/>
  <c r="AW306" i="5"/>
  <c r="Y306" i="5"/>
  <c r="AW284" i="5"/>
  <c r="Y284" i="5"/>
  <c r="AW256" i="5"/>
  <c r="Y256" i="5"/>
  <c r="AW254" i="5"/>
  <c r="Y254" i="5"/>
  <c r="AW252" i="5"/>
  <c r="Y252" i="5"/>
  <c r="AW242" i="5"/>
  <c r="Y242" i="5"/>
  <c r="AE425" i="5"/>
  <c r="V425" i="5"/>
  <c r="AQ422" i="5"/>
  <c r="X422" i="5"/>
  <c r="AE421" i="5"/>
  <c r="AY421" i="5" s="1"/>
  <c r="V421" i="5"/>
  <c r="AQ418" i="5"/>
  <c r="X418" i="5"/>
  <c r="BA418" i="5" s="1"/>
  <c r="AE417" i="5"/>
  <c r="V417" i="5"/>
  <c r="AE413" i="5"/>
  <c r="V413" i="5"/>
  <c r="AE411" i="5"/>
  <c r="V411" i="5"/>
  <c r="AE409" i="5"/>
  <c r="V409" i="5"/>
  <c r="AE405" i="5"/>
  <c r="V405" i="5"/>
  <c r="AE399" i="5"/>
  <c r="AY399" i="5" s="1"/>
  <c r="V399" i="5"/>
  <c r="AE397" i="5"/>
  <c r="AY397" i="5" s="1"/>
  <c r="V397" i="5"/>
  <c r="AE395" i="5"/>
  <c r="V395" i="5"/>
  <c r="AQ392" i="5"/>
  <c r="X392" i="5"/>
  <c r="AQ386" i="5"/>
  <c r="X386" i="5"/>
  <c r="AE385" i="5"/>
  <c r="AY385" i="5" s="1"/>
  <c r="V385" i="5"/>
  <c r="AE377" i="5"/>
  <c r="V377" i="5"/>
  <c r="AE373" i="5"/>
  <c r="V373" i="5"/>
  <c r="AE361" i="5"/>
  <c r="AE353" i="5"/>
  <c r="V353" i="5"/>
  <c r="AE349" i="5"/>
  <c r="V349" i="5"/>
  <c r="AQ186" i="5"/>
  <c r="X186" i="5"/>
  <c r="AE185" i="5"/>
  <c r="V185" i="5"/>
  <c r="AE183" i="5"/>
  <c r="V183" i="5"/>
  <c r="AE179" i="5"/>
  <c r="V179" i="5"/>
  <c r="AQ170" i="5"/>
  <c r="X170" i="5"/>
  <c r="AE169" i="5"/>
  <c r="V169" i="5"/>
  <c r="AQ162" i="5"/>
  <c r="X162" i="5"/>
  <c r="AQ160" i="5"/>
  <c r="X160" i="5"/>
  <c r="AQ143" i="5"/>
  <c r="X143" i="5"/>
  <c r="AQ141" i="5"/>
  <c r="X141" i="5"/>
  <c r="AQ119" i="5"/>
  <c r="X119" i="5"/>
  <c r="V118" i="5"/>
  <c r="AE118" i="5"/>
  <c r="AQ103" i="5"/>
  <c r="X103" i="5"/>
  <c r="V102" i="5"/>
  <c r="AE102" i="5"/>
  <c r="AQ73" i="5"/>
  <c r="X73" i="5"/>
  <c r="AQ61" i="5"/>
  <c r="X61" i="5"/>
  <c r="AQ59" i="5"/>
  <c r="X59" i="5"/>
  <c r="AQ55" i="5"/>
  <c r="X55" i="5"/>
  <c r="AQ423" i="5"/>
  <c r="BA423" i="5" s="1"/>
  <c r="X423" i="5"/>
  <c r="AE422" i="5"/>
  <c r="V422" i="5"/>
  <c r="AE414" i="5"/>
  <c r="V414" i="5"/>
  <c r="AQ411" i="5"/>
  <c r="X411" i="5"/>
  <c r="AE410" i="5"/>
  <c r="V410" i="5"/>
  <c r="AQ407" i="5"/>
  <c r="BA407" i="5" s="1"/>
  <c r="X407" i="5"/>
  <c r="AE406" i="5"/>
  <c r="AY406" i="5" s="1"/>
  <c r="V406" i="5"/>
  <c r="AQ399" i="5"/>
  <c r="BA399" i="5" s="1"/>
  <c r="X399" i="5"/>
  <c r="AE390" i="5"/>
  <c r="AY390" i="5" s="1"/>
  <c r="V390" i="5"/>
  <c r="AQ383" i="5"/>
  <c r="BA383" i="5" s="1"/>
  <c r="X383" i="5"/>
  <c r="AQ381" i="5"/>
  <c r="X381" i="5"/>
  <c r="AE380" i="5"/>
  <c r="AY380" i="5" s="1"/>
  <c r="V380" i="5"/>
  <c r="AQ379" i="5"/>
  <c r="X379" i="5"/>
  <c r="AQ377" i="5"/>
  <c r="X377" i="5"/>
  <c r="AE376" i="5"/>
  <c r="V376" i="5"/>
  <c r="AQ375" i="5"/>
  <c r="X375" i="5"/>
  <c r="AQ373" i="5"/>
  <c r="X373" i="5"/>
  <c r="AE372" i="5"/>
  <c r="V372" i="5"/>
  <c r="AQ371" i="5"/>
  <c r="X371" i="5"/>
  <c r="AQ369" i="5"/>
  <c r="AE368" i="5"/>
  <c r="AY368" i="5" s="1"/>
  <c r="AQ367" i="5"/>
  <c r="BA367" i="5" s="1"/>
  <c r="AQ365" i="5"/>
  <c r="AE364" i="5"/>
  <c r="AY364" i="5" s="1"/>
  <c r="AQ363" i="5"/>
  <c r="BA363" i="5" s="1"/>
  <c r="AE360" i="5"/>
  <c r="AQ359" i="5"/>
  <c r="BA359" i="5" s="1"/>
  <c r="AQ357" i="5"/>
  <c r="X357" i="5"/>
  <c r="AE356" i="5"/>
  <c r="V356" i="5"/>
  <c r="AQ355" i="5"/>
  <c r="X355" i="5"/>
  <c r="AQ353" i="5"/>
  <c r="X353" i="5"/>
  <c r="BA353" i="5" s="1"/>
  <c r="AE352" i="5"/>
  <c r="V352" i="5"/>
  <c r="AQ351" i="5"/>
  <c r="X351" i="5"/>
  <c r="AQ349" i="5"/>
  <c r="X349" i="5"/>
  <c r="AE348" i="5"/>
  <c r="V348" i="5"/>
  <c r="AQ347" i="5"/>
  <c r="X347" i="5"/>
  <c r="AQ341" i="5"/>
  <c r="X341" i="5"/>
  <c r="AE340" i="5"/>
  <c r="V340" i="5"/>
  <c r="AQ339" i="5"/>
  <c r="X339" i="5"/>
  <c r="AQ335" i="5"/>
  <c r="X335" i="5"/>
  <c r="AE334" i="5"/>
  <c r="V334" i="5"/>
  <c r="AQ331" i="5"/>
  <c r="X331" i="5"/>
  <c r="AQ315" i="5"/>
  <c r="X315" i="5"/>
  <c r="AE314" i="5"/>
  <c r="V314" i="5"/>
  <c r="AQ311" i="5"/>
  <c r="X311" i="5"/>
  <c r="AE310" i="5"/>
  <c r="V310" i="5"/>
  <c r="AQ307" i="5"/>
  <c r="X307" i="5"/>
  <c r="AE306" i="5"/>
  <c r="V306" i="5"/>
  <c r="AQ303" i="5"/>
  <c r="X303" i="5"/>
  <c r="AQ299" i="5"/>
  <c r="X299" i="5"/>
  <c r="AE298" i="5"/>
  <c r="V298" i="5"/>
  <c r="AQ295" i="5"/>
  <c r="X295" i="5"/>
  <c r="AE294" i="5"/>
  <c r="V294" i="5"/>
  <c r="AQ291" i="5"/>
  <c r="X291" i="5"/>
  <c r="AQ283" i="5"/>
  <c r="X283" i="5"/>
  <c r="AE282" i="5"/>
  <c r="V282" i="5"/>
  <c r="AQ279" i="5"/>
  <c r="X279" i="5"/>
  <c r="AE278" i="5"/>
  <c r="V278" i="5"/>
  <c r="AQ275" i="5"/>
  <c r="X275" i="5"/>
  <c r="AQ259" i="5"/>
  <c r="X259" i="5"/>
  <c r="AE258" i="5"/>
  <c r="V258" i="5"/>
  <c r="AQ255" i="5"/>
  <c r="X255" i="5"/>
  <c r="AE254" i="5"/>
  <c r="V254" i="5"/>
  <c r="AQ251" i="5"/>
  <c r="X251" i="5"/>
  <c r="AE250" i="5"/>
  <c r="V250" i="5"/>
  <c r="AQ247" i="5"/>
  <c r="X247" i="5"/>
  <c r="AQ243" i="5"/>
  <c r="X243" i="5"/>
  <c r="AE242" i="5"/>
  <c r="V242" i="5"/>
  <c r="AQ223" i="5"/>
  <c r="X223" i="5"/>
  <c r="AQ219" i="5"/>
  <c r="X219" i="5"/>
  <c r="AE218" i="5"/>
  <c r="V218" i="5"/>
  <c r="AQ217" i="5"/>
  <c r="V222" i="5"/>
  <c r="V162" i="5"/>
  <c r="AW317" i="5"/>
  <c r="Y317" i="5"/>
  <c r="AK316" i="5"/>
  <c r="W316" i="5"/>
  <c r="Y313" i="5"/>
  <c r="AW313" i="5"/>
  <c r="AW309" i="5"/>
  <c r="Y309" i="5"/>
  <c r="AK308" i="5"/>
  <c r="W308" i="5"/>
  <c r="AK306" i="5"/>
  <c r="W306" i="5"/>
  <c r="AW301" i="5"/>
  <c r="Y301" i="5"/>
  <c r="AK300" i="5"/>
  <c r="W300" i="5"/>
  <c r="AW297" i="5"/>
  <c r="Y297" i="5"/>
  <c r="AW293" i="5"/>
  <c r="Y293" i="5"/>
  <c r="AK292" i="5"/>
  <c r="W292" i="5"/>
  <c r="AK286" i="5"/>
  <c r="W286" i="5"/>
  <c r="AW285" i="5"/>
  <c r="Y285" i="5"/>
  <c r="AK284" i="5"/>
  <c r="W284" i="5"/>
  <c r="AW277" i="5"/>
  <c r="Y277" i="5"/>
  <c r="AK276" i="5"/>
  <c r="W276" i="5"/>
  <c r="AW261" i="5"/>
  <c r="Y261" i="5"/>
  <c r="AK260" i="5"/>
  <c r="W260" i="5"/>
  <c r="AK258" i="5"/>
  <c r="W258" i="5"/>
  <c r="AK256" i="5"/>
  <c r="W256" i="5"/>
  <c r="AK254" i="5"/>
  <c r="W254" i="5"/>
  <c r="AW253" i="5"/>
  <c r="Y253" i="5"/>
  <c r="AK252" i="5"/>
  <c r="W252" i="5"/>
  <c r="AW245" i="5"/>
  <c r="Y245" i="5"/>
  <c r="AK244" i="5"/>
  <c r="W244" i="5"/>
  <c r="AK242" i="5"/>
  <c r="W242" i="5"/>
  <c r="AK240" i="5"/>
  <c r="W240" i="5"/>
  <c r="AK224" i="5"/>
  <c r="W224" i="5"/>
  <c r="AK222" i="5"/>
  <c r="W222" i="5"/>
  <c r="AW221" i="5"/>
  <c r="Y221" i="5"/>
  <c r="AK220" i="5"/>
  <c r="W220" i="5"/>
  <c r="AW217" i="5"/>
  <c r="Y217" i="5"/>
  <c r="AK214" i="5"/>
  <c r="W214" i="5"/>
  <c r="AW213" i="5"/>
  <c r="Y213" i="5"/>
  <c r="AK212" i="5"/>
  <c r="W212" i="5"/>
  <c r="AW209" i="5"/>
  <c r="Y209" i="5"/>
  <c r="AK206" i="5"/>
  <c r="W206" i="5"/>
  <c r="AW205" i="5"/>
  <c r="Y205" i="5"/>
  <c r="AK202" i="5"/>
  <c r="W202" i="5"/>
  <c r="AK186" i="5"/>
  <c r="W186" i="5"/>
  <c r="AW183" i="5"/>
  <c r="Y183" i="5"/>
  <c r="AK182" i="5"/>
  <c r="W182" i="5"/>
  <c r="AW179" i="5"/>
  <c r="Y179" i="5"/>
  <c r="AK178" i="5"/>
  <c r="W178" i="5"/>
  <c r="AW171" i="5"/>
  <c r="Y171" i="5"/>
  <c r="AK170" i="5"/>
  <c r="W170" i="5"/>
  <c r="AW167" i="5"/>
  <c r="Y167" i="5"/>
  <c r="AK166" i="5"/>
  <c r="W166" i="5"/>
  <c r="AW163" i="5"/>
  <c r="Y163" i="5"/>
  <c r="AK162" i="5"/>
  <c r="W162" i="5"/>
  <c r="AK158" i="5"/>
  <c r="W158" i="5"/>
  <c r="AK153" i="5"/>
  <c r="W153" i="5"/>
  <c r="AW150" i="5"/>
  <c r="Y150" i="5"/>
  <c r="AK149" i="5"/>
  <c r="W149" i="5"/>
  <c r="AW146" i="5"/>
  <c r="Y146" i="5"/>
  <c r="AW142" i="5"/>
  <c r="Y142" i="5"/>
  <c r="AK141" i="5"/>
  <c r="W141" i="5"/>
  <c r="AW138" i="5"/>
  <c r="Y138" i="5"/>
  <c r="W121" i="5"/>
  <c r="AK121" i="5"/>
  <c r="AK117" i="5"/>
  <c r="W117" i="5"/>
  <c r="AW114" i="5"/>
  <c r="Y114" i="5"/>
  <c r="AK113" i="5"/>
  <c r="W113" i="5"/>
  <c r="AW110" i="5"/>
  <c r="Y110" i="5"/>
  <c r="AK109" i="5"/>
  <c r="W109" i="5"/>
  <c r="AW106" i="5"/>
  <c r="Y106" i="5"/>
  <c r="AK105" i="5"/>
  <c r="W105" i="5"/>
  <c r="AW102" i="5"/>
  <c r="Y102" i="5"/>
  <c r="AK101"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7" i="5"/>
  <c r="AK53" i="5"/>
  <c r="W53" i="5"/>
  <c r="AW50" i="5"/>
  <c r="Y50" i="5"/>
  <c r="Y46" i="5"/>
  <c r="AW46" i="5"/>
  <c r="AK45" i="5"/>
  <c r="W45" i="5"/>
  <c r="AW42" i="5"/>
  <c r="Y42" i="5"/>
  <c r="W41" i="5"/>
  <c r="AK41" i="5"/>
  <c r="AW38" i="5"/>
  <c r="Y38" i="5"/>
  <c r="AK37" i="5"/>
  <c r="W37" i="5"/>
  <c r="AW34" i="5"/>
  <c r="Y34" i="5"/>
  <c r="W33" i="5"/>
  <c r="AK33" i="5"/>
  <c r="Y30" i="5"/>
  <c r="AW30" i="5"/>
  <c r="AK29" i="5"/>
  <c r="W29" i="5"/>
  <c r="AW425" i="5"/>
  <c r="AW424" i="5"/>
  <c r="AW422" i="5"/>
  <c r="BB422" i="5" s="1"/>
  <c r="AW421" i="5"/>
  <c r="AW420" i="5"/>
  <c r="AW418" i="5"/>
  <c r="AW417" i="5"/>
  <c r="AW416" i="5"/>
  <c r="AW414" i="5"/>
  <c r="AW413" i="5"/>
  <c r="AW412" i="5"/>
  <c r="AW410" i="5"/>
  <c r="AW409" i="5"/>
  <c r="AW408" i="5"/>
  <c r="AW406" i="5"/>
  <c r="BB406" i="5" s="1"/>
  <c r="AW405" i="5"/>
  <c r="BB405" i="5" s="1"/>
  <c r="AW404" i="5"/>
  <c r="BB404" i="5" s="1"/>
  <c r="AW402" i="5"/>
  <c r="BB402" i="5" s="1"/>
  <c r="AW401" i="5"/>
  <c r="BB401" i="5" s="1"/>
  <c r="AW400" i="5"/>
  <c r="BB400" i="5" s="1"/>
  <c r="AW398" i="5"/>
  <c r="AW397" i="5"/>
  <c r="BB397" i="5" s="1"/>
  <c r="AW396" i="5"/>
  <c r="AW394" i="5"/>
  <c r="AW393" i="5"/>
  <c r="BB393" i="5" s="1"/>
  <c r="AW392" i="5"/>
  <c r="AW390" i="5"/>
  <c r="BB390" i="5" s="1"/>
  <c r="AW389" i="5"/>
  <c r="BB389" i="5" s="1"/>
  <c r="AW388" i="5"/>
  <c r="BB388" i="5" s="1"/>
  <c r="AW386" i="5"/>
  <c r="BB386" i="5" s="1"/>
  <c r="AW385" i="5"/>
  <c r="BB385" i="5" s="1"/>
  <c r="AW384" i="5"/>
  <c r="BB384" i="5" s="1"/>
  <c r="AW381" i="5"/>
  <c r="BB381" i="5" s="1"/>
  <c r="AW377" i="5"/>
  <c r="BB377" i="5" s="1"/>
  <c r="AW373" i="5"/>
  <c r="AW369" i="5"/>
  <c r="AW365" i="5"/>
  <c r="BB365" i="5" s="1"/>
  <c r="AW361" i="5"/>
  <c r="BB361" i="5" s="1"/>
  <c r="AW357" i="5"/>
  <c r="BB357" i="5" s="1"/>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W81" i="5"/>
  <c r="AK58" i="5"/>
  <c r="V216" i="5"/>
  <c r="AQ215" i="5"/>
  <c r="X215" i="5"/>
  <c r="AE214" i="5"/>
  <c r="V214" i="5"/>
  <c r="V212" i="5"/>
  <c r="AQ207" i="5"/>
  <c r="X207" i="5"/>
  <c r="AE206" i="5"/>
  <c r="V206" i="5"/>
  <c r="V204" i="5"/>
  <c r="AE202" i="5"/>
  <c r="V202" i="5"/>
  <c r="AE186" i="5"/>
  <c r="V186" i="5"/>
  <c r="V184" i="5"/>
  <c r="AE182" i="5"/>
  <c r="V182" i="5"/>
  <c r="V180" i="5"/>
  <c r="AE178" i="5"/>
  <c r="V178" i="5"/>
  <c r="V172" i="5"/>
  <c r="AE170" i="5"/>
  <c r="V170" i="5"/>
  <c r="V168" i="5"/>
  <c r="AE166" i="5"/>
  <c r="V166" i="5"/>
  <c r="V164" i="5"/>
  <c r="AE162" i="5"/>
  <c r="V160" i="5"/>
  <c r="AE158" i="5"/>
  <c r="V158" i="5"/>
  <c r="V155" i="5"/>
  <c r="AE153" i="5"/>
  <c r="V153" i="5"/>
  <c r="V151" i="5"/>
  <c r="AE149" i="5"/>
  <c r="V149" i="5"/>
  <c r="V147" i="5"/>
  <c r="AE145" i="5"/>
  <c r="V145" i="5"/>
  <c r="V143" i="5"/>
  <c r="AE141" i="5"/>
  <c r="V141" i="5"/>
  <c r="V139" i="5"/>
  <c r="AE121" i="5"/>
  <c r="V121" i="5"/>
  <c r="AE117" i="5"/>
  <c r="V117" i="5"/>
  <c r="AE113" i="5"/>
  <c r="V113" i="5"/>
  <c r="AE109" i="5"/>
  <c r="V109" i="5"/>
  <c r="AE105" i="5"/>
  <c r="V105" i="5"/>
  <c r="AE101" i="5"/>
  <c r="V101" i="5"/>
  <c r="AE81" i="5"/>
  <c r="V81" i="5"/>
  <c r="AE77" i="5"/>
  <c r="V77" i="5"/>
  <c r="AE73" i="5"/>
  <c r="V73" i="5"/>
  <c r="AE69" i="5"/>
  <c r="V69" i="5"/>
  <c r="AE65" i="5"/>
  <c r="V65" i="5"/>
  <c r="AE61" i="5"/>
  <c r="V61" i="5"/>
  <c r="V57" i="5"/>
  <c r="AE57" i="5"/>
  <c r="AE53" i="5"/>
  <c r="V53" i="5"/>
  <c r="AE49" i="5"/>
  <c r="V49" i="5"/>
  <c r="AE45" i="5"/>
  <c r="V45" i="5"/>
  <c r="V41" i="5"/>
  <c r="AE41" i="5"/>
  <c r="AE37" i="5"/>
  <c r="V37" i="5"/>
  <c r="AE33" i="5"/>
  <c r="V33" i="5"/>
  <c r="AE29" i="5"/>
  <c r="V29" i="5"/>
  <c r="AE9" i="5"/>
  <c r="AQ425" i="5"/>
  <c r="AQ424" i="5"/>
  <c r="AQ421" i="5"/>
  <c r="AQ419" i="5"/>
  <c r="AQ417" i="5"/>
  <c r="AQ416" i="5"/>
  <c r="AQ415" i="5"/>
  <c r="AQ413" i="5"/>
  <c r="AQ409" i="5"/>
  <c r="AQ405" i="5"/>
  <c r="AQ403" i="5"/>
  <c r="BA403" i="5" s="1"/>
  <c r="AQ401" i="5"/>
  <c r="AQ400" i="5"/>
  <c r="AQ397" i="5"/>
  <c r="BA397" i="5" s="1"/>
  <c r="AQ395" i="5"/>
  <c r="AQ393" i="5"/>
  <c r="BA393" i="5" s="1"/>
  <c r="AQ389" i="5"/>
  <c r="AQ387" i="5"/>
  <c r="BA387" i="5" s="1"/>
  <c r="AQ385" i="5"/>
  <c r="AQ384" i="5"/>
  <c r="BA384" i="5" s="1"/>
  <c r="AQ382" i="5"/>
  <c r="AQ380" i="5"/>
  <c r="AQ378" i="5"/>
  <c r="AQ376" i="5"/>
  <c r="BA376" i="5" s="1"/>
  <c r="AQ374" i="5"/>
  <c r="AQ372" i="5"/>
  <c r="BA372" i="5" s="1"/>
  <c r="AQ370" i="5"/>
  <c r="AQ368" i="5"/>
  <c r="AR368" i="5" s="1"/>
  <c r="AQ366" i="5"/>
  <c r="AR366" i="5" s="1"/>
  <c r="AQ364" i="5"/>
  <c r="AR364" i="5" s="1"/>
  <c r="AQ362" i="5"/>
  <c r="AR362" i="5" s="1"/>
  <c r="AQ360" i="5"/>
  <c r="BA360" i="5" s="1"/>
  <c r="AQ358" i="5"/>
  <c r="AR358" i="5" s="1"/>
  <c r="AQ356" i="5"/>
  <c r="AQ354" i="5"/>
  <c r="AQ352" i="5"/>
  <c r="AQ350" i="5"/>
  <c r="BA350" i="5" s="1"/>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W310" i="5"/>
  <c r="W280" i="5"/>
  <c r="Y257" i="5"/>
  <c r="W250" i="5"/>
  <c r="W216" i="5"/>
  <c r="W32" i="5"/>
  <c r="AE51" i="5"/>
  <c r="AW206" i="5"/>
  <c r="Y206" i="5"/>
  <c r="AK185" i="5"/>
  <c r="W185" i="5"/>
  <c r="AK181" i="5"/>
  <c r="W181" i="5"/>
  <c r="AK177" i="5"/>
  <c r="W177" i="5"/>
  <c r="AK169" i="5"/>
  <c r="W169" i="5"/>
  <c r="AK165" i="5"/>
  <c r="W165" i="5"/>
  <c r="W161" i="5"/>
  <c r="AK161" i="5"/>
  <c r="AK157" i="5"/>
  <c r="W157" i="5"/>
  <c r="AK152" i="5"/>
  <c r="W152" i="5"/>
  <c r="AK148" i="5"/>
  <c r="W148" i="5"/>
  <c r="AK140" i="5"/>
  <c r="W140" i="5"/>
  <c r="W120" i="5"/>
  <c r="AK120" i="5"/>
  <c r="AK116" i="5"/>
  <c r="W116" i="5"/>
  <c r="AK112" i="5"/>
  <c r="W112" i="5"/>
  <c r="AK108" i="5"/>
  <c r="W108" i="5"/>
  <c r="AK104" i="5"/>
  <c r="W104" i="5"/>
  <c r="AK84" i="5"/>
  <c r="W84" i="5"/>
  <c r="AK80" i="5"/>
  <c r="W80" i="5"/>
  <c r="AK76" i="5"/>
  <c r="W76" i="5"/>
  <c r="AK72" i="5"/>
  <c r="W72" i="5"/>
  <c r="W68" i="5"/>
  <c r="AK68" i="5"/>
  <c r="AK64" i="5"/>
  <c r="W64" i="5"/>
  <c r="AK60" i="5"/>
  <c r="W60" i="5"/>
  <c r="W56" i="5"/>
  <c r="AK56" i="5"/>
  <c r="W52" i="5"/>
  <c r="AK52" i="5"/>
  <c r="W48" i="5"/>
  <c r="AK48" i="5"/>
  <c r="AK44" i="5"/>
  <c r="W44" i="5"/>
  <c r="W36" i="5"/>
  <c r="AK36" i="5"/>
  <c r="AK424" i="5"/>
  <c r="AK420" i="5"/>
  <c r="AK418" i="5"/>
  <c r="AK416" i="5"/>
  <c r="AK414" i="5"/>
  <c r="AK412" i="5"/>
  <c r="AK408" i="5"/>
  <c r="AK404" i="5"/>
  <c r="AK402" i="5"/>
  <c r="AZ402" i="5" s="1"/>
  <c r="AK400" i="5"/>
  <c r="AZ400" i="5" s="1"/>
  <c r="AK398" i="5"/>
  <c r="AK396" i="5"/>
  <c r="AK394" i="5"/>
  <c r="AZ394" i="5" s="1"/>
  <c r="AK392" i="5"/>
  <c r="AZ392" i="5" s="1"/>
  <c r="AK388" i="5"/>
  <c r="AZ388" i="5" s="1"/>
  <c r="AK386" i="5"/>
  <c r="AZ386" i="5" s="1"/>
  <c r="AK384" i="5"/>
  <c r="AK383" i="5"/>
  <c r="AZ383" i="5" s="1"/>
  <c r="AK381" i="5"/>
  <c r="AZ381" i="5" s="1"/>
  <c r="AK379" i="5"/>
  <c r="AK378" i="5"/>
  <c r="AZ378" i="5" s="1"/>
  <c r="AK377" i="5"/>
  <c r="AK375" i="5"/>
  <c r="AK373" i="5"/>
  <c r="AK371" i="5"/>
  <c r="AK370" i="5"/>
  <c r="AZ370" i="5" s="1"/>
  <c r="AK369" i="5"/>
  <c r="AL369" i="5" s="1"/>
  <c r="AK367" i="5"/>
  <c r="AL367" i="5" s="1"/>
  <c r="AK365" i="5"/>
  <c r="AL365" i="5" s="1"/>
  <c r="AK363" i="5"/>
  <c r="AL363" i="5" s="1"/>
  <c r="AK362" i="5"/>
  <c r="AL362" i="5" s="1"/>
  <c r="AK361" i="5"/>
  <c r="AL361" i="5" s="1"/>
  <c r="AK359" i="5"/>
  <c r="AZ359" i="5" s="1"/>
  <c r="AK357" i="5"/>
  <c r="AK355" i="5"/>
  <c r="AK354" i="5"/>
  <c r="AZ354" i="5" s="1"/>
  <c r="AK353" i="5"/>
  <c r="AK351" i="5"/>
  <c r="AZ351" i="5" s="1"/>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W298" i="5"/>
  <c r="W294" i="5"/>
  <c r="Y241" i="5"/>
  <c r="Y118" i="5"/>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O37" i="16"/>
  <c r="O44" i="16" s="1"/>
  <c r="O45" i="16" s="1"/>
  <c r="I21" i="16"/>
  <c r="B56" i="16"/>
  <c r="N76" i="16"/>
  <c r="T8" i="16"/>
  <c r="N74" i="16"/>
  <c r="B76" i="16"/>
  <c r="B74" i="16"/>
  <c r="Q45" i="16"/>
  <c r="C37" i="16"/>
  <c r="C44" i="16" s="1"/>
  <c r="B55" i="16"/>
  <c r="N37" i="16"/>
  <c r="N44" i="16" s="1"/>
  <c r="B73" i="16"/>
  <c r="T21" i="16"/>
  <c r="B37" i="16"/>
  <c r="B44" i="16" s="1"/>
  <c r="B45" i="16" s="1"/>
  <c r="AZ371" i="5" l="1"/>
  <c r="AZ384" i="5"/>
  <c r="AZ424" i="5"/>
  <c r="BA356" i="5"/>
  <c r="BA380" i="5"/>
  <c r="BA405" i="5"/>
  <c r="BA424" i="5"/>
  <c r="BB373" i="5"/>
  <c r="BB396" i="5"/>
  <c r="BA365" i="5"/>
  <c r="AY373" i="5"/>
  <c r="BA392" i="5"/>
  <c r="AY405" i="5"/>
  <c r="AZ405" i="5"/>
  <c r="BB351" i="5"/>
  <c r="BB363" i="5"/>
  <c r="BB419" i="5"/>
  <c r="BA408" i="5"/>
  <c r="BB352" i="5"/>
  <c r="AY351" i="5"/>
  <c r="AY383" i="5"/>
  <c r="AY404" i="5"/>
  <c r="AY381" i="5"/>
  <c r="AY393" i="5"/>
  <c r="BB368" i="5"/>
  <c r="BB376" i="5"/>
  <c r="AZ403" i="5"/>
  <c r="BB408" i="5"/>
  <c r="AZ416" i="5"/>
  <c r="AZ380" i="5"/>
  <c r="AZ420" i="5"/>
  <c r="BB413" i="5"/>
  <c r="AZ379" i="5"/>
  <c r="AZ396" i="5"/>
  <c r="AZ404" i="5"/>
  <c r="BA389" i="5"/>
  <c r="BC389" i="5" s="1"/>
  <c r="BA400" i="5"/>
  <c r="BB392" i="5"/>
  <c r="BB424" i="5"/>
  <c r="BA351" i="5"/>
  <c r="AY356" i="5"/>
  <c r="AY360" i="5"/>
  <c r="BA371" i="5"/>
  <c r="BA373" i="5"/>
  <c r="AY376" i="5"/>
  <c r="BA379" i="5"/>
  <c r="BA381" i="5"/>
  <c r="AZ352" i="5"/>
  <c r="AZ364" i="5"/>
  <c r="AZ368" i="5"/>
  <c r="BB379" i="5"/>
  <c r="BB383" i="5"/>
  <c r="BB403" i="5"/>
  <c r="BB407" i="5"/>
  <c r="BA404" i="5"/>
  <c r="BB360" i="5"/>
  <c r="AZ393" i="5"/>
  <c r="AY362" i="5"/>
  <c r="AY370" i="5"/>
  <c r="AY384" i="5"/>
  <c r="AY392" i="5"/>
  <c r="AY400" i="5"/>
  <c r="AY407" i="5"/>
  <c r="BB412" i="5"/>
  <c r="BA419" i="5"/>
  <c r="AZ399" i="5"/>
  <c r="BC399" i="5" s="1"/>
  <c r="BB417" i="5"/>
  <c r="BA413" i="5"/>
  <c r="AZ377" i="5"/>
  <c r="BA354" i="5"/>
  <c r="BA385" i="5"/>
  <c r="BA395" i="5"/>
  <c r="BB369" i="5"/>
  <c r="BB394" i="5"/>
  <c r="BB421" i="5"/>
  <c r="O25" i="6" s="1"/>
  <c r="BA355" i="5"/>
  <c r="BA357" i="5"/>
  <c r="BA369" i="5"/>
  <c r="AY372" i="5"/>
  <c r="BC372" i="5" s="1"/>
  <c r="BA375" i="5"/>
  <c r="BA377" i="5"/>
  <c r="AY422" i="5"/>
  <c r="AZ358" i="5"/>
  <c r="AZ382" i="5"/>
  <c r="BB387" i="5"/>
  <c r="BC387" i="5" s="1"/>
  <c r="BB391" i="5"/>
  <c r="AZ406" i="5"/>
  <c r="AZ422" i="5"/>
  <c r="BA406" i="5"/>
  <c r="BB354" i="5"/>
  <c r="AZ385" i="5"/>
  <c r="BC385" i="5" s="1"/>
  <c r="AZ391" i="5"/>
  <c r="AZ395" i="5"/>
  <c r="AZ355" i="5"/>
  <c r="AZ375" i="5"/>
  <c r="AZ398" i="5"/>
  <c r="BA401" i="5"/>
  <c r="BB398" i="5"/>
  <c r="BA411" i="5"/>
  <c r="AY361" i="5"/>
  <c r="AY377" i="5"/>
  <c r="BC377" i="5" s="1"/>
  <c r="BA386" i="5"/>
  <c r="AY395" i="5"/>
  <c r="BA422" i="5"/>
  <c r="AZ366" i="5"/>
  <c r="AZ374" i="5"/>
  <c r="AZ410" i="5"/>
  <c r="BB415" i="5"/>
  <c r="BB374" i="5"/>
  <c r="AZ409" i="5"/>
  <c r="AY355" i="5"/>
  <c r="AY386" i="5"/>
  <c r="AY394" i="5"/>
  <c r="AY402" i="5"/>
  <c r="BA398" i="5"/>
  <c r="BA402" i="5"/>
  <c r="AZ401" i="5"/>
  <c r="BC401" i="5" s="1"/>
  <c r="AZ423" i="5"/>
  <c r="BC423" i="5" s="1"/>
  <c r="AZ350" i="5"/>
  <c r="BA391" i="5"/>
  <c r="BA415" i="5"/>
  <c r="BB418" i="5"/>
  <c r="BB353" i="5"/>
  <c r="AY350" i="5"/>
  <c r="AY358" i="5"/>
  <c r="AY382" i="5"/>
  <c r="BB409" i="5"/>
  <c r="AY414" i="5"/>
  <c r="BC414" i="5" s="1"/>
  <c r="AY353" i="5"/>
  <c r="AY409" i="5"/>
  <c r="AY413" i="5"/>
  <c r="AY412" i="5"/>
  <c r="AY410" i="5"/>
  <c r="AY408" i="5"/>
  <c r="AY418" i="5"/>
  <c r="AY419" i="5"/>
  <c r="AY352" i="5"/>
  <c r="AY420" i="5"/>
  <c r="AY411" i="5"/>
  <c r="AY417" i="5"/>
  <c r="AY374" i="5"/>
  <c r="AY416" i="5"/>
  <c r="AY415" i="5"/>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AZ363" i="5"/>
  <c r="BA361" i="5"/>
  <c r="BA366" i="5"/>
  <c r="BA358" i="5"/>
  <c r="BA425" i="5"/>
  <c r="K26" i="6" s="1"/>
  <c r="AY366" i="5"/>
  <c r="BA362" i="5"/>
  <c r="BA370" i="5"/>
  <c r="AR409" i="5"/>
  <c r="AR425" i="5"/>
  <c r="AX54" i="5"/>
  <c r="BC388" i="5"/>
  <c r="BC397" i="5"/>
  <c r="BA364" i="5"/>
  <c r="AY367" i="5"/>
  <c r="AY425" i="5"/>
  <c r="AF407" i="5"/>
  <c r="AZ357" i="5"/>
  <c r="AZ369" i="5"/>
  <c r="AY359" i="5"/>
  <c r="BC359" i="5" s="1"/>
  <c r="BA368" i="5"/>
  <c r="AZ373" i="5"/>
  <c r="BB425" i="5"/>
  <c r="O26" i="6" s="1"/>
  <c r="AY363" i="5"/>
  <c r="BA410" i="5"/>
  <c r="AL30" i="5"/>
  <c r="AL46" i="5"/>
  <c r="AL62" i="5"/>
  <c r="AR421" i="5"/>
  <c r="AZ365" i="5"/>
  <c r="BA378" i="5"/>
  <c r="BC378" i="5" s="1"/>
  <c r="BA382" i="5"/>
  <c r="BA390" i="5"/>
  <c r="BC390" i="5" s="1"/>
  <c r="AZ367" i="5"/>
  <c r="AZ361" i="5"/>
  <c r="AZ362" i="5"/>
  <c r="BA421" i="5"/>
  <c r="AZ425" i="5"/>
  <c r="AR393" i="5"/>
  <c r="AF419" i="5"/>
  <c r="AL43" i="5"/>
  <c r="AL59" i="5"/>
  <c r="AR30" i="5"/>
  <c r="AR38" i="5"/>
  <c r="AR46" i="5"/>
  <c r="AR54" i="5"/>
  <c r="AR62" i="5"/>
  <c r="AL245" i="5"/>
  <c r="AL424" i="5"/>
  <c r="AR401" i="5"/>
  <c r="AX389" i="5"/>
  <c r="AX405" i="5"/>
  <c r="AX421" i="5"/>
  <c r="AF291" i="5"/>
  <c r="AF307" i="5"/>
  <c r="AF355" i="5"/>
  <c r="AF283" i="5"/>
  <c r="AF299" i="5"/>
  <c r="AF315" i="5"/>
  <c r="AF331" i="5"/>
  <c r="AF375" i="5"/>
  <c r="AR417" i="5"/>
  <c r="AR385" i="5"/>
  <c r="AR397" i="5"/>
  <c r="AL71" i="5"/>
  <c r="AR389" i="5"/>
  <c r="AX388" i="5"/>
  <c r="AX404" i="5"/>
  <c r="AX420" i="5"/>
  <c r="AR217" i="5"/>
  <c r="AL380" i="5"/>
  <c r="AF338" i="5"/>
  <c r="AF354" i="5"/>
  <c r="AL218" i="5"/>
  <c r="AL142" i="5"/>
  <c r="AL150" i="5"/>
  <c r="AL159" i="5"/>
  <c r="AL167" i="5"/>
  <c r="AL183" i="5"/>
  <c r="AR413" i="5"/>
  <c r="AX44" i="5"/>
  <c r="AX60" i="5"/>
  <c r="AX76" i="5"/>
  <c r="AL418" i="5"/>
  <c r="AL250" i="5"/>
  <c r="AL314" i="5"/>
  <c r="AR405" i="5"/>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6" i="16"/>
  <c r="C45" i="16"/>
  <c r="AC9" i="16"/>
  <c r="T5" i="16"/>
  <c r="K6" i="16"/>
  <c r="K9" i="16"/>
  <c r="B53" i="16"/>
  <c r="B46" i="16"/>
  <c r="F21" i="16"/>
  <c r="N73" i="16"/>
  <c r="N54" i="16"/>
  <c r="S21" i="16"/>
  <c r="N45" i="16"/>
  <c r="U21" i="16"/>
  <c r="N56" i="16"/>
  <c r="AC6" i="16"/>
  <c r="B83" i="16"/>
  <c r="AC5" i="16"/>
  <c r="T9" i="16"/>
  <c r="BC424" i="5" l="1"/>
  <c r="BC365" i="5"/>
  <c r="BC412" i="5"/>
  <c r="BC354" i="5"/>
  <c r="BC404" i="5"/>
  <c r="BC407" i="5"/>
  <c r="BC369" i="5"/>
  <c r="BC411" i="5"/>
  <c r="BC350" i="5"/>
  <c r="BC391" i="5"/>
  <c r="BC384" i="5"/>
  <c r="BC379" i="5"/>
  <c r="BC403" i="5"/>
  <c r="BC381" i="5"/>
  <c r="BC370" i="5"/>
  <c r="BC420" i="5"/>
  <c r="BC376" i="5"/>
  <c r="BC405" i="5"/>
  <c r="BC406" i="5"/>
  <c r="BC400" i="5"/>
  <c r="BC396" i="5"/>
  <c r="BC380" i="5"/>
  <c r="BC371" i="5"/>
  <c r="BC357" i="5"/>
  <c r="BC416" i="5"/>
  <c r="BC419" i="5"/>
  <c r="BC402" i="5"/>
  <c r="BC386" i="5"/>
  <c r="BC422" i="5"/>
  <c r="BC360" i="5"/>
  <c r="BC383" i="5"/>
  <c r="BC352" i="5"/>
  <c r="BC393" i="5"/>
  <c r="BC392" i="5"/>
  <c r="BC356" i="5"/>
  <c r="BC368" i="5"/>
  <c r="BC364" i="5"/>
  <c r="O23" i="6"/>
  <c r="BC351" i="5"/>
  <c r="BC417" i="5"/>
  <c r="BC394" i="5"/>
  <c r="BC418" i="5"/>
  <c r="BC413" i="5"/>
  <c r="BC408" i="5"/>
  <c r="BC373" i="5"/>
  <c r="O22" i="6"/>
  <c r="BC355" i="5"/>
  <c r="O24" i="6"/>
  <c r="BC375" i="5"/>
  <c r="BC395" i="5"/>
  <c r="BC353" i="5"/>
  <c r="K25" i="6"/>
  <c r="BC382" i="5"/>
  <c r="BC398" i="5"/>
  <c r="BC415" i="5"/>
  <c r="BC409" i="5"/>
  <c r="BC374" i="5"/>
  <c r="BC358" i="5"/>
  <c r="B77" i="16"/>
  <c r="T6" i="16"/>
  <c r="BC410" i="5"/>
  <c r="H25" i="6"/>
  <c r="F36" i="6"/>
  <c r="B32" i="6"/>
  <c r="F32" i="6"/>
  <c r="J32" i="6"/>
  <c r="N32" i="6"/>
  <c r="BC366" i="5"/>
  <c r="BC361" i="5"/>
  <c r="BC362" i="5"/>
  <c r="BC363" i="5"/>
  <c r="K24" i="6"/>
  <c r="BC425" i="5"/>
  <c r="K22" i="6"/>
  <c r="BC367" i="5"/>
  <c r="BC421" i="5"/>
  <c r="K23" i="6"/>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C52" i="12" s="1"/>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C45" i="12" s="1"/>
  <c r="M12" i="12"/>
  <c r="L12" i="12"/>
  <c r="J12" i="12"/>
  <c r="Q11" i="12"/>
  <c r="O11" i="12"/>
  <c r="N11" i="12"/>
  <c r="M11" i="12"/>
  <c r="L11" i="12"/>
  <c r="J11" i="12"/>
  <c r="Q10" i="12"/>
  <c r="O10" i="12"/>
  <c r="N10" i="12"/>
  <c r="M10" i="12"/>
  <c r="L10" i="12"/>
  <c r="J10" i="12"/>
  <c r="N9" i="12"/>
  <c r="M9" i="12"/>
  <c r="J9" i="12"/>
  <c r="I8" i="5"/>
  <c r="J8" i="5"/>
  <c r="K8" i="5"/>
  <c r="H8" i="5"/>
  <c r="V9" i="5"/>
  <c r="AF9" i="5" s="1"/>
  <c r="W9" i="5"/>
  <c r="R8" i="5"/>
  <c r="M8" i="5"/>
  <c r="BE8" i="5" s="1"/>
  <c r="L8" i="5"/>
  <c r="G8" i="5"/>
  <c r="D8" i="5"/>
  <c r="AV8" i="5" s="1"/>
  <c r="L15" i="20" l="1"/>
  <c r="L19" i="20"/>
  <c r="L23" i="20"/>
  <c r="L27" i="20"/>
  <c r="L31" i="20"/>
  <c r="L35" i="20"/>
  <c r="L39" i="20"/>
  <c r="L46" i="20"/>
  <c r="L50" i="20"/>
  <c r="L54"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4" i="20"/>
  <c r="L18" i="20"/>
  <c r="L22" i="20"/>
  <c r="L30" i="20"/>
  <c r="L49" i="20"/>
  <c r="L61" i="20"/>
  <c r="L69" i="20"/>
  <c r="L77" i="20"/>
  <c r="L85" i="20"/>
  <c r="L93" i="20"/>
  <c r="L101" i="20"/>
  <c r="L109" i="20"/>
  <c r="L117" i="20"/>
  <c r="L125" i="20"/>
  <c r="L133" i="20"/>
  <c r="L141" i="20"/>
  <c r="L149" i="20"/>
  <c r="L157" i="20"/>
  <c r="L165" i="20"/>
  <c r="L173" i="20"/>
  <c r="L150" i="20"/>
  <c r="L166" i="20"/>
  <c r="L74" i="20"/>
  <c r="L90" i="20"/>
  <c r="L114" i="20"/>
  <c r="L130" i="20"/>
  <c r="L154" i="20"/>
  <c r="L178" i="20"/>
  <c r="L34" i="20"/>
  <c r="L53" i="20"/>
  <c r="L62" i="20"/>
  <c r="L70" i="20"/>
  <c r="L78" i="20"/>
  <c r="L86" i="20"/>
  <c r="L94" i="20"/>
  <c r="L102" i="20"/>
  <c r="L110" i="20"/>
  <c r="L118" i="20"/>
  <c r="L126" i="20"/>
  <c r="L134" i="20"/>
  <c r="L142" i="20"/>
  <c r="L158" i="20"/>
  <c r="L174" i="20"/>
  <c r="L98" i="20"/>
  <c r="L138" i="20"/>
  <c r="L170" i="20"/>
  <c r="L38" i="20"/>
  <c r="L57" i="20"/>
  <c r="L65" i="20"/>
  <c r="L73" i="20"/>
  <c r="L81" i="20"/>
  <c r="L89" i="20"/>
  <c r="L97" i="20"/>
  <c r="L105" i="20"/>
  <c r="L113" i="20"/>
  <c r="L121" i="20"/>
  <c r="L129" i="20"/>
  <c r="L137" i="20"/>
  <c r="L145" i="20"/>
  <c r="L153" i="20"/>
  <c r="L161" i="20"/>
  <c r="L169" i="20"/>
  <c r="L177" i="20"/>
  <c r="L26" i="20"/>
  <c r="L45" i="20"/>
  <c r="L58" i="20"/>
  <c r="L66" i="20"/>
  <c r="L82" i="20"/>
  <c r="L106" i="20"/>
  <c r="L122" i="20"/>
  <c r="L146" i="20"/>
  <c r="L162" i="20"/>
  <c r="AL9" i="5"/>
  <c r="B17" i="13"/>
  <c r="C23" i="13" s="1"/>
  <c r="N207" i="10" s="1"/>
  <c r="N82" i="10"/>
  <c r="N119" i="10"/>
  <c r="N89" i="10"/>
  <c r="N126" i="10"/>
  <c r="AZ336" i="5"/>
  <c r="BB336" i="5"/>
  <c r="AY336" i="5"/>
  <c r="BA336" i="5"/>
  <c r="AZ306" i="5"/>
  <c r="BB306" i="5"/>
  <c r="AY306" i="5"/>
  <c r="BA306" i="5"/>
  <c r="AY294" i="5"/>
  <c r="AZ294" i="5"/>
  <c r="BA294" i="5"/>
  <c r="BB294" i="5"/>
  <c r="BA286" i="5"/>
  <c r="BB286" i="5"/>
  <c r="AY286" i="5"/>
  <c r="AZ286" i="5"/>
  <c r="AY278" i="5"/>
  <c r="AZ278" i="5"/>
  <c r="BA278" i="5"/>
  <c r="BB278" i="5"/>
  <c r="AZ258" i="5"/>
  <c r="AY258" i="5"/>
  <c r="BA258" i="5"/>
  <c r="BB258" i="5"/>
  <c r="BA214" i="5"/>
  <c r="AY214" i="5"/>
  <c r="AZ214" i="5"/>
  <c r="BB214" i="5"/>
  <c r="AZ202" i="5"/>
  <c r="BB202" i="5"/>
  <c r="AY202" i="5"/>
  <c r="BA202" i="5"/>
  <c r="BB178" i="5"/>
  <c r="AZ178" i="5"/>
  <c r="BA178" i="5"/>
  <c r="AY178" i="5"/>
  <c r="BA166" i="5"/>
  <c r="AZ166" i="5"/>
  <c r="BB166" i="5"/>
  <c r="AY166" i="5"/>
  <c r="AY153" i="5"/>
  <c r="BA153" i="5"/>
  <c r="AZ153" i="5"/>
  <c r="BB153" i="5"/>
  <c r="BA145" i="5"/>
  <c r="K14" i="6" s="1"/>
  <c r="AY145" i="5"/>
  <c r="AZ145" i="5"/>
  <c r="BB145" i="5"/>
  <c r="O14" i="6" s="1"/>
  <c r="BA113" i="5"/>
  <c r="AZ113" i="5"/>
  <c r="AY113" i="5"/>
  <c r="BB113" i="5"/>
  <c r="AZ101" i="5"/>
  <c r="BB101" i="5"/>
  <c r="BA101" i="5"/>
  <c r="AY101" i="5"/>
  <c r="BB347" i="5"/>
  <c r="AY347" i="5"/>
  <c r="AZ347" i="5"/>
  <c r="BA347" i="5"/>
  <c r="BA335" i="5"/>
  <c r="BB335" i="5"/>
  <c r="AY335" i="5"/>
  <c r="AZ335" i="5"/>
  <c r="BB313" i="5"/>
  <c r="AY313" i="5"/>
  <c r="AZ313" i="5"/>
  <c r="BA313" i="5"/>
  <c r="AZ305" i="5"/>
  <c r="BA305" i="5"/>
  <c r="BB305" i="5"/>
  <c r="AY305" i="5"/>
  <c r="BB297" i="5"/>
  <c r="AY297" i="5"/>
  <c r="AZ297" i="5"/>
  <c r="BA297" i="5"/>
  <c r="BA285" i="5"/>
  <c r="AZ285" i="5"/>
  <c r="BB285" i="5"/>
  <c r="AY285" i="5"/>
  <c r="AY277" i="5"/>
  <c r="BB277" i="5"/>
  <c r="AZ277" i="5"/>
  <c r="BA277" i="5"/>
  <c r="BA253" i="5"/>
  <c r="AY253" i="5"/>
  <c r="AZ253" i="5"/>
  <c r="BB253" i="5"/>
  <c r="AZ217" i="5"/>
  <c r="BB217" i="5"/>
  <c r="AY217" i="5"/>
  <c r="BA217" i="5"/>
  <c r="AY205" i="5"/>
  <c r="AZ205" i="5"/>
  <c r="BA205" i="5"/>
  <c r="BB205" i="5"/>
  <c r="AZ185" i="5"/>
  <c r="AY185" i="5"/>
  <c r="BA185" i="5"/>
  <c r="BB185" i="5"/>
  <c r="BA165" i="5"/>
  <c r="AY165" i="5"/>
  <c r="AZ165" i="5"/>
  <c r="BB165" i="5"/>
  <c r="AY157" i="5"/>
  <c r="BA157" i="5"/>
  <c r="AZ157" i="5"/>
  <c r="BB157" i="5"/>
  <c r="BA116" i="5"/>
  <c r="AY116" i="5"/>
  <c r="AZ116" i="5"/>
  <c r="BB116" i="5"/>
  <c r="AY104" i="5"/>
  <c r="BA104" i="5"/>
  <c r="AZ104" i="5"/>
  <c r="BB104" i="5"/>
  <c r="AZ338" i="5"/>
  <c r="AY338" i="5"/>
  <c r="BA338" i="5"/>
  <c r="BB338" i="5"/>
  <c r="BB316" i="5"/>
  <c r="AY316" i="5"/>
  <c r="AZ316" i="5"/>
  <c r="BA316" i="5"/>
  <c r="AZ308" i="5"/>
  <c r="AY308" i="5"/>
  <c r="BA308" i="5"/>
  <c r="BB308" i="5"/>
  <c r="AZ304" i="5"/>
  <c r="AY304" i="5"/>
  <c r="BA304" i="5"/>
  <c r="BB304" i="5"/>
  <c r="BB300" i="5"/>
  <c r="BA300" i="5"/>
  <c r="AY300" i="5"/>
  <c r="AZ300" i="5"/>
  <c r="BB296" i="5"/>
  <c r="BA296" i="5"/>
  <c r="AY296" i="5"/>
  <c r="AZ296" i="5"/>
  <c r="AY292" i="5"/>
  <c r="BB292" i="5"/>
  <c r="AZ292" i="5"/>
  <c r="BA292" i="5"/>
  <c r="BB284" i="5"/>
  <c r="AZ284" i="5"/>
  <c r="BA284" i="5"/>
  <c r="AY284" i="5"/>
  <c r="BB280" i="5"/>
  <c r="AZ280" i="5"/>
  <c r="BA280" i="5"/>
  <c r="AY280" i="5"/>
  <c r="AY276" i="5"/>
  <c r="BA276" i="5"/>
  <c r="BB276" i="5"/>
  <c r="AZ276" i="5"/>
  <c r="AY260" i="5"/>
  <c r="AZ260" i="5"/>
  <c r="BA260" i="5"/>
  <c r="BB260" i="5"/>
  <c r="AZ256" i="5"/>
  <c r="BA256" i="5"/>
  <c r="BB256" i="5"/>
  <c r="AY256" i="5"/>
  <c r="BB252" i="5"/>
  <c r="AY252" i="5"/>
  <c r="AZ252" i="5"/>
  <c r="BA252" i="5"/>
  <c r="AY244" i="5"/>
  <c r="AZ244" i="5"/>
  <c r="BA244" i="5"/>
  <c r="BB244" i="5"/>
  <c r="AZ240" i="5"/>
  <c r="AY240" i="5"/>
  <c r="BA240" i="5"/>
  <c r="BB240" i="5"/>
  <c r="BB224" i="5"/>
  <c r="AY224" i="5"/>
  <c r="AZ224" i="5"/>
  <c r="BA224" i="5"/>
  <c r="AZ220" i="5"/>
  <c r="BA220" i="5"/>
  <c r="AY220" i="5"/>
  <c r="BB220" i="5"/>
  <c r="AZ216" i="5"/>
  <c r="BA216" i="5"/>
  <c r="BB216" i="5"/>
  <c r="AY216" i="5"/>
  <c r="BA212" i="5"/>
  <c r="BB212" i="5"/>
  <c r="AY212" i="5"/>
  <c r="AZ212" i="5"/>
  <c r="AZ204" i="5"/>
  <c r="AY204" i="5"/>
  <c r="BA204" i="5"/>
  <c r="BB204" i="5"/>
  <c r="AZ184" i="5"/>
  <c r="BB184" i="5"/>
  <c r="AY184" i="5"/>
  <c r="BA184" i="5"/>
  <c r="BA180" i="5"/>
  <c r="AY180" i="5"/>
  <c r="AZ180" i="5"/>
  <c r="BB180" i="5"/>
  <c r="AZ172" i="5"/>
  <c r="BB172" i="5"/>
  <c r="AY172" i="5"/>
  <c r="BA172" i="5"/>
  <c r="AZ168" i="5"/>
  <c r="BB168" i="5"/>
  <c r="AY168" i="5"/>
  <c r="BA168" i="5"/>
  <c r="BA164" i="5"/>
  <c r="BB164" i="5"/>
  <c r="AY164" i="5"/>
  <c r="AZ164" i="5"/>
  <c r="BB160" i="5"/>
  <c r="AY160" i="5"/>
  <c r="AZ160" i="5"/>
  <c r="BA160" i="5"/>
  <c r="AY155" i="5"/>
  <c r="AZ155" i="5"/>
  <c r="BA155" i="5"/>
  <c r="BB155" i="5"/>
  <c r="AZ151" i="5"/>
  <c r="AY151" i="5"/>
  <c r="BA151" i="5"/>
  <c r="BB151" i="5"/>
  <c r="BA147" i="5"/>
  <c r="AZ147" i="5"/>
  <c r="AY147" i="5"/>
  <c r="BB147" i="5"/>
  <c r="BB143" i="5"/>
  <c r="BA143" i="5"/>
  <c r="AY143" i="5"/>
  <c r="AZ143" i="5"/>
  <c r="AY139" i="5"/>
  <c r="BB139" i="5"/>
  <c r="BA139" i="5"/>
  <c r="AZ139" i="5"/>
  <c r="AZ119" i="5"/>
  <c r="BB119" i="5"/>
  <c r="BA119" i="5"/>
  <c r="AY119" i="5"/>
  <c r="BA115" i="5"/>
  <c r="AY115" i="5"/>
  <c r="AZ115" i="5"/>
  <c r="BB115" i="5"/>
  <c r="BB111" i="5"/>
  <c r="AY111" i="5"/>
  <c r="AZ111" i="5"/>
  <c r="BA111" i="5"/>
  <c r="AY103" i="5"/>
  <c r="BA103" i="5"/>
  <c r="AZ103" i="5"/>
  <c r="BB103" i="5"/>
  <c r="BB348" i="5"/>
  <c r="AZ348" i="5"/>
  <c r="BA348" i="5"/>
  <c r="AY348" i="5"/>
  <c r="AZ340" i="5"/>
  <c r="BB340" i="5"/>
  <c r="AY340" i="5"/>
  <c r="BA340" i="5"/>
  <c r="BB332" i="5"/>
  <c r="AY332" i="5"/>
  <c r="AZ332" i="5"/>
  <c r="BA332" i="5"/>
  <c r="BB314" i="5"/>
  <c r="AZ314" i="5"/>
  <c r="BA314" i="5"/>
  <c r="AY314" i="5"/>
  <c r="AY310" i="5"/>
  <c r="BA310" i="5"/>
  <c r="BB310" i="5"/>
  <c r="AZ310" i="5"/>
  <c r="BB298" i="5"/>
  <c r="AY298" i="5"/>
  <c r="AZ298" i="5"/>
  <c r="BA298" i="5"/>
  <c r="BB282" i="5"/>
  <c r="AY282" i="5"/>
  <c r="AZ282" i="5"/>
  <c r="BA282" i="5"/>
  <c r="BA254" i="5"/>
  <c r="AY254" i="5"/>
  <c r="AZ254" i="5"/>
  <c r="BB254" i="5"/>
  <c r="BB250" i="5"/>
  <c r="AZ250" i="5"/>
  <c r="BA250" i="5"/>
  <c r="AY250" i="5"/>
  <c r="AZ242" i="5"/>
  <c r="BB242" i="5"/>
  <c r="AY242" i="5"/>
  <c r="BA242" i="5"/>
  <c r="AY222" i="5"/>
  <c r="BB222" i="5"/>
  <c r="AZ222" i="5"/>
  <c r="BA222" i="5"/>
  <c r="AZ218" i="5"/>
  <c r="BA218" i="5"/>
  <c r="BB218" i="5"/>
  <c r="AY218" i="5"/>
  <c r="AY206" i="5"/>
  <c r="BA206" i="5"/>
  <c r="BB206" i="5"/>
  <c r="AZ206" i="5"/>
  <c r="AZ186" i="5"/>
  <c r="BA186" i="5"/>
  <c r="BB186" i="5"/>
  <c r="AY186" i="5"/>
  <c r="BA182" i="5"/>
  <c r="BB182" i="5"/>
  <c r="AY182" i="5"/>
  <c r="AZ182" i="5"/>
  <c r="AZ170" i="5"/>
  <c r="AY170" i="5"/>
  <c r="BA170" i="5"/>
  <c r="BB170" i="5"/>
  <c r="BA162" i="5"/>
  <c r="AZ162" i="5"/>
  <c r="AY162" i="5"/>
  <c r="BB162" i="5"/>
  <c r="AY158" i="5"/>
  <c r="BB158" i="5"/>
  <c r="AZ158" i="5"/>
  <c r="BA158" i="5"/>
  <c r="BA149" i="5"/>
  <c r="BB149" i="5"/>
  <c r="AY149" i="5"/>
  <c r="AZ149" i="5"/>
  <c r="AY141" i="5"/>
  <c r="AZ141" i="5"/>
  <c r="BA141" i="5"/>
  <c r="BB141" i="5"/>
  <c r="AY121" i="5"/>
  <c r="AZ121" i="5"/>
  <c r="BA121" i="5"/>
  <c r="BB121" i="5"/>
  <c r="BA117" i="5"/>
  <c r="AZ117" i="5"/>
  <c r="AY117" i="5"/>
  <c r="BB117" i="5"/>
  <c r="AY109" i="5"/>
  <c r="BB109" i="5"/>
  <c r="BA109" i="5"/>
  <c r="AZ109" i="5"/>
  <c r="AY105" i="5"/>
  <c r="BB105" i="5"/>
  <c r="AZ105" i="5"/>
  <c r="BA105" i="5"/>
  <c r="AZ339" i="5"/>
  <c r="BA339" i="5"/>
  <c r="BB339" i="5"/>
  <c r="AY339" i="5"/>
  <c r="BB331" i="5"/>
  <c r="AY331" i="5"/>
  <c r="AZ331" i="5"/>
  <c r="BA331" i="5"/>
  <c r="BB317" i="5"/>
  <c r="AY317" i="5"/>
  <c r="AZ317" i="5"/>
  <c r="BA317" i="5"/>
  <c r="AY309" i="5"/>
  <c r="AZ309" i="5"/>
  <c r="BA309" i="5"/>
  <c r="BB309" i="5"/>
  <c r="BA301" i="5"/>
  <c r="BB301" i="5"/>
  <c r="AY301" i="5"/>
  <c r="AZ301" i="5"/>
  <c r="AY293" i="5"/>
  <c r="AZ293" i="5"/>
  <c r="BA293" i="5"/>
  <c r="BB293" i="5"/>
  <c r="AY261" i="5"/>
  <c r="BA261" i="5"/>
  <c r="BB261" i="5"/>
  <c r="AZ261" i="5"/>
  <c r="AZ257" i="5"/>
  <c r="BB257" i="5"/>
  <c r="AY257" i="5"/>
  <c r="BA257" i="5"/>
  <c r="AY245" i="5"/>
  <c r="AZ245" i="5"/>
  <c r="BA245" i="5"/>
  <c r="BB245" i="5"/>
  <c r="AZ241" i="5"/>
  <c r="BA241" i="5"/>
  <c r="BB241" i="5"/>
  <c r="AY241" i="5"/>
  <c r="AY221" i="5"/>
  <c r="BA221" i="5"/>
  <c r="BB221" i="5"/>
  <c r="AZ221" i="5"/>
  <c r="BA213" i="5"/>
  <c r="AZ213" i="5"/>
  <c r="BB213" i="5"/>
  <c r="AY213" i="5"/>
  <c r="BB209" i="5"/>
  <c r="AY209" i="5"/>
  <c r="AZ209" i="5"/>
  <c r="BA209" i="5"/>
  <c r="BA181" i="5"/>
  <c r="AZ181" i="5"/>
  <c r="BB181" i="5"/>
  <c r="AY181" i="5"/>
  <c r="BB177" i="5"/>
  <c r="BA177" i="5"/>
  <c r="AY177" i="5"/>
  <c r="AZ177" i="5"/>
  <c r="AZ169" i="5"/>
  <c r="BB169" i="5"/>
  <c r="AY169" i="5"/>
  <c r="BA169" i="5"/>
  <c r="BA161" i="5"/>
  <c r="AY161" i="5"/>
  <c r="AZ161" i="5"/>
  <c r="BB161" i="5"/>
  <c r="AZ152" i="5"/>
  <c r="BA152" i="5"/>
  <c r="AY152" i="5"/>
  <c r="BB152" i="5"/>
  <c r="BA148" i="5"/>
  <c r="BB148" i="5"/>
  <c r="AY148" i="5"/>
  <c r="AZ148" i="5"/>
  <c r="AY140" i="5"/>
  <c r="AZ140" i="5"/>
  <c r="BA140" i="5"/>
  <c r="BB140" i="5"/>
  <c r="AZ120" i="5"/>
  <c r="AY120" i="5"/>
  <c r="BA120" i="5"/>
  <c r="BB120" i="5"/>
  <c r="BB112" i="5"/>
  <c r="AZ112" i="5"/>
  <c r="AY112" i="5"/>
  <c r="BA112" i="5"/>
  <c r="AY108" i="5"/>
  <c r="BA108" i="5"/>
  <c r="AZ108" i="5"/>
  <c r="BB108" i="5"/>
  <c r="AY342" i="5"/>
  <c r="AZ342" i="5"/>
  <c r="BA342" i="5"/>
  <c r="BB342" i="5"/>
  <c r="BA334" i="5"/>
  <c r="AZ334" i="5"/>
  <c r="BB334" i="5"/>
  <c r="AY334" i="5"/>
  <c r="BB312" i="5"/>
  <c r="AY312" i="5"/>
  <c r="AZ312" i="5"/>
  <c r="BA312" i="5"/>
  <c r="BB349" i="5"/>
  <c r="BA349" i="5"/>
  <c r="AY349" i="5"/>
  <c r="AZ349" i="5"/>
  <c r="AY341" i="5"/>
  <c r="BB341" i="5"/>
  <c r="AZ341" i="5"/>
  <c r="BA341" i="5"/>
  <c r="BA333" i="5"/>
  <c r="AY333" i="5"/>
  <c r="AZ333" i="5"/>
  <c r="BB333" i="5"/>
  <c r="BB315" i="5"/>
  <c r="BA315" i="5"/>
  <c r="AY315" i="5"/>
  <c r="AZ315" i="5"/>
  <c r="AY311" i="5"/>
  <c r="BB311" i="5"/>
  <c r="AZ311" i="5"/>
  <c r="BA311" i="5"/>
  <c r="AZ307" i="5"/>
  <c r="AY307" i="5"/>
  <c r="BA307" i="5"/>
  <c r="BB307" i="5"/>
  <c r="BA303" i="5"/>
  <c r="AY303" i="5"/>
  <c r="AZ303" i="5"/>
  <c r="BB303" i="5"/>
  <c r="BB299" i="5"/>
  <c r="AZ299" i="5"/>
  <c r="BA299" i="5"/>
  <c r="AY299" i="5"/>
  <c r="AY295" i="5"/>
  <c r="BA295" i="5"/>
  <c r="BB295" i="5"/>
  <c r="AZ295" i="5"/>
  <c r="AY291" i="5"/>
  <c r="BA291" i="5"/>
  <c r="BB291" i="5"/>
  <c r="AZ291" i="5"/>
  <c r="BB283" i="5"/>
  <c r="AY283" i="5"/>
  <c r="AZ283" i="5"/>
  <c r="BA283" i="5"/>
  <c r="AY279" i="5"/>
  <c r="AZ279" i="5"/>
  <c r="BA279" i="5"/>
  <c r="BB279" i="5"/>
  <c r="AY275" i="5"/>
  <c r="AZ275" i="5"/>
  <c r="BA275" i="5"/>
  <c r="BB275" i="5"/>
  <c r="AY259" i="5"/>
  <c r="AZ259" i="5"/>
  <c r="BA259" i="5"/>
  <c r="BB259" i="5"/>
  <c r="BA255" i="5"/>
  <c r="AZ255" i="5"/>
  <c r="BB255" i="5"/>
  <c r="AY255" i="5"/>
  <c r="BB251" i="5"/>
  <c r="BA251" i="5"/>
  <c r="AY251" i="5"/>
  <c r="AZ251" i="5"/>
  <c r="AY247" i="5"/>
  <c r="BB247" i="5"/>
  <c r="AZ247" i="5"/>
  <c r="BA247" i="5"/>
  <c r="AY243" i="5"/>
  <c r="BB243" i="5"/>
  <c r="AZ243" i="5"/>
  <c r="BA243" i="5"/>
  <c r="AY223" i="5"/>
  <c r="BA223" i="5"/>
  <c r="BB223" i="5"/>
  <c r="AZ223" i="5"/>
  <c r="AZ219" i="5"/>
  <c r="AY219" i="5"/>
  <c r="BA219" i="5"/>
  <c r="BB219" i="5"/>
  <c r="BA215" i="5"/>
  <c r="AZ215" i="5"/>
  <c r="AY215" i="5"/>
  <c r="BB215" i="5"/>
  <c r="AY207" i="5"/>
  <c r="BB207" i="5"/>
  <c r="AZ207" i="5"/>
  <c r="BA207" i="5"/>
  <c r="AZ203" i="5"/>
  <c r="BA203" i="5"/>
  <c r="BB203" i="5"/>
  <c r="AY203" i="5"/>
  <c r="BA183" i="5"/>
  <c r="AZ183" i="5"/>
  <c r="BB183" i="5"/>
  <c r="AY183" i="5"/>
  <c r="BA179" i="5"/>
  <c r="BB179" i="5"/>
  <c r="AY179" i="5"/>
  <c r="AZ179" i="5"/>
  <c r="AZ171" i="5"/>
  <c r="BA171" i="5"/>
  <c r="BB171" i="5"/>
  <c r="AY171" i="5"/>
  <c r="BA167" i="5"/>
  <c r="BB167" i="5"/>
  <c r="AY167" i="5"/>
  <c r="AZ167" i="5"/>
  <c r="BA163" i="5"/>
  <c r="BB163" i="5"/>
  <c r="AY163" i="5"/>
  <c r="AZ163" i="5"/>
  <c r="BB159" i="5"/>
  <c r="BA159" i="5"/>
  <c r="AY159" i="5"/>
  <c r="AZ159" i="5"/>
  <c r="BA150" i="5"/>
  <c r="AY150" i="5"/>
  <c r="AZ150" i="5"/>
  <c r="BB150" i="5"/>
  <c r="BA146" i="5"/>
  <c r="AY146" i="5"/>
  <c r="AZ146" i="5"/>
  <c r="BB146" i="5"/>
  <c r="AY142" i="5"/>
  <c r="BA142" i="5"/>
  <c r="AZ142" i="5"/>
  <c r="BB142" i="5"/>
  <c r="AY138" i="5"/>
  <c r="BA138" i="5"/>
  <c r="AZ138" i="5"/>
  <c r="BB138" i="5"/>
  <c r="BA118" i="5"/>
  <c r="BB118" i="5"/>
  <c r="AY118" i="5"/>
  <c r="AZ118" i="5"/>
  <c r="BA114" i="5"/>
  <c r="BB114" i="5"/>
  <c r="AZ114" i="5"/>
  <c r="AY114" i="5"/>
  <c r="AY110" i="5"/>
  <c r="AZ110" i="5"/>
  <c r="BA110" i="5"/>
  <c r="BB110" i="5"/>
  <c r="AY106" i="5"/>
  <c r="AZ106" i="5"/>
  <c r="BA106" i="5"/>
  <c r="BB106" i="5"/>
  <c r="AZ102" i="5"/>
  <c r="BB102" i="5"/>
  <c r="AY102" i="5"/>
  <c r="BA102" i="5"/>
  <c r="R10" i="12"/>
  <c r="B50" i="12" s="1"/>
  <c r="E79" i="12"/>
  <c r="E82" i="12"/>
  <c r="D33" i="15"/>
  <c r="C62" i="15"/>
  <c r="E33" i="15"/>
  <c r="D62" i="15"/>
  <c r="S20" i="12"/>
  <c r="C56" i="12" s="1"/>
  <c r="E80" i="12"/>
  <c r="E62" i="15"/>
  <c r="C44" i="12"/>
  <c r="E78" i="12"/>
  <c r="F62" i="15"/>
  <c r="P26" i="6"/>
  <c r="H26" i="6"/>
  <c r="L26" i="6"/>
  <c r="B23" i="13"/>
  <c r="N206" i="10" s="1"/>
  <c r="C33" i="15"/>
  <c r="B58" i="12"/>
  <c r="S23" i="12"/>
  <c r="C61" i="12" s="1"/>
  <c r="C58" i="12"/>
  <c r="S10" i="12"/>
  <c r="C50" i="12" s="1"/>
  <c r="S14" i="12"/>
  <c r="C55" i="12" s="1"/>
  <c r="C51" i="12"/>
  <c r="C49" i="12"/>
  <c r="C47" i="12"/>
  <c r="B51" i="12"/>
  <c r="C46" i="12"/>
  <c r="B48" i="12"/>
  <c r="B52" i="12"/>
  <c r="C60" i="12"/>
  <c r="B54" i="12"/>
  <c r="R23" i="12"/>
  <c r="B61" i="12" s="1"/>
  <c r="C48" i="12"/>
  <c r="C54" i="12"/>
  <c r="R14" i="12"/>
  <c r="B55" i="12" s="1"/>
  <c r="R20" i="12"/>
  <c r="B56" i="12" s="1"/>
  <c r="B47" i="12"/>
  <c r="B49" i="12"/>
  <c r="X9" i="5"/>
  <c r="AR9" i="5" s="1"/>
  <c r="Y9" i="5"/>
  <c r="AX9" i="5" s="1"/>
  <c r="M64" i="20" l="1"/>
  <c r="N64" i="20"/>
  <c r="N48" i="20"/>
  <c r="M48" i="20"/>
  <c r="M29" i="20"/>
  <c r="N29" i="20"/>
  <c r="M179" i="20"/>
  <c r="N179" i="20"/>
  <c r="M163" i="20"/>
  <c r="N163" i="20"/>
  <c r="M147" i="20"/>
  <c r="N147" i="20"/>
  <c r="N131" i="20"/>
  <c r="M131" i="20"/>
  <c r="N115" i="20"/>
  <c r="M115" i="20"/>
  <c r="N99" i="20"/>
  <c r="M99" i="20"/>
  <c r="N83" i="20"/>
  <c r="M83" i="20"/>
  <c r="N67" i="20"/>
  <c r="M67" i="20"/>
  <c r="N51" i="20"/>
  <c r="M51" i="20"/>
  <c r="M32" i="20"/>
  <c r="N32" i="20"/>
  <c r="M16" i="20"/>
  <c r="N16" i="20"/>
  <c r="N39" i="20"/>
  <c r="M39" i="20"/>
  <c r="M23" i="20"/>
  <c r="N23" i="20"/>
  <c r="N60" i="20"/>
  <c r="M60" i="20"/>
  <c r="N44" i="20"/>
  <c r="M44" i="20"/>
  <c r="M25" i="20"/>
  <c r="N25" i="20"/>
  <c r="M175" i="20"/>
  <c r="N175" i="20"/>
  <c r="N159" i="20"/>
  <c r="M159" i="20"/>
  <c r="M143" i="20"/>
  <c r="N143" i="20"/>
  <c r="M127" i="20"/>
  <c r="N127" i="20"/>
  <c r="M111" i="20"/>
  <c r="N111" i="20"/>
  <c r="M95" i="20"/>
  <c r="N95" i="20"/>
  <c r="M79" i="20"/>
  <c r="N79" i="20"/>
  <c r="M63" i="20"/>
  <c r="N63" i="20"/>
  <c r="M47" i="20"/>
  <c r="N47" i="20"/>
  <c r="N28" i="20"/>
  <c r="M28" i="20"/>
  <c r="M54" i="20"/>
  <c r="N54" i="20"/>
  <c r="N35" i="20"/>
  <c r="M35" i="20"/>
  <c r="N19" i="20"/>
  <c r="M19" i="20"/>
  <c r="M162" i="20"/>
  <c r="N162" i="20"/>
  <c r="N82" i="20"/>
  <c r="M82" i="20"/>
  <c r="M26" i="20"/>
  <c r="N26" i="20"/>
  <c r="M153" i="20"/>
  <c r="N153" i="20"/>
  <c r="N121" i="20"/>
  <c r="M121" i="20"/>
  <c r="N89" i="20"/>
  <c r="M89" i="20"/>
  <c r="M57" i="20"/>
  <c r="N57" i="20"/>
  <c r="M98" i="20"/>
  <c r="N98" i="20"/>
  <c r="M134" i="20"/>
  <c r="N134" i="20"/>
  <c r="N102" i="20"/>
  <c r="M102" i="20"/>
  <c r="M70" i="20"/>
  <c r="N70" i="20"/>
  <c r="N178" i="20"/>
  <c r="M178" i="20"/>
  <c r="M90" i="20"/>
  <c r="N90" i="20"/>
  <c r="M173" i="20"/>
  <c r="N173" i="20"/>
  <c r="N141" i="20"/>
  <c r="M141" i="20"/>
  <c r="M109" i="20"/>
  <c r="N109" i="20"/>
  <c r="N77" i="20"/>
  <c r="M77" i="20"/>
  <c r="M30" i="20"/>
  <c r="N30" i="20"/>
  <c r="M180" i="20"/>
  <c r="N180" i="20"/>
  <c r="N164" i="20"/>
  <c r="M164" i="20"/>
  <c r="N148" i="20"/>
  <c r="M148" i="20"/>
  <c r="M132" i="20"/>
  <c r="N132" i="20"/>
  <c r="N116" i="20"/>
  <c r="M116" i="20"/>
  <c r="N100" i="20"/>
  <c r="M100" i="20"/>
  <c r="M84" i="20"/>
  <c r="N84" i="20"/>
  <c r="M68" i="20"/>
  <c r="N68" i="20"/>
  <c r="M52" i="20"/>
  <c r="N52" i="20"/>
  <c r="M33" i="20"/>
  <c r="N33" i="20"/>
  <c r="N17" i="20"/>
  <c r="M17" i="20"/>
  <c r="M167" i="20"/>
  <c r="N167" i="20"/>
  <c r="M151" i="20"/>
  <c r="N151" i="20"/>
  <c r="M135" i="20"/>
  <c r="N135" i="20"/>
  <c r="N119" i="20"/>
  <c r="M119" i="20"/>
  <c r="M103" i="20"/>
  <c r="N103" i="20"/>
  <c r="M87" i="20"/>
  <c r="N87" i="20"/>
  <c r="N71" i="20"/>
  <c r="M71" i="20"/>
  <c r="N55" i="20"/>
  <c r="M55" i="20"/>
  <c r="M36" i="20"/>
  <c r="N36" i="20"/>
  <c r="M20" i="20"/>
  <c r="N20" i="20"/>
  <c r="M46" i="20"/>
  <c r="N46" i="20"/>
  <c r="M27" i="20"/>
  <c r="N27" i="20"/>
  <c r="M146" i="20"/>
  <c r="N146" i="20"/>
  <c r="M66" i="20"/>
  <c r="N66" i="20"/>
  <c r="N177" i="20"/>
  <c r="M177" i="20"/>
  <c r="M145" i="20"/>
  <c r="N145" i="20"/>
  <c r="N113" i="20"/>
  <c r="M113" i="20"/>
  <c r="N81" i="20"/>
  <c r="M81" i="20"/>
  <c r="M38" i="20"/>
  <c r="N38" i="20"/>
  <c r="M174" i="20"/>
  <c r="N174" i="20"/>
  <c r="M126" i="20"/>
  <c r="N126" i="20"/>
  <c r="M94" i="20"/>
  <c r="N94" i="20"/>
  <c r="N62" i="20"/>
  <c r="M62" i="20"/>
  <c r="M154" i="20"/>
  <c r="N154" i="20"/>
  <c r="N74" i="20"/>
  <c r="M74" i="20"/>
  <c r="M165" i="20"/>
  <c r="N165" i="20"/>
  <c r="M133" i="20"/>
  <c r="N133" i="20"/>
  <c r="N101" i="20"/>
  <c r="M101" i="20"/>
  <c r="M69" i="20"/>
  <c r="N69" i="20"/>
  <c r="N22" i="20"/>
  <c r="M22" i="20"/>
  <c r="M176" i="20"/>
  <c r="N176" i="20"/>
  <c r="M160" i="20"/>
  <c r="N160" i="20"/>
  <c r="N144" i="20"/>
  <c r="M144" i="20"/>
  <c r="N128" i="20"/>
  <c r="M128" i="20"/>
  <c r="M112" i="20"/>
  <c r="N112" i="20"/>
  <c r="N96" i="20"/>
  <c r="M96" i="20"/>
  <c r="N80" i="20"/>
  <c r="M80" i="20"/>
  <c r="M122" i="20"/>
  <c r="N122" i="20"/>
  <c r="N58" i="20"/>
  <c r="M58" i="20"/>
  <c r="N169" i="20"/>
  <c r="M169" i="20"/>
  <c r="M137" i="20"/>
  <c r="N137" i="20"/>
  <c r="N105" i="20"/>
  <c r="M105" i="20"/>
  <c r="N73" i="20"/>
  <c r="M73" i="20"/>
  <c r="N170" i="20"/>
  <c r="M170" i="20"/>
  <c r="M158" i="20"/>
  <c r="N158" i="20"/>
  <c r="M118" i="20"/>
  <c r="N118" i="20"/>
  <c r="N86" i="20"/>
  <c r="M86" i="20"/>
  <c r="M53" i="20"/>
  <c r="N53" i="20"/>
  <c r="M130" i="20"/>
  <c r="N130" i="20"/>
  <c r="M166" i="20"/>
  <c r="N166" i="20"/>
  <c r="N157" i="20"/>
  <c r="M157" i="20"/>
  <c r="N125" i="20"/>
  <c r="M125" i="20"/>
  <c r="M93" i="20"/>
  <c r="N93" i="20"/>
  <c r="M61" i="20"/>
  <c r="N61" i="20"/>
  <c r="M18" i="20"/>
  <c r="N18" i="20"/>
  <c r="N172" i="20"/>
  <c r="M172" i="20"/>
  <c r="M156" i="20"/>
  <c r="N156" i="20"/>
  <c r="M140" i="20"/>
  <c r="N140" i="20"/>
  <c r="N124" i="20"/>
  <c r="M124" i="20"/>
  <c r="N108" i="20"/>
  <c r="M108" i="20"/>
  <c r="N92" i="20"/>
  <c r="M92" i="20"/>
  <c r="N76" i="20"/>
  <c r="M76" i="20"/>
  <c r="M106" i="20"/>
  <c r="N106" i="20"/>
  <c r="M45" i="20"/>
  <c r="N45" i="20"/>
  <c r="M161" i="20"/>
  <c r="N161" i="20"/>
  <c r="N129" i="20"/>
  <c r="M129" i="20"/>
  <c r="N97" i="20"/>
  <c r="M97" i="20"/>
  <c r="N65" i="20"/>
  <c r="M65" i="20"/>
  <c r="M138" i="20"/>
  <c r="N138" i="20"/>
  <c r="N142" i="20"/>
  <c r="M142" i="20"/>
  <c r="N110" i="20"/>
  <c r="M110" i="20"/>
  <c r="M78" i="20"/>
  <c r="N78" i="20"/>
  <c r="M34" i="20"/>
  <c r="N34" i="20"/>
  <c r="M114" i="20"/>
  <c r="N114" i="20"/>
  <c r="M150" i="20"/>
  <c r="N150" i="20"/>
  <c r="N149" i="20"/>
  <c r="M149" i="20"/>
  <c r="N117" i="20"/>
  <c r="M117" i="20"/>
  <c r="N85" i="20"/>
  <c r="M85" i="20"/>
  <c r="M49" i="20"/>
  <c r="N49" i="20"/>
  <c r="M14" i="20"/>
  <c r="N14" i="20"/>
  <c r="M168" i="20"/>
  <c r="N168" i="20"/>
  <c r="M152" i="20"/>
  <c r="N152" i="20"/>
  <c r="M136" i="20"/>
  <c r="N136" i="20"/>
  <c r="N120" i="20"/>
  <c r="M120" i="20"/>
  <c r="M104" i="20"/>
  <c r="N104" i="20"/>
  <c r="N88" i="20"/>
  <c r="M88" i="20"/>
  <c r="M72" i="20"/>
  <c r="N72" i="20"/>
  <c r="N56" i="20"/>
  <c r="M56" i="20"/>
  <c r="N37" i="20"/>
  <c r="M37" i="20"/>
  <c r="M21" i="20"/>
  <c r="N21" i="20"/>
  <c r="M171" i="20"/>
  <c r="N171" i="20"/>
  <c r="M155" i="20"/>
  <c r="N155" i="20"/>
  <c r="M139" i="20"/>
  <c r="N139" i="20"/>
  <c r="M123" i="20"/>
  <c r="N123" i="20"/>
  <c r="M107" i="20"/>
  <c r="N107" i="20"/>
  <c r="M91" i="20"/>
  <c r="N91" i="20"/>
  <c r="N75" i="20"/>
  <c r="M75" i="20"/>
  <c r="M59" i="20"/>
  <c r="N59" i="20"/>
  <c r="M40" i="20"/>
  <c r="N40" i="20"/>
  <c r="M24" i="20"/>
  <c r="N24" i="20"/>
  <c r="M50" i="20"/>
  <c r="N50" i="20"/>
  <c r="N31" i="20"/>
  <c r="M31" i="20"/>
  <c r="N15" i="20"/>
  <c r="M15" i="20"/>
  <c r="AC130" i="5"/>
  <c r="AC93" i="5"/>
  <c r="AC210" i="5"/>
  <c r="AC123" i="5"/>
  <c r="AC211" i="5"/>
  <c r="AC86" i="5"/>
  <c r="B59" i="12"/>
  <c r="N150" i="10"/>
  <c r="N315" i="10"/>
  <c r="N259" i="10"/>
  <c r="N186" i="10"/>
  <c r="N298" i="10"/>
  <c r="O126" i="10"/>
  <c r="AI130" i="5" s="1"/>
  <c r="N187" i="10"/>
  <c r="N316" i="10"/>
  <c r="N260" i="10"/>
  <c r="N132" i="10"/>
  <c r="N95" i="10"/>
  <c r="N120" i="10"/>
  <c r="N83" i="10"/>
  <c r="N125" i="10"/>
  <c r="N88" i="10"/>
  <c r="N96" i="10"/>
  <c r="N133" i="10"/>
  <c r="O207" i="10"/>
  <c r="AI211" i="5" s="1"/>
  <c r="N245" i="10"/>
  <c r="N342" i="10"/>
  <c r="N172" i="10"/>
  <c r="N286" i="10"/>
  <c r="N339" i="10"/>
  <c r="N283" i="10"/>
  <c r="N169" i="10"/>
  <c r="N188" i="10"/>
  <c r="N317" i="10"/>
  <c r="N261" i="10"/>
  <c r="O89" i="10"/>
  <c r="AI93" i="5" s="1"/>
  <c r="N258" i="10"/>
  <c r="N314" i="10"/>
  <c r="N185" i="10"/>
  <c r="N85" i="10"/>
  <c r="N122" i="10"/>
  <c r="C57" i="12"/>
  <c r="N189" i="10"/>
  <c r="N318" i="10"/>
  <c r="N262" i="10"/>
  <c r="N91" i="10"/>
  <c r="N128" i="10"/>
  <c r="E84" i="12"/>
  <c r="N129" i="10"/>
  <c r="N92" i="10"/>
  <c r="O119" i="10"/>
  <c r="AI123" i="5" s="1"/>
  <c r="N192" i="10"/>
  <c r="N265" i="10"/>
  <c r="N321" i="10"/>
  <c r="N86" i="10"/>
  <c r="N123" i="10"/>
  <c r="N244" i="10"/>
  <c r="O206" i="10"/>
  <c r="AI210" i="5" s="1"/>
  <c r="N171" i="10"/>
  <c r="N285" i="10"/>
  <c r="N341" i="10"/>
  <c r="N197" i="10"/>
  <c r="N326" i="10"/>
  <c r="N270" i="10"/>
  <c r="N266" i="10"/>
  <c r="N322" i="10"/>
  <c r="N193" i="10"/>
  <c r="N319" i="10"/>
  <c r="N190" i="10"/>
  <c r="N263" i="10"/>
  <c r="N121" i="10"/>
  <c r="N84" i="10"/>
  <c r="N124" i="10"/>
  <c r="N87" i="10"/>
  <c r="N81" i="10"/>
  <c r="N118" i="10"/>
  <c r="N170" i="10"/>
  <c r="N284" i="10"/>
  <c r="N340" i="10"/>
  <c r="O82" i="10"/>
  <c r="AI86" i="5" s="1"/>
  <c r="BC102" i="5"/>
  <c r="BC106" i="5"/>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K15" i="6"/>
  <c r="BC171" i="5"/>
  <c r="BC203" i="5"/>
  <c r="BC207" i="5"/>
  <c r="BC219" i="5"/>
  <c r="BC223" i="5"/>
  <c r="BC247" i="5"/>
  <c r="BC279" i="5"/>
  <c r="BC295" i="5"/>
  <c r="BC307" i="5"/>
  <c r="BC311" i="5"/>
  <c r="BC341" i="5"/>
  <c r="O15" i="6"/>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N4" i="20" l="1"/>
  <c r="M4" i="20"/>
  <c r="AC288" i="5"/>
  <c r="AC91" i="5"/>
  <c r="AC267" i="5"/>
  <c r="AC326" i="5"/>
  <c r="AC201" i="5"/>
  <c r="AC325" i="5"/>
  <c r="AC96" i="5"/>
  <c r="AC95" i="5"/>
  <c r="AC318" i="5"/>
  <c r="AC321" i="5"/>
  <c r="AC343" i="5"/>
  <c r="AC249" i="5"/>
  <c r="AE249" i="5" s="1"/>
  <c r="AC92" i="5"/>
  <c r="AC99" i="5"/>
  <c r="AC191" i="5"/>
  <c r="AC263" i="5"/>
  <c r="AC174" i="5"/>
  <c r="AC128" i="5"/>
  <c r="AC194" i="5"/>
  <c r="AC270" i="5"/>
  <c r="AC345" i="5"/>
  <c r="AC248" i="5"/>
  <c r="AE248" i="5" s="1"/>
  <c r="AC269" i="5"/>
  <c r="AC133" i="5"/>
  <c r="AC266" i="5"/>
  <c r="AC126" i="5"/>
  <c r="AC262" i="5"/>
  <c r="AC192" i="5"/>
  <c r="AC290" i="5"/>
  <c r="AC129" i="5"/>
  <c r="AC136" i="5"/>
  <c r="AC319" i="5"/>
  <c r="AC122" i="5"/>
  <c r="AC88" i="5"/>
  <c r="AC323" i="5"/>
  <c r="AC274" i="5"/>
  <c r="AC289" i="5"/>
  <c r="AC127" i="5"/>
  <c r="AC196" i="5"/>
  <c r="AC322" i="5"/>
  <c r="AC89" i="5"/>
  <c r="AC173" i="5"/>
  <c r="AC176" i="5"/>
  <c r="AC137" i="5"/>
  <c r="AC87" i="5"/>
  <c r="AC264" i="5"/>
  <c r="AC302" i="5"/>
  <c r="AC154" i="5"/>
  <c r="AC344" i="5"/>
  <c r="AC85" i="5"/>
  <c r="AC125" i="5"/>
  <c r="AC197" i="5"/>
  <c r="AC330" i="5"/>
  <c r="AC175" i="5"/>
  <c r="AC90" i="5"/>
  <c r="AC132" i="5"/>
  <c r="AC193" i="5"/>
  <c r="AC189" i="5"/>
  <c r="AC265" i="5"/>
  <c r="AC287" i="5"/>
  <c r="AC346" i="5"/>
  <c r="AC100" i="5"/>
  <c r="AC124" i="5"/>
  <c r="AC320" i="5"/>
  <c r="AC190" i="5"/>
  <c r="N242" i="10"/>
  <c r="AC208" i="5"/>
  <c r="AE86" i="5"/>
  <c r="AY86" i="5" s="1"/>
  <c r="V86" i="5"/>
  <c r="O124" i="10"/>
  <c r="AI128" i="5" s="1"/>
  <c r="O266" i="10"/>
  <c r="AI270" i="5" s="1"/>
  <c r="P206" i="10"/>
  <c r="AO210" i="5" s="1"/>
  <c r="O244" i="10"/>
  <c r="AI248" i="5" s="1"/>
  <c r="P119" i="10"/>
  <c r="AO123" i="5" s="1"/>
  <c r="N223" i="10"/>
  <c r="O185" i="10"/>
  <c r="AI189" i="5" s="1"/>
  <c r="AE130" i="5"/>
  <c r="V130" i="5"/>
  <c r="N320" i="10"/>
  <c r="N191" i="10"/>
  <c r="N264" i="10"/>
  <c r="P82" i="10"/>
  <c r="AO86" i="5" s="1"/>
  <c r="O84" i="10"/>
  <c r="AI88" i="5" s="1"/>
  <c r="O319" i="10"/>
  <c r="AI323" i="5" s="1"/>
  <c r="O270" i="10"/>
  <c r="AI274" i="5" s="1"/>
  <c r="O285" i="10"/>
  <c r="AI289" i="5" s="1"/>
  <c r="O265" i="10"/>
  <c r="AI269" i="5" s="1"/>
  <c r="O91" i="10"/>
  <c r="AI95" i="5" s="1"/>
  <c r="P126" i="10"/>
  <c r="AO130" i="5" s="1"/>
  <c r="N323" i="10"/>
  <c r="N194" i="10"/>
  <c r="N267" i="10"/>
  <c r="O340" i="10"/>
  <c r="AI344" i="5" s="1"/>
  <c r="O81" i="10"/>
  <c r="AI85" i="5" s="1"/>
  <c r="O121" i="10"/>
  <c r="AI125" i="5" s="1"/>
  <c r="O193" i="10"/>
  <c r="AI197" i="5" s="1"/>
  <c r="N231" i="10"/>
  <c r="O326" i="10"/>
  <c r="AI330" i="5" s="1"/>
  <c r="O171" i="10"/>
  <c r="AI175" i="5" s="1"/>
  <c r="O123" i="10"/>
  <c r="AI127" i="5" s="1"/>
  <c r="N230" i="10"/>
  <c r="O192" i="10"/>
  <c r="AI196" i="5" s="1"/>
  <c r="O129" i="10"/>
  <c r="AI133" i="5" s="1"/>
  <c r="O262" i="10"/>
  <c r="AI266" i="5" s="1"/>
  <c r="O122" i="10"/>
  <c r="AI126" i="5" s="1"/>
  <c r="O258" i="10"/>
  <c r="AI262" i="5" s="1"/>
  <c r="O317" i="10"/>
  <c r="AI321" i="5" s="1"/>
  <c r="O339" i="10"/>
  <c r="AI343" i="5" s="1"/>
  <c r="AE211" i="5"/>
  <c r="V211" i="5"/>
  <c r="O96" i="10"/>
  <c r="AI100" i="5" s="1"/>
  <c r="O120" i="10"/>
  <c r="AI124" i="5" s="1"/>
  <c r="O316" i="10"/>
  <c r="AI320" i="5" s="1"/>
  <c r="O298" i="10"/>
  <c r="AI302" i="5" s="1"/>
  <c r="O150" i="10"/>
  <c r="AI154" i="5" s="1"/>
  <c r="N269" i="10"/>
  <c r="N196" i="10"/>
  <c r="N325" i="10"/>
  <c r="O170" i="10"/>
  <c r="AI174" i="5" s="1"/>
  <c r="N228" i="10"/>
  <c r="O190" i="10"/>
  <c r="AI194" i="5" s="1"/>
  <c r="O341" i="10"/>
  <c r="AI345" i="5" s="1"/>
  <c r="O321" i="10"/>
  <c r="AI325" i="5" s="1"/>
  <c r="O128" i="10"/>
  <c r="AI132" i="5" s="1"/>
  <c r="O189" i="10"/>
  <c r="AI193" i="5" s="1"/>
  <c r="N227" i="10"/>
  <c r="P89" i="10"/>
  <c r="AO93" i="5" s="1"/>
  <c r="O169" i="10"/>
  <c r="AI173" i="5" s="1"/>
  <c r="O172" i="10"/>
  <c r="AI176" i="5" s="1"/>
  <c r="P207" i="10"/>
  <c r="AO211" i="5" s="1"/>
  <c r="O245" i="10"/>
  <c r="AI249" i="5" s="1"/>
  <c r="O125" i="10"/>
  <c r="AI129" i="5" s="1"/>
  <c r="O132" i="10"/>
  <c r="AI136" i="5" s="1"/>
  <c r="O259" i="10"/>
  <c r="AI263" i="5" s="1"/>
  <c r="O118" i="10"/>
  <c r="AI122" i="5" s="1"/>
  <c r="V248" i="5"/>
  <c r="O92" i="10"/>
  <c r="AI96" i="5" s="1"/>
  <c r="N93" i="10"/>
  <c r="N130" i="10"/>
  <c r="O314" i="10"/>
  <c r="AI318" i="5" s="1"/>
  <c r="O261" i="10"/>
  <c r="AI265" i="5" s="1"/>
  <c r="O283" i="10"/>
  <c r="AI287" i="5" s="1"/>
  <c r="O342" i="10"/>
  <c r="AI346" i="5" s="1"/>
  <c r="O133" i="10"/>
  <c r="AI137" i="5" s="1"/>
  <c r="O83" i="10"/>
  <c r="AI87" i="5" s="1"/>
  <c r="O260" i="10"/>
  <c r="AI264" i="5" s="1"/>
  <c r="O315" i="10"/>
  <c r="AI319" i="5" s="1"/>
  <c r="N90" i="10"/>
  <c r="N127" i="10"/>
  <c r="N94" i="10"/>
  <c r="N131" i="10"/>
  <c r="O284" i="10"/>
  <c r="AI288" i="5" s="1"/>
  <c r="O87" i="10"/>
  <c r="AI91" i="5" s="1"/>
  <c r="O263" i="10"/>
  <c r="AI267" i="5" s="1"/>
  <c r="O322" i="10"/>
  <c r="AI326" i="5" s="1"/>
  <c r="O197" i="10"/>
  <c r="AI201" i="5" s="1"/>
  <c r="N235" i="10"/>
  <c r="AE210" i="5"/>
  <c r="V210" i="5"/>
  <c r="O86" i="10"/>
  <c r="AI90" i="5" s="1"/>
  <c r="AE123" i="5"/>
  <c r="V123" i="5"/>
  <c r="C84" i="12"/>
  <c r="N184" i="10" s="1"/>
  <c r="N183" i="10"/>
  <c r="O318" i="10"/>
  <c r="AI322" i="5" s="1"/>
  <c r="O85" i="10"/>
  <c r="AI89" i="5" s="1"/>
  <c r="AE93" i="5"/>
  <c r="V93" i="5"/>
  <c r="N226" i="10"/>
  <c r="O188" i="10"/>
  <c r="AI192" i="5" s="1"/>
  <c r="O286" i="10"/>
  <c r="AI290" i="5" s="1"/>
  <c r="V249" i="5"/>
  <c r="O88" i="10"/>
  <c r="AI92" i="5" s="1"/>
  <c r="O95" i="10"/>
  <c r="AI99" i="5" s="1"/>
  <c r="N225" i="10"/>
  <c r="O187" i="10"/>
  <c r="AI191" i="5" s="1"/>
  <c r="O186" i="10"/>
  <c r="AI190" i="5" s="1"/>
  <c r="N224" i="10"/>
  <c r="N195" i="10"/>
  <c r="N268" i="10"/>
  <c r="N324" i="10"/>
  <c r="V246" i="5"/>
  <c r="AY8" i="5"/>
  <c r="BA78" i="5"/>
  <c r="AY78" i="5"/>
  <c r="BB78" i="5"/>
  <c r="AZ78" i="5"/>
  <c r="AY70" i="5"/>
  <c r="BA70" i="5"/>
  <c r="BB70" i="5"/>
  <c r="AZ70" i="5"/>
  <c r="AY66" i="5"/>
  <c r="BA66" i="5"/>
  <c r="BB66" i="5"/>
  <c r="AZ66" i="5"/>
  <c r="BA62" i="5"/>
  <c r="AZ62" i="5"/>
  <c r="AY62" i="5"/>
  <c r="BB62" i="5"/>
  <c r="AY54" i="5"/>
  <c r="AZ54" i="5"/>
  <c r="BB54" i="5"/>
  <c r="BA54" i="5"/>
  <c r="AY50" i="5"/>
  <c r="AZ50" i="5"/>
  <c r="BB50" i="5"/>
  <c r="BA50" i="5"/>
  <c r="BA46" i="5"/>
  <c r="BB46" i="5"/>
  <c r="AY46" i="5"/>
  <c r="AZ46" i="5"/>
  <c r="BA42" i="5"/>
  <c r="BB42" i="5"/>
  <c r="AY42" i="5"/>
  <c r="AZ42" i="5"/>
  <c r="AY38" i="5"/>
  <c r="BA38" i="5"/>
  <c r="BB38" i="5"/>
  <c r="AZ38" i="5"/>
  <c r="AY34" i="5"/>
  <c r="BA34" i="5"/>
  <c r="AZ34" i="5"/>
  <c r="BB34" i="5"/>
  <c r="BA30" i="5"/>
  <c r="AZ30" i="5"/>
  <c r="BB30" i="5"/>
  <c r="AY30" i="5"/>
  <c r="AY9" i="5"/>
  <c r="BA9" i="5"/>
  <c r="BB9" i="5"/>
  <c r="AZ9" i="5"/>
  <c r="AZ79" i="5"/>
  <c r="AY79" i="5"/>
  <c r="BB79" i="5"/>
  <c r="BA79" i="5"/>
  <c r="AY67" i="5"/>
  <c r="BB67" i="5"/>
  <c r="AZ67" i="5"/>
  <c r="BA67" i="5"/>
  <c r="BA59" i="5"/>
  <c r="AY59" i="5"/>
  <c r="BB59" i="5"/>
  <c r="AZ59" i="5"/>
  <c r="AY51" i="5"/>
  <c r="BA51" i="5"/>
  <c r="BB51" i="5"/>
  <c r="AZ51" i="5"/>
  <c r="BA43" i="5"/>
  <c r="AZ43" i="5"/>
  <c r="BB43" i="5"/>
  <c r="AY43" i="5"/>
  <c r="AY35" i="5"/>
  <c r="AZ35" i="5"/>
  <c r="BB35" i="5"/>
  <c r="BA35" i="5"/>
  <c r="AZ10" i="5"/>
  <c r="BA10" i="5"/>
  <c r="BB10" i="5"/>
  <c r="AY10" i="5"/>
  <c r="AY81" i="5"/>
  <c r="BA81" i="5"/>
  <c r="BB81" i="5"/>
  <c r="AZ81" i="5"/>
  <c r="BA73" i="5"/>
  <c r="AZ73" i="5"/>
  <c r="BB73" i="5"/>
  <c r="AY73" i="5"/>
  <c r="BA61" i="5"/>
  <c r="BB61" i="5"/>
  <c r="AY61" i="5"/>
  <c r="AZ61" i="5"/>
  <c r="AY53" i="5"/>
  <c r="BA53" i="5"/>
  <c r="BB53" i="5"/>
  <c r="AZ53" i="5"/>
  <c r="BA41" i="5"/>
  <c r="AZ41" i="5"/>
  <c r="BB41" i="5"/>
  <c r="AY41" i="5"/>
  <c r="BA29" i="5"/>
  <c r="AY29" i="5"/>
  <c r="BB29" i="5"/>
  <c r="AZ29" i="5"/>
  <c r="AY83" i="5"/>
  <c r="BA83" i="5"/>
  <c r="BB83" i="5"/>
  <c r="AZ83" i="5"/>
  <c r="BA75" i="5"/>
  <c r="AZ75" i="5"/>
  <c r="AY75" i="5"/>
  <c r="BB75" i="5"/>
  <c r="BB71" i="5"/>
  <c r="BA71" i="5"/>
  <c r="AY71" i="5"/>
  <c r="AZ71" i="5"/>
  <c r="AZ63" i="5"/>
  <c r="BA63" i="5"/>
  <c r="BB63" i="5"/>
  <c r="AY63" i="5"/>
  <c r="BB55" i="5"/>
  <c r="AZ55" i="5"/>
  <c r="AY55" i="5"/>
  <c r="BA55" i="5"/>
  <c r="AZ47" i="5"/>
  <c r="BB47" i="5"/>
  <c r="AY47" i="5"/>
  <c r="BA47" i="5"/>
  <c r="BB39" i="5"/>
  <c r="AY39" i="5"/>
  <c r="BA39" i="5"/>
  <c r="AZ39" i="5"/>
  <c r="AZ31" i="5"/>
  <c r="BA31" i="5"/>
  <c r="BB31" i="5"/>
  <c r="AY31" i="5"/>
  <c r="AY82" i="5"/>
  <c r="BB82" i="5"/>
  <c r="AZ82" i="5"/>
  <c r="BA82" i="5"/>
  <c r="BA74" i="5"/>
  <c r="AY74" i="5"/>
  <c r="BB74" i="5"/>
  <c r="AZ74" i="5"/>
  <c r="BA58" i="5"/>
  <c r="AZ58" i="5"/>
  <c r="AY58" i="5"/>
  <c r="BB58" i="5"/>
  <c r="BA77" i="5"/>
  <c r="AZ77" i="5"/>
  <c r="AY77" i="5"/>
  <c r="BB77" i="5"/>
  <c r="AY69" i="5"/>
  <c r="AZ69" i="5"/>
  <c r="BB69" i="5"/>
  <c r="BA69" i="5"/>
  <c r="AY65" i="5"/>
  <c r="AZ65" i="5"/>
  <c r="BB65" i="5"/>
  <c r="BA65" i="5"/>
  <c r="BA57" i="5"/>
  <c r="BB57" i="5"/>
  <c r="AY57" i="5"/>
  <c r="AZ57" i="5"/>
  <c r="AY49" i="5"/>
  <c r="BA49" i="5"/>
  <c r="AZ49" i="5"/>
  <c r="BB49" i="5"/>
  <c r="BA45" i="5"/>
  <c r="AZ45" i="5"/>
  <c r="AY45" i="5"/>
  <c r="BB45" i="5"/>
  <c r="AY37" i="5"/>
  <c r="BB37" i="5"/>
  <c r="AZ37" i="5"/>
  <c r="BA37" i="5"/>
  <c r="AY33" i="5"/>
  <c r="BB33" i="5"/>
  <c r="AZ33" i="5"/>
  <c r="BA33" i="5"/>
  <c r="AY84" i="5"/>
  <c r="AZ84" i="5"/>
  <c r="BB84" i="5"/>
  <c r="BA84" i="5"/>
  <c r="AZ80" i="5"/>
  <c r="BA80" i="5"/>
  <c r="BB80" i="5"/>
  <c r="AY80" i="5"/>
  <c r="BA76" i="5"/>
  <c r="BB76" i="5"/>
  <c r="AY76" i="5"/>
  <c r="AZ76" i="5"/>
  <c r="BB72" i="5"/>
  <c r="AZ72" i="5"/>
  <c r="AY72" i="5"/>
  <c r="BA72" i="5"/>
  <c r="AY68" i="5"/>
  <c r="BA68" i="5"/>
  <c r="AZ68" i="5"/>
  <c r="BB68" i="5"/>
  <c r="AZ64" i="5"/>
  <c r="AY64" i="5"/>
  <c r="BB64" i="5"/>
  <c r="BA64" i="5"/>
  <c r="BA60" i="5"/>
  <c r="AZ60" i="5"/>
  <c r="BB60" i="5"/>
  <c r="AY60" i="5"/>
  <c r="BB56" i="5"/>
  <c r="BA56" i="5"/>
  <c r="AY56" i="5"/>
  <c r="AZ56" i="5"/>
  <c r="AY52" i="5"/>
  <c r="BB52" i="5"/>
  <c r="AZ52" i="5"/>
  <c r="BA52" i="5"/>
  <c r="AZ48" i="5"/>
  <c r="BA48" i="5"/>
  <c r="AY48" i="5"/>
  <c r="BB48" i="5"/>
  <c r="BA44" i="5"/>
  <c r="AY44" i="5"/>
  <c r="BB44" i="5"/>
  <c r="AZ44" i="5"/>
  <c r="BB40" i="5"/>
  <c r="AZ40" i="5"/>
  <c r="BA40" i="5"/>
  <c r="AY40" i="5"/>
  <c r="AY36" i="5"/>
  <c r="BA36" i="5"/>
  <c r="BB36" i="5"/>
  <c r="AZ36" i="5"/>
  <c r="AZ32" i="5"/>
  <c r="BB32" i="5"/>
  <c r="AY32" i="5"/>
  <c r="BA32" i="5"/>
  <c r="AY11" i="5"/>
  <c r="BB11" i="5"/>
  <c r="BA11" i="5"/>
  <c r="AZ11" i="5"/>
  <c r="N103" i="10"/>
  <c r="N333" i="10"/>
  <c r="N277" i="10"/>
  <c r="N140" i="10"/>
  <c r="O204" i="10"/>
  <c r="V8" i="5"/>
  <c r="AC97" i="5" l="1"/>
  <c r="AC198" i="5"/>
  <c r="AC324" i="5"/>
  <c r="AC107" i="5"/>
  <c r="AE107" i="5" s="1"/>
  <c r="AY107" i="5" s="1"/>
  <c r="AC230" i="5"/>
  <c r="AE230" i="5" s="1"/>
  <c r="AC239" i="5"/>
  <c r="AE239" i="5" s="1"/>
  <c r="AC131" i="5"/>
  <c r="AC327" i="5"/>
  <c r="AC246" i="5"/>
  <c r="AE246" i="5" s="1"/>
  <c r="AY246" i="5" s="1"/>
  <c r="AC144" i="5"/>
  <c r="AE144" i="5" s="1"/>
  <c r="AY144" i="5" s="1"/>
  <c r="AC229" i="5"/>
  <c r="AE229" i="5" s="1"/>
  <c r="AC187" i="5"/>
  <c r="AC94" i="5"/>
  <c r="AC200" i="5"/>
  <c r="AC234" i="5"/>
  <c r="AE234" i="5" s="1"/>
  <c r="AC235" i="5"/>
  <c r="AE235" i="5" s="1"/>
  <c r="AC268" i="5"/>
  <c r="AC328" i="5"/>
  <c r="AC98" i="5"/>
  <c r="AC227" i="5"/>
  <c r="AE227" i="5" s="1"/>
  <c r="AC272" i="5"/>
  <c r="AC231" i="5"/>
  <c r="AE231" i="5" s="1"/>
  <c r="AC329" i="5"/>
  <c r="AC199" i="5"/>
  <c r="AC228" i="5"/>
  <c r="AE228" i="5" s="1"/>
  <c r="AC188" i="5"/>
  <c r="AC135" i="5"/>
  <c r="AC134" i="5"/>
  <c r="AC232" i="5"/>
  <c r="AE232" i="5" s="1"/>
  <c r="AC273" i="5"/>
  <c r="AC271" i="5"/>
  <c r="AC195" i="5"/>
  <c r="O333" i="10"/>
  <c r="AI337" i="5" s="1"/>
  <c r="AC337" i="5"/>
  <c r="O277" i="10"/>
  <c r="AI281" i="5" s="1"/>
  <c r="AC281" i="5"/>
  <c r="AE281" i="5" s="1"/>
  <c r="AY281" i="5" s="1"/>
  <c r="O242" i="10"/>
  <c r="AI246" i="5" s="1"/>
  <c r="AK246" i="5" s="1"/>
  <c r="AI208" i="5"/>
  <c r="AF210" i="5"/>
  <c r="O268" i="10"/>
  <c r="AI272" i="5" s="1"/>
  <c r="AY249" i="5"/>
  <c r="AF93" i="5"/>
  <c r="AY93" i="5"/>
  <c r="AE91" i="5"/>
  <c r="V91" i="5"/>
  <c r="AE319" i="5"/>
  <c r="V319" i="5"/>
  <c r="AE346" i="5"/>
  <c r="V346" i="5"/>
  <c r="O130" i="10"/>
  <c r="AI134" i="5" s="1"/>
  <c r="AE263" i="5"/>
  <c r="V263" i="5"/>
  <c r="Q207" i="10"/>
  <c r="AU211" i="5" s="1"/>
  <c r="P245" i="10"/>
  <c r="AO249" i="5" s="1"/>
  <c r="V231" i="5"/>
  <c r="AE194" i="5"/>
  <c r="V194" i="5"/>
  <c r="AE154" i="5"/>
  <c r="V154" i="5"/>
  <c r="AE100" i="5"/>
  <c r="V100" i="5"/>
  <c r="AE262" i="5"/>
  <c r="V262" i="5"/>
  <c r="AE196" i="5"/>
  <c r="V196" i="5"/>
  <c r="P123" i="10"/>
  <c r="AO127" i="5" s="1"/>
  <c r="P326" i="10"/>
  <c r="AO330" i="5" s="1"/>
  <c r="AE125" i="5"/>
  <c r="V125" i="5"/>
  <c r="AE344" i="5"/>
  <c r="V344" i="5"/>
  <c r="O323" i="10"/>
  <c r="AI327" i="5" s="1"/>
  <c r="P91" i="10"/>
  <c r="AO95" i="5" s="1"/>
  <c r="P285" i="10"/>
  <c r="AO289" i="5" s="1"/>
  <c r="P319" i="10"/>
  <c r="AO323" i="5" s="1"/>
  <c r="Q82" i="10"/>
  <c r="AU86" i="5" s="1"/>
  <c r="V227" i="5"/>
  <c r="AK248" i="5"/>
  <c r="W248" i="5"/>
  <c r="AZ248" i="5" s="1"/>
  <c r="AE128" i="5"/>
  <c r="V128" i="5"/>
  <c r="N233" i="10"/>
  <c r="O195" i="10"/>
  <c r="AI199" i="5" s="1"/>
  <c r="AE191" i="5"/>
  <c r="V191" i="5"/>
  <c r="AF249" i="5"/>
  <c r="O226" i="10"/>
  <c r="AI230" i="5" s="1"/>
  <c r="P188" i="10"/>
  <c r="AO192" i="5" s="1"/>
  <c r="AE90" i="5"/>
  <c r="V90" i="5"/>
  <c r="P322" i="10"/>
  <c r="AO326" i="5" s="1"/>
  <c r="O94" i="10"/>
  <c r="AI98" i="5" s="1"/>
  <c r="P342" i="10"/>
  <c r="AO346" i="5" s="1"/>
  <c r="AF248" i="5"/>
  <c r="P125" i="10"/>
  <c r="AO129" i="5" s="1"/>
  <c r="AK93" i="5"/>
  <c r="W93" i="5"/>
  <c r="P321" i="10"/>
  <c r="AO325" i="5" s="1"/>
  <c r="P150" i="10"/>
  <c r="AO154" i="5" s="1"/>
  <c r="P96" i="10"/>
  <c r="AO100" i="5" s="1"/>
  <c r="P258" i="10"/>
  <c r="AO262" i="5" s="1"/>
  <c r="P192" i="10"/>
  <c r="AO196" i="5" s="1"/>
  <c r="O230" i="10"/>
  <c r="AI234" i="5" s="1"/>
  <c r="AE197" i="5"/>
  <c r="V197" i="5"/>
  <c r="P340" i="10"/>
  <c r="AO344" i="5" s="1"/>
  <c r="AE274" i="5"/>
  <c r="V274" i="5"/>
  <c r="O264" i="10"/>
  <c r="AI268" i="5" s="1"/>
  <c r="AF130" i="5"/>
  <c r="AY130" i="5"/>
  <c r="AK123" i="5"/>
  <c r="W123" i="5"/>
  <c r="P124" i="10"/>
  <c r="AO128" i="5" s="1"/>
  <c r="AE190" i="5"/>
  <c r="V190" i="5"/>
  <c r="P187" i="10"/>
  <c r="AO191" i="5" s="1"/>
  <c r="O225" i="10"/>
  <c r="AI229" i="5" s="1"/>
  <c r="AE92" i="5"/>
  <c r="V92" i="5"/>
  <c r="AE290" i="5"/>
  <c r="V290" i="5"/>
  <c r="V230" i="5"/>
  <c r="P85" i="10"/>
  <c r="AO89" i="5" s="1"/>
  <c r="N222" i="10"/>
  <c r="O184" i="10"/>
  <c r="AI188" i="5" s="1"/>
  <c r="P86" i="10"/>
  <c r="AO90" i="5" s="1"/>
  <c r="V239" i="5"/>
  <c r="AE267" i="5"/>
  <c r="V267" i="5"/>
  <c r="AE288" i="5"/>
  <c r="V288" i="5"/>
  <c r="O127" i="10"/>
  <c r="AI131" i="5" s="1"/>
  <c r="AE264" i="5"/>
  <c r="V264" i="5"/>
  <c r="AE137" i="5"/>
  <c r="V137" i="5"/>
  <c r="AE287" i="5"/>
  <c r="V287" i="5"/>
  <c r="AE318" i="5"/>
  <c r="V318" i="5"/>
  <c r="AE96" i="5"/>
  <c r="V96" i="5"/>
  <c r="AE122" i="5"/>
  <c r="V122" i="5"/>
  <c r="AE136" i="5"/>
  <c r="V136" i="5"/>
  <c r="AK211" i="5"/>
  <c r="W211" i="5"/>
  <c r="AZ211" i="5" s="1"/>
  <c r="P172" i="10"/>
  <c r="AO176" i="5" s="1"/>
  <c r="Q89" i="10"/>
  <c r="AU93" i="5" s="1"/>
  <c r="AE132" i="5"/>
  <c r="V132" i="5"/>
  <c r="AE345" i="5"/>
  <c r="V345" i="5"/>
  <c r="V232" i="5"/>
  <c r="N234" i="10"/>
  <c r="O196" i="10"/>
  <c r="AI200" i="5" s="1"/>
  <c r="AE302" i="5"/>
  <c r="V302" i="5"/>
  <c r="AE124" i="5"/>
  <c r="V124" i="5"/>
  <c r="AY211" i="5"/>
  <c r="AE321" i="5"/>
  <c r="V321" i="5"/>
  <c r="AE126" i="5"/>
  <c r="V126" i="5"/>
  <c r="AE133" i="5"/>
  <c r="V133" i="5"/>
  <c r="V234" i="5"/>
  <c r="P171" i="10"/>
  <c r="AO175" i="5" s="1"/>
  <c r="V235" i="5"/>
  <c r="AE85" i="5"/>
  <c r="V85" i="5"/>
  <c r="O267" i="10"/>
  <c r="AI271" i="5" s="1"/>
  <c r="Q126" i="10"/>
  <c r="AU130" i="5" s="1"/>
  <c r="P265" i="10"/>
  <c r="AO269" i="5" s="1"/>
  <c r="P270" i="10"/>
  <c r="AO274" i="5" s="1"/>
  <c r="P84" i="10"/>
  <c r="AO88" i="5" s="1"/>
  <c r="N229" i="10"/>
  <c r="O191" i="10"/>
  <c r="AI195" i="5" s="1"/>
  <c r="AE189" i="5"/>
  <c r="V189" i="5"/>
  <c r="Q119" i="10"/>
  <c r="AU123" i="5" s="1"/>
  <c r="AE270" i="5"/>
  <c r="V270" i="5"/>
  <c r="O224" i="10"/>
  <c r="AI228" i="5" s="1"/>
  <c r="P186" i="10"/>
  <c r="AO190" i="5" s="1"/>
  <c r="AE99" i="5"/>
  <c r="V99" i="5"/>
  <c r="AE192" i="5"/>
  <c r="V192" i="5"/>
  <c r="P318" i="10"/>
  <c r="AO322" i="5" s="1"/>
  <c r="AF123" i="5"/>
  <c r="AY123" i="5"/>
  <c r="AE326" i="5"/>
  <c r="V326" i="5"/>
  <c r="O131" i="10"/>
  <c r="AI135" i="5" s="1"/>
  <c r="AE87" i="5"/>
  <c r="V87" i="5"/>
  <c r="AE265" i="5"/>
  <c r="V265" i="5"/>
  <c r="AY248" i="5"/>
  <c r="AE129" i="5"/>
  <c r="V129" i="5"/>
  <c r="P169" i="10"/>
  <c r="AO173" i="5" s="1"/>
  <c r="AE325" i="5"/>
  <c r="V325" i="5"/>
  <c r="P170" i="10"/>
  <c r="AO174" i="5" s="1"/>
  <c r="AE320" i="5"/>
  <c r="V320" i="5"/>
  <c r="AE343" i="5"/>
  <c r="V343" i="5"/>
  <c r="AE266" i="5"/>
  <c r="V266" i="5"/>
  <c r="P95" i="10"/>
  <c r="AO99" i="5" s="1"/>
  <c r="AE89" i="5"/>
  <c r="V89" i="5"/>
  <c r="N221" i="10"/>
  <c r="O183" i="10"/>
  <c r="AI187" i="5" s="1"/>
  <c r="AE201" i="5"/>
  <c r="V201" i="5"/>
  <c r="P87" i="10"/>
  <c r="AO91" i="5" s="1"/>
  <c r="P315" i="10"/>
  <c r="AO319" i="5" s="1"/>
  <c r="P83" i="10"/>
  <c r="AO87" i="5" s="1"/>
  <c r="P261" i="10"/>
  <c r="AO265" i="5" s="1"/>
  <c r="O93" i="10"/>
  <c r="AI97" i="5" s="1"/>
  <c r="P259" i="10"/>
  <c r="AO263" i="5" s="1"/>
  <c r="AE176" i="5"/>
  <c r="V176" i="5"/>
  <c r="P189" i="10"/>
  <c r="AO193" i="5" s="1"/>
  <c r="O227" i="10"/>
  <c r="AI231" i="5" s="1"/>
  <c r="P190" i="10"/>
  <c r="AO194" i="5" s="1"/>
  <c r="O228" i="10"/>
  <c r="AI232" i="5" s="1"/>
  <c r="O325" i="10"/>
  <c r="AI329" i="5" s="1"/>
  <c r="P316" i="10"/>
  <c r="AO320" i="5" s="1"/>
  <c r="P339" i="10"/>
  <c r="AO343" i="5" s="1"/>
  <c r="P262" i="10"/>
  <c r="AO266" i="5" s="1"/>
  <c r="AE175" i="5"/>
  <c r="V175" i="5"/>
  <c r="P121" i="10"/>
  <c r="AO125" i="5" s="1"/>
  <c r="AK130" i="5"/>
  <c r="W130" i="5"/>
  <c r="AE269" i="5"/>
  <c r="V269" i="5"/>
  <c r="AE88" i="5"/>
  <c r="V88" i="5"/>
  <c r="P244" i="10"/>
  <c r="AO248" i="5" s="1"/>
  <c r="Q206" i="10"/>
  <c r="AU210" i="5" s="1"/>
  <c r="O324" i="10"/>
  <c r="AI328" i="5" s="1"/>
  <c r="V228" i="5"/>
  <c r="V229" i="5"/>
  <c r="P88" i="10"/>
  <c r="AO92" i="5" s="1"/>
  <c r="P286" i="10"/>
  <c r="AO290" i="5" s="1"/>
  <c r="AE322" i="5"/>
  <c r="V322" i="5"/>
  <c r="AY210" i="5"/>
  <c r="P197" i="10"/>
  <c r="AO201" i="5" s="1"/>
  <c r="O235" i="10"/>
  <c r="AI239" i="5" s="1"/>
  <c r="P263" i="10"/>
  <c r="AO267" i="5" s="1"/>
  <c r="P284" i="10"/>
  <c r="AO288" i="5" s="1"/>
  <c r="O90" i="10"/>
  <c r="AI94" i="5" s="1"/>
  <c r="P260" i="10"/>
  <c r="AO264" i="5" s="1"/>
  <c r="P133" i="10"/>
  <c r="AO137" i="5" s="1"/>
  <c r="P283" i="10"/>
  <c r="AO287" i="5" s="1"/>
  <c r="P314" i="10"/>
  <c r="AO318" i="5" s="1"/>
  <c r="P92" i="10"/>
  <c r="AO96" i="5" s="1"/>
  <c r="P118" i="10"/>
  <c r="AO122" i="5" s="1"/>
  <c r="P132" i="10"/>
  <c r="AO136" i="5" s="1"/>
  <c r="AK249" i="5"/>
  <c r="W249" i="5"/>
  <c r="AZ249" i="5" s="1"/>
  <c r="AE173" i="5"/>
  <c r="V173" i="5"/>
  <c r="AE193" i="5"/>
  <c r="V193" i="5"/>
  <c r="P128" i="10"/>
  <c r="AO132" i="5" s="1"/>
  <c r="P341" i="10"/>
  <c r="AO345" i="5" s="1"/>
  <c r="AE174" i="5"/>
  <c r="V174" i="5"/>
  <c r="O269" i="10"/>
  <c r="AI273" i="5" s="1"/>
  <c r="P298" i="10"/>
  <c r="AO302" i="5" s="1"/>
  <c r="P120" i="10"/>
  <c r="AO124" i="5" s="1"/>
  <c r="AF211" i="5"/>
  <c r="P317" i="10"/>
  <c r="AO321" i="5" s="1"/>
  <c r="P122" i="10"/>
  <c r="AO126" i="5" s="1"/>
  <c r="P129" i="10"/>
  <c r="AO133" i="5" s="1"/>
  <c r="AE127" i="5"/>
  <c r="V127" i="5"/>
  <c r="AE330" i="5"/>
  <c r="V330" i="5"/>
  <c r="P193" i="10"/>
  <c r="AO197" i="5" s="1"/>
  <c r="O231" i="10"/>
  <c r="AI235" i="5" s="1"/>
  <c r="P81" i="10"/>
  <c r="AO85" i="5" s="1"/>
  <c r="N232" i="10"/>
  <c r="O194" i="10"/>
  <c r="AI198" i="5" s="1"/>
  <c r="AE95" i="5"/>
  <c r="V95" i="5"/>
  <c r="AE289" i="5"/>
  <c r="V289" i="5"/>
  <c r="AE323" i="5"/>
  <c r="V323" i="5"/>
  <c r="AK86" i="5"/>
  <c r="W86" i="5"/>
  <c r="O320" i="10"/>
  <c r="AI324" i="5" s="1"/>
  <c r="P185" i="10"/>
  <c r="AO189" i="5" s="1"/>
  <c r="O223" i="10"/>
  <c r="AI227" i="5" s="1"/>
  <c r="AK210" i="5"/>
  <c r="W210" i="5"/>
  <c r="AZ210" i="5" s="1"/>
  <c r="P266" i="10"/>
  <c r="AO270" i="5" s="1"/>
  <c r="AF86" i="5"/>
  <c r="W246" i="5"/>
  <c r="BC52" i="5"/>
  <c r="BC80" i="5"/>
  <c r="BC84" i="5"/>
  <c r="BC82" i="5"/>
  <c r="BC83" i="5"/>
  <c r="BC41" i="5"/>
  <c r="BC53" i="5"/>
  <c r="BC51" i="5"/>
  <c r="BC50" i="5"/>
  <c r="BC40" i="5"/>
  <c r="BC30" i="5"/>
  <c r="BC31" i="5"/>
  <c r="BC63" i="5"/>
  <c r="BC61" i="5"/>
  <c r="BC73" i="5"/>
  <c r="BC59" i="5"/>
  <c r="BC29" i="5"/>
  <c r="K11" i="6"/>
  <c r="BC32" i="5"/>
  <c r="BC48" i="5"/>
  <c r="BC56" i="5"/>
  <c r="BC72" i="5"/>
  <c r="BC37" i="5"/>
  <c r="BC57" i="5"/>
  <c r="BC47" i="5"/>
  <c r="BC55" i="5"/>
  <c r="BC71" i="5"/>
  <c r="O9" i="6"/>
  <c r="O10" i="6"/>
  <c r="BC67" i="5"/>
  <c r="BC46" i="5"/>
  <c r="O11" i="6"/>
  <c r="BC62" i="5"/>
  <c r="BC36" i="5"/>
  <c r="BC64" i="5"/>
  <c r="BC68" i="5"/>
  <c r="BC45" i="5"/>
  <c r="BC69" i="5"/>
  <c r="BC77" i="5"/>
  <c r="BC39" i="5"/>
  <c r="BC75" i="5"/>
  <c r="BC10" i="5"/>
  <c r="BC35" i="5"/>
  <c r="BC43" i="5"/>
  <c r="BC79" i="5"/>
  <c r="BC34" i="5"/>
  <c r="BC66" i="5"/>
  <c r="BC78" i="5"/>
  <c r="BC11" i="5"/>
  <c r="BC44" i="5"/>
  <c r="BC60" i="5"/>
  <c r="BC76" i="5"/>
  <c r="BC33" i="5"/>
  <c r="BC49" i="5"/>
  <c r="BC65" i="5"/>
  <c r="BC58" i="5"/>
  <c r="BC74" i="5"/>
  <c r="K9" i="6"/>
  <c r="K10" i="6"/>
  <c r="BC81" i="5"/>
  <c r="BC9" i="5"/>
  <c r="BC38" i="5"/>
  <c r="BC42" i="5"/>
  <c r="BC54" i="5"/>
  <c r="BC70" i="5"/>
  <c r="V337" i="5"/>
  <c r="O140" i="10"/>
  <c r="O103" i="10"/>
  <c r="P204" i="10"/>
  <c r="V107" i="5"/>
  <c r="V144" i="5"/>
  <c r="AE208" i="5"/>
  <c r="AY208" i="5" s="1"/>
  <c r="V208" i="5"/>
  <c r="Y11" i="5"/>
  <c r="Y10" i="5"/>
  <c r="AX10" i="5" s="1"/>
  <c r="V10" i="5"/>
  <c r="AF8" i="5"/>
  <c r="V11" i="5"/>
  <c r="AF11" i="5" s="1"/>
  <c r="X10" i="5"/>
  <c r="W11" i="5"/>
  <c r="AL11" i="5" s="1"/>
  <c r="X11" i="5"/>
  <c r="AR11" i="5" s="1"/>
  <c r="W10" i="5"/>
  <c r="AL10" i="5" s="1"/>
  <c r="AK8" i="5"/>
  <c r="AX11" i="5" l="1"/>
  <c r="AR10" i="5"/>
  <c r="AF246" i="5"/>
  <c r="AC226" i="5"/>
  <c r="AE226" i="5" s="1"/>
  <c r="AC237" i="5"/>
  <c r="AE237" i="5" s="1"/>
  <c r="AC236" i="5"/>
  <c r="AC233" i="5"/>
  <c r="AE233" i="5" s="1"/>
  <c r="AC225" i="5"/>
  <c r="AE225" i="5" s="1"/>
  <c r="AC238" i="5"/>
  <c r="AE238" i="5" s="1"/>
  <c r="P277" i="10"/>
  <c r="AO281" i="5" s="1"/>
  <c r="AF10" i="5"/>
  <c r="P333" i="10"/>
  <c r="AO337" i="5" s="1"/>
  <c r="P103" i="10"/>
  <c r="AO107" i="5" s="1"/>
  <c r="AI107" i="5"/>
  <c r="P140" i="10"/>
  <c r="AO144" i="5" s="1"/>
  <c r="AI144" i="5"/>
  <c r="P242" i="10"/>
  <c r="AO246" i="5" s="1"/>
  <c r="AQ246" i="5" s="1"/>
  <c r="AO208" i="5"/>
  <c r="AL249" i="5"/>
  <c r="AL248" i="5"/>
  <c r="AK227" i="5"/>
  <c r="W227" i="5"/>
  <c r="AK321" i="5"/>
  <c r="W321" i="5"/>
  <c r="Q341" i="10"/>
  <c r="AU345" i="5" s="1"/>
  <c r="Q314" i="10"/>
  <c r="AU318" i="5" s="1"/>
  <c r="Q133" i="10"/>
  <c r="AU137" i="5" s="1"/>
  <c r="Q263" i="10"/>
  <c r="AU267" i="5" s="1"/>
  <c r="AF322" i="5"/>
  <c r="AY322" i="5"/>
  <c r="AK92" i="5"/>
  <c r="W92" i="5"/>
  <c r="AQ210" i="5"/>
  <c r="X210" i="5"/>
  <c r="BA210" i="5" s="1"/>
  <c r="AL130" i="5"/>
  <c r="AZ130" i="5"/>
  <c r="Q339" i="10"/>
  <c r="AU343" i="5" s="1"/>
  <c r="AK193" i="5"/>
  <c r="W193" i="5"/>
  <c r="P93" i="10"/>
  <c r="AO97" i="5" s="1"/>
  <c r="Q87" i="10"/>
  <c r="AU91" i="5" s="1"/>
  <c r="AK99" i="5"/>
  <c r="W99" i="5"/>
  <c r="AE135" i="5"/>
  <c r="V135" i="5"/>
  <c r="AK190" i="5"/>
  <c r="W190" i="5"/>
  <c r="Q270" i="10"/>
  <c r="AU274" i="5" s="1"/>
  <c r="AF85" i="5"/>
  <c r="AY85" i="5"/>
  <c r="AF133" i="5"/>
  <c r="AY133" i="5"/>
  <c r="AF124" i="5"/>
  <c r="AY124" i="5"/>
  <c r="AQ93" i="5"/>
  <c r="X93" i="5"/>
  <c r="AK90" i="5"/>
  <c r="W90" i="5"/>
  <c r="AF230" i="5"/>
  <c r="AY230" i="5"/>
  <c r="AE268" i="5"/>
  <c r="V268" i="5"/>
  <c r="AK196" i="5"/>
  <c r="W196" i="5"/>
  <c r="Q150" i="10"/>
  <c r="AU154" i="5" s="1"/>
  <c r="AK326" i="5"/>
  <c r="W326" i="5"/>
  <c r="V237" i="5"/>
  <c r="AW86" i="5"/>
  <c r="Y86" i="5"/>
  <c r="AF125" i="5"/>
  <c r="AY125" i="5"/>
  <c r="AF262" i="5"/>
  <c r="AY262" i="5"/>
  <c r="AF231" i="5"/>
  <c r="AY231" i="5"/>
  <c r="AL86" i="5"/>
  <c r="AZ86" i="5"/>
  <c r="P194" i="10"/>
  <c r="AO198" i="5" s="1"/>
  <c r="O232" i="10"/>
  <c r="AI236" i="5" s="1"/>
  <c r="AK197" i="5"/>
  <c r="W197" i="5"/>
  <c r="Q129" i="10"/>
  <c r="AU133" i="5" s="1"/>
  <c r="AK302" i="5"/>
  <c r="W302" i="5"/>
  <c r="AK132" i="5"/>
  <c r="W132" i="5"/>
  <c r="AK136" i="5"/>
  <c r="W136" i="5"/>
  <c r="AK287" i="5"/>
  <c r="W287" i="5"/>
  <c r="AK288" i="5"/>
  <c r="W288" i="5"/>
  <c r="AF228" i="5"/>
  <c r="AY228" i="5"/>
  <c r="AK266" i="5"/>
  <c r="W266" i="5"/>
  <c r="AK231" i="5"/>
  <c r="W231" i="5"/>
  <c r="AK265" i="5"/>
  <c r="W265" i="5"/>
  <c r="V225" i="5"/>
  <c r="AF266" i="5"/>
  <c r="AY266" i="5"/>
  <c r="AF325" i="5"/>
  <c r="AY325" i="5"/>
  <c r="P131" i="10"/>
  <c r="AO135" i="5" s="1"/>
  <c r="AF192" i="5"/>
  <c r="AY192" i="5"/>
  <c r="Q186" i="10"/>
  <c r="AU190" i="5" s="1"/>
  <c r="P224" i="10"/>
  <c r="AO228" i="5" s="1"/>
  <c r="AF189" i="5"/>
  <c r="AY189" i="5"/>
  <c r="AE271" i="5"/>
  <c r="V271" i="5"/>
  <c r="AF345" i="5"/>
  <c r="AY345" i="5"/>
  <c r="AF122" i="5"/>
  <c r="AY122" i="5"/>
  <c r="Q188" i="10"/>
  <c r="AU192" i="5" s="1"/>
  <c r="P226" i="10"/>
  <c r="AO230" i="5" s="1"/>
  <c r="AL210" i="5"/>
  <c r="AE324" i="5"/>
  <c r="V324" i="5"/>
  <c r="AE236" i="5"/>
  <c r="V236" i="5"/>
  <c r="AK235" i="5"/>
  <c r="W235" i="5"/>
  <c r="AK126" i="5"/>
  <c r="W126" i="5"/>
  <c r="Q298" i="10"/>
  <c r="AU302" i="5" s="1"/>
  <c r="AF174" i="5"/>
  <c r="AY174" i="5"/>
  <c r="Q128" i="10"/>
  <c r="AU132" i="5" s="1"/>
  <c r="AF173" i="5"/>
  <c r="AY173" i="5"/>
  <c r="Q132" i="10"/>
  <c r="AU136" i="5" s="1"/>
  <c r="Q92" i="10"/>
  <c r="AU96" i="5" s="1"/>
  <c r="Q283" i="10"/>
  <c r="AU287" i="5" s="1"/>
  <c r="Q260" i="10"/>
  <c r="AU264" i="5" s="1"/>
  <c r="Q284" i="10"/>
  <c r="AU288" i="5" s="1"/>
  <c r="AK239" i="5"/>
  <c r="W239" i="5"/>
  <c r="AK290" i="5"/>
  <c r="W290" i="5"/>
  <c r="AE328" i="5"/>
  <c r="V328" i="5"/>
  <c r="AQ248" i="5"/>
  <c r="X248" i="5"/>
  <c r="AF269" i="5"/>
  <c r="AY269" i="5"/>
  <c r="Q121" i="10"/>
  <c r="AU125" i="5" s="1"/>
  <c r="Q262" i="10"/>
  <c r="AU266" i="5" s="1"/>
  <c r="Q316" i="10"/>
  <c r="AU320" i="5" s="1"/>
  <c r="AK232" i="5"/>
  <c r="W232" i="5"/>
  <c r="Q189" i="10"/>
  <c r="AU193" i="5" s="1"/>
  <c r="P227" i="10"/>
  <c r="AO231" i="5" s="1"/>
  <c r="Q259" i="10"/>
  <c r="AU263" i="5" s="1"/>
  <c r="Q261" i="10"/>
  <c r="AU265" i="5" s="1"/>
  <c r="Q315" i="10"/>
  <c r="AU319" i="5" s="1"/>
  <c r="AF201" i="5"/>
  <c r="AY201" i="5"/>
  <c r="AK174" i="5"/>
  <c r="W174" i="5"/>
  <c r="AK173" i="5"/>
  <c r="W173" i="5"/>
  <c r="AK322" i="5"/>
  <c r="W322" i="5"/>
  <c r="AK228" i="5"/>
  <c r="W228" i="5"/>
  <c r="AQ123" i="5"/>
  <c r="X123" i="5"/>
  <c r="AE195" i="5"/>
  <c r="V195" i="5"/>
  <c r="Q84" i="10"/>
  <c r="AU88" i="5" s="1"/>
  <c r="Q265" i="10"/>
  <c r="AU269" i="5" s="1"/>
  <c r="P267" i="10"/>
  <c r="AO271" i="5" s="1"/>
  <c r="AF235" i="5"/>
  <c r="AY235" i="5"/>
  <c r="AF234" i="5"/>
  <c r="AY234" i="5"/>
  <c r="AF126" i="5"/>
  <c r="AY126" i="5"/>
  <c r="AF302" i="5"/>
  <c r="AY302" i="5"/>
  <c r="AK176" i="5"/>
  <c r="W176" i="5"/>
  <c r="AE188" i="5"/>
  <c r="V188" i="5"/>
  <c r="Q85" i="10"/>
  <c r="AU89" i="5" s="1"/>
  <c r="AF290" i="5"/>
  <c r="AY290" i="5"/>
  <c r="AK229" i="5"/>
  <c r="W229" i="5"/>
  <c r="AK128" i="5"/>
  <c r="W128" i="5"/>
  <c r="Q192" i="10"/>
  <c r="AU196" i="5" s="1"/>
  <c r="P230" i="10"/>
  <c r="AO234" i="5" s="1"/>
  <c r="Q96" i="10"/>
  <c r="AU100" i="5" s="1"/>
  <c r="Q321" i="10"/>
  <c r="AU325" i="5" s="1"/>
  <c r="Q125" i="10"/>
  <c r="AU129" i="5" s="1"/>
  <c r="AE98" i="5"/>
  <c r="V98" i="5"/>
  <c r="AK230" i="5"/>
  <c r="W230" i="5"/>
  <c r="AE199" i="5"/>
  <c r="V199" i="5"/>
  <c r="AF128" i="5"/>
  <c r="AY128" i="5"/>
  <c r="AF227" i="5"/>
  <c r="AY227" i="5"/>
  <c r="Q319" i="10"/>
  <c r="AU323" i="5" s="1"/>
  <c r="Q91" i="10"/>
  <c r="AU95" i="5" s="1"/>
  <c r="AF344" i="5"/>
  <c r="AY344" i="5"/>
  <c r="Q326" i="10"/>
  <c r="AU330" i="5" s="1"/>
  <c r="AF196" i="5"/>
  <c r="AY196" i="5"/>
  <c r="AF100" i="5"/>
  <c r="AY100" i="5"/>
  <c r="AF194" i="5"/>
  <c r="AY194" i="5"/>
  <c r="AQ249" i="5"/>
  <c r="X249" i="5"/>
  <c r="AE134" i="5"/>
  <c r="V134" i="5"/>
  <c r="AE272" i="5"/>
  <c r="V272" i="5"/>
  <c r="Q266" i="10"/>
  <c r="AU270" i="5" s="1"/>
  <c r="AE198" i="5"/>
  <c r="V198" i="5"/>
  <c r="Q81" i="10"/>
  <c r="AU85" i="5" s="1"/>
  <c r="AK133" i="5"/>
  <c r="W133" i="5"/>
  <c r="Q120" i="10"/>
  <c r="AU124" i="5" s="1"/>
  <c r="P269" i="10"/>
  <c r="AO273" i="5" s="1"/>
  <c r="AF193" i="5"/>
  <c r="AY193" i="5"/>
  <c r="Q118" i="10"/>
  <c r="AU122" i="5" s="1"/>
  <c r="P90" i="10"/>
  <c r="AO94" i="5" s="1"/>
  <c r="AF88" i="5"/>
  <c r="AY88" i="5"/>
  <c r="AF175" i="5"/>
  <c r="AY175" i="5"/>
  <c r="P325" i="10"/>
  <c r="AO329" i="5" s="1"/>
  <c r="AF176" i="5"/>
  <c r="AY176" i="5"/>
  <c r="Q83" i="10"/>
  <c r="AU87" i="5" s="1"/>
  <c r="P183" i="10"/>
  <c r="AO187" i="5" s="1"/>
  <c r="O221" i="10"/>
  <c r="AI225" i="5" s="1"/>
  <c r="V233" i="5"/>
  <c r="AW130" i="5"/>
  <c r="Y130" i="5"/>
  <c r="Q171" i="10"/>
  <c r="AU175" i="5" s="1"/>
  <c r="AF321" i="5"/>
  <c r="AY321" i="5"/>
  <c r="P196" i="10"/>
  <c r="AO200" i="5" s="1"/>
  <c r="O234" i="10"/>
  <c r="AI238" i="5" s="1"/>
  <c r="AE131" i="5"/>
  <c r="V131" i="5"/>
  <c r="V226" i="5"/>
  <c r="AF92" i="5"/>
  <c r="AY92" i="5"/>
  <c r="AK344" i="5"/>
  <c r="W344" i="5"/>
  <c r="Q258" i="10"/>
  <c r="AU262" i="5" s="1"/>
  <c r="AL93" i="5"/>
  <c r="AZ93" i="5"/>
  <c r="AK346" i="5"/>
  <c r="W346" i="5"/>
  <c r="AK192" i="5"/>
  <c r="W192" i="5"/>
  <c r="Q285" i="10"/>
  <c r="AU289" i="5" s="1"/>
  <c r="P323" i="10"/>
  <c r="AO327" i="5" s="1"/>
  <c r="Q123" i="10"/>
  <c r="AU127" i="5" s="1"/>
  <c r="AF154" i="5"/>
  <c r="AY154" i="5"/>
  <c r="Q185" i="10"/>
  <c r="AU189" i="5" s="1"/>
  <c r="P223" i="10"/>
  <c r="AO227" i="5" s="1"/>
  <c r="AF289" i="5"/>
  <c r="AY289" i="5"/>
  <c r="AF330" i="5"/>
  <c r="AY330" i="5"/>
  <c r="Q317" i="10"/>
  <c r="AU321" i="5" s="1"/>
  <c r="AK96" i="5"/>
  <c r="W96" i="5"/>
  <c r="AK264" i="5"/>
  <c r="W264" i="5"/>
  <c r="AK201" i="5"/>
  <c r="W201" i="5"/>
  <c r="Q88" i="10"/>
  <c r="AU92" i="5" s="1"/>
  <c r="Q244" i="10"/>
  <c r="AU248" i="5" s="1"/>
  <c r="AK125" i="5"/>
  <c r="W125" i="5"/>
  <c r="AK320" i="5"/>
  <c r="W320" i="5"/>
  <c r="AK194" i="5"/>
  <c r="W194" i="5"/>
  <c r="AK263" i="5"/>
  <c r="W263" i="5"/>
  <c r="AK319" i="5"/>
  <c r="W319" i="5"/>
  <c r="Q95" i="10"/>
  <c r="AU99" i="5" s="1"/>
  <c r="AF320" i="5"/>
  <c r="AY320" i="5"/>
  <c r="AF129" i="5"/>
  <c r="AY129" i="5"/>
  <c r="AF265" i="5"/>
  <c r="AY265" i="5"/>
  <c r="AF270" i="5"/>
  <c r="AY270" i="5"/>
  <c r="AK88" i="5"/>
  <c r="W88" i="5"/>
  <c r="AK269" i="5"/>
  <c r="W269" i="5"/>
  <c r="V238" i="5"/>
  <c r="AW93" i="5"/>
  <c r="Y93" i="5"/>
  <c r="AL211" i="5"/>
  <c r="AF318" i="5"/>
  <c r="AY318" i="5"/>
  <c r="AF137" i="5"/>
  <c r="AY137" i="5"/>
  <c r="P127" i="10"/>
  <c r="AO131" i="5" s="1"/>
  <c r="AF267" i="5"/>
  <c r="AY267" i="5"/>
  <c r="Q86" i="10"/>
  <c r="AU90" i="5" s="1"/>
  <c r="AK89" i="5"/>
  <c r="W89" i="5"/>
  <c r="AK191" i="5"/>
  <c r="W191" i="5"/>
  <c r="AF190" i="5"/>
  <c r="AY190" i="5"/>
  <c r="AL123" i="5"/>
  <c r="AZ123" i="5"/>
  <c r="P264" i="10"/>
  <c r="AO268" i="5" s="1"/>
  <c r="Q340" i="10"/>
  <c r="AU344" i="5" s="1"/>
  <c r="AK234" i="5"/>
  <c r="W234" i="5"/>
  <c r="AK100" i="5"/>
  <c r="W100" i="5"/>
  <c r="AK325" i="5"/>
  <c r="W325" i="5"/>
  <c r="AK129" i="5"/>
  <c r="W129" i="5"/>
  <c r="Q342" i="10"/>
  <c r="AU346" i="5" s="1"/>
  <c r="Q322" i="10"/>
  <c r="AU326" i="5" s="1"/>
  <c r="AF191" i="5"/>
  <c r="AY191" i="5"/>
  <c r="AK323" i="5"/>
  <c r="W323" i="5"/>
  <c r="AK95" i="5"/>
  <c r="W95" i="5"/>
  <c r="AK330" i="5"/>
  <c r="W330" i="5"/>
  <c r="AQ211" i="5"/>
  <c r="X211" i="5"/>
  <c r="BA211" i="5" s="1"/>
  <c r="AF263" i="5"/>
  <c r="AY263" i="5"/>
  <c r="AF346" i="5"/>
  <c r="AY346" i="5"/>
  <c r="AF91" i="5"/>
  <c r="AY91" i="5"/>
  <c r="AK270" i="5"/>
  <c r="W270" i="5"/>
  <c r="AK189" i="5"/>
  <c r="W189" i="5"/>
  <c r="P320" i="10"/>
  <c r="AO324" i="5" s="1"/>
  <c r="AF323" i="5"/>
  <c r="AY323" i="5"/>
  <c r="AF95" i="5"/>
  <c r="AY95" i="5"/>
  <c r="AK85" i="5"/>
  <c r="W85" i="5"/>
  <c r="P231" i="10"/>
  <c r="AO235" i="5" s="1"/>
  <c r="Q193" i="10"/>
  <c r="AU197" i="5" s="1"/>
  <c r="AF127" i="5"/>
  <c r="AY127" i="5"/>
  <c r="Q122" i="10"/>
  <c r="AU126" i="5" s="1"/>
  <c r="AK124" i="5"/>
  <c r="W124" i="5"/>
  <c r="AE273" i="5"/>
  <c r="V273" i="5"/>
  <c r="AK345" i="5"/>
  <c r="W345" i="5"/>
  <c r="AK122" i="5"/>
  <c r="W122" i="5"/>
  <c r="AK318" i="5"/>
  <c r="W318" i="5"/>
  <c r="AK137" i="5"/>
  <c r="W137" i="5"/>
  <c r="AE94" i="5"/>
  <c r="V94" i="5"/>
  <c r="AK267" i="5"/>
  <c r="W267" i="5"/>
  <c r="P235" i="10"/>
  <c r="AO239" i="5" s="1"/>
  <c r="Q197" i="10"/>
  <c r="AU201" i="5" s="1"/>
  <c r="Q286" i="10"/>
  <c r="AU290" i="5" s="1"/>
  <c r="AF229" i="5"/>
  <c r="AY229" i="5"/>
  <c r="P324" i="10"/>
  <c r="AO328" i="5" s="1"/>
  <c r="AK343" i="5"/>
  <c r="W343" i="5"/>
  <c r="AE329" i="5"/>
  <c r="V329" i="5"/>
  <c r="P228" i="10"/>
  <c r="AO232" i="5" s="1"/>
  <c r="Q190" i="10"/>
  <c r="AU194" i="5" s="1"/>
  <c r="AE97" i="5"/>
  <c r="V97" i="5"/>
  <c r="AK87" i="5"/>
  <c r="W87" i="5"/>
  <c r="AK91" i="5"/>
  <c r="W91" i="5"/>
  <c r="AE187" i="5"/>
  <c r="V187" i="5"/>
  <c r="AF89" i="5"/>
  <c r="AY89" i="5"/>
  <c r="AF343" i="5"/>
  <c r="AY343" i="5"/>
  <c r="Q170" i="10"/>
  <c r="AU174" i="5" s="1"/>
  <c r="Q169" i="10"/>
  <c r="AU173" i="5" s="1"/>
  <c r="AF87" i="5"/>
  <c r="AY87" i="5"/>
  <c r="AF326" i="5"/>
  <c r="AY326" i="5"/>
  <c r="Q318" i="10"/>
  <c r="AU322" i="5" s="1"/>
  <c r="AF99" i="5"/>
  <c r="AY99" i="5"/>
  <c r="AW123" i="5"/>
  <c r="Y123" i="5"/>
  <c r="O229" i="10"/>
  <c r="AI233" i="5" s="1"/>
  <c r="P191" i="10"/>
  <c r="AO195" i="5" s="1"/>
  <c r="AK274" i="5"/>
  <c r="W274" i="5"/>
  <c r="AQ130" i="5"/>
  <c r="X130" i="5"/>
  <c r="AK175" i="5"/>
  <c r="W175" i="5"/>
  <c r="AE200" i="5"/>
  <c r="V200" i="5"/>
  <c r="AF232" i="5"/>
  <c r="AY232" i="5"/>
  <c r="AF132" i="5"/>
  <c r="AY132" i="5"/>
  <c r="Q172" i="10"/>
  <c r="AU176" i="5" s="1"/>
  <c r="AF136" i="5"/>
  <c r="AY136" i="5"/>
  <c r="AF96" i="5"/>
  <c r="AY96" i="5"/>
  <c r="AF287" i="5"/>
  <c r="AY287" i="5"/>
  <c r="AF264" i="5"/>
  <c r="AY264" i="5"/>
  <c r="AF288" i="5"/>
  <c r="AY288" i="5"/>
  <c r="AF239" i="5"/>
  <c r="AY239" i="5"/>
  <c r="O222" i="10"/>
  <c r="AI226" i="5" s="1"/>
  <c r="P184" i="10"/>
  <c r="AO188" i="5" s="1"/>
  <c r="P225" i="10"/>
  <c r="AO229" i="5" s="1"/>
  <c r="Q187" i="10"/>
  <c r="AU191" i="5" s="1"/>
  <c r="Q124" i="10"/>
  <c r="AU128" i="5" s="1"/>
  <c r="AF274" i="5"/>
  <c r="AY274" i="5"/>
  <c r="AF197" i="5"/>
  <c r="AY197" i="5"/>
  <c r="AK262" i="5"/>
  <c r="W262" i="5"/>
  <c r="AK154" i="5"/>
  <c r="W154" i="5"/>
  <c r="P94" i="10"/>
  <c r="AO98" i="5" s="1"/>
  <c r="AF90" i="5"/>
  <c r="AY90" i="5"/>
  <c r="P195" i="10"/>
  <c r="AO199" i="5" s="1"/>
  <c r="O233" i="10"/>
  <c r="AI237" i="5" s="1"/>
  <c r="AQ86" i="5"/>
  <c r="X86" i="5"/>
  <c r="AK289" i="5"/>
  <c r="W289" i="5"/>
  <c r="AE327" i="5"/>
  <c r="V327" i="5"/>
  <c r="AK127" i="5"/>
  <c r="W127" i="5"/>
  <c r="Q245" i="10"/>
  <c r="AU249" i="5" s="1"/>
  <c r="P130" i="10"/>
  <c r="AO134" i="5" s="1"/>
  <c r="AF319" i="5"/>
  <c r="AY319" i="5"/>
  <c r="P268" i="10"/>
  <c r="AO272" i="5" s="1"/>
  <c r="X246" i="5"/>
  <c r="AL246" i="5"/>
  <c r="AZ246" i="5"/>
  <c r="B35" i="6"/>
  <c r="AE337" i="5"/>
  <c r="AY337" i="5" s="1"/>
  <c r="V281" i="5"/>
  <c r="W144" i="5"/>
  <c r="AF107" i="5"/>
  <c r="W107" i="5"/>
  <c r="AF208" i="5"/>
  <c r="AF144" i="5"/>
  <c r="AK281" i="5"/>
  <c r="AZ281" i="5" s="1"/>
  <c r="W281" i="5"/>
  <c r="AK337" i="5"/>
  <c r="AZ337" i="5" s="1"/>
  <c r="W337" i="5"/>
  <c r="AK208" i="5"/>
  <c r="AZ208" i="5" s="1"/>
  <c r="W208" i="5"/>
  <c r="Q204" i="10"/>
  <c r="AU208" i="5" s="1"/>
  <c r="R14" i="6"/>
  <c r="L25" i="6"/>
  <c r="D25" i="6"/>
  <c r="S25" i="6"/>
  <c r="L14" i="6"/>
  <c r="P14" i="6"/>
  <c r="Z11" i="5"/>
  <c r="R25" i="6"/>
  <c r="H14" i="6"/>
  <c r="Z10" i="5"/>
  <c r="P25" i="6"/>
  <c r="AZ8" i="5"/>
  <c r="W8" i="5"/>
  <c r="D9" i="19" l="1"/>
  <c r="F35" i="6"/>
  <c r="Q277" i="10"/>
  <c r="AU281" i="5" s="1"/>
  <c r="AW281" i="5" s="1"/>
  <c r="BB281" i="5" s="1"/>
  <c r="Q140" i="10"/>
  <c r="AU144" i="5" s="1"/>
  <c r="AW144" i="5" s="1"/>
  <c r="BB144" i="5" s="1"/>
  <c r="Q103" i="10"/>
  <c r="AU107" i="5" s="1"/>
  <c r="AW107" i="5" s="1"/>
  <c r="BB107" i="5" s="1"/>
  <c r="Q333" i="10"/>
  <c r="AU337" i="5" s="1"/>
  <c r="AW337" i="5" s="1"/>
  <c r="BB337" i="5" s="1"/>
  <c r="Z86" i="5"/>
  <c r="B42" i="6"/>
  <c r="Z130" i="5"/>
  <c r="AR211" i="5"/>
  <c r="Z123" i="5"/>
  <c r="AR249" i="5"/>
  <c r="Q268" i="10"/>
  <c r="AU272" i="5" s="1"/>
  <c r="Q130" i="10"/>
  <c r="AU134" i="5" s="1"/>
  <c r="AL127" i="5"/>
  <c r="AZ127" i="5"/>
  <c r="AK199" i="5"/>
  <c r="W199" i="5"/>
  <c r="AL154" i="5"/>
  <c r="AZ154" i="5"/>
  <c r="AW128" i="5"/>
  <c r="Y128" i="5"/>
  <c r="AK226" i="5"/>
  <c r="W226" i="5"/>
  <c r="AF200" i="5"/>
  <c r="AY200" i="5"/>
  <c r="AR130" i="5"/>
  <c r="BA130" i="5"/>
  <c r="Q191" i="10"/>
  <c r="AU195" i="5" s="1"/>
  <c r="P229" i="10"/>
  <c r="AO233" i="5" s="1"/>
  <c r="AQ173" i="5"/>
  <c r="X173" i="5"/>
  <c r="AL345" i="5"/>
  <c r="AZ345" i="5"/>
  <c r="AL124" i="5"/>
  <c r="AZ124" i="5"/>
  <c r="AW326" i="5"/>
  <c r="Y326" i="5"/>
  <c r="AL100" i="5"/>
  <c r="AZ100" i="5"/>
  <c r="AX93" i="5"/>
  <c r="BB93" i="5"/>
  <c r="AW330" i="5"/>
  <c r="Y330" i="5"/>
  <c r="AW95" i="5"/>
  <c r="Y95" i="5"/>
  <c r="AF199" i="5"/>
  <c r="AY199" i="5"/>
  <c r="AQ325" i="5"/>
  <c r="X325" i="5"/>
  <c r="AQ196" i="5"/>
  <c r="X196" i="5"/>
  <c r="AQ89" i="5"/>
  <c r="X89" i="5"/>
  <c r="Q267" i="10"/>
  <c r="AU271" i="5" s="1"/>
  <c r="AW88" i="5"/>
  <c r="Y88" i="5"/>
  <c r="AR123" i="5"/>
  <c r="BA123" i="5"/>
  <c r="AL174" i="5"/>
  <c r="AZ174" i="5"/>
  <c r="AW265" i="5"/>
  <c r="Y265" i="5"/>
  <c r="AQ231" i="5"/>
  <c r="X231" i="5"/>
  <c r="AQ320" i="5"/>
  <c r="X320" i="5"/>
  <c r="AQ125" i="5"/>
  <c r="X125" i="5"/>
  <c r="BA248" i="5"/>
  <c r="AL239" i="5"/>
  <c r="AZ239" i="5"/>
  <c r="AW264" i="5"/>
  <c r="Y264" i="5"/>
  <c r="AW96" i="5"/>
  <c r="Y96" i="5"/>
  <c r="AL126" i="5"/>
  <c r="AZ126" i="5"/>
  <c r="AL302" i="5"/>
  <c r="AZ302" i="5"/>
  <c r="AW211" i="5"/>
  <c r="Y211" i="5"/>
  <c r="AL289" i="5"/>
  <c r="AZ289" i="5"/>
  <c r="AK237" i="5"/>
  <c r="W237" i="5"/>
  <c r="AK98" i="5"/>
  <c r="W98" i="5"/>
  <c r="AQ191" i="5"/>
  <c r="X191" i="5"/>
  <c r="AQ176" i="5"/>
  <c r="X176" i="5"/>
  <c r="AL175" i="5"/>
  <c r="AZ175" i="5"/>
  <c r="AK233" i="5"/>
  <c r="W233" i="5"/>
  <c r="AW173" i="5"/>
  <c r="Y173" i="5"/>
  <c r="AF187" i="5"/>
  <c r="AY187" i="5"/>
  <c r="AL87" i="5"/>
  <c r="AZ87" i="5"/>
  <c r="AQ194" i="5"/>
  <c r="X194" i="5"/>
  <c r="AF329" i="5"/>
  <c r="AY329" i="5"/>
  <c r="AQ201" i="5"/>
  <c r="X201" i="5"/>
  <c r="AL267" i="5"/>
  <c r="AZ267" i="5"/>
  <c r="AL137" i="5"/>
  <c r="AZ137" i="5"/>
  <c r="AL122" i="5"/>
  <c r="AZ122" i="5"/>
  <c r="AQ126" i="5"/>
  <c r="X126" i="5"/>
  <c r="AQ197" i="5"/>
  <c r="X197" i="5"/>
  <c r="AL85" i="5"/>
  <c r="AZ85" i="5"/>
  <c r="AL189" i="5"/>
  <c r="AZ189" i="5"/>
  <c r="AL330" i="5"/>
  <c r="AZ330" i="5"/>
  <c r="AQ346" i="5"/>
  <c r="X346" i="5"/>
  <c r="AK268" i="5"/>
  <c r="W268" i="5"/>
  <c r="AW90" i="5"/>
  <c r="Y90" i="5"/>
  <c r="Q127" i="10"/>
  <c r="AU131" i="5" s="1"/>
  <c r="AQ99" i="5"/>
  <c r="X99" i="5"/>
  <c r="AL319" i="5"/>
  <c r="AZ319" i="5"/>
  <c r="AL194" i="5"/>
  <c r="AZ194" i="5"/>
  <c r="AL125" i="5"/>
  <c r="AZ125" i="5"/>
  <c r="AW92" i="5"/>
  <c r="Y92" i="5"/>
  <c r="AL264" i="5"/>
  <c r="AZ264" i="5"/>
  <c r="AQ227" i="5"/>
  <c r="X227" i="5"/>
  <c r="AK327" i="5"/>
  <c r="W327" i="5"/>
  <c r="AL346" i="5"/>
  <c r="AZ346" i="5"/>
  <c r="AW262" i="5"/>
  <c r="Y262" i="5"/>
  <c r="AF131" i="5"/>
  <c r="AY131" i="5"/>
  <c r="P234" i="10"/>
  <c r="AO238" i="5" s="1"/>
  <c r="Q196" i="10"/>
  <c r="AU200" i="5" s="1"/>
  <c r="AW175" i="5"/>
  <c r="Y175" i="5"/>
  <c r="AF233" i="5"/>
  <c r="AY233" i="5"/>
  <c r="Q183" i="10"/>
  <c r="AU187" i="5" s="1"/>
  <c r="P221" i="10"/>
  <c r="AO225" i="5" s="1"/>
  <c r="AW122" i="5"/>
  <c r="Y122" i="5"/>
  <c r="Q269" i="10"/>
  <c r="AU273" i="5" s="1"/>
  <c r="AL133" i="5"/>
  <c r="AZ133" i="5"/>
  <c r="AF198" i="5"/>
  <c r="AY198" i="5"/>
  <c r="AQ323" i="5"/>
  <c r="X323" i="5"/>
  <c r="AF98" i="5"/>
  <c r="AY98" i="5"/>
  <c r="AW325" i="5"/>
  <c r="Y325" i="5"/>
  <c r="AQ234" i="5"/>
  <c r="X234" i="5"/>
  <c r="AL229" i="5"/>
  <c r="AZ229" i="5"/>
  <c r="AW89" i="5"/>
  <c r="Y89" i="5"/>
  <c r="AQ269" i="5"/>
  <c r="X269" i="5"/>
  <c r="AL322" i="5"/>
  <c r="AZ322" i="5"/>
  <c r="AQ319" i="5"/>
  <c r="X319" i="5"/>
  <c r="AQ263" i="5"/>
  <c r="X263" i="5"/>
  <c r="Q227" i="10"/>
  <c r="AU231" i="5" s="1"/>
  <c r="AW320" i="5"/>
  <c r="Y320" i="5"/>
  <c r="AW125" i="5"/>
  <c r="Y125" i="5"/>
  <c r="AR248" i="5"/>
  <c r="AQ288" i="5"/>
  <c r="X288" i="5"/>
  <c r="AQ287" i="5"/>
  <c r="X287" i="5"/>
  <c r="AQ136" i="5"/>
  <c r="X136" i="5"/>
  <c r="AQ132" i="5"/>
  <c r="X132" i="5"/>
  <c r="AQ302" i="5"/>
  <c r="X302" i="5"/>
  <c r="AF236" i="5"/>
  <c r="AY236" i="5"/>
  <c r="AF324" i="5"/>
  <c r="AY324" i="5"/>
  <c r="AQ192" i="5"/>
  <c r="X192" i="5"/>
  <c r="AF271" i="5"/>
  <c r="AY271" i="5"/>
  <c r="AQ343" i="5"/>
  <c r="X343" i="5"/>
  <c r="B40" i="6"/>
  <c r="AW249" i="5"/>
  <c r="Y249" i="5"/>
  <c r="BB249" i="5" s="1"/>
  <c r="Q195" i="10"/>
  <c r="AU199" i="5" s="1"/>
  <c r="P233" i="10"/>
  <c r="AO237" i="5" s="1"/>
  <c r="Q94" i="10"/>
  <c r="AU98" i="5" s="1"/>
  <c r="AL262" i="5"/>
  <c r="AZ262" i="5"/>
  <c r="Q225" i="10"/>
  <c r="AU229" i="5" s="1"/>
  <c r="AK188" i="5"/>
  <c r="W188" i="5"/>
  <c r="AW176" i="5"/>
  <c r="Y176" i="5"/>
  <c r="AL274" i="5"/>
  <c r="AZ274" i="5"/>
  <c r="AQ322" i="5"/>
  <c r="X322" i="5"/>
  <c r="AQ174" i="5"/>
  <c r="X174" i="5"/>
  <c r="Q228" i="10"/>
  <c r="AU232" i="5" s="1"/>
  <c r="AK328" i="5"/>
  <c r="W328" i="5"/>
  <c r="AQ290" i="5"/>
  <c r="X290" i="5"/>
  <c r="Q235" i="10"/>
  <c r="AU239" i="5" s="1"/>
  <c r="AF273" i="5"/>
  <c r="AY273" i="5"/>
  <c r="AW126" i="5"/>
  <c r="Y126" i="5"/>
  <c r="Q231" i="10"/>
  <c r="AU235" i="5" s="1"/>
  <c r="AK324" i="5"/>
  <c r="W324" i="5"/>
  <c r="AL323" i="5"/>
  <c r="AZ323" i="5"/>
  <c r="AW346" i="5"/>
  <c r="Y346" i="5"/>
  <c r="AL325" i="5"/>
  <c r="AZ325" i="5"/>
  <c r="AL234" i="5"/>
  <c r="AZ234" i="5"/>
  <c r="Q264" i="10"/>
  <c r="AU268" i="5" s="1"/>
  <c r="AF238" i="5"/>
  <c r="AY238" i="5"/>
  <c r="AL269" i="5"/>
  <c r="AZ269" i="5"/>
  <c r="AW99" i="5"/>
  <c r="Y99" i="5"/>
  <c r="AW210" i="5"/>
  <c r="Y210" i="5"/>
  <c r="BB210" i="5" s="1"/>
  <c r="BC210" i="5" s="1"/>
  <c r="AQ321" i="5"/>
  <c r="X321" i="5"/>
  <c r="Q223" i="10"/>
  <c r="AU227" i="5" s="1"/>
  <c r="Q323" i="10"/>
  <c r="AU327" i="5" s="1"/>
  <c r="AQ87" i="5"/>
  <c r="X87" i="5"/>
  <c r="AK329" i="5"/>
  <c r="W329" i="5"/>
  <c r="AK94" i="5"/>
  <c r="W94" i="5"/>
  <c r="AQ124" i="5"/>
  <c r="X124" i="5"/>
  <c r="AQ85" i="5"/>
  <c r="X85" i="5"/>
  <c r="AQ270" i="5"/>
  <c r="X270" i="5"/>
  <c r="AF272" i="5"/>
  <c r="AY272" i="5"/>
  <c r="AF134" i="5"/>
  <c r="AY134" i="5"/>
  <c r="AW323" i="5"/>
  <c r="Y323" i="5"/>
  <c r="AL230" i="5"/>
  <c r="AZ230" i="5"/>
  <c r="AQ129" i="5"/>
  <c r="X129" i="5"/>
  <c r="AQ100" i="5"/>
  <c r="X100" i="5"/>
  <c r="Q230" i="10"/>
  <c r="AU234" i="5" s="1"/>
  <c r="AW269" i="5"/>
  <c r="Y269" i="5"/>
  <c r="AF195" i="5"/>
  <c r="AY195" i="5"/>
  <c r="AL228" i="5"/>
  <c r="AZ228" i="5"/>
  <c r="AL173" i="5"/>
  <c r="AZ173" i="5"/>
  <c r="AW319" i="5"/>
  <c r="Y319" i="5"/>
  <c r="AW263" i="5"/>
  <c r="Y263" i="5"/>
  <c r="AQ266" i="5"/>
  <c r="X266" i="5"/>
  <c r="AL290" i="5"/>
  <c r="AZ290" i="5"/>
  <c r="AW288" i="5"/>
  <c r="Y288" i="5"/>
  <c r="AW287" i="5"/>
  <c r="Y287" i="5"/>
  <c r="AW136" i="5"/>
  <c r="Y136" i="5"/>
  <c r="AW132" i="5"/>
  <c r="Y132" i="5"/>
  <c r="AW302" i="5"/>
  <c r="Y302" i="5"/>
  <c r="AQ230" i="5"/>
  <c r="X230" i="5"/>
  <c r="Q224" i="10"/>
  <c r="AU228" i="5" s="1"/>
  <c r="Q131" i="10"/>
  <c r="AU135" i="5" s="1"/>
  <c r="AL265" i="5"/>
  <c r="AZ265" i="5"/>
  <c r="AL266" i="5"/>
  <c r="AZ266" i="5"/>
  <c r="AL287" i="5"/>
  <c r="AZ287" i="5"/>
  <c r="AL132" i="5"/>
  <c r="AZ132" i="5"/>
  <c r="AW133" i="5"/>
  <c r="Y133" i="5"/>
  <c r="AK236" i="5"/>
  <c r="W236" i="5"/>
  <c r="AL90" i="5"/>
  <c r="AZ90" i="5"/>
  <c r="Z93" i="5"/>
  <c r="AF135" i="5"/>
  <c r="AY135" i="5"/>
  <c r="AL99" i="5"/>
  <c r="AZ99" i="5"/>
  <c r="Q93" i="10"/>
  <c r="AU97" i="5" s="1"/>
  <c r="AW343" i="5"/>
  <c r="Y343" i="5"/>
  <c r="AR210" i="5"/>
  <c r="AW137" i="5"/>
  <c r="Y137" i="5"/>
  <c r="AW345" i="5"/>
  <c r="Y345" i="5"/>
  <c r="AL95" i="5"/>
  <c r="AZ95" i="5"/>
  <c r="AL129" i="5"/>
  <c r="AZ129" i="5"/>
  <c r="AW344" i="5"/>
  <c r="Y344" i="5"/>
  <c r="AL191" i="5"/>
  <c r="AZ191" i="5"/>
  <c r="AQ90" i="5"/>
  <c r="X90" i="5"/>
  <c r="AK131" i="5"/>
  <c r="W131" i="5"/>
  <c r="AL88" i="5"/>
  <c r="AZ88" i="5"/>
  <c r="AQ92" i="5"/>
  <c r="X92" i="5"/>
  <c r="AQ189" i="5"/>
  <c r="X189" i="5"/>
  <c r="AW127" i="5"/>
  <c r="Y127" i="5"/>
  <c r="AW289" i="5"/>
  <c r="Y289" i="5"/>
  <c r="AQ262" i="5"/>
  <c r="X262" i="5"/>
  <c r="AK238" i="5"/>
  <c r="W238" i="5"/>
  <c r="AQ175" i="5"/>
  <c r="X175" i="5"/>
  <c r="AK225" i="5"/>
  <c r="W225" i="5"/>
  <c r="AQ122" i="5"/>
  <c r="X122" i="5"/>
  <c r="AK273" i="5"/>
  <c r="W273" i="5"/>
  <c r="AQ190" i="5"/>
  <c r="X190" i="5"/>
  <c r="AF225" i="5"/>
  <c r="AY225" i="5"/>
  <c r="AL231" i="5"/>
  <c r="AZ231" i="5"/>
  <c r="AL288" i="5"/>
  <c r="AZ288" i="5"/>
  <c r="AL136" i="5"/>
  <c r="AZ136" i="5"/>
  <c r="AL197" i="5"/>
  <c r="AZ197" i="5"/>
  <c r="AQ154" i="5"/>
  <c r="X154" i="5"/>
  <c r="AW274" i="5"/>
  <c r="Y274" i="5"/>
  <c r="AW91" i="5"/>
  <c r="Y91" i="5"/>
  <c r="AL193" i="5"/>
  <c r="AZ193" i="5"/>
  <c r="AL92" i="5"/>
  <c r="AZ92" i="5"/>
  <c r="AW267" i="5"/>
  <c r="Y267" i="5"/>
  <c r="AW318" i="5"/>
  <c r="Y318" i="5"/>
  <c r="AL321" i="5"/>
  <c r="AZ321" i="5"/>
  <c r="AL227" i="5"/>
  <c r="AZ227" i="5"/>
  <c r="AQ228" i="5"/>
  <c r="X228" i="5"/>
  <c r="AK135" i="5"/>
  <c r="W135" i="5"/>
  <c r="AQ133" i="5"/>
  <c r="X133" i="5"/>
  <c r="AK198" i="5"/>
  <c r="W198" i="5"/>
  <c r="AF237" i="5"/>
  <c r="AY237" i="5"/>
  <c r="AW154" i="5"/>
  <c r="Y154" i="5"/>
  <c r="AF268" i="5"/>
  <c r="AY268" i="5"/>
  <c r="AK97" i="5"/>
  <c r="W97" i="5"/>
  <c r="AQ137" i="5"/>
  <c r="X137" i="5"/>
  <c r="AQ345" i="5"/>
  <c r="X345" i="5"/>
  <c r="AK272" i="5"/>
  <c r="W272" i="5"/>
  <c r="AK134" i="5"/>
  <c r="W134" i="5"/>
  <c r="AF327" i="5"/>
  <c r="AY327" i="5"/>
  <c r="AR86" i="5"/>
  <c r="BA86" i="5"/>
  <c r="AQ128" i="5"/>
  <c r="X128" i="5"/>
  <c r="AQ229" i="5"/>
  <c r="X229" i="5"/>
  <c r="P222" i="10"/>
  <c r="AO226" i="5" s="1"/>
  <c r="Q184" i="10"/>
  <c r="AU188" i="5" s="1"/>
  <c r="AK195" i="5"/>
  <c r="W195" i="5"/>
  <c r="AX123" i="5"/>
  <c r="BB123" i="5"/>
  <c r="AW322" i="5"/>
  <c r="Y322" i="5"/>
  <c r="AW174" i="5"/>
  <c r="Y174" i="5"/>
  <c r="AL91" i="5"/>
  <c r="AZ91" i="5"/>
  <c r="AF97" i="5"/>
  <c r="AY97" i="5"/>
  <c r="AQ232" i="5"/>
  <c r="X232" i="5"/>
  <c r="AL343" i="5"/>
  <c r="AZ343" i="5"/>
  <c r="Q324" i="10"/>
  <c r="AU328" i="5" s="1"/>
  <c r="AW290" i="5"/>
  <c r="Y290" i="5"/>
  <c r="AQ239" i="5"/>
  <c r="X239" i="5"/>
  <c r="AF94" i="5"/>
  <c r="AY94" i="5"/>
  <c r="AL318" i="5"/>
  <c r="AZ318" i="5"/>
  <c r="AQ235" i="5"/>
  <c r="X235" i="5"/>
  <c r="Q320" i="10"/>
  <c r="AU324" i="5" s="1"/>
  <c r="AL270" i="5"/>
  <c r="AZ270" i="5"/>
  <c r="AQ326" i="5"/>
  <c r="X326" i="5"/>
  <c r="AQ344" i="5"/>
  <c r="X344" i="5"/>
  <c r="AL89" i="5"/>
  <c r="AZ89" i="5"/>
  <c r="AL263" i="5"/>
  <c r="AZ263" i="5"/>
  <c r="AL320" i="5"/>
  <c r="AZ320" i="5"/>
  <c r="AW248" i="5"/>
  <c r="Y248" i="5"/>
  <c r="BB248" i="5" s="1"/>
  <c r="AL201" i="5"/>
  <c r="AZ201" i="5"/>
  <c r="AL96" i="5"/>
  <c r="AZ96" i="5"/>
  <c r="AW321" i="5"/>
  <c r="Y321" i="5"/>
  <c r="AQ127" i="5"/>
  <c r="X127" i="5"/>
  <c r="AQ289" i="5"/>
  <c r="X289" i="5"/>
  <c r="AL192" i="5"/>
  <c r="AZ192" i="5"/>
  <c r="AL344" i="5"/>
  <c r="AZ344" i="5"/>
  <c r="AF226" i="5"/>
  <c r="AY226" i="5"/>
  <c r="AK200" i="5"/>
  <c r="W200" i="5"/>
  <c r="AX130" i="5"/>
  <c r="BB130" i="5"/>
  <c r="AK187" i="5"/>
  <c r="W187" i="5"/>
  <c r="AW87" i="5"/>
  <c r="Y87" i="5"/>
  <c r="Q325" i="10"/>
  <c r="AU329" i="5" s="1"/>
  <c r="Q90" i="10"/>
  <c r="AU94" i="5" s="1"/>
  <c r="AW124" i="5"/>
  <c r="Y124" i="5"/>
  <c r="AW85" i="5"/>
  <c r="Y85" i="5"/>
  <c r="AW270" i="5"/>
  <c r="Y270" i="5"/>
  <c r="BA249" i="5"/>
  <c r="AQ330" i="5"/>
  <c r="X330" i="5"/>
  <c r="AQ95" i="5"/>
  <c r="X95" i="5"/>
  <c r="AW129" i="5"/>
  <c r="Y129" i="5"/>
  <c r="AW100" i="5"/>
  <c r="Y100" i="5"/>
  <c r="AL128" i="5"/>
  <c r="AZ128" i="5"/>
  <c r="AF188" i="5"/>
  <c r="AY188" i="5"/>
  <c r="AL176" i="5"/>
  <c r="AZ176" i="5"/>
  <c r="AK271" i="5"/>
  <c r="W271" i="5"/>
  <c r="AQ88" i="5"/>
  <c r="X88" i="5"/>
  <c r="AQ265" i="5"/>
  <c r="X265" i="5"/>
  <c r="AQ193" i="5"/>
  <c r="X193" i="5"/>
  <c r="AL232" i="5"/>
  <c r="AZ232" i="5"/>
  <c r="AW266" i="5"/>
  <c r="Y266" i="5"/>
  <c r="AF328" i="5"/>
  <c r="AY328" i="5"/>
  <c r="AQ264" i="5"/>
  <c r="X264" i="5"/>
  <c r="AQ96" i="5"/>
  <c r="X96" i="5"/>
  <c r="AL235" i="5"/>
  <c r="AZ235" i="5"/>
  <c r="Q226" i="10"/>
  <c r="AU230" i="5" s="1"/>
  <c r="P232" i="10"/>
  <c r="AO236" i="5" s="1"/>
  <c r="Q194" i="10"/>
  <c r="AU198" i="5" s="1"/>
  <c r="AX86" i="5"/>
  <c r="BB86" i="5"/>
  <c r="AL326" i="5"/>
  <c r="AZ326" i="5"/>
  <c r="AL196" i="5"/>
  <c r="AZ196" i="5"/>
  <c r="AR93" i="5"/>
  <c r="BA93" i="5"/>
  <c r="AQ274" i="5"/>
  <c r="X274" i="5"/>
  <c r="AL190" i="5"/>
  <c r="AZ190" i="5"/>
  <c r="AQ91" i="5"/>
  <c r="X91" i="5"/>
  <c r="AQ267" i="5"/>
  <c r="X267" i="5"/>
  <c r="AQ318" i="5"/>
  <c r="X318" i="5"/>
  <c r="AW208" i="5"/>
  <c r="BB208" i="5" s="1"/>
  <c r="Q242" i="10"/>
  <c r="AU246" i="5" s="1"/>
  <c r="AR246" i="5"/>
  <c r="BA246" i="5"/>
  <c r="AF337" i="5"/>
  <c r="AK107" i="5"/>
  <c r="AZ107" i="5" s="1"/>
  <c r="AF281" i="5"/>
  <c r="AK144" i="5"/>
  <c r="AZ144" i="5" s="1"/>
  <c r="AL281" i="5"/>
  <c r="Y144" i="5"/>
  <c r="Y107" i="5"/>
  <c r="AL208" i="5"/>
  <c r="Y281" i="5"/>
  <c r="AQ208" i="5"/>
  <c r="BA208" i="5" s="1"/>
  <c r="X208" i="5"/>
  <c r="AQ337" i="5"/>
  <c r="BA337" i="5" s="1"/>
  <c r="X337" i="5"/>
  <c r="Y337" i="5"/>
  <c r="AL337" i="5"/>
  <c r="AQ144" i="5"/>
  <c r="BA144" i="5" s="1"/>
  <c r="X144" i="5"/>
  <c r="AQ107" i="5"/>
  <c r="BA107" i="5" s="1"/>
  <c r="X107" i="5"/>
  <c r="AQ281" i="5"/>
  <c r="BA281" i="5" s="1"/>
  <c r="X281" i="5"/>
  <c r="R9" i="6"/>
  <c r="V428" i="5"/>
  <c r="V3" i="5" s="1"/>
  <c r="S14" i="6"/>
  <c r="T14" i="6" s="1"/>
  <c r="D14" i="6"/>
  <c r="D22" i="6"/>
  <c r="P24" i="6"/>
  <c r="H24" i="6"/>
  <c r="L23" i="6"/>
  <c r="P23" i="6"/>
  <c r="H23" i="6"/>
  <c r="R24" i="6"/>
  <c r="L24" i="6"/>
  <c r="T25" i="6"/>
  <c r="R23" i="6"/>
  <c r="AL8" i="5"/>
  <c r="L9" i="6"/>
  <c r="E9" i="19" l="1"/>
  <c r="D10" i="19"/>
  <c r="Z330" i="5"/>
  <c r="Z96" i="5"/>
  <c r="BC249" i="5"/>
  <c r="BC93" i="5"/>
  <c r="Z318" i="5"/>
  <c r="Z91" i="5"/>
  <c r="Z326" i="5"/>
  <c r="AY428" i="5"/>
  <c r="AF428" i="5"/>
  <c r="Z289" i="5"/>
  <c r="Z89" i="5"/>
  <c r="Z262" i="5"/>
  <c r="Z137" i="5"/>
  <c r="Z133" i="5"/>
  <c r="Z319" i="5"/>
  <c r="Z100" i="5"/>
  <c r="Z266" i="5"/>
  <c r="Z270" i="5"/>
  <c r="Z124" i="5"/>
  <c r="Z346" i="5"/>
  <c r="AX211" i="5"/>
  <c r="Z125" i="5"/>
  <c r="Z325" i="5"/>
  <c r="Z90" i="5"/>
  <c r="Z264" i="5"/>
  <c r="BC86" i="5"/>
  <c r="Z249" i="5"/>
  <c r="Z344" i="5"/>
  <c r="Z122" i="5"/>
  <c r="Z92" i="5"/>
  <c r="Z129" i="5"/>
  <c r="Z85" i="5"/>
  <c r="Z87" i="5"/>
  <c r="Z322" i="5"/>
  <c r="F42" i="6"/>
  <c r="Z136" i="5"/>
  <c r="Z288" i="5"/>
  <c r="Z88" i="5"/>
  <c r="Z267" i="5"/>
  <c r="Z175" i="5"/>
  <c r="Z210" i="5"/>
  <c r="Z320" i="5"/>
  <c r="BC123" i="5"/>
  <c r="Z132" i="5"/>
  <c r="Z287" i="5"/>
  <c r="AL107" i="5"/>
  <c r="F40" i="6"/>
  <c r="Z95" i="5"/>
  <c r="Z127" i="5"/>
  <c r="Z345" i="5"/>
  <c r="AX210" i="5"/>
  <c r="Z269" i="5"/>
  <c r="Z323" i="5"/>
  <c r="Z99" i="5"/>
  <c r="AR267" i="5"/>
  <c r="BA267" i="5"/>
  <c r="AR137" i="5"/>
  <c r="BA137" i="5"/>
  <c r="AR133" i="5"/>
  <c r="BA133" i="5"/>
  <c r="AR154" i="5"/>
  <c r="BA154" i="5"/>
  <c r="AW231" i="5"/>
  <c r="Y231" i="5"/>
  <c r="Z231" i="5" s="1"/>
  <c r="AR323" i="5"/>
  <c r="BA323" i="5"/>
  <c r="AX175" i="5"/>
  <c r="BB175" i="5"/>
  <c r="AL268" i="5"/>
  <c r="AZ268" i="5"/>
  <c r="AR201" i="5"/>
  <c r="BA201" i="5"/>
  <c r="AR194" i="5"/>
  <c r="BA194" i="5"/>
  <c r="AL233" i="5"/>
  <c r="AZ233" i="5"/>
  <c r="Z176" i="5"/>
  <c r="Z248" i="5"/>
  <c r="AQ271" i="5"/>
  <c r="X271" i="5"/>
  <c r="AX95" i="5"/>
  <c r="BB95" i="5"/>
  <c r="AR173" i="5"/>
  <c r="BA173" i="5"/>
  <c r="AQ233" i="5"/>
  <c r="X233" i="5"/>
  <c r="AQ134" i="5"/>
  <c r="X134" i="5"/>
  <c r="Z274" i="5"/>
  <c r="AQ198" i="5"/>
  <c r="X198" i="5"/>
  <c r="AW230" i="5"/>
  <c r="Y230" i="5"/>
  <c r="Z230" i="5" s="1"/>
  <c r="AL271" i="5"/>
  <c r="AZ271" i="5"/>
  <c r="AX85" i="5"/>
  <c r="BB85" i="5"/>
  <c r="AW94" i="5"/>
  <c r="Y94" i="5"/>
  <c r="AX87" i="5"/>
  <c r="BB87" i="5"/>
  <c r="AR127" i="5"/>
  <c r="BA127" i="5"/>
  <c r="AX248" i="5"/>
  <c r="AR326" i="5"/>
  <c r="BA326" i="5"/>
  <c r="AQ324" i="5"/>
  <c r="X324" i="5"/>
  <c r="AX290" i="5"/>
  <c r="BB290" i="5"/>
  <c r="AX174" i="5"/>
  <c r="BB174" i="5"/>
  <c r="AQ188" i="5"/>
  <c r="X188" i="5"/>
  <c r="AR229" i="5"/>
  <c r="BA229" i="5"/>
  <c r="AL272" i="5"/>
  <c r="AZ272" i="5"/>
  <c r="AR228" i="5"/>
  <c r="BA228" i="5"/>
  <c r="AX267" i="5"/>
  <c r="BB267" i="5"/>
  <c r="AX274" i="5"/>
  <c r="BB274" i="5"/>
  <c r="AR190" i="5"/>
  <c r="BA190" i="5"/>
  <c r="AR122" i="5"/>
  <c r="BA122" i="5"/>
  <c r="AL225" i="5"/>
  <c r="AZ225" i="5"/>
  <c r="AX343" i="5"/>
  <c r="BB343" i="5"/>
  <c r="AL236" i="5"/>
  <c r="AZ236" i="5"/>
  <c r="AQ135" i="5"/>
  <c r="X135" i="5"/>
  <c r="AW234" i="5"/>
  <c r="Y234" i="5"/>
  <c r="Z234" i="5" s="1"/>
  <c r="AR129" i="5"/>
  <c r="BA129" i="5"/>
  <c r="AX323" i="5"/>
  <c r="BB323" i="5"/>
  <c r="AR85" i="5"/>
  <c r="BA85" i="5"/>
  <c r="AL329" i="5"/>
  <c r="AZ329" i="5"/>
  <c r="AW227" i="5"/>
  <c r="Y227" i="5"/>
  <c r="AW235" i="5"/>
  <c r="Y235" i="5"/>
  <c r="Z235" i="5" s="1"/>
  <c r="Z290" i="5"/>
  <c r="AW194" i="5"/>
  <c r="Y194" i="5"/>
  <c r="Z194" i="5" s="1"/>
  <c r="Z174" i="5"/>
  <c r="AR322" i="5"/>
  <c r="BA322" i="5"/>
  <c r="AX176" i="5"/>
  <c r="BB176" i="5"/>
  <c r="AW229" i="5"/>
  <c r="Y229" i="5"/>
  <c r="Z229" i="5" s="1"/>
  <c r="AW98" i="5"/>
  <c r="Y98" i="5"/>
  <c r="AR302" i="5"/>
  <c r="BA302" i="5"/>
  <c r="K20" i="6" s="1"/>
  <c r="AR136" i="5"/>
  <c r="BA136" i="5"/>
  <c r="AR288" i="5"/>
  <c r="BA288" i="5"/>
  <c r="Z263" i="5"/>
  <c r="AR269" i="5"/>
  <c r="BA269" i="5"/>
  <c r="AX89" i="5"/>
  <c r="BB89" i="5"/>
  <c r="AR234" i="5"/>
  <c r="BA234" i="5"/>
  <c r="AX122" i="5"/>
  <c r="BB122" i="5"/>
  <c r="AQ200" i="5"/>
  <c r="X200" i="5"/>
  <c r="Z227" i="5"/>
  <c r="AX90" i="5"/>
  <c r="BB90" i="5"/>
  <c r="AR197" i="5"/>
  <c r="BA197" i="5"/>
  <c r="AR176" i="5"/>
  <c r="BA176" i="5"/>
  <c r="AL98" i="5"/>
  <c r="AZ98" i="5"/>
  <c r="AX264" i="5"/>
  <c r="BB264" i="5"/>
  <c r="BC248" i="5"/>
  <c r="AR320" i="5"/>
  <c r="BA320" i="5"/>
  <c r="AX265" i="5"/>
  <c r="BB265" i="5"/>
  <c r="AW271" i="5"/>
  <c r="Y271" i="5"/>
  <c r="AR196" i="5"/>
  <c r="BA196" i="5"/>
  <c r="AX326" i="5"/>
  <c r="BB326" i="5"/>
  <c r="Q229" i="10"/>
  <c r="AU233" i="5" s="1"/>
  <c r="AX128" i="5"/>
  <c r="BB128" i="5"/>
  <c r="AL199" i="5"/>
  <c r="AZ199" i="5"/>
  <c r="AW134" i="5"/>
  <c r="Y134" i="5"/>
  <c r="AR230" i="5"/>
  <c r="BA230" i="5"/>
  <c r="AW197" i="5"/>
  <c r="Y197" i="5"/>
  <c r="Z197" i="5" s="1"/>
  <c r="AL94" i="5"/>
  <c r="AZ94" i="5"/>
  <c r="AQ327" i="5"/>
  <c r="X327" i="5"/>
  <c r="AX346" i="5"/>
  <c r="BB346" i="5"/>
  <c r="AL324" i="5"/>
  <c r="AZ324" i="5"/>
  <c r="AR290" i="5"/>
  <c r="BA290" i="5"/>
  <c r="AW232" i="5"/>
  <c r="Y232" i="5"/>
  <c r="Z232" i="5" s="1"/>
  <c r="AR174" i="5"/>
  <c r="BA174" i="5"/>
  <c r="AQ199" i="5"/>
  <c r="X199" i="5"/>
  <c r="Z343" i="5"/>
  <c r="AX320" i="5"/>
  <c r="BB320" i="5"/>
  <c r="AR263" i="5"/>
  <c r="BA263" i="5"/>
  <c r="AQ273" i="5"/>
  <c r="X273" i="5"/>
  <c r="AQ187" i="5"/>
  <c r="X187" i="5"/>
  <c r="Q234" i="10"/>
  <c r="AU238" i="5" s="1"/>
  <c r="AR227" i="5"/>
  <c r="BA227" i="5"/>
  <c r="AX92" i="5"/>
  <c r="BB92" i="5"/>
  <c r="AR99" i="5"/>
  <c r="BA99" i="5"/>
  <c r="AQ131" i="5"/>
  <c r="X131" i="5"/>
  <c r="AR346" i="5"/>
  <c r="BA346" i="5"/>
  <c r="Z126" i="5"/>
  <c r="AX173" i="5"/>
  <c r="BB173" i="5"/>
  <c r="AR191" i="5"/>
  <c r="BA191" i="5"/>
  <c r="BB211" i="5"/>
  <c r="BC211" i="5" s="1"/>
  <c r="Z211" i="5"/>
  <c r="AX330" i="5"/>
  <c r="BB330" i="5"/>
  <c r="BC130" i="5"/>
  <c r="AQ272" i="5"/>
  <c r="X272" i="5"/>
  <c r="AW192" i="5"/>
  <c r="Y192" i="5"/>
  <c r="Z192" i="5" s="1"/>
  <c r="AR96" i="5"/>
  <c r="BA96" i="5"/>
  <c r="AR265" i="5"/>
  <c r="BA265" i="5"/>
  <c r="AX129" i="5"/>
  <c r="BB129" i="5"/>
  <c r="AR95" i="5"/>
  <c r="BA95" i="5"/>
  <c r="AQ94" i="5"/>
  <c r="X94" i="5"/>
  <c r="AR235" i="5"/>
  <c r="BA235" i="5"/>
  <c r="AR175" i="5"/>
  <c r="BA175" i="5"/>
  <c r="AX289" i="5"/>
  <c r="BB289" i="5"/>
  <c r="AR189" i="5"/>
  <c r="BA189" i="5"/>
  <c r="AL131" i="5"/>
  <c r="AZ131" i="5"/>
  <c r="AX345" i="5"/>
  <c r="BB345" i="5"/>
  <c r="AW228" i="5"/>
  <c r="Y228" i="5"/>
  <c r="Z228" i="5" s="1"/>
  <c r="AX132" i="5"/>
  <c r="BB132" i="5"/>
  <c r="AX287" i="5"/>
  <c r="BB287" i="5"/>
  <c r="AR266" i="5"/>
  <c r="BA266" i="5"/>
  <c r="AX319" i="5"/>
  <c r="BB319" i="5"/>
  <c r="AX269" i="5"/>
  <c r="BB269" i="5"/>
  <c r="AW196" i="5"/>
  <c r="Y196" i="5"/>
  <c r="Z196" i="5" s="1"/>
  <c r="AW189" i="5"/>
  <c r="Y189" i="5"/>
  <c r="Z189" i="5" s="1"/>
  <c r="AR321" i="5"/>
  <c r="BA321" i="5"/>
  <c r="AX99" i="5"/>
  <c r="BB99" i="5"/>
  <c r="AW268" i="5"/>
  <c r="Y268" i="5"/>
  <c r="AW239" i="5"/>
  <c r="Y239" i="5"/>
  <c r="Z239" i="5" s="1"/>
  <c r="AL328" i="5"/>
  <c r="AZ328" i="5"/>
  <c r="AW191" i="5"/>
  <c r="Y191" i="5"/>
  <c r="Z191" i="5" s="1"/>
  <c r="AQ98" i="5"/>
  <c r="X98" i="5"/>
  <c r="Q233" i="10"/>
  <c r="AU237" i="5" s="1"/>
  <c r="Z302" i="5"/>
  <c r="AX125" i="5"/>
  <c r="BB125" i="5"/>
  <c r="AR319" i="5"/>
  <c r="BA319" i="5"/>
  <c r="Q221" i="10"/>
  <c r="AU225" i="5" s="1"/>
  <c r="W428" i="5"/>
  <c r="W3" i="5" s="1"/>
  <c r="AR318" i="5"/>
  <c r="BA318" i="5"/>
  <c r="AR91" i="5"/>
  <c r="BA91" i="5"/>
  <c r="AR274" i="5"/>
  <c r="BA274" i="5"/>
  <c r="Q232" i="10"/>
  <c r="AU236" i="5" s="1"/>
  <c r="B37" i="6"/>
  <c r="B34" i="6" s="1"/>
  <c r="AR264" i="5"/>
  <c r="BA264" i="5"/>
  <c r="AX266" i="5"/>
  <c r="BB266" i="5"/>
  <c r="AR193" i="5"/>
  <c r="BA193" i="5"/>
  <c r="AX100" i="5"/>
  <c r="BB100" i="5"/>
  <c r="AR330" i="5"/>
  <c r="BA330" i="5"/>
  <c r="AQ329" i="5"/>
  <c r="X329" i="5"/>
  <c r="AW324" i="5"/>
  <c r="Y324" i="5"/>
  <c r="AQ328" i="5"/>
  <c r="X328" i="5"/>
  <c r="Q222" i="10"/>
  <c r="AU226" i="5" s="1"/>
  <c r="Z128" i="5"/>
  <c r="AR345" i="5"/>
  <c r="BA345" i="5"/>
  <c r="AX154" i="5"/>
  <c r="BB154" i="5"/>
  <c r="O16" i="6" s="1"/>
  <c r="AL198" i="5"/>
  <c r="AZ198" i="5"/>
  <c r="AL238" i="5"/>
  <c r="AZ238" i="5"/>
  <c r="AR262" i="5"/>
  <c r="BA262" i="5"/>
  <c r="AX127" i="5"/>
  <c r="BB127" i="5"/>
  <c r="AR90" i="5"/>
  <c r="BA90" i="5"/>
  <c r="AX344" i="5"/>
  <c r="BB344" i="5"/>
  <c r="AX137" i="5"/>
  <c r="BB137" i="5"/>
  <c r="AQ97" i="5"/>
  <c r="X97" i="5"/>
  <c r="AW135" i="5"/>
  <c r="Y135" i="5"/>
  <c r="AX302" i="5"/>
  <c r="BB302" i="5"/>
  <c r="O20" i="6" s="1"/>
  <c r="AX136" i="5"/>
  <c r="BB136" i="5"/>
  <c r="AX288" i="5"/>
  <c r="BB288" i="5"/>
  <c r="AX263" i="5"/>
  <c r="BB263" i="5"/>
  <c r="AQ236" i="5"/>
  <c r="X236" i="5"/>
  <c r="Z265" i="5"/>
  <c r="AR88" i="5"/>
  <c r="BA88" i="5"/>
  <c r="AX270" i="5"/>
  <c r="BB270" i="5"/>
  <c r="AX124" i="5"/>
  <c r="BB124" i="5"/>
  <c r="AW329" i="5"/>
  <c r="Y329" i="5"/>
  <c r="AL187" i="5"/>
  <c r="AZ187" i="5"/>
  <c r="AL200" i="5"/>
  <c r="AZ200" i="5"/>
  <c r="AR289" i="5"/>
  <c r="BA289" i="5"/>
  <c r="AX321" i="5"/>
  <c r="BB321" i="5"/>
  <c r="AR344" i="5"/>
  <c r="BA344" i="5"/>
  <c r="AR239" i="5"/>
  <c r="BA239" i="5"/>
  <c r="AW328" i="5"/>
  <c r="Y328" i="5"/>
  <c r="AR232" i="5"/>
  <c r="BA232" i="5"/>
  <c r="AX322" i="5"/>
  <c r="BB322" i="5"/>
  <c r="AL195" i="5"/>
  <c r="AZ195" i="5"/>
  <c r="AQ226" i="5"/>
  <c r="X226" i="5"/>
  <c r="AR128" i="5"/>
  <c r="BA128" i="5"/>
  <c r="AL134" i="5"/>
  <c r="AZ134" i="5"/>
  <c r="AL97" i="5"/>
  <c r="AZ97" i="5"/>
  <c r="AL135" i="5"/>
  <c r="AZ135" i="5"/>
  <c r="AX318" i="5"/>
  <c r="BB318" i="5"/>
  <c r="AX91" i="5"/>
  <c r="BB91" i="5"/>
  <c r="Z154" i="5"/>
  <c r="AL273" i="5"/>
  <c r="AZ273" i="5"/>
  <c r="AR92" i="5"/>
  <c r="BA92" i="5"/>
  <c r="AW97" i="5"/>
  <c r="Y97" i="5"/>
  <c r="AX133" i="5"/>
  <c r="BB133" i="5"/>
  <c r="AW190" i="5"/>
  <c r="Y190" i="5"/>
  <c r="Z190" i="5" s="1"/>
  <c r="AR100" i="5"/>
  <c r="BA100" i="5"/>
  <c r="AR270" i="5"/>
  <c r="BA270" i="5"/>
  <c r="AR124" i="5"/>
  <c r="BA124" i="5"/>
  <c r="AR87" i="5"/>
  <c r="BA87" i="5"/>
  <c r="AW327" i="5"/>
  <c r="Y327" i="5"/>
  <c r="Z321" i="5"/>
  <c r="AQ268" i="5"/>
  <c r="X268" i="5"/>
  <c r="AX126" i="5"/>
  <c r="BB126" i="5"/>
  <c r="AW201" i="5"/>
  <c r="Y201" i="5"/>
  <c r="AL188" i="5"/>
  <c r="AZ188" i="5"/>
  <c r="AQ237" i="5"/>
  <c r="X237" i="5"/>
  <c r="AX249" i="5"/>
  <c r="AR343" i="5"/>
  <c r="BA343" i="5"/>
  <c r="AR192" i="5"/>
  <c r="BA192" i="5"/>
  <c r="AR132" i="5"/>
  <c r="BA132" i="5"/>
  <c r="AR287" i="5"/>
  <c r="BA287" i="5"/>
  <c r="AW193" i="5"/>
  <c r="Y193" i="5"/>
  <c r="Z193" i="5" s="1"/>
  <c r="AX325" i="5"/>
  <c r="BB325" i="5"/>
  <c r="AW273" i="5"/>
  <c r="Y273" i="5"/>
  <c r="AQ225" i="5"/>
  <c r="X225" i="5"/>
  <c r="AQ238" i="5"/>
  <c r="X238" i="5"/>
  <c r="AX262" i="5"/>
  <c r="BB262" i="5"/>
  <c r="AL327" i="5"/>
  <c r="AZ327" i="5"/>
  <c r="AW131" i="5"/>
  <c r="Y131" i="5"/>
  <c r="AR126" i="5"/>
  <c r="BA126" i="5"/>
  <c r="Z201" i="5"/>
  <c r="AL237" i="5"/>
  <c r="AZ237" i="5"/>
  <c r="AX96" i="5"/>
  <c r="BB96" i="5"/>
  <c r="AR125" i="5"/>
  <c r="BA125" i="5"/>
  <c r="AR231" i="5"/>
  <c r="BA231" i="5"/>
  <c r="AX88" i="5"/>
  <c r="BB88" i="5"/>
  <c r="AR89" i="5"/>
  <c r="BA89" i="5"/>
  <c r="AR325" i="5"/>
  <c r="BA325" i="5"/>
  <c r="B41" i="6"/>
  <c r="B39" i="6" s="1"/>
  <c r="Z173" i="5"/>
  <c r="AQ195" i="5"/>
  <c r="X195" i="5"/>
  <c r="AL226" i="5"/>
  <c r="AZ226" i="5"/>
  <c r="AW272" i="5"/>
  <c r="Y272" i="5"/>
  <c r="AL144" i="5"/>
  <c r="Y208" i="5"/>
  <c r="AW246" i="5"/>
  <c r="Y246" i="5"/>
  <c r="BC144" i="5"/>
  <c r="BC281" i="5"/>
  <c r="BC208" i="5"/>
  <c r="BC107" i="5"/>
  <c r="BC337" i="5"/>
  <c r="P9" i="6"/>
  <c r="P10" i="6"/>
  <c r="Z144" i="5"/>
  <c r="Z337" i="5"/>
  <c r="Z107" i="5"/>
  <c r="AX281" i="5"/>
  <c r="Z281" i="5"/>
  <c r="AR208" i="5"/>
  <c r="AR107" i="5"/>
  <c r="AX144" i="5"/>
  <c r="AR281" i="5"/>
  <c r="AR144" i="5"/>
  <c r="AX337" i="5"/>
  <c r="AX107" i="5"/>
  <c r="AR337" i="5"/>
  <c r="L10" i="6"/>
  <c r="H10" i="6"/>
  <c r="R10" i="6"/>
  <c r="D8" i="6"/>
  <c r="R15" i="6"/>
  <c r="P15" i="6"/>
  <c r="L15" i="6"/>
  <c r="H15" i="6"/>
  <c r="P22" i="6"/>
  <c r="H9" i="6"/>
  <c r="S10" i="6"/>
  <c r="D10" i="6"/>
  <c r="S24" i="6"/>
  <c r="T24" i="6" s="1"/>
  <c r="D24" i="6"/>
  <c r="S9" i="6"/>
  <c r="T9" i="6" s="1"/>
  <c r="D9" i="6"/>
  <c r="D23" i="6"/>
  <c r="S23" i="6"/>
  <c r="T23" i="6" s="1"/>
  <c r="X8" i="5"/>
  <c r="AQ8" i="5"/>
  <c r="F9" i="19" l="1"/>
  <c r="E10" i="19"/>
  <c r="BC176" i="5"/>
  <c r="J35" i="6"/>
  <c r="AZ428" i="5"/>
  <c r="BC264" i="5"/>
  <c r="AL428" i="5"/>
  <c r="BC128" i="5"/>
  <c r="Z98" i="5"/>
  <c r="Z135" i="5"/>
  <c r="F41" i="6"/>
  <c r="F39" i="6" s="1"/>
  <c r="BC175" i="5"/>
  <c r="BC290" i="5"/>
  <c r="F37" i="6"/>
  <c r="F34" i="6" s="1"/>
  <c r="BC92" i="5"/>
  <c r="Z97" i="5"/>
  <c r="Z94" i="5"/>
  <c r="BC323" i="5"/>
  <c r="BC126" i="5"/>
  <c r="BC90" i="5"/>
  <c r="Z271" i="5"/>
  <c r="BC87" i="5"/>
  <c r="Z327" i="5"/>
  <c r="BC89" i="5"/>
  <c r="BC320" i="5"/>
  <c r="BC95" i="5"/>
  <c r="BC343" i="5"/>
  <c r="BC270" i="5"/>
  <c r="BC330" i="5"/>
  <c r="BC266" i="5"/>
  <c r="BC129" i="5"/>
  <c r="BC325" i="5"/>
  <c r="BC274" i="5"/>
  <c r="BC346" i="5"/>
  <c r="BC263" i="5"/>
  <c r="BC267" i="5"/>
  <c r="BC132" i="5"/>
  <c r="BC318" i="5"/>
  <c r="J42" i="6"/>
  <c r="N42" i="6"/>
  <c r="BC96" i="5"/>
  <c r="BC133" i="5"/>
  <c r="Z272" i="5"/>
  <c r="BC125" i="5"/>
  <c r="Z329" i="5"/>
  <c r="N40" i="6"/>
  <c r="BC321" i="5"/>
  <c r="Z324" i="5"/>
  <c r="BC99" i="5"/>
  <c r="BC287" i="5"/>
  <c r="BC344" i="5"/>
  <c r="BC289" i="5"/>
  <c r="BC88" i="5"/>
  <c r="BC262" i="5"/>
  <c r="BC91" i="5"/>
  <c r="BC136" i="5"/>
  <c r="BC326" i="5"/>
  <c r="J40" i="6"/>
  <c r="AX135" i="5"/>
  <c r="BB135" i="5"/>
  <c r="AW187" i="5"/>
  <c r="Y187" i="5"/>
  <c r="Z187" i="5" s="1"/>
  <c r="AX189" i="5"/>
  <c r="BB189" i="5"/>
  <c r="BC189" i="5" s="1"/>
  <c r="AX229" i="5"/>
  <c r="BB229" i="5"/>
  <c r="BC229" i="5" s="1"/>
  <c r="AX227" i="5"/>
  <c r="BB227" i="5"/>
  <c r="BC227" i="5" s="1"/>
  <c r="AR188" i="5"/>
  <c r="BA188" i="5"/>
  <c r="AX272" i="5"/>
  <c r="BB272" i="5"/>
  <c r="AR195" i="5"/>
  <c r="BA195" i="5"/>
  <c r="AR238" i="5"/>
  <c r="BA238" i="5"/>
  <c r="AX273" i="5"/>
  <c r="BB273" i="5"/>
  <c r="AX193" i="5"/>
  <c r="BB193" i="5"/>
  <c r="BC193" i="5" s="1"/>
  <c r="AR226" i="5"/>
  <c r="BA226" i="5"/>
  <c r="AW188" i="5"/>
  <c r="Y188" i="5"/>
  <c r="Z188" i="5" s="1"/>
  <c r="AR328" i="5"/>
  <c r="BA328" i="5"/>
  <c r="AW225" i="5"/>
  <c r="Y225" i="5"/>
  <c r="Z225" i="5" s="1"/>
  <c r="AR98" i="5"/>
  <c r="BA98" i="5"/>
  <c r="AR94" i="5"/>
  <c r="BA94" i="5"/>
  <c r="Z134" i="5"/>
  <c r="AR233" i="5"/>
  <c r="BA233" i="5"/>
  <c r="AR271" i="5"/>
  <c r="BA271" i="5"/>
  <c r="BC122" i="5"/>
  <c r="Z328" i="5"/>
  <c r="AX324" i="5"/>
  <c r="BB324" i="5"/>
  <c r="AR272" i="5"/>
  <c r="BA272" i="5"/>
  <c r="AR131" i="5"/>
  <c r="BA131" i="5"/>
  <c r="AW238" i="5"/>
  <c r="Y238" i="5"/>
  <c r="Z238" i="5" s="1"/>
  <c r="AR273" i="5"/>
  <c r="BA273" i="5"/>
  <c r="AW233" i="5"/>
  <c r="Y233" i="5"/>
  <c r="Z233" i="5" s="1"/>
  <c r="AR236" i="5"/>
  <c r="BA236" i="5"/>
  <c r="BC345" i="5"/>
  <c r="AW226" i="5"/>
  <c r="Y226" i="5"/>
  <c r="Z226" i="5" s="1"/>
  <c r="AR329" i="5"/>
  <c r="BA329" i="5"/>
  <c r="AW198" i="5"/>
  <c r="Y198" i="5"/>
  <c r="Z198" i="5" s="1"/>
  <c r="AW199" i="5"/>
  <c r="Y199" i="5"/>
  <c r="Z199" i="5" s="1"/>
  <c r="AX268" i="5"/>
  <c r="BB268" i="5"/>
  <c r="BC265" i="5"/>
  <c r="AR187" i="5"/>
  <c r="BA187" i="5"/>
  <c r="AR199" i="5"/>
  <c r="BA199" i="5"/>
  <c r="AX232" i="5"/>
  <c r="BB232" i="5"/>
  <c r="BC232" i="5" s="1"/>
  <c r="AR327" i="5"/>
  <c r="BA327" i="5"/>
  <c r="AX197" i="5"/>
  <c r="BB197" i="5"/>
  <c r="BC197" i="5" s="1"/>
  <c r="AX134" i="5"/>
  <c r="BB134" i="5"/>
  <c r="BC288" i="5"/>
  <c r="AX98" i="5"/>
  <c r="BB98" i="5"/>
  <c r="AX235" i="5"/>
  <c r="BB235" i="5"/>
  <c r="BC235" i="5" s="1"/>
  <c r="AX234" i="5"/>
  <c r="BB234" i="5"/>
  <c r="BC234" i="5" s="1"/>
  <c r="AR135" i="5"/>
  <c r="BA135" i="5"/>
  <c r="AR324" i="5"/>
  <c r="BA324" i="5"/>
  <c r="BC127" i="5"/>
  <c r="AR198" i="5"/>
  <c r="BA198" i="5"/>
  <c r="AR134" i="5"/>
  <c r="BA134" i="5"/>
  <c r="BC173" i="5"/>
  <c r="AX231" i="5"/>
  <c r="BB231" i="5"/>
  <c r="BC231" i="5" s="1"/>
  <c r="K16" i="6"/>
  <c r="BC154" i="5"/>
  <c r="AR237" i="5"/>
  <c r="BA237" i="5"/>
  <c r="AX201" i="5"/>
  <c r="BB201" i="5"/>
  <c r="BC201" i="5" s="1"/>
  <c r="AR268" i="5"/>
  <c r="BA268" i="5"/>
  <c r="AX327" i="5"/>
  <c r="BB327" i="5"/>
  <c r="AX329" i="5"/>
  <c r="BB329" i="5"/>
  <c r="AX328" i="5"/>
  <c r="BB328" i="5"/>
  <c r="AX131" i="5"/>
  <c r="BB131" i="5"/>
  <c r="AR225" i="5"/>
  <c r="BA225" i="5"/>
  <c r="Z268" i="5"/>
  <c r="BC124" i="5"/>
  <c r="BC100" i="5"/>
  <c r="AX190" i="5"/>
  <c r="BB190" i="5"/>
  <c r="BC190" i="5" s="1"/>
  <c r="AX97" i="5"/>
  <c r="BB97" i="5"/>
  <c r="AR97" i="5"/>
  <c r="BA97" i="5"/>
  <c r="AW236" i="5"/>
  <c r="Y236" i="5"/>
  <c r="Z236" i="5" s="1"/>
  <c r="BC319" i="5"/>
  <c r="AW237" i="5"/>
  <c r="Y237" i="5"/>
  <c r="Z237" i="5" s="1"/>
  <c r="AX191" i="5"/>
  <c r="BB191" i="5"/>
  <c r="BC191" i="5" s="1"/>
  <c r="AX239" i="5"/>
  <c r="BB239" i="5"/>
  <c r="BC239" i="5" s="1"/>
  <c r="AX196" i="5"/>
  <c r="BB196" i="5"/>
  <c r="BC196" i="5" s="1"/>
  <c r="AX228" i="5"/>
  <c r="BB228" i="5"/>
  <c r="BC228" i="5" s="1"/>
  <c r="AX192" i="5"/>
  <c r="BB192" i="5"/>
  <c r="BC192" i="5" s="1"/>
  <c r="Z131" i="5"/>
  <c r="AW200" i="5"/>
  <c r="Y200" i="5"/>
  <c r="Z200" i="5" s="1"/>
  <c r="Z273" i="5"/>
  <c r="BC174" i="5"/>
  <c r="AW195" i="5"/>
  <c r="Y195" i="5"/>
  <c r="Z195" i="5" s="1"/>
  <c r="AX271" i="5"/>
  <c r="BB271" i="5"/>
  <c r="AR200" i="5"/>
  <c r="BA200" i="5"/>
  <c r="BC269" i="5"/>
  <c r="BC322" i="5"/>
  <c r="AX194" i="5"/>
  <c r="BB194" i="5"/>
  <c r="BC194" i="5" s="1"/>
  <c r="BC85" i="5"/>
  <c r="BC302" i="5"/>
  <c r="AX94" i="5"/>
  <c r="BB94" i="5"/>
  <c r="AX230" i="5"/>
  <c r="BB230" i="5"/>
  <c r="BC230" i="5" s="1"/>
  <c r="BC137" i="5"/>
  <c r="Z208" i="5"/>
  <c r="AX208" i="5"/>
  <c r="Z246" i="5"/>
  <c r="AX246" i="5"/>
  <c r="BB246" i="5"/>
  <c r="T10" i="6"/>
  <c r="X428" i="5"/>
  <c r="X3" i="5" s="1"/>
  <c r="R11" i="6"/>
  <c r="P11" i="6"/>
  <c r="P20" i="6"/>
  <c r="L11" i="6"/>
  <c r="R20" i="6"/>
  <c r="H22" i="6"/>
  <c r="R22" i="6"/>
  <c r="H11" i="6"/>
  <c r="H20" i="6"/>
  <c r="L20" i="6"/>
  <c r="Y8" i="5"/>
  <c r="AW8" i="5"/>
  <c r="AR8" i="5"/>
  <c r="BA8" i="5"/>
  <c r="H8" i="6"/>
  <c r="BC134" i="5" l="1"/>
  <c r="G9" i="19"/>
  <c r="BC273" i="5"/>
  <c r="F10" i="19"/>
  <c r="N35" i="6"/>
  <c r="J37" i="6"/>
  <c r="J34" i="6" s="1"/>
  <c r="K8" i="6"/>
  <c r="L8" i="6" s="1"/>
  <c r="BA428" i="5"/>
  <c r="AR428" i="5"/>
  <c r="N37" i="6"/>
  <c r="BC97" i="5"/>
  <c r="R19" i="6"/>
  <c r="BC135" i="5"/>
  <c r="K12" i="6"/>
  <c r="K18" i="6"/>
  <c r="K13" i="6"/>
  <c r="O12" i="6"/>
  <c r="K21" i="6"/>
  <c r="O21" i="6"/>
  <c r="BC131" i="5"/>
  <c r="J41" i="6"/>
  <c r="J39" i="6" s="1"/>
  <c r="BC327" i="5"/>
  <c r="BC272" i="5"/>
  <c r="BC324" i="5"/>
  <c r="O17" i="6"/>
  <c r="AX233" i="5"/>
  <c r="BB233" i="5"/>
  <c r="BC233" i="5" s="1"/>
  <c r="AX238" i="5"/>
  <c r="BB238" i="5"/>
  <c r="BC238" i="5" s="1"/>
  <c r="O13" i="6"/>
  <c r="AX195" i="5"/>
  <c r="BB195" i="5"/>
  <c r="BC195" i="5" s="1"/>
  <c r="AX198" i="5"/>
  <c r="BB198" i="5"/>
  <c r="BC198" i="5" s="1"/>
  <c r="AX226" i="5"/>
  <c r="BB226" i="5"/>
  <c r="BC226" i="5" s="1"/>
  <c r="BC98" i="5"/>
  <c r="BC328" i="5"/>
  <c r="AX187" i="5"/>
  <c r="BB187" i="5"/>
  <c r="AX225" i="5"/>
  <c r="BB225" i="5"/>
  <c r="BC225" i="5" s="1"/>
  <c r="AX188" i="5"/>
  <c r="BB188" i="5"/>
  <c r="BC188" i="5" s="1"/>
  <c r="AX200" i="5"/>
  <c r="BB200" i="5"/>
  <c r="BC200" i="5" s="1"/>
  <c r="K19" i="6"/>
  <c r="L19" i="6" s="1"/>
  <c r="BC268" i="5"/>
  <c r="BC329" i="5"/>
  <c r="BC271" i="5"/>
  <c r="BC94" i="5"/>
  <c r="K17" i="6"/>
  <c r="AX237" i="5"/>
  <c r="BB237" i="5"/>
  <c r="BC237" i="5" s="1"/>
  <c r="AX236" i="5"/>
  <c r="BB236" i="5"/>
  <c r="BC236" i="5" s="1"/>
  <c r="AX199" i="5"/>
  <c r="BB199" i="5"/>
  <c r="BC199" i="5" s="1"/>
  <c r="BC246" i="5"/>
  <c r="Y428" i="5"/>
  <c r="Y3" i="5" s="1"/>
  <c r="P16" i="6"/>
  <c r="L16" i="6"/>
  <c r="R16" i="6"/>
  <c r="H16" i="6"/>
  <c r="L22" i="6"/>
  <c r="S22" i="6"/>
  <c r="T22" i="6" s="1"/>
  <c r="H19" i="6"/>
  <c r="Z8" i="5"/>
  <c r="H9" i="19" s="1"/>
  <c r="AX8" i="5"/>
  <c r="BB8" i="5"/>
  <c r="R8" i="6" l="1"/>
  <c r="G10" i="19"/>
  <c r="N34" i="6"/>
  <c r="Z428" i="5"/>
  <c r="AX428" i="5"/>
  <c r="O8" i="6"/>
  <c r="S8" i="6" s="1"/>
  <c r="BB428" i="5"/>
  <c r="N41" i="6"/>
  <c r="N39" i="6" s="1"/>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10" i="19" l="1"/>
  <c r="BC428" i="5"/>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AF6FD533-5C75-4E78-8EFA-04B55E4803B8}">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C70B6A2D-B89D-45E6-941C-DFD3A8D689BD}">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E4CA9738-C0B1-4AD4-8F52-2FA3CA602363}">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66BBA3DF-DBEA-494C-9A61-C4F68F3B8C95}">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8E1D2693-0C00-4018-93BC-E247F847E1A1}">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89DE44C1-E93A-49F8-A762-7BF36D0CCAAE}">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11CAB81E-DA24-4940-8C17-36FE8E395716}">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CC941B91-EA24-4ECD-A4AA-72B9A0580664}">
      <text>
        <r>
          <rPr>
            <b/>
            <sz val="9"/>
            <color indexed="81"/>
            <rFont val="Tahoma"/>
            <family val="2"/>
          </rPr>
          <t>Froio, Zach:</t>
        </r>
        <r>
          <rPr>
            <sz val="9"/>
            <color indexed="81"/>
            <rFont val="Tahoma"/>
            <family val="2"/>
          </rPr>
          <t xml:space="preserve">
Updated per IL TRM v7 p. 185</t>
        </r>
      </text>
    </comment>
    <comment ref="AA25" authorId="2" shapeId="0" xr:uid="{274C85D2-D882-4962-A9EA-228BB0B9EEB6}">
      <text>
        <r>
          <rPr>
            <b/>
            <sz val="9"/>
            <color indexed="81"/>
            <rFont val="Tahoma"/>
            <family val="2"/>
          </rPr>
          <t>Leah Maggio:</t>
        </r>
        <r>
          <rPr>
            <sz val="9"/>
            <color indexed="81"/>
            <rFont val="Tahoma"/>
            <family val="2"/>
          </rPr>
          <t xml:space="preserve">
L_base = L_low</t>
        </r>
      </text>
    </comment>
    <comment ref="I26" authorId="0" shapeId="0" xr:uid="{CA7E7FE1-BBEA-471E-97BC-A8C32C88F29E}">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610CFE13-6E18-4206-AF22-9490BEC938C7}">
      <text>
        <r>
          <rPr>
            <b/>
            <sz val="9"/>
            <color indexed="81"/>
            <rFont val="Tahoma"/>
            <family val="2"/>
          </rPr>
          <t>Froio, Zach:</t>
        </r>
        <r>
          <rPr>
            <sz val="9"/>
            <color indexed="81"/>
            <rFont val="Tahoma"/>
            <family val="2"/>
          </rPr>
          <t xml:space="preserve">
Updated per IL TRM v7 p. 185</t>
        </r>
      </text>
    </comment>
    <comment ref="AA26" authorId="2" shapeId="0" xr:uid="{507C9B3D-B64F-4368-B3A9-CF0B60FE5FF4}">
      <text>
        <r>
          <rPr>
            <b/>
            <sz val="9"/>
            <color indexed="81"/>
            <rFont val="Tahoma"/>
            <family val="2"/>
          </rPr>
          <t>Leah Maggio:</t>
        </r>
        <r>
          <rPr>
            <sz val="9"/>
            <color indexed="81"/>
            <rFont val="Tahoma"/>
            <family val="2"/>
          </rPr>
          <t xml:space="preserve">
L_base = L_low</t>
        </r>
      </text>
    </comment>
    <comment ref="W27" authorId="1" shapeId="0" xr:uid="{282B908A-8C0A-4D38-A84B-126C0897292E}">
      <text>
        <r>
          <rPr>
            <b/>
            <sz val="9"/>
            <color indexed="81"/>
            <rFont val="Tahoma"/>
            <family val="2"/>
          </rPr>
          <t>Froio, Zach:</t>
        </r>
        <r>
          <rPr>
            <sz val="9"/>
            <color indexed="81"/>
            <rFont val="Tahoma"/>
            <family val="2"/>
          </rPr>
          <t xml:space="preserve">
Updated per IL TRM v7 p. 194</t>
        </r>
      </text>
    </comment>
    <comment ref="AA27" authorId="2" shapeId="0" xr:uid="{3AD7A457-0BE4-4E2C-A1F6-FBDBB4AFF344}">
      <text>
        <r>
          <rPr>
            <b/>
            <sz val="9"/>
            <color indexed="81"/>
            <rFont val="Tahoma"/>
            <family val="2"/>
          </rPr>
          <t>Leah Maggio:</t>
        </r>
        <r>
          <rPr>
            <sz val="9"/>
            <color indexed="81"/>
            <rFont val="Tahoma"/>
            <family val="2"/>
          </rPr>
          <t xml:space="preserve">
L_base = L_low</t>
        </r>
      </text>
    </comment>
    <comment ref="AI27" authorId="1" shapeId="0" xr:uid="{B50B7E6D-07A0-492C-BBA5-9EA664066601}">
      <text>
        <r>
          <rPr>
            <b/>
            <sz val="9"/>
            <color indexed="81"/>
            <rFont val="Tahoma"/>
            <charset val="1"/>
          </rPr>
          <t>Froio, Zach:</t>
        </r>
        <r>
          <rPr>
            <sz val="9"/>
            <color indexed="81"/>
            <rFont val="Tahoma"/>
            <charset val="1"/>
          </rPr>
          <t xml:space="preserve">
Updated per IL TRM v8 p. 207</t>
        </r>
      </text>
    </comment>
    <comment ref="V28" authorId="1" shapeId="0" xr:uid="{8E013023-25F9-4718-AF66-DA8CD57F1743}">
      <text>
        <r>
          <rPr>
            <b/>
            <sz val="9"/>
            <color indexed="81"/>
            <rFont val="Tahoma"/>
            <family val="2"/>
          </rPr>
          <t>Froio, Zach:</t>
        </r>
        <r>
          <rPr>
            <sz val="9"/>
            <color indexed="81"/>
            <rFont val="Tahoma"/>
            <family val="2"/>
          </rPr>
          <t xml:space="preserve">
Updated per IL TRM v7 p. 173</t>
        </r>
      </text>
    </comment>
    <comment ref="I30" authorId="0" shapeId="0" xr:uid="{3548E49E-8D19-4973-A128-7D908451B525}">
      <text>
        <r>
          <rPr>
            <b/>
            <sz val="9"/>
            <color indexed="81"/>
            <rFont val="Tahoma"/>
            <family val="2"/>
          </rPr>
          <t>Nielsen, Victoria:</t>
        </r>
        <r>
          <rPr>
            <sz val="9"/>
            <color indexed="81"/>
            <rFont val="Tahoma"/>
            <family val="2"/>
          </rPr>
          <t xml:space="preserve">
Changed from 5 to 8
</t>
        </r>
      </text>
    </comment>
    <comment ref="I31" authorId="0" shapeId="0" xr:uid="{DDE0271B-A9F2-42E3-818A-953007D61A46}">
      <text>
        <r>
          <rPr>
            <b/>
            <sz val="9"/>
            <color indexed="81"/>
            <rFont val="Tahoma"/>
            <family val="2"/>
          </rPr>
          <t>Nielsen, Victoria:</t>
        </r>
        <r>
          <rPr>
            <sz val="9"/>
            <color indexed="81"/>
            <rFont val="Tahoma"/>
            <family val="2"/>
          </rPr>
          <t xml:space="preserve">
Changed from 5 to 8
</t>
        </r>
      </text>
    </comment>
    <comment ref="I32" authorId="0" shapeId="0" xr:uid="{AE35D1D9-8579-4BBF-8485-2D3ECDAD7064}">
      <text>
        <r>
          <rPr>
            <b/>
            <sz val="9"/>
            <color indexed="81"/>
            <rFont val="Tahoma"/>
            <family val="2"/>
          </rPr>
          <t>Nielsen, Victoria:</t>
        </r>
        <r>
          <rPr>
            <sz val="9"/>
            <color indexed="81"/>
            <rFont val="Tahoma"/>
            <family val="2"/>
          </rPr>
          <t xml:space="preserve">
Changed from 10 to 11. IL TRM V 7 pg 160
</t>
        </r>
      </text>
    </comment>
    <comment ref="I33" authorId="0" shapeId="0" xr:uid="{F4202E7F-93FE-433D-A524-07496BE179CB}">
      <text>
        <r>
          <rPr>
            <b/>
            <sz val="9"/>
            <color indexed="81"/>
            <rFont val="Tahoma"/>
            <family val="2"/>
          </rPr>
          <t>Nielsen, Victoria:</t>
        </r>
        <r>
          <rPr>
            <sz val="9"/>
            <color indexed="81"/>
            <rFont val="Tahoma"/>
            <family val="2"/>
          </rPr>
          <t xml:space="preserve">
Changed from 10 to 11. IL TRM V 7 pg 160
</t>
        </r>
      </text>
    </comment>
    <comment ref="I34" authorId="0" shapeId="0" xr:uid="{09FCC4C2-9FD3-4C27-8083-64F7BA3F08FB}">
      <text>
        <r>
          <rPr>
            <b/>
            <sz val="9"/>
            <color indexed="81"/>
            <rFont val="Tahoma"/>
            <family val="2"/>
          </rPr>
          <t>Nielsen, Victoria:</t>
        </r>
        <r>
          <rPr>
            <sz val="9"/>
            <color indexed="81"/>
            <rFont val="Tahoma"/>
            <family val="2"/>
          </rPr>
          <t xml:space="preserve">
Changed from 10 to 11. IL TRM V 7 pg 160
</t>
        </r>
      </text>
    </comment>
    <comment ref="I35" authorId="0" shapeId="0" xr:uid="{54DBC055-03CD-43B2-B1E5-D345058C6533}">
      <text>
        <r>
          <rPr>
            <b/>
            <sz val="9"/>
            <color indexed="81"/>
            <rFont val="Tahoma"/>
            <family val="2"/>
          </rPr>
          <t>Nielsen, Victoria:</t>
        </r>
        <r>
          <rPr>
            <sz val="9"/>
            <color indexed="81"/>
            <rFont val="Tahoma"/>
            <family val="2"/>
          </rPr>
          <t xml:space="preserve">
Changed from 10 to 11. IL TRM V 7 pg 160
</t>
        </r>
      </text>
    </comment>
    <comment ref="I37" authorId="0" shapeId="0" xr:uid="{C69476E4-EA93-43BB-9DA2-F5DECDFB3C93}">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752AA864-E9B2-46F4-876E-86787A175D1E}">
      <text>
        <r>
          <rPr>
            <b/>
            <sz val="9"/>
            <color indexed="81"/>
            <rFont val="Tahoma"/>
            <family val="2"/>
          </rPr>
          <t>Froio, Zach:</t>
        </r>
        <r>
          <rPr>
            <sz val="9"/>
            <color indexed="81"/>
            <rFont val="Tahoma"/>
            <family val="2"/>
          </rPr>
          <t xml:space="preserve">
Updated per IL TRM v7 p. 185</t>
        </r>
      </text>
    </comment>
    <comment ref="AA37" authorId="2" shapeId="0" xr:uid="{C23999A8-8727-44BD-BCC0-48E902588328}">
      <text>
        <r>
          <rPr>
            <b/>
            <sz val="9"/>
            <color indexed="81"/>
            <rFont val="Tahoma"/>
            <family val="2"/>
          </rPr>
          <t>Leah Maggio:</t>
        </r>
        <r>
          <rPr>
            <sz val="9"/>
            <color indexed="81"/>
            <rFont val="Tahoma"/>
            <family val="2"/>
          </rPr>
          <t xml:space="preserve">
L_base = L_low</t>
        </r>
      </text>
    </comment>
    <comment ref="I38" authorId="0" shapeId="0" xr:uid="{6FC819EB-4D0A-4585-BB20-D032211BFC5B}">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F4523D6C-805D-40DA-B5B8-9D10A60DFD75}">
      <text>
        <r>
          <rPr>
            <b/>
            <sz val="9"/>
            <color indexed="81"/>
            <rFont val="Tahoma"/>
            <family val="2"/>
          </rPr>
          <t>Froio, Zach:</t>
        </r>
        <r>
          <rPr>
            <sz val="9"/>
            <color indexed="81"/>
            <rFont val="Tahoma"/>
            <family val="2"/>
          </rPr>
          <t xml:space="preserve">
Updated per IL TRM v7 p. 185</t>
        </r>
      </text>
    </comment>
    <comment ref="AA38" authorId="2" shapeId="0" xr:uid="{89A954FD-EA34-4DF7-BBD5-0B89F8590778}">
      <text>
        <r>
          <rPr>
            <b/>
            <sz val="9"/>
            <color indexed="81"/>
            <rFont val="Tahoma"/>
            <family val="2"/>
          </rPr>
          <t>Leah Maggio:</t>
        </r>
        <r>
          <rPr>
            <sz val="9"/>
            <color indexed="81"/>
            <rFont val="Tahoma"/>
            <family val="2"/>
          </rPr>
          <t xml:space="preserve">
L_base = L_low</t>
        </r>
      </text>
    </comment>
    <comment ref="W39" authorId="1" shapeId="0" xr:uid="{6EA7D3DF-2C5A-46DF-9C15-4A88AF42A820}">
      <text>
        <r>
          <rPr>
            <b/>
            <sz val="9"/>
            <color indexed="81"/>
            <rFont val="Tahoma"/>
            <family val="2"/>
          </rPr>
          <t>Froio, Zach:</t>
        </r>
        <r>
          <rPr>
            <sz val="9"/>
            <color indexed="81"/>
            <rFont val="Tahoma"/>
            <family val="2"/>
          </rPr>
          <t xml:space="preserve">
Updated per IL TRM v7 p. 194</t>
        </r>
      </text>
    </comment>
    <comment ref="AA39" authorId="2" shapeId="0" xr:uid="{7DA79875-B2E3-47EE-98C1-6D6AC90B7855}">
      <text>
        <r>
          <rPr>
            <b/>
            <sz val="9"/>
            <color indexed="81"/>
            <rFont val="Tahoma"/>
            <family val="2"/>
          </rPr>
          <t>Leah Maggio:</t>
        </r>
        <r>
          <rPr>
            <sz val="9"/>
            <color indexed="81"/>
            <rFont val="Tahoma"/>
            <family val="2"/>
          </rPr>
          <t xml:space="preserve">
L_base = L_low</t>
        </r>
      </text>
    </comment>
    <comment ref="V40" authorId="1" shapeId="0" xr:uid="{0A0B4FC5-1012-4EA6-98A2-0F844EA1E814}">
      <text>
        <r>
          <rPr>
            <b/>
            <sz val="9"/>
            <color indexed="81"/>
            <rFont val="Tahoma"/>
            <family val="2"/>
          </rPr>
          <t>Froio, Zach:</t>
        </r>
        <r>
          <rPr>
            <sz val="9"/>
            <color indexed="81"/>
            <rFont val="Tahoma"/>
            <family val="2"/>
          </rPr>
          <t xml:space="preserve">
Updated per IL TRM v7 p. 173</t>
        </r>
      </text>
    </comment>
    <comment ref="I42" authorId="0" shapeId="0" xr:uid="{2961B32D-12AE-47F0-9861-71AB26FDBDF0}">
      <text>
        <r>
          <rPr>
            <b/>
            <sz val="9"/>
            <color indexed="81"/>
            <rFont val="Tahoma"/>
            <family val="2"/>
          </rPr>
          <t>Nielsen, Victoria:</t>
        </r>
        <r>
          <rPr>
            <sz val="9"/>
            <color indexed="81"/>
            <rFont val="Tahoma"/>
            <family val="2"/>
          </rPr>
          <t xml:space="preserve">
Changed from 5 to 8
</t>
        </r>
      </text>
    </comment>
    <comment ref="I43" authorId="0" shapeId="0" xr:uid="{9B462254-FEB8-4316-870C-22B5593BCA47}">
      <text>
        <r>
          <rPr>
            <b/>
            <sz val="9"/>
            <color indexed="81"/>
            <rFont val="Tahoma"/>
            <family val="2"/>
          </rPr>
          <t>Nielsen, Victoria:</t>
        </r>
        <r>
          <rPr>
            <sz val="9"/>
            <color indexed="81"/>
            <rFont val="Tahoma"/>
            <family val="2"/>
          </rPr>
          <t xml:space="preserve">
Changed from 5 to 8
</t>
        </r>
      </text>
    </comment>
    <comment ref="I44" authorId="0" shapeId="0" xr:uid="{CF727AF3-3285-48ED-93D9-4C0B080B0F07}">
      <text>
        <r>
          <rPr>
            <b/>
            <sz val="9"/>
            <color indexed="81"/>
            <rFont val="Tahoma"/>
            <family val="2"/>
          </rPr>
          <t>Nielsen, Victoria:</t>
        </r>
        <r>
          <rPr>
            <sz val="9"/>
            <color indexed="81"/>
            <rFont val="Tahoma"/>
            <family val="2"/>
          </rPr>
          <t xml:space="preserve">
Changed from 10 to 11. IL TRM V 7 pg 160
</t>
        </r>
      </text>
    </comment>
    <comment ref="I45" authorId="0" shapeId="0" xr:uid="{0F2699DD-1C11-4E18-9B5C-6A8F14F7068F}">
      <text>
        <r>
          <rPr>
            <b/>
            <sz val="9"/>
            <color indexed="81"/>
            <rFont val="Tahoma"/>
            <family val="2"/>
          </rPr>
          <t>Nielsen, Victoria:</t>
        </r>
        <r>
          <rPr>
            <sz val="9"/>
            <color indexed="81"/>
            <rFont val="Tahoma"/>
            <family val="2"/>
          </rPr>
          <t xml:space="preserve">
Changed from 10 to 11. IL TRM V 7 pg 160
</t>
        </r>
      </text>
    </comment>
    <comment ref="I46" authorId="0" shapeId="0" xr:uid="{9A694403-16D2-48DF-894A-09289AAC5B24}">
      <text>
        <r>
          <rPr>
            <b/>
            <sz val="9"/>
            <color indexed="81"/>
            <rFont val="Tahoma"/>
            <family val="2"/>
          </rPr>
          <t>Nielsen, Victoria:</t>
        </r>
        <r>
          <rPr>
            <sz val="9"/>
            <color indexed="81"/>
            <rFont val="Tahoma"/>
            <family val="2"/>
          </rPr>
          <t xml:space="preserve">
Changed from 10 to 11. IL TRM V 7 pg 160
</t>
        </r>
      </text>
    </comment>
    <comment ref="I47" authorId="0" shapeId="0" xr:uid="{B0781CD9-DC92-44A2-9AD0-DB2147EF14C6}">
      <text>
        <r>
          <rPr>
            <b/>
            <sz val="9"/>
            <color indexed="81"/>
            <rFont val="Tahoma"/>
            <family val="2"/>
          </rPr>
          <t>Nielsen, Victoria:</t>
        </r>
        <r>
          <rPr>
            <sz val="9"/>
            <color indexed="81"/>
            <rFont val="Tahoma"/>
            <family val="2"/>
          </rPr>
          <t xml:space="preserve">
Changed from 10 to 11. IL TRM V 7 pg 160
</t>
        </r>
      </text>
    </comment>
    <comment ref="V51" authorId="1" shapeId="0" xr:uid="{DA499407-9994-48A0-B4A0-7B804E3EF9BD}">
      <text>
        <r>
          <rPr>
            <b/>
            <sz val="9"/>
            <color indexed="81"/>
            <rFont val="Tahoma"/>
            <family val="2"/>
          </rPr>
          <t>Froio, Zach:</t>
        </r>
        <r>
          <rPr>
            <sz val="9"/>
            <color indexed="81"/>
            <rFont val="Tahoma"/>
            <family val="2"/>
          </rPr>
          <t xml:space="preserve">
Updated per IL TRM v7 p. 101</t>
        </r>
      </text>
    </comment>
    <comment ref="V52" authorId="1" shapeId="0" xr:uid="{CE97A8AB-1A69-4CDF-A739-BE4EC82B369E}">
      <text>
        <r>
          <rPr>
            <b/>
            <sz val="9"/>
            <color indexed="81"/>
            <rFont val="Tahoma"/>
            <family val="2"/>
          </rPr>
          <t>Froio, Zach:</t>
        </r>
        <r>
          <rPr>
            <sz val="9"/>
            <color indexed="81"/>
            <rFont val="Tahoma"/>
            <family val="2"/>
          </rPr>
          <t xml:space="preserve">
Updated per IL TRM v7 p. 101</t>
        </r>
      </text>
    </comment>
    <comment ref="V53" authorId="1" shapeId="0" xr:uid="{AE0AAED9-4303-4CDE-851D-75CA65985EAB}">
      <text>
        <r>
          <rPr>
            <b/>
            <sz val="9"/>
            <color indexed="81"/>
            <rFont val="Tahoma"/>
            <family val="2"/>
          </rPr>
          <t>Froio, Zach:</t>
        </r>
        <r>
          <rPr>
            <sz val="9"/>
            <color indexed="81"/>
            <rFont val="Tahoma"/>
            <family val="2"/>
          </rPr>
          <t xml:space="preserve">
Updated per IL TRM v7 p. 105</t>
        </r>
      </text>
    </comment>
    <comment ref="V54" authorId="1" shapeId="0" xr:uid="{F9FFADAE-5D4E-4FA5-AB20-3EBD209A28F2}">
      <text>
        <r>
          <rPr>
            <b/>
            <sz val="9"/>
            <color indexed="81"/>
            <rFont val="Tahoma"/>
            <family val="2"/>
          </rPr>
          <t>Froio, Zach:</t>
        </r>
        <r>
          <rPr>
            <sz val="9"/>
            <color indexed="81"/>
            <rFont val="Tahoma"/>
            <family val="2"/>
          </rPr>
          <t xml:space="preserve">
Updated per IL TRM v7 p. 105</t>
        </r>
      </text>
    </comment>
    <comment ref="I55" authorId="0" shapeId="0" xr:uid="{8CB3CA6F-548D-445D-95BA-10898EF44887}">
      <text>
        <r>
          <rPr>
            <b/>
            <sz val="9"/>
            <color indexed="81"/>
            <rFont val="Tahoma"/>
            <family val="2"/>
          </rPr>
          <t>Nielsen, Victoria:</t>
        </r>
        <r>
          <rPr>
            <sz val="9"/>
            <color indexed="81"/>
            <rFont val="Tahoma"/>
            <family val="2"/>
          </rPr>
          <t xml:space="preserve">
Changed from 5 to 8
</t>
        </r>
      </text>
    </comment>
    <comment ref="I56" authorId="0" shapeId="0" xr:uid="{E942AEE4-9ACF-4DDC-84B9-94972EABC3EE}">
      <text>
        <r>
          <rPr>
            <b/>
            <sz val="9"/>
            <color indexed="81"/>
            <rFont val="Tahoma"/>
            <family val="2"/>
          </rPr>
          <t>Nielsen, Victoria:</t>
        </r>
        <r>
          <rPr>
            <sz val="9"/>
            <color indexed="81"/>
            <rFont val="Tahoma"/>
            <family val="2"/>
          </rPr>
          <t xml:space="preserve">
Changed from 5 to 8
</t>
        </r>
      </text>
    </comment>
    <comment ref="I57" authorId="0" shapeId="0" xr:uid="{25F3BAD3-7109-4D17-A85C-9F2861A58DD6}">
      <text>
        <r>
          <rPr>
            <b/>
            <sz val="9"/>
            <color indexed="81"/>
            <rFont val="Tahoma"/>
            <family val="2"/>
          </rPr>
          <t>Nielsen, Victoria:</t>
        </r>
        <r>
          <rPr>
            <sz val="9"/>
            <color indexed="81"/>
            <rFont val="Tahoma"/>
            <family val="2"/>
          </rPr>
          <t xml:space="preserve">
Changed from 10 to 11. IL TRM V 7 pg 160
</t>
        </r>
      </text>
    </comment>
    <comment ref="I58" authorId="0" shapeId="0" xr:uid="{89FB3638-2561-41AA-A052-69679D577E61}">
      <text>
        <r>
          <rPr>
            <b/>
            <sz val="9"/>
            <color indexed="81"/>
            <rFont val="Tahoma"/>
            <family val="2"/>
          </rPr>
          <t>Nielsen, Victoria:</t>
        </r>
        <r>
          <rPr>
            <sz val="9"/>
            <color indexed="81"/>
            <rFont val="Tahoma"/>
            <family val="2"/>
          </rPr>
          <t xml:space="preserve">
Changed from 10 to 11. IL TRM V 7 pg 160
</t>
        </r>
      </text>
    </comment>
    <comment ref="I59" authorId="0" shapeId="0" xr:uid="{0BB270B1-78E0-49DA-B04C-9CB7B1CA193E}">
      <text>
        <r>
          <rPr>
            <b/>
            <sz val="9"/>
            <color indexed="81"/>
            <rFont val="Tahoma"/>
            <family val="2"/>
          </rPr>
          <t>Nielsen, Victoria:</t>
        </r>
        <r>
          <rPr>
            <sz val="9"/>
            <color indexed="81"/>
            <rFont val="Tahoma"/>
            <family val="2"/>
          </rPr>
          <t xml:space="preserve">
Changed from 10 to 11. IL TRM V 7 pg 160
</t>
        </r>
      </text>
    </comment>
    <comment ref="I60" authorId="0" shapeId="0" xr:uid="{B86FAD87-6D7E-46D7-BFB4-F4DB97C87765}">
      <text>
        <r>
          <rPr>
            <b/>
            <sz val="9"/>
            <color indexed="81"/>
            <rFont val="Tahoma"/>
            <family val="2"/>
          </rPr>
          <t>Nielsen, Victoria:</t>
        </r>
        <r>
          <rPr>
            <sz val="9"/>
            <color indexed="81"/>
            <rFont val="Tahoma"/>
            <family val="2"/>
          </rPr>
          <t xml:space="preserve">
Changed from 10 to 11. IL TRM V 7 pg 160
</t>
        </r>
      </text>
    </comment>
    <comment ref="I61" authorId="0" shapeId="0" xr:uid="{E3FC68A0-E1E1-4BD9-837B-618F2563118E}">
      <text>
        <r>
          <rPr>
            <b/>
            <sz val="9"/>
            <color indexed="81"/>
            <rFont val="Tahoma"/>
            <family val="2"/>
          </rPr>
          <t>Nielsen, Victoria:</t>
        </r>
        <r>
          <rPr>
            <sz val="9"/>
            <color indexed="81"/>
            <rFont val="Tahoma"/>
            <family val="2"/>
          </rPr>
          <t xml:space="preserve">
Increased from 15 to 20 years. Pg 295
</t>
        </r>
      </text>
    </comment>
    <comment ref="V61" authorId="1" shapeId="0" xr:uid="{2EF13D99-F40C-4837-BBEF-42E7F3C68FAF}">
      <text>
        <r>
          <rPr>
            <b/>
            <sz val="9"/>
            <color indexed="81"/>
            <rFont val="Tahoma"/>
            <family val="2"/>
          </rPr>
          <t>Froio, Zach:</t>
        </r>
        <r>
          <rPr>
            <sz val="9"/>
            <color indexed="81"/>
            <rFont val="Tahoma"/>
            <family val="2"/>
          </rPr>
          <t xml:space="preserve">
Updated per IL TRM v8 p. 293</t>
        </r>
      </text>
    </comment>
    <comment ref="X61" authorId="3" shapeId="0" xr:uid="{FFFE5CE3-894E-48B9-A8DC-0624CD63EA48}">
      <text>
        <r>
          <rPr>
            <b/>
            <sz val="9"/>
            <color indexed="81"/>
            <rFont val="Tahoma"/>
            <family val="2"/>
          </rPr>
          <t>Maxwell Weiland:</t>
        </r>
        <r>
          <rPr>
            <sz val="9"/>
            <color indexed="81"/>
            <rFont val="Tahoma"/>
            <family val="2"/>
          </rPr>
          <t xml:space="preserve">
Changed from 22.2 to 23.9 based on 1 story in Chicago.</t>
        </r>
      </text>
    </comment>
    <comment ref="Z61" authorId="3" shapeId="0" xr:uid="{BA5C5F85-8672-4831-9380-207AEC920A2B}">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DC9C172-424F-407C-A345-F1AC1810108F}">
      <text>
        <r>
          <rPr>
            <b/>
            <sz val="9"/>
            <color indexed="81"/>
            <rFont val="Tahoma"/>
            <family val="2"/>
          </rPr>
          <t>Maxwell Weiland:</t>
        </r>
        <r>
          <rPr>
            <sz val="9"/>
            <color indexed="81"/>
            <rFont val="Tahoma"/>
            <family val="2"/>
          </rPr>
          <t xml:space="preserve">
Changed from 70% to 72%</t>
        </r>
      </text>
    </comment>
    <comment ref="AC61" authorId="1" shapeId="0" xr:uid="{B4093919-6036-44D3-89BA-BFBBA6CBC9EC}">
      <text>
        <r>
          <rPr>
            <b/>
            <sz val="9"/>
            <color indexed="81"/>
            <rFont val="Tahoma"/>
            <family val="2"/>
          </rPr>
          <t>Froio, Zach:</t>
        </r>
        <r>
          <rPr>
            <sz val="9"/>
            <color indexed="81"/>
            <rFont val="Tahoma"/>
            <family val="2"/>
          </rPr>
          <t xml:space="preserve">
Added per IL TRM v7 p. 303</t>
        </r>
      </text>
    </comment>
    <comment ref="AE61" authorId="1" shapeId="0" xr:uid="{91245A92-7955-4646-A670-9F7372FD0782}">
      <text>
        <r>
          <rPr>
            <b/>
            <sz val="9"/>
            <color indexed="81"/>
            <rFont val="Tahoma"/>
            <charset val="1"/>
          </rPr>
          <t>Froio, Zach:</t>
        </r>
        <r>
          <rPr>
            <sz val="9"/>
            <color indexed="81"/>
            <rFont val="Tahoma"/>
            <charset val="1"/>
          </rPr>
          <t xml:space="preserve">
Added per IL TRM v8 p. 293</t>
        </r>
      </text>
    </comment>
    <comment ref="I62" authorId="0" shapeId="0" xr:uid="{EC1923A8-0F91-4C7E-9A2C-1169F14DD7AB}">
      <text>
        <r>
          <rPr>
            <b/>
            <sz val="9"/>
            <color indexed="81"/>
            <rFont val="Tahoma"/>
            <family val="2"/>
          </rPr>
          <t>Nielsen, Victoria:</t>
        </r>
        <r>
          <rPr>
            <sz val="9"/>
            <color indexed="81"/>
            <rFont val="Tahoma"/>
            <family val="2"/>
          </rPr>
          <t xml:space="preserve">
Increased from 15 to 20 years. Pg 327
</t>
        </r>
      </text>
    </comment>
    <comment ref="V62" authorId="1" shapeId="0" xr:uid="{F09859E8-1700-49DE-AF11-00EA5B75ADBE}">
      <text>
        <r>
          <rPr>
            <b/>
            <sz val="9"/>
            <color indexed="81"/>
            <rFont val="Tahoma"/>
            <family val="2"/>
          </rPr>
          <t>Froio, Zach:</t>
        </r>
        <r>
          <rPr>
            <sz val="9"/>
            <color indexed="81"/>
            <rFont val="Tahoma"/>
            <family val="2"/>
          </rPr>
          <t xml:space="preserve">
Updated per IL TRM v8 p. 328</t>
        </r>
      </text>
    </comment>
    <comment ref="AC62" authorId="1" shapeId="0" xr:uid="{3B4F0665-D5F3-4A7C-9E70-E470DB71BD49}">
      <text>
        <r>
          <rPr>
            <b/>
            <sz val="9"/>
            <color indexed="81"/>
            <rFont val="Tahoma"/>
            <family val="2"/>
          </rPr>
          <t>Froio, Zach:</t>
        </r>
        <r>
          <rPr>
            <sz val="9"/>
            <color indexed="81"/>
            <rFont val="Tahoma"/>
            <family val="2"/>
          </rPr>
          <t xml:space="preserve">
Updated per IL TRM v7 p. 333</t>
        </r>
      </text>
    </comment>
    <comment ref="AH62" authorId="3" shapeId="0" xr:uid="{CFFE8194-05E8-4151-85DD-96A2EB53C576}">
      <text>
        <r>
          <rPr>
            <b/>
            <sz val="9"/>
            <color indexed="81"/>
            <rFont val="Tahoma"/>
            <family val="2"/>
          </rPr>
          <t>Maxwell Weiland:</t>
        </r>
        <r>
          <rPr>
            <sz val="9"/>
            <color indexed="81"/>
            <rFont val="Tahoma"/>
            <family val="2"/>
          </rPr>
          <t xml:space="preserve">
Changed from 70% to 72%</t>
        </r>
      </text>
    </comment>
    <comment ref="AI62" authorId="1" shapeId="0" xr:uid="{482B4DF7-00CC-4BCD-AB73-793BD172F14B}">
      <text>
        <r>
          <rPr>
            <b/>
            <sz val="9"/>
            <color indexed="81"/>
            <rFont val="Tahoma"/>
            <family val="2"/>
          </rPr>
          <t>Froio, Zach:</t>
        </r>
        <r>
          <rPr>
            <sz val="9"/>
            <color indexed="81"/>
            <rFont val="Tahoma"/>
            <family val="2"/>
          </rPr>
          <t xml:space="preserve">
Added per IL TRM v8 p. 329</t>
        </r>
      </text>
    </comment>
    <comment ref="AK62" authorId="1" shapeId="0" xr:uid="{EAFACD76-DE71-4A4A-A784-D044E65A44D5}">
      <text>
        <r>
          <rPr>
            <b/>
            <sz val="9"/>
            <color indexed="81"/>
            <rFont val="Tahoma"/>
            <family val="2"/>
          </rPr>
          <t>Froio, Zach:</t>
        </r>
        <r>
          <rPr>
            <sz val="9"/>
            <color indexed="81"/>
            <rFont val="Tahoma"/>
            <family val="2"/>
          </rPr>
          <t xml:space="preserve">
Added per IL TRM v8 p. 329</t>
        </r>
      </text>
    </comment>
    <comment ref="I64" authorId="0" shapeId="0" xr:uid="{83E7D604-691D-40D5-BA6D-82147E74789A}">
      <text>
        <r>
          <rPr>
            <b/>
            <sz val="9"/>
            <color indexed="81"/>
            <rFont val="Tahoma"/>
            <family val="2"/>
          </rPr>
          <t>Nielsen, Victoria:</t>
        </r>
        <r>
          <rPr>
            <sz val="9"/>
            <color indexed="81"/>
            <rFont val="Tahoma"/>
            <family val="2"/>
          </rPr>
          <t xml:space="preserve">
Decreased from 25 to 20 years. Pg 320
</t>
        </r>
      </text>
    </comment>
    <comment ref="V64" authorId="1" shapeId="0" xr:uid="{18ED0B81-1F77-4A40-B5FE-772E8D27EE13}">
      <text>
        <r>
          <rPr>
            <b/>
            <sz val="9"/>
            <color indexed="81"/>
            <rFont val="Tahoma"/>
            <family val="2"/>
          </rPr>
          <t>Froio, Zach:</t>
        </r>
        <r>
          <rPr>
            <sz val="9"/>
            <color indexed="81"/>
            <rFont val="Tahoma"/>
            <family val="2"/>
          </rPr>
          <t xml:space="preserve">
Updated per IL TRM v7 p. 325</t>
        </r>
      </text>
    </comment>
    <comment ref="AD64" authorId="3" shapeId="0" xr:uid="{1968DD03-BAD9-4EB4-951F-4E2D62AD9FA7}">
      <text>
        <r>
          <rPr>
            <b/>
            <sz val="9"/>
            <color indexed="81"/>
            <rFont val="Tahoma"/>
            <family val="2"/>
          </rPr>
          <t>Maxwell Weiland:</t>
        </r>
        <r>
          <rPr>
            <sz val="9"/>
            <color indexed="81"/>
            <rFont val="Tahoma"/>
            <family val="2"/>
          </rPr>
          <t xml:space="preserve">
Changed from 74% to 60%</t>
        </r>
      </text>
    </comment>
    <comment ref="AD65" authorId="3" shapeId="0" xr:uid="{1ED0EEAF-A6D9-4D8D-B9E1-6991566BCCD1}">
      <text>
        <r>
          <rPr>
            <b/>
            <sz val="9"/>
            <color indexed="81"/>
            <rFont val="Tahoma"/>
            <family val="2"/>
          </rPr>
          <t>Maxwell Weiland:</t>
        </r>
        <r>
          <rPr>
            <sz val="9"/>
            <color indexed="81"/>
            <rFont val="Tahoma"/>
            <family val="2"/>
          </rPr>
          <t xml:space="preserve">
Changed from 74% to 60%</t>
        </r>
      </text>
    </comment>
    <comment ref="W70" authorId="1" shapeId="0" xr:uid="{E5766D16-6462-4F5B-9D2E-BD165C248485}">
      <text>
        <r>
          <rPr>
            <b/>
            <sz val="9"/>
            <color indexed="81"/>
            <rFont val="Tahoma"/>
            <family val="2"/>
          </rPr>
          <t>Froio, Zach:</t>
        </r>
        <r>
          <rPr>
            <sz val="9"/>
            <color indexed="81"/>
            <rFont val="Tahoma"/>
            <family val="2"/>
          </rPr>
          <t xml:space="preserve">
Updated per IL TRM v8 p. 171 (MF - Mid Rise)</t>
        </r>
      </text>
    </comment>
    <comment ref="W71" authorId="1" shapeId="0" xr:uid="{744A4684-65C0-4438-AA94-3651D56C6062}">
      <text>
        <r>
          <rPr>
            <b/>
            <sz val="9"/>
            <color indexed="81"/>
            <rFont val="Tahoma"/>
            <family val="2"/>
          </rPr>
          <t>Froio, Zach:</t>
        </r>
        <r>
          <rPr>
            <sz val="9"/>
            <color indexed="81"/>
            <rFont val="Tahoma"/>
            <family val="2"/>
          </rPr>
          <t xml:space="preserve">
Updated per IL TRM v8 p. 171 (MF - Mid Rise)</t>
        </r>
      </text>
    </comment>
    <comment ref="W72" authorId="1" shapeId="0" xr:uid="{C65F12B6-5B18-4C1D-9333-2CF4B1988AFA}">
      <text>
        <r>
          <rPr>
            <b/>
            <sz val="9"/>
            <color indexed="81"/>
            <rFont val="Tahoma"/>
            <family val="2"/>
          </rPr>
          <t>Froio, Zach:</t>
        </r>
        <r>
          <rPr>
            <sz val="9"/>
            <color indexed="81"/>
            <rFont val="Tahoma"/>
            <family val="2"/>
          </rPr>
          <t xml:space="preserve">
Updated per IL TRM v8 p. 171 (MF - Mid Rise)</t>
        </r>
      </text>
    </comment>
    <comment ref="W74" authorId="1" shapeId="0" xr:uid="{DFAA2213-81C0-4B81-B3C1-892F74E52637}">
      <text>
        <r>
          <rPr>
            <b/>
            <sz val="9"/>
            <color indexed="81"/>
            <rFont val="Tahoma"/>
            <family val="2"/>
          </rPr>
          <t>Froio, Zach:</t>
        </r>
        <r>
          <rPr>
            <sz val="9"/>
            <color indexed="81"/>
            <rFont val="Tahoma"/>
            <family val="2"/>
          </rPr>
          <t xml:space="preserve">
Updated per IL TRM v8 p. 171 (MF - Mid Rise)</t>
        </r>
      </text>
    </comment>
    <comment ref="AC76" authorId="1" shapeId="0" xr:uid="{848020E9-7C14-4642-AB06-42BDAAF2F023}">
      <text>
        <r>
          <rPr>
            <b/>
            <sz val="9"/>
            <color indexed="81"/>
            <rFont val="Tahoma"/>
            <charset val="1"/>
          </rPr>
          <t>Froio, Zach:</t>
        </r>
        <r>
          <rPr>
            <sz val="9"/>
            <color indexed="81"/>
            <rFont val="Tahoma"/>
            <charset val="1"/>
          </rPr>
          <t xml:space="preserve">
Updated per IL TRM v8 p. 171 (MF - High Rise, MF - Mid Rise average)</t>
        </r>
      </text>
    </comment>
    <comment ref="AE76" authorId="1" shapeId="0" xr:uid="{01E2842C-A0DD-4BCF-ADD4-EF5D74342AA3}">
      <text>
        <r>
          <rPr>
            <b/>
            <sz val="9"/>
            <color indexed="81"/>
            <rFont val="Tahoma"/>
            <charset val="1"/>
          </rPr>
          <t>Froio, Zach:</t>
        </r>
        <r>
          <rPr>
            <sz val="9"/>
            <color indexed="81"/>
            <rFont val="Tahoma"/>
            <charset val="1"/>
          </rPr>
          <t xml:space="preserve">
Updated per IL TRM v8 p. 171 (Unknown building type)</t>
        </r>
      </text>
    </comment>
    <comment ref="W77" authorId="1" shapeId="0" xr:uid="{8742989B-BB51-451B-98D3-893BF19E22DD}">
      <text>
        <r>
          <rPr>
            <b/>
            <sz val="9"/>
            <color indexed="81"/>
            <rFont val="Tahoma"/>
            <family val="2"/>
          </rPr>
          <t>Froio, Zach:</t>
        </r>
        <r>
          <rPr>
            <sz val="9"/>
            <color indexed="81"/>
            <rFont val="Tahoma"/>
            <family val="2"/>
          </rPr>
          <t xml:space="preserve">
Updated per IL TRM v8 p. 171 (MF - Mid Rise)</t>
        </r>
      </text>
    </comment>
    <comment ref="V80" authorId="1" shapeId="0" xr:uid="{FB05F7E5-A9F1-4ECA-905F-C308B965C0C8}">
      <text>
        <r>
          <rPr>
            <b/>
            <sz val="9"/>
            <color indexed="81"/>
            <rFont val="Tahoma"/>
            <family val="2"/>
          </rPr>
          <t>Froio, Zach:</t>
        </r>
        <r>
          <rPr>
            <sz val="9"/>
            <color indexed="81"/>
            <rFont val="Tahoma"/>
            <family val="2"/>
          </rPr>
          <t xml:space="preserve">
Updated per IL TRM v7 p. 55</t>
        </r>
      </text>
    </comment>
    <comment ref="W97" authorId="1" shapeId="0" xr:uid="{64EB21FA-56B5-4844-BDB6-28A97D5FBF72}">
      <text>
        <r>
          <rPr>
            <b/>
            <sz val="9"/>
            <color indexed="81"/>
            <rFont val="Tahoma"/>
            <family val="2"/>
          </rPr>
          <t>Froio, Zach:</t>
        </r>
        <r>
          <rPr>
            <sz val="9"/>
            <color indexed="81"/>
            <rFont val="Tahoma"/>
            <family val="2"/>
          </rPr>
          <t xml:space="preserve">
Updated per IL TRM v8 p. 171 (MF - Mid Rise)</t>
        </r>
      </text>
    </comment>
    <comment ref="Y98" authorId="1" shapeId="0" xr:uid="{DED3AC63-1A90-4AEF-85C8-C864E38372E8}">
      <text>
        <r>
          <rPr>
            <b/>
            <sz val="9"/>
            <color indexed="81"/>
            <rFont val="Tahoma"/>
            <family val="2"/>
          </rPr>
          <t>Froio, Zach:</t>
        </r>
        <r>
          <rPr>
            <sz val="9"/>
            <color indexed="81"/>
            <rFont val="Tahoma"/>
            <family val="2"/>
          </rPr>
          <t xml:space="preserve">
Updated per IL TRM v7 p. 326</t>
        </r>
      </text>
    </comment>
    <comment ref="AA98" authorId="1" shapeId="0" xr:uid="{DB683B18-EA5A-4796-BBCD-EBAD877FE529}">
      <text>
        <r>
          <rPr>
            <b/>
            <sz val="9"/>
            <color indexed="81"/>
            <rFont val="Tahoma"/>
            <charset val="1"/>
          </rPr>
          <t>Froio, Zach:</t>
        </r>
        <r>
          <rPr>
            <sz val="9"/>
            <color indexed="81"/>
            <rFont val="Tahoma"/>
            <charset val="1"/>
          </rPr>
          <t xml:space="preserve">
Updated per IL TRM v8 p. 171 (Unknown building type)</t>
        </r>
      </text>
    </comment>
    <comment ref="I104" authorId="0" shapeId="0" xr:uid="{33BED090-8B5D-453F-AB8B-A67829152CD6}">
      <text>
        <r>
          <rPr>
            <b/>
            <sz val="9"/>
            <color indexed="81"/>
            <rFont val="Tahoma"/>
            <family val="2"/>
          </rPr>
          <t>Nielsen, Victoria:</t>
        </r>
        <r>
          <rPr>
            <sz val="9"/>
            <color indexed="81"/>
            <rFont val="Tahoma"/>
            <family val="2"/>
          </rPr>
          <t xml:space="preserve">
Increased from 15 to 20 years. Pg 295
</t>
        </r>
      </text>
    </comment>
    <comment ref="V104" authorId="1" shapeId="0" xr:uid="{EC94E6D1-1531-4DC3-810A-42D9EA229067}">
      <text>
        <r>
          <rPr>
            <b/>
            <sz val="9"/>
            <color indexed="81"/>
            <rFont val="Tahoma"/>
            <family val="2"/>
          </rPr>
          <t>Froio, Zach:</t>
        </r>
        <r>
          <rPr>
            <sz val="9"/>
            <color indexed="81"/>
            <rFont val="Tahoma"/>
            <family val="2"/>
          </rPr>
          <t xml:space="preserve">
Updated per IL TRM v8 p. 293</t>
        </r>
      </text>
    </comment>
    <comment ref="X104" authorId="3" shapeId="0" xr:uid="{87948E49-BCE4-4899-B482-2DD747A8CE9C}">
      <text>
        <r>
          <rPr>
            <b/>
            <sz val="9"/>
            <color indexed="81"/>
            <rFont val="Tahoma"/>
            <family val="2"/>
          </rPr>
          <t>Maxwell Weiland:</t>
        </r>
        <r>
          <rPr>
            <sz val="9"/>
            <color indexed="81"/>
            <rFont val="Tahoma"/>
            <family val="2"/>
          </rPr>
          <t xml:space="preserve">
Changed from 22.2 to 23.9 based on 1 story in Chicago.</t>
        </r>
      </text>
    </comment>
    <comment ref="Z104" authorId="3" shapeId="0" xr:uid="{B46836C8-F7B4-4140-B20C-2EB2D01F540A}">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89B6D27D-B455-4D3E-87F2-9EA13778E9F1}">
      <text>
        <r>
          <rPr>
            <b/>
            <sz val="9"/>
            <color indexed="81"/>
            <rFont val="Tahoma"/>
            <family val="2"/>
          </rPr>
          <t>Maxwell Weiland:</t>
        </r>
        <r>
          <rPr>
            <sz val="9"/>
            <color indexed="81"/>
            <rFont val="Tahoma"/>
            <family val="2"/>
          </rPr>
          <t xml:space="preserve">
Changed from 70% to 72%
Chnaged to 64.9% -Steam Boiler.</t>
        </r>
      </text>
    </comment>
    <comment ref="AC104" authorId="1" shapeId="0" xr:uid="{9CEA64A2-FF6C-4E35-9C13-48983C9BE445}">
      <text>
        <r>
          <rPr>
            <b/>
            <sz val="9"/>
            <color indexed="81"/>
            <rFont val="Tahoma"/>
            <family val="2"/>
          </rPr>
          <t>Froio, Zach:</t>
        </r>
        <r>
          <rPr>
            <sz val="9"/>
            <color indexed="81"/>
            <rFont val="Tahoma"/>
            <family val="2"/>
          </rPr>
          <t xml:space="preserve">
Added per IL TRM v7 p. 303</t>
        </r>
      </text>
    </comment>
    <comment ref="AE104" authorId="1" shapeId="0" xr:uid="{AB15DDE3-5EED-43D6-91B0-379032346E4B}">
      <text>
        <r>
          <rPr>
            <b/>
            <sz val="9"/>
            <color indexed="81"/>
            <rFont val="Tahoma"/>
            <charset val="1"/>
          </rPr>
          <t>Froio, Zach:</t>
        </r>
        <r>
          <rPr>
            <sz val="9"/>
            <color indexed="81"/>
            <rFont val="Tahoma"/>
            <charset val="1"/>
          </rPr>
          <t xml:space="preserve">
Added per IL TRM v8 p. 293</t>
        </r>
      </text>
    </comment>
    <comment ref="W106" authorId="1" shapeId="0" xr:uid="{533C24A4-228E-49ED-907A-56BE1B835900}">
      <text>
        <r>
          <rPr>
            <b/>
            <sz val="9"/>
            <color indexed="81"/>
            <rFont val="Tahoma"/>
            <family val="2"/>
          </rPr>
          <t>Froio, Zach:</t>
        </r>
        <r>
          <rPr>
            <sz val="9"/>
            <color indexed="81"/>
            <rFont val="Tahoma"/>
            <family val="2"/>
          </rPr>
          <t xml:space="preserve">
Updated per IL TRM v8 p. 171 (MF - Mid Rise)</t>
        </r>
      </text>
    </comment>
    <comment ref="W107" authorId="1" shapeId="0" xr:uid="{994402E1-22E0-4F9D-97DE-2B92D35D7120}">
      <text>
        <r>
          <rPr>
            <b/>
            <sz val="9"/>
            <color indexed="81"/>
            <rFont val="Tahoma"/>
            <family val="2"/>
          </rPr>
          <t>Froio, Zach:</t>
        </r>
        <r>
          <rPr>
            <sz val="9"/>
            <color indexed="81"/>
            <rFont val="Tahoma"/>
            <family val="2"/>
          </rPr>
          <t xml:space="preserve">
Updated per IL TRM v8 p. 171 (MF - Mid Rise)</t>
        </r>
      </text>
    </comment>
    <comment ref="W108" authorId="1" shapeId="0" xr:uid="{EF8CD9D7-8BFD-47E4-88C7-9000617F0EC7}">
      <text>
        <r>
          <rPr>
            <b/>
            <sz val="9"/>
            <color indexed="81"/>
            <rFont val="Tahoma"/>
            <family val="2"/>
          </rPr>
          <t>Froio, Zach:</t>
        </r>
        <r>
          <rPr>
            <sz val="9"/>
            <color indexed="81"/>
            <rFont val="Tahoma"/>
            <family val="2"/>
          </rPr>
          <t xml:space="preserve">
Updated per IL TRM v8 p. 171 (MF - Mid Rise)</t>
        </r>
      </text>
    </comment>
    <comment ref="W110" authorId="1" shapeId="0" xr:uid="{1A14ABC9-4552-48C8-8E7F-38FA9C12AD40}">
      <text>
        <r>
          <rPr>
            <b/>
            <sz val="9"/>
            <color indexed="81"/>
            <rFont val="Tahoma"/>
            <family val="2"/>
          </rPr>
          <t>Froio, Zach:</t>
        </r>
        <r>
          <rPr>
            <sz val="9"/>
            <color indexed="81"/>
            <rFont val="Tahoma"/>
            <family val="2"/>
          </rPr>
          <t xml:space="preserve">
Updated per IL TRM v8 p. 171 (MF - Mid Rise)</t>
        </r>
      </text>
    </comment>
    <comment ref="AC112" authorId="1" shapeId="0" xr:uid="{B2241AC2-A4BE-41DF-8D01-DC2266170946}">
      <text>
        <r>
          <rPr>
            <b/>
            <sz val="9"/>
            <color indexed="81"/>
            <rFont val="Tahoma"/>
            <charset val="1"/>
          </rPr>
          <t>Froio, Zach:</t>
        </r>
        <r>
          <rPr>
            <sz val="9"/>
            <color indexed="81"/>
            <rFont val="Tahoma"/>
            <charset val="1"/>
          </rPr>
          <t xml:space="preserve">
Updated per IL TRM v8 p. 171 (MF - High Rise, MF - Mid Rise average)</t>
        </r>
      </text>
    </comment>
    <comment ref="AE112" authorId="1" shapeId="0" xr:uid="{16A71D31-618E-4C3B-BE8E-03F5F33187DC}">
      <text>
        <r>
          <rPr>
            <b/>
            <sz val="9"/>
            <color indexed="81"/>
            <rFont val="Tahoma"/>
            <charset val="1"/>
          </rPr>
          <t>Froio, Zach:</t>
        </r>
        <r>
          <rPr>
            <sz val="9"/>
            <color indexed="81"/>
            <rFont val="Tahoma"/>
            <charset val="1"/>
          </rPr>
          <t xml:space="preserve">
Updated per IL TRM v8 p. 171 (Unknown building type)</t>
        </r>
      </text>
    </comment>
    <comment ref="W113" authorId="1" shapeId="0" xr:uid="{E726F7A5-D3D9-476F-84D5-89AE60EC0497}">
      <text>
        <r>
          <rPr>
            <b/>
            <sz val="9"/>
            <color indexed="81"/>
            <rFont val="Tahoma"/>
            <family val="2"/>
          </rPr>
          <t>Froio, Zach:</t>
        </r>
        <r>
          <rPr>
            <sz val="9"/>
            <color indexed="81"/>
            <rFont val="Tahoma"/>
            <family val="2"/>
          </rPr>
          <t xml:space="preserve">
Updated per IL TRM v8 p. 171 (MF - Mid Rise)</t>
        </r>
      </text>
    </comment>
    <comment ref="V114" authorId="1" shapeId="0" xr:uid="{554EBC8C-72CB-4239-8257-4783BB20EC10}">
      <text>
        <r>
          <rPr>
            <b/>
            <sz val="9"/>
            <color indexed="81"/>
            <rFont val="Tahoma"/>
            <family val="2"/>
          </rPr>
          <t>Froio, Zach:</t>
        </r>
        <r>
          <rPr>
            <sz val="9"/>
            <color indexed="81"/>
            <rFont val="Tahoma"/>
            <family val="2"/>
          </rPr>
          <t xml:space="preserve">
Updated per IL TRM v7 p. 105</t>
        </r>
      </text>
    </comment>
    <comment ref="V117" authorId="1" shapeId="0" xr:uid="{C0FEFE8B-968F-400B-8C3E-B7B93DCDD8B1}">
      <text>
        <r>
          <rPr>
            <b/>
            <sz val="9"/>
            <color indexed="81"/>
            <rFont val="Tahoma"/>
            <family val="2"/>
          </rPr>
          <t>Froio, Zach:</t>
        </r>
        <r>
          <rPr>
            <sz val="9"/>
            <color indexed="81"/>
            <rFont val="Tahoma"/>
            <family val="2"/>
          </rPr>
          <t xml:space="preserve">
Updated per IL TRM v7 p. 55</t>
        </r>
      </text>
    </comment>
    <comment ref="W134" authorId="1" shapeId="0" xr:uid="{B40506EE-BDBF-4F13-A1FC-5614F724DD17}">
      <text>
        <r>
          <rPr>
            <b/>
            <sz val="9"/>
            <color indexed="81"/>
            <rFont val="Tahoma"/>
            <family val="2"/>
          </rPr>
          <t>Froio, Zach:</t>
        </r>
        <r>
          <rPr>
            <sz val="9"/>
            <color indexed="81"/>
            <rFont val="Tahoma"/>
            <family val="2"/>
          </rPr>
          <t xml:space="preserve">
Updated per IL TRM v8 p. 171 (MF - Mid Rise)</t>
        </r>
      </text>
    </comment>
    <comment ref="Y135" authorId="1" shapeId="0" xr:uid="{66A3F41D-1949-4B31-81CE-617CA25C1382}">
      <text>
        <r>
          <rPr>
            <b/>
            <sz val="9"/>
            <color indexed="81"/>
            <rFont val="Tahoma"/>
            <family val="2"/>
          </rPr>
          <t>Froio, Zach:</t>
        </r>
        <r>
          <rPr>
            <sz val="9"/>
            <color indexed="81"/>
            <rFont val="Tahoma"/>
            <family val="2"/>
          </rPr>
          <t xml:space="preserve">
Updated per IL TRM v7 p. 326</t>
        </r>
      </text>
    </comment>
    <comment ref="AA135" authorId="1" shapeId="0" xr:uid="{2F545487-ADA7-43B6-B2F5-A4415FCC564F}">
      <text>
        <r>
          <rPr>
            <b/>
            <sz val="9"/>
            <color indexed="81"/>
            <rFont val="Tahoma"/>
            <charset val="1"/>
          </rPr>
          <t>Froio, Zach:</t>
        </r>
        <r>
          <rPr>
            <sz val="9"/>
            <color indexed="81"/>
            <rFont val="Tahoma"/>
            <charset val="1"/>
          </rPr>
          <t xml:space="preserve">
Updated per IL TRM v8 p. 171 (Unknown building type)</t>
        </r>
      </text>
    </comment>
    <comment ref="I142" authorId="0" shapeId="0" xr:uid="{63300341-25C0-4448-9EA7-29CFCEA2838E}">
      <text>
        <r>
          <rPr>
            <b/>
            <sz val="9"/>
            <color indexed="81"/>
            <rFont val="Tahoma"/>
            <family val="2"/>
          </rPr>
          <t>Nielsen, Victoria:</t>
        </r>
        <r>
          <rPr>
            <sz val="9"/>
            <color indexed="81"/>
            <rFont val="Tahoma"/>
            <family val="2"/>
          </rPr>
          <t xml:space="preserve">
Changed measure life from 9 to 10 years. pg 93
</t>
        </r>
      </text>
    </comment>
    <comment ref="AA142" authorId="2" shapeId="0" xr:uid="{4F6236CE-CFB4-4295-86BA-A9586611FCC4}">
      <text>
        <r>
          <rPr>
            <b/>
            <sz val="9"/>
            <color indexed="81"/>
            <rFont val="Tahoma"/>
            <family val="2"/>
          </rPr>
          <t>Leah Maggio:</t>
        </r>
        <r>
          <rPr>
            <sz val="9"/>
            <color indexed="81"/>
            <rFont val="Tahoma"/>
            <family val="2"/>
          </rPr>
          <t xml:space="preserve">
L_base = L_low</t>
        </r>
      </text>
    </comment>
    <comment ref="I143" authorId="0" shapeId="0" xr:uid="{4C4E908D-91E8-4F15-9D9D-6CE6C0C067B0}">
      <text>
        <r>
          <rPr>
            <b/>
            <sz val="9"/>
            <color indexed="81"/>
            <rFont val="Tahoma"/>
            <family val="2"/>
          </rPr>
          <t>Nielsen, Victoria:</t>
        </r>
        <r>
          <rPr>
            <sz val="9"/>
            <color indexed="81"/>
            <rFont val="Tahoma"/>
            <family val="2"/>
          </rPr>
          <t xml:space="preserve">
Changed measure life from 9 to 10 years. pg 93
</t>
        </r>
      </text>
    </comment>
    <comment ref="AA143" authorId="2" shapeId="0" xr:uid="{E12F79AD-E633-46EA-9E2F-2E3CDFCA3C1A}">
      <text>
        <r>
          <rPr>
            <b/>
            <sz val="9"/>
            <color indexed="81"/>
            <rFont val="Tahoma"/>
            <family val="2"/>
          </rPr>
          <t>Leah Maggio:</t>
        </r>
        <r>
          <rPr>
            <sz val="9"/>
            <color indexed="81"/>
            <rFont val="Tahoma"/>
            <family val="2"/>
          </rPr>
          <t xml:space="preserve">
L_base = L_low</t>
        </r>
      </text>
    </comment>
    <comment ref="AA144" authorId="2" shapeId="0" xr:uid="{EB4C4242-1AA1-477B-9857-0191BA572467}">
      <text>
        <r>
          <rPr>
            <b/>
            <sz val="9"/>
            <color indexed="81"/>
            <rFont val="Tahoma"/>
            <family val="2"/>
          </rPr>
          <t>Leah Maggio:</t>
        </r>
        <r>
          <rPr>
            <sz val="9"/>
            <color indexed="81"/>
            <rFont val="Tahoma"/>
            <family val="2"/>
          </rPr>
          <t xml:space="preserve">
L_base = L_low</t>
        </r>
      </text>
    </comment>
    <comment ref="AF144" authorId="1" shapeId="0" xr:uid="{1549ABD3-1C90-4C25-9E3C-63D55F4C3D96}">
      <text>
        <r>
          <rPr>
            <b/>
            <sz val="9"/>
            <color indexed="81"/>
            <rFont val="Tahoma"/>
            <charset val="1"/>
          </rPr>
          <t>Froio, Zach:</t>
        </r>
        <r>
          <rPr>
            <sz val="9"/>
            <color indexed="81"/>
            <rFont val="Tahoma"/>
            <charset val="1"/>
          </rPr>
          <t xml:space="preserve">
Updated per IL TRM v8 p. 135</t>
        </r>
      </text>
    </comment>
    <comment ref="X145" authorId="1" shapeId="0" xr:uid="{1786F4FC-2CD8-4AE0-AD09-17C3E9A4251B}">
      <text>
        <r>
          <rPr>
            <b/>
            <sz val="9"/>
            <color indexed="81"/>
            <rFont val="Tahoma"/>
            <charset val="1"/>
          </rPr>
          <t>Froio, Zach:</t>
        </r>
        <r>
          <rPr>
            <sz val="9"/>
            <color indexed="81"/>
            <rFont val="Tahoma"/>
            <charset val="1"/>
          </rPr>
          <t xml:space="preserve">
Updated per IL TRM v8 p. 87</t>
        </r>
      </text>
    </comment>
    <comment ref="Z145" authorId="1" shapeId="0" xr:uid="{69EC1483-5256-4B32-A299-3AF63CE7DF4F}">
      <text>
        <r>
          <rPr>
            <b/>
            <sz val="9"/>
            <color indexed="81"/>
            <rFont val="Tahoma"/>
            <charset val="1"/>
          </rPr>
          <t>Froio, Zach:</t>
        </r>
        <r>
          <rPr>
            <sz val="9"/>
            <color indexed="81"/>
            <rFont val="Tahoma"/>
            <charset val="1"/>
          </rPr>
          <t xml:space="preserve">
Updated per IL TRM v8 p. 90</t>
        </r>
      </text>
    </comment>
    <comment ref="AA145" authorId="2" shapeId="0" xr:uid="{DDCB12BC-C9B5-46D5-9280-E5F804304481}">
      <text>
        <r>
          <rPr>
            <b/>
            <sz val="9"/>
            <color indexed="81"/>
            <rFont val="Tahoma"/>
            <family val="2"/>
          </rPr>
          <t>Leah Maggio:</t>
        </r>
        <r>
          <rPr>
            <sz val="9"/>
            <color indexed="81"/>
            <rFont val="Tahoma"/>
            <family val="2"/>
          </rPr>
          <t xml:space="preserve">
L_base = L_low</t>
        </r>
      </text>
    </comment>
    <comment ref="AH145" authorId="1" shapeId="0" xr:uid="{C4FBA25D-921E-410C-8261-6802D77C706D}">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E3253DBC-A9D9-4B0C-B623-22750D5D27CD}">
      <text>
        <r>
          <rPr>
            <b/>
            <sz val="9"/>
            <color indexed="81"/>
            <rFont val="Tahoma"/>
            <family val="2"/>
          </rPr>
          <t>Nielsen, Victoria:</t>
        </r>
        <r>
          <rPr>
            <sz val="9"/>
            <color indexed="81"/>
            <rFont val="Tahoma"/>
            <family val="2"/>
          </rPr>
          <t xml:space="preserve">
Changed measure life from 9 to 10 years. pg 93
</t>
        </r>
      </text>
    </comment>
    <comment ref="AA147" authorId="2" shapeId="0" xr:uid="{B9350835-4AF2-460D-B941-FDA9758B7DAF}">
      <text>
        <r>
          <rPr>
            <b/>
            <sz val="9"/>
            <color indexed="81"/>
            <rFont val="Tahoma"/>
            <family val="2"/>
          </rPr>
          <t>Leah Maggio:</t>
        </r>
        <r>
          <rPr>
            <sz val="9"/>
            <color indexed="81"/>
            <rFont val="Tahoma"/>
            <family val="2"/>
          </rPr>
          <t xml:space="preserve">
L_base = L_low</t>
        </r>
      </text>
    </comment>
    <comment ref="I148" authorId="0" shapeId="0" xr:uid="{8868FBBC-86D6-409F-B8E2-C104441926D0}">
      <text>
        <r>
          <rPr>
            <b/>
            <sz val="9"/>
            <color indexed="81"/>
            <rFont val="Tahoma"/>
            <family val="2"/>
          </rPr>
          <t>Nielsen, Victoria:</t>
        </r>
        <r>
          <rPr>
            <sz val="9"/>
            <color indexed="81"/>
            <rFont val="Tahoma"/>
            <family val="2"/>
          </rPr>
          <t xml:space="preserve">
Changed measure life from 9 to 10 years. pg 93
</t>
        </r>
      </text>
    </comment>
    <comment ref="AA148" authorId="2" shapeId="0" xr:uid="{A7EC07E2-E235-4CBC-A9A1-1FDB5BF27BB6}">
      <text>
        <r>
          <rPr>
            <b/>
            <sz val="9"/>
            <color indexed="81"/>
            <rFont val="Tahoma"/>
            <family val="2"/>
          </rPr>
          <t>Leah Maggio:</t>
        </r>
        <r>
          <rPr>
            <sz val="9"/>
            <color indexed="81"/>
            <rFont val="Tahoma"/>
            <family val="2"/>
          </rPr>
          <t xml:space="preserve">
L_base = L_low</t>
        </r>
      </text>
    </comment>
    <comment ref="AA149" authorId="2" shapeId="0" xr:uid="{39DB4747-FCCC-4224-A9B3-047BE9B7F140}">
      <text>
        <r>
          <rPr>
            <b/>
            <sz val="9"/>
            <color indexed="81"/>
            <rFont val="Tahoma"/>
            <family val="2"/>
          </rPr>
          <t>Leah Maggio:</t>
        </r>
        <r>
          <rPr>
            <sz val="9"/>
            <color indexed="81"/>
            <rFont val="Tahoma"/>
            <family val="2"/>
          </rPr>
          <t xml:space="preserve">
L_base = L_low</t>
        </r>
      </text>
    </comment>
    <comment ref="AF149" authorId="1" shapeId="0" xr:uid="{FF8CC937-1DBD-4547-BADB-A6BE4FF72A2C}">
      <text>
        <r>
          <rPr>
            <b/>
            <sz val="9"/>
            <color indexed="81"/>
            <rFont val="Tahoma"/>
            <charset val="1"/>
          </rPr>
          <t>Froio, Zach:</t>
        </r>
        <r>
          <rPr>
            <sz val="9"/>
            <color indexed="81"/>
            <rFont val="Tahoma"/>
            <charset val="1"/>
          </rPr>
          <t xml:space="preserve">
Updated per IL TRM v8 p. 135</t>
        </r>
      </text>
    </comment>
    <comment ref="X151" authorId="1" shapeId="0" xr:uid="{FF8D5D4A-730E-4101-A3DB-BB05EAD267CB}">
      <text>
        <r>
          <rPr>
            <b/>
            <sz val="9"/>
            <color indexed="81"/>
            <rFont val="Tahoma"/>
            <charset val="1"/>
          </rPr>
          <t>Froio, Zach:</t>
        </r>
        <r>
          <rPr>
            <sz val="9"/>
            <color indexed="81"/>
            <rFont val="Tahoma"/>
            <charset val="1"/>
          </rPr>
          <t xml:space="preserve">
Updated per IL TRM v8 p. 87</t>
        </r>
      </text>
    </comment>
    <comment ref="Z151" authorId="1" shapeId="0" xr:uid="{D63A69CB-97CF-434E-A22C-DB39DB201A56}">
      <text>
        <r>
          <rPr>
            <b/>
            <sz val="9"/>
            <color indexed="81"/>
            <rFont val="Tahoma"/>
            <charset val="1"/>
          </rPr>
          <t>Froio, Zach:</t>
        </r>
        <r>
          <rPr>
            <sz val="9"/>
            <color indexed="81"/>
            <rFont val="Tahoma"/>
            <charset val="1"/>
          </rPr>
          <t xml:space="preserve">
Updated per IL TRM v8 p. 90</t>
        </r>
      </text>
    </comment>
    <comment ref="AA151" authorId="2" shapeId="0" xr:uid="{D5B94C2F-FACD-4959-A2C5-7FE7F6AD215A}">
      <text>
        <r>
          <rPr>
            <b/>
            <sz val="9"/>
            <color indexed="81"/>
            <rFont val="Tahoma"/>
            <family val="2"/>
          </rPr>
          <t>Leah Maggio:</t>
        </r>
        <r>
          <rPr>
            <sz val="9"/>
            <color indexed="81"/>
            <rFont val="Tahoma"/>
            <family val="2"/>
          </rPr>
          <t xml:space="preserve">
L_base = L_low</t>
        </r>
      </text>
    </comment>
    <comment ref="AH151" authorId="1" shapeId="0" xr:uid="{B4D34D95-AA6D-4A71-A911-91507A75821E}">
      <text>
        <r>
          <rPr>
            <b/>
            <sz val="9"/>
            <color indexed="81"/>
            <rFont val="Tahoma"/>
            <charset val="1"/>
          </rPr>
          <t>Froio, Zach:</t>
        </r>
        <r>
          <rPr>
            <sz val="9"/>
            <color indexed="81"/>
            <rFont val="Tahoma"/>
            <charset val="1"/>
          </rPr>
          <t xml:space="preserve">
Previously entered as 51.4, but corrected to be 54.1 per the TRM.</t>
        </r>
      </text>
    </comment>
    <comment ref="W157" authorId="1" shapeId="0" xr:uid="{6054BE71-2198-4CC0-8579-E9D4B45F6521}">
      <text>
        <r>
          <rPr>
            <b/>
            <sz val="9"/>
            <color indexed="81"/>
            <rFont val="Tahoma"/>
            <family val="2"/>
          </rPr>
          <t>Froio, Zach:</t>
        </r>
        <r>
          <rPr>
            <sz val="9"/>
            <color indexed="81"/>
            <rFont val="Tahoma"/>
            <family val="2"/>
          </rPr>
          <t xml:space="preserve">
Updated per IL TRM v8 p. 171 (Office - Mid Rise)</t>
        </r>
      </text>
    </comment>
    <comment ref="W158" authorId="1" shapeId="0" xr:uid="{40C18607-8DE0-4053-B4E5-4EE4DE09D1AD}">
      <text>
        <r>
          <rPr>
            <b/>
            <sz val="9"/>
            <color indexed="81"/>
            <rFont val="Tahoma"/>
            <family val="2"/>
          </rPr>
          <t>Froio, Zach:</t>
        </r>
        <r>
          <rPr>
            <sz val="9"/>
            <color indexed="81"/>
            <rFont val="Tahoma"/>
            <family val="2"/>
          </rPr>
          <t xml:space="preserve">
Updated per IL TRM v8 p. 171 (Office - Mid Rise)</t>
        </r>
      </text>
    </comment>
    <comment ref="W159" authorId="1" shapeId="0" xr:uid="{4CD4F8F1-A27B-4F20-9D72-8AB77304FCD9}">
      <text>
        <r>
          <rPr>
            <b/>
            <sz val="9"/>
            <color indexed="81"/>
            <rFont val="Tahoma"/>
            <family val="2"/>
          </rPr>
          <t>Froio, Zach:</t>
        </r>
        <r>
          <rPr>
            <sz val="9"/>
            <color indexed="81"/>
            <rFont val="Tahoma"/>
            <family val="2"/>
          </rPr>
          <t xml:space="preserve">
Updated per IL TRM v8 p. 171 (Office - Mid Rise)</t>
        </r>
      </text>
    </comment>
    <comment ref="W161" authorId="1" shapeId="0" xr:uid="{BC38AAF4-E6ED-4C07-8A13-07397B0E7B7B}">
      <text>
        <r>
          <rPr>
            <b/>
            <sz val="9"/>
            <color indexed="81"/>
            <rFont val="Tahoma"/>
            <family val="2"/>
          </rPr>
          <t>Froio, Zach:</t>
        </r>
        <r>
          <rPr>
            <sz val="9"/>
            <color indexed="81"/>
            <rFont val="Tahoma"/>
            <family val="2"/>
          </rPr>
          <t xml:space="preserve">
Updated per IL TRM v8 p. 171 (Office - Mid Rise)</t>
        </r>
      </text>
    </comment>
    <comment ref="AC164" authorId="1" shapeId="0" xr:uid="{41DED5F2-EE8A-435E-9CB5-C5604B35CE53}">
      <text>
        <r>
          <rPr>
            <b/>
            <sz val="9"/>
            <color indexed="81"/>
            <rFont val="Tahoma"/>
            <charset val="1"/>
          </rPr>
          <t>Froio, Zach:</t>
        </r>
        <r>
          <rPr>
            <sz val="9"/>
            <color indexed="81"/>
            <rFont val="Tahoma"/>
            <charset val="1"/>
          </rPr>
          <t xml:space="preserve">
Updated per IL TRM v8 p. 171 (MF - High Rise, MF - Mid Rise average)</t>
        </r>
      </text>
    </comment>
    <comment ref="AE164" authorId="1" shapeId="0" xr:uid="{8DC9DD9C-6754-42D6-93CF-B59BF64D15C4}">
      <text>
        <r>
          <rPr>
            <b/>
            <sz val="9"/>
            <color indexed="81"/>
            <rFont val="Tahoma"/>
            <charset val="1"/>
          </rPr>
          <t>Froio, Zach:</t>
        </r>
        <r>
          <rPr>
            <sz val="9"/>
            <color indexed="81"/>
            <rFont val="Tahoma"/>
            <charset val="1"/>
          </rPr>
          <t xml:space="preserve">
Updated per IL TRM v8 p. 171 (Unknown building type)</t>
        </r>
      </text>
    </comment>
    <comment ref="I168" authorId="0" shapeId="0" xr:uid="{4B283046-F8D5-4308-A95A-1F9738458696}">
      <text>
        <r>
          <rPr>
            <b/>
            <sz val="9"/>
            <color indexed="81"/>
            <rFont val="Tahoma"/>
            <family val="2"/>
          </rPr>
          <t>Nielsen, Victoria:</t>
        </r>
        <r>
          <rPr>
            <sz val="9"/>
            <color indexed="81"/>
            <rFont val="Tahoma"/>
            <family val="2"/>
          </rPr>
          <t xml:space="preserve">
Changed measure life frime 15-12 yrs
</t>
        </r>
      </text>
    </comment>
    <comment ref="X198" authorId="1" shapeId="0" xr:uid="{ABCDAE99-1616-47A2-B9DA-B31D7E35036D}">
      <text>
        <r>
          <rPr>
            <b/>
            <sz val="9"/>
            <color indexed="81"/>
            <rFont val="Tahoma"/>
            <charset val="1"/>
          </rPr>
          <t>Froio, Zach:</t>
        </r>
        <r>
          <rPr>
            <sz val="9"/>
            <color indexed="81"/>
            <rFont val="Tahoma"/>
            <charset val="1"/>
          </rPr>
          <t xml:space="preserve">
Updated per IL TRM v8 p. 87</t>
        </r>
      </text>
    </comment>
    <comment ref="Z198" authorId="1" shapeId="0" xr:uid="{7D53BF0E-C6B7-4F3C-B51F-EDCBD619F681}">
      <text>
        <r>
          <rPr>
            <b/>
            <sz val="9"/>
            <color indexed="81"/>
            <rFont val="Tahoma"/>
            <charset val="1"/>
          </rPr>
          <t>Froio, Zach:</t>
        </r>
        <r>
          <rPr>
            <sz val="9"/>
            <color indexed="81"/>
            <rFont val="Tahoma"/>
            <charset val="1"/>
          </rPr>
          <t xml:space="preserve">
Updated per IL TRM v8 p. 90</t>
        </r>
      </text>
    </comment>
    <comment ref="AA198" authorId="2" shapeId="0" xr:uid="{FFFB62C8-A169-40C2-B0EC-E79F5102E9AF}">
      <text>
        <r>
          <rPr>
            <b/>
            <sz val="9"/>
            <color indexed="81"/>
            <rFont val="Tahoma"/>
            <family val="2"/>
          </rPr>
          <t>Leah Maggio:</t>
        </r>
        <r>
          <rPr>
            <sz val="9"/>
            <color indexed="81"/>
            <rFont val="Tahoma"/>
            <family val="2"/>
          </rPr>
          <t xml:space="preserve">
L_base = L_low</t>
        </r>
      </text>
    </comment>
    <comment ref="AH198" authorId="1" shapeId="0" xr:uid="{55933AE3-25E3-4201-8005-D2AC26640223}">
      <text>
        <r>
          <rPr>
            <b/>
            <sz val="9"/>
            <color indexed="81"/>
            <rFont val="Tahoma"/>
            <charset val="1"/>
          </rPr>
          <t>Froio, Zach:</t>
        </r>
        <r>
          <rPr>
            <sz val="9"/>
            <color indexed="81"/>
            <rFont val="Tahoma"/>
            <charset val="1"/>
          </rPr>
          <t xml:space="preserve">
Previously entered as 51.4, but corrected to be 54.1 per the TRM.</t>
        </r>
      </text>
    </comment>
    <comment ref="W199" authorId="1" shapeId="0" xr:uid="{1761B389-AE34-45E3-86D6-BF33ADBC2160}">
      <text>
        <r>
          <rPr>
            <b/>
            <sz val="9"/>
            <color indexed="81"/>
            <rFont val="Tahoma"/>
            <family val="2"/>
          </rPr>
          <t>Froio, Zach:</t>
        </r>
        <r>
          <rPr>
            <sz val="9"/>
            <color indexed="81"/>
            <rFont val="Tahoma"/>
            <family val="2"/>
          </rPr>
          <t xml:space="preserve">
Updated per IL TRM v8 p. 171 (Office - Mid Rise)</t>
        </r>
      </text>
    </comment>
    <comment ref="AC205" authorId="1" shapeId="0" xr:uid="{8F7F3488-B691-4874-B541-37E96F4255F8}">
      <text>
        <r>
          <rPr>
            <b/>
            <sz val="9"/>
            <color indexed="81"/>
            <rFont val="Tahoma"/>
            <family val="2"/>
          </rPr>
          <t>Froio, Zach:</t>
        </r>
        <r>
          <rPr>
            <sz val="9"/>
            <color indexed="81"/>
            <rFont val="Tahoma"/>
            <family val="2"/>
          </rPr>
          <t xml:space="preserve">
Updated per IL TRM v7 p. 92</t>
        </r>
      </text>
    </comment>
    <comment ref="AE205" authorId="1" shapeId="0" xr:uid="{A18A8460-19DB-4383-AC87-178B25FA6886}">
      <text>
        <r>
          <rPr>
            <b/>
            <sz val="9"/>
            <color indexed="81"/>
            <rFont val="Tahoma"/>
            <family val="2"/>
          </rPr>
          <t>Froio, Zach:</t>
        </r>
        <r>
          <rPr>
            <sz val="9"/>
            <color indexed="81"/>
            <rFont val="Tahoma"/>
            <family val="2"/>
          </rPr>
          <t xml:space="preserve">
Assumed same UEF rating as former EF rating</t>
        </r>
      </text>
    </comment>
    <comment ref="W246" authorId="1" shapeId="0" xr:uid="{BA5097C0-CF68-4D1D-A1BF-D8E44CE00742}">
      <text>
        <r>
          <rPr>
            <b/>
            <sz val="9"/>
            <color indexed="81"/>
            <rFont val="Tahoma"/>
            <charset val="1"/>
          </rPr>
          <t>Froio, Zach:</t>
        </r>
        <r>
          <rPr>
            <sz val="9"/>
            <color indexed="81"/>
            <rFont val="Tahoma"/>
            <charset val="1"/>
          </rPr>
          <t xml:space="preserve">
Updated per IL TRM v8 p. 171 (Unknown building type)</t>
        </r>
      </text>
    </comment>
    <comment ref="W247" authorId="1" shapeId="0" xr:uid="{A1C1A403-91F5-4300-ACF3-433BE457C978}">
      <text>
        <r>
          <rPr>
            <b/>
            <sz val="9"/>
            <color indexed="81"/>
            <rFont val="Tahoma"/>
            <charset val="1"/>
          </rPr>
          <t>Froio, Zach:</t>
        </r>
        <r>
          <rPr>
            <sz val="9"/>
            <color indexed="81"/>
            <rFont val="Tahoma"/>
            <charset val="1"/>
          </rPr>
          <t xml:space="preserve">
Updated per IL TRM v8 p. 171 (Unknown building type)</t>
        </r>
      </text>
    </comment>
    <comment ref="W248" authorId="1" shapeId="0" xr:uid="{5A8BAA0F-1811-456C-AB6C-2B666E5BF49E}">
      <text>
        <r>
          <rPr>
            <b/>
            <sz val="9"/>
            <color indexed="81"/>
            <rFont val="Tahoma"/>
            <charset val="1"/>
          </rPr>
          <t>Froio, Zach:</t>
        </r>
        <r>
          <rPr>
            <sz val="9"/>
            <color indexed="81"/>
            <rFont val="Tahoma"/>
            <charset val="1"/>
          </rPr>
          <t xml:space="preserve">
Updated per IL TRM v8 p. 171 (Unknown building type)</t>
        </r>
      </text>
    </comment>
    <comment ref="W250" authorId="1" shapeId="0" xr:uid="{F5B2D33C-6651-4E2E-AD0A-BF0E08550E51}">
      <text>
        <r>
          <rPr>
            <b/>
            <sz val="9"/>
            <color indexed="81"/>
            <rFont val="Tahoma"/>
            <charset val="1"/>
          </rPr>
          <t>Froio, Zach:</t>
        </r>
        <r>
          <rPr>
            <sz val="9"/>
            <color indexed="81"/>
            <rFont val="Tahoma"/>
            <charset val="1"/>
          </rPr>
          <t xml:space="preserve">
Updated per IL TRM v8 p. 171 (Unknown building type)</t>
        </r>
      </text>
    </comment>
    <comment ref="AC253" authorId="1" shapeId="0" xr:uid="{09EC8621-3238-4AA3-B920-4B8A985F59CF}">
      <text>
        <r>
          <rPr>
            <b/>
            <sz val="9"/>
            <color indexed="81"/>
            <rFont val="Tahoma"/>
            <charset val="1"/>
          </rPr>
          <t>Froio, Zach:</t>
        </r>
        <r>
          <rPr>
            <sz val="9"/>
            <color indexed="81"/>
            <rFont val="Tahoma"/>
            <charset val="1"/>
          </rPr>
          <t xml:space="preserve">
Updated per IL TRM v8 p. 171 (MF - High Rise, MF - Mid Rise average)</t>
        </r>
      </text>
    </comment>
    <comment ref="AE253" authorId="1" shapeId="0" xr:uid="{C1186177-B98A-4977-A461-11828F27960C}">
      <text>
        <r>
          <rPr>
            <b/>
            <sz val="9"/>
            <color indexed="81"/>
            <rFont val="Tahoma"/>
            <charset val="1"/>
          </rPr>
          <t>Froio, Zach:</t>
        </r>
        <r>
          <rPr>
            <sz val="9"/>
            <color indexed="81"/>
            <rFont val="Tahoma"/>
            <charset val="1"/>
          </rPr>
          <t xml:space="preserve">
Updated per IL TRM v8 p. 171 (Unknown building type)</t>
        </r>
      </text>
    </comment>
    <comment ref="X271" authorId="1" shapeId="0" xr:uid="{844A4808-8CA4-427B-B088-35E6A57D66EC}">
      <text>
        <r>
          <rPr>
            <b/>
            <sz val="9"/>
            <color indexed="81"/>
            <rFont val="Tahoma"/>
            <charset val="1"/>
          </rPr>
          <t>Froio, Zach:</t>
        </r>
        <r>
          <rPr>
            <sz val="9"/>
            <color indexed="81"/>
            <rFont val="Tahoma"/>
            <charset val="1"/>
          </rPr>
          <t xml:space="preserve">
Updated per IL TRM v8 p. 87</t>
        </r>
      </text>
    </comment>
    <comment ref="Z271" authorId="1" shapeId="0" xr:uid="{B20B5FD9-9B47-44E8-8D07-4C12BBBC7E48}">
      <text>
        <r>
          <rPr>
            <b/>
            <sz val="9"/>
            <color indexed="81"/>
            <rFont val="Tahoma"/>
            <charset val="1"/>
          </rPr>
          <t>Froio, Zach:</t>
        </r>
        <r>
          <rPr>
            <sz val="9"/>
            <color indexed="81"/>
            <rFont val="Tahoma"/>
            <charset val="1"/>
          </rPr>
          <t xml:space="preserve">
Updated per IL TRM v8 p. 90</t>
        </r>
      </text>
    </comment>
    <comment ref="AA271" authorId="2" shapeId="0" xr:uid="{F5DC22C1-B164-4F15-AD8B-F097570A3625}">
      <text>
        <r>
          <rPr>
            <b/>
            <sz val="9"/>
            <color indexed="81"/>
            <rFont val="Tahoma"/>
            <family val="2"/>
          </rPr>
          <t>Leah Maggio:</t>
        </r>
        <r>
          <rPr>
            <sz val="9"/>
            <color indexed="81"/>
            <rFont val="Tahoma"/>
            <family val="2"/>
          </rPr>
          <t xml:space="preserve">
L_base = L_low</t>
        </r>
      </text>
    </comment>
    <comment ref="AH271" authorId="1" shapeId="0" xr:uid="{119EC6C0-BA7E-476A-870E-DE03C2FF22D0}">
      <text>
        <r>
          <rPr>
            <b/>
            <sz val="9"/>
            <color indexed="81"/>
            <rFont val="Tahoma"/>
            <charset val="1"/>
          </rPr>
          <t>Froio, Zach:</t>
        </r>
        <r>
          <rPr>
            <sz val="9"/>
            <color indexed="81"/>
            <rFont val="Tahoma"/>
            <charset val="1"/>
          </rPr>
          <t xml:space="preserve">
Previously entered as 51.4, but corrected to be 54.1 per the TRM.</t>
        </r>
      </text>
    </comment>
    <comment ref="W272" authorId="1" shapeId="0" xr:uid="{39F0A741-2DF6-4767-9EB5-C45A23D3794A}">
      <text>
        <r>
          <rPr>
            <b/>
            <sz val="9"/>
            <color indexed="81"/>
            <rFont val="Tahoma"/>
            <charset val="1"/>
          </rPr>
          <t>Froio, Zach:</t>
        </r>
        <r>
          <rPr>
            <sz val="9"/>
            <color indexed="81"/>
            <rFont val="Tahoma"/>
            <charset val="1"/>
          </rPr>
          <t xml:space="preserve">
Updated per IL TRM v8 p. 171 (Unknown building type)</t>
        </r>
      </text>
    </comment>
    <comment ref="AC278" authorId="1" shapeId="0" xr:uid="{17956560-64A2-43B7-B55D-54C1F6FD70F2}">
      <text>
        <r>
          <rPr>
            <b/>
            <sz val="9"/>
            <color indexed="81"/>
            <rFont val="Tahoma"/>
            <family val="2"/>
          </rPr>
          <t>Froio, Zach:</t>
        </r>
        <r>
          <rPr>
            <sz val="9"/>
            <color indexed="81"/>
            <rFont val="Tahoma"/>
            <family val="2"/>
          </rPr>
          <t xml:space="preserve">
Updated per IL TRM v7 p. 92</t>
        </r>
      </text>
    </comment>
    <comment ref="AE278" authorId="1" shapeId="0" xr:uid="{ECEDD6CE-5765-4CF0-A336-4025FCFD1A23}">
      <text>
        <r>
          <rPr>
            <b/>
            <sz val="9"/>
            <color indexed="81"/>
            <rFont val="Tahoma"/>
            <family val="2"/>
          </rPr>
          <t>Froio, Zach:</t>
        </r>
        <r>
          <rPr>
            <sz val="9"/>
            <color indexed="81"/>
            <rFont val="Tahoma"/>
            <family val="2"/>
          </rPr>
          <t xml:space="preserve">
Assumed same UEF rating as former EF rating</t>
        </r>
      </text>
    </comment>
    <comment ref="I282" authorId="0" shapeId="0" xr:uid="{8CCAFFAD-FAE0-4115-AD36-451D6FEA46BA}">
      <text>
        <r>
          <rPr>
            <b/>
            <sz val="9"/>
            <color indexed="81"/>
            <rFont val="Tahoma"/>
            <family val="2"/>
          </rPr>
          <t>Nielsen, Victoria:</t>
        </r>
        <r>
          <rPr>
            <sz val="9"/>
            <color indexed="81"/>
            <rFont val="Tahoma"/>
            <family val="2"/>
          </rPr>
          <t xml:space="preserve">
Changed measure life frime 15-12 yrs
</t>
        </r>
      </text>
    </comment>
    <comment ref="I295" authorId="0" shapeId="0" xr:uid="{4565912E-A6BC-4DCA-85A4-57AB4CCDBE99}">
      <text>
        <r>
          <rPr>
            <b/>
            <sz val="9"/>
            <color indexed="81"/>
            <rFont val="Tahoma"/>
            <family val="2"/>
          </rPr>
          <t>Nielsen, Victoria:</t>
        </r>
        <r>
          <rPr>
            <sz val="9"/>
            <color indexed="81"/>
            <rFont val="Tahoma"/>
            <family val="2"/>
          </rPr>
          <t xml:space="preserve">
Changed measure life from 9 to 10 years. pg 93
</t>
        </r>
      </text>
    </comment>
    <comment ref="AA295" authorId="2" shapeId="0" xr:uid="{6521E1AB-D870-4F7D-AE45-12135C42AE81}">
      <text>
        <r>
          <rPr>
            <b/>
            <sz val="9"/>
            <color indexed="81"/>
            <rFont val="Tahoma"/>
            <family val="2"/>
          </rPr>
          <t>Leah Maggio:</t>
        </r>
        <r>
          <rPr>
            <sz val="9"/>
            <color indexed="81"/>
            <rFont val="Tahoma"/>
            <family val="2"/>
          </rPr>
          <t xml:space="preserve">
L_base = L_low</t>
        </r>
      </text>
    </comment>
    <comment ref="I296" authorId="0" shapeId="0" xr:uid="{6FB80D8D-C49C-46E3-8F99-C63C1890881C}">
      <text>
        <r>
          <rPr>
            <b/>
            <sz val="9"/>
            <color indexed="81"/>
            <rFont val="Tahoma"/>
            <family val="2"/>
          </rPr>
          <t>Nielsen, Victoria:</t>
        </r>
        <r>
          <rPr>
            <sz val="9"/>
            <color indexed="81"/>
            <rFont val="Tahoma"/>
            <family val="2"/>
          </rPr>
          <t xml:space="preserve">
Changed measure life from 9 to 10 years. pg 93
</t>
        </r>
      </text>
    </comment>
    <comment ref="AA296" authorId="2" shapeId="0" xr:uid="{64428EC6-22AB-480A-AFE1-F247B0D652FB}">
      <text>
        <r>
          <rPr>
            <b/>
            <sz val="9"/>
            <color indexed="81"/>
            <rFont val="Tahoma"/>
            <family val="2"/>
          </rPr>
          <t>Leah Maggio:</t>
        </r>
        <r>
          <rPr>
            <sz val="9"/>
            <color indexed="81"/>
            <rFont val="Tahoma"/>
            <family val="2"/>
          </rPr>
          <t xml:space="preserve">
L_base = L_low</t>
        </r>
      </text>
    </comment>
    <comment ref="AA297" authorId="2" shapeId="0" xr:uid="{FF4DE4F8-3D75-49AA-9CC6-5765292D8418}">
      <text>
        <r>
          <rPr>
            <b/>
            <sz val="9"/>
            <color indexed="81"/>
            <rFont val="Tahoma"/>
            <family val="2"/>
          </rPr>
          <t>Leah Maggio:</t>
        </r>
        <r>
          <rPr>
            <sz val="9"/>
            <color indexed="81"/>
            <rFont val="Tahoma"/>
            <family val="2"/>
          </rPr>
          <t xml:space="preserve">
L_base = L_low</t>
        </r>
      </text>
    </comment>
    <comment ref="AF297" authorId="1" shapeId="0" xr:uid="{47FCE728-4E41-4756-BF94-E487A41B7434}">
      <text>
        <r>
          <rPr>
            <b/>
            <sz val="9"/>
            <color indexed="81"/>
            <rFont val="Tahoma"/>
            <charset val="1"/>
          </rPr>
          <t>Froio, Zach:</t>
        </r>
        <r>
          <rPr>
            <sz val="9"/>
            <color indexed="81"/>
            <rFont val="Tahoma"/>
            <charset val="1"/>
          </rPr>
          <t xml:space="preserve">
Updated per IL TRM v8 p. 135</t>
        </r>
      </text>
    </comment>
    <comment ref="X299" authorId="1" shapeId="0" xr:uid="{8C7D8BAD-1474-4C56-9FCC-4AEED85EC959}">
      <text>
        <r>
          <rPr>
            <b/>
            <sz val="9"/>
            <color indexed="81"/>
            <rFont val="Tahoma"/>
            <charset val="1"/>
          </rPr>
          <t>Froio, Zach:</t>
        </r>
        <r>
          <rPr>
            <sz val="9"/>
            <color indexed="81"/>
            <rFont val="Tahoma"/>
            <charset val="1"/>
          </rPr>
          <t xml:space="preserve">
Updated per IL TRM v8 p. 87</t>
        </r>
      </text>
    </comment>
    <comment ref="Z299" authorId="1" shapeId="0" xr:uid="{1EB22808-767B-42A1-B0EA-4F9D1E81FF6C}">
      <text>
        <r>
          <rPr>
            <b/>
            <sz val="9"/>
            <color indexed="81"/>
            <rFont val="Tahoma"/>
            <charset val="1"/>
          </rPr>
          <t>Froio, Zach:</t>
        </r>
        <r>
          <rPr>
            <sz val="9"/>
            <color indexed="81"/>
            <rFont val="Tahoma"/>
            <charset val="1"/>
          </rPr>
          <t xml:space="preserve">
Updated per IL TRM v8 p. 90</t>
        </r>
      </text>
    </comment>
    <comment ref="AA299" authorId="2" shapeId="0" xr:uid="{E0B53AE4-3646-4B2E-9D53-0B593DF264CC}">
      <text>
        <r>
          <rPr>
            <b/>
            <sz val="9"/>
            <color indexed="81"/>
            <rFont val="Tahoma"/>
            <family val="2"/>
          </rPr>
          <t>Leah Maggio:</t>
        </r>
        <r>
          <rPr>
            <sz val="9"/>
            <color indexed="81"/>
            <rFont val="Tahoma"/>
            <family val="2"/>
          </rPr>
          <t xml:space="preserve">
L_base = L_low</t>
        </r>
      </text>
    </comment>
    <comment ref="AH299" authorId="1" shapeId="0" xr:uid="{71BFA742-EB55-406F-BF08-CB5491CD29FC}">
      <text>
        <r>
          <rPr>
            <b/>
            <sz val="9"/>
            <color indexed="81"/>
            <rFont val="Tahoma"/>
            <charset val="1"/>
          </rPr>
          <t>Froio, Zach:</t>
        </r>
        <r>
          <rPr>
            <sz val="9"/>
            <color indexed="81"/>
            <rFont val="Tahoma"/>
            <charset val="1"/>
          </rPr>
          <t xml:space="preserve">
Previously entered as 51.4, but corrected to be 54.1 per the TRM.</t>
        </r>
      </text>
    </comment>
    <comment ref="W302" authorId="1" shapeId="0" xr:uid="{9E7D8B27-444D-4B1F-9F98-D13CE1C8E981}">
      <text>
        <r>
          <rPr>
            <b/>
            <sz val="9"/>
            <color indexed="81"/>
            <rFont val="Tahoma"/>
            <charset val="1"/>
          </rPr>
          <t>Froio, Zach:</t>
        </r>
        <r>
          <rPr>
            <sz val="9"/>
            <color indexed="81"/>
            <rFont val="Tahoma"/>
            <charset val="1"/>
          </rPr>
          <t xml:space="preserve">
Updated per IL TRM v8 p. 171 (Unknown building type)</t>
        </r>
      </text>
    </comment>
    <comment ref="W303" authorId="1" shapeId="0" xr:uid="{169D7DCB-14F5-455D-A894-101AB6C57175}">
      <text>
        <r>
          <rPr>
            <b/>
            <sz val="9"/>
            <color indexed="81"/>
            <rFont val="Tahoma"/>
            <charset val="1"/>
          </rPr>
          <t>Froio, Zach:</t>
        </r>
        <r>
          <rPr>
            <sz val="9"/>
            <color indexed="81"/>
            <rFont val="Tahoma"/>
            <charset val="1"/>
          </rPr>
          <t xml:space="preserve">
Updated per IL TRM v8 p. 171 (Unknown building type)</t>
        </r>
      </text>
    </comment>
    <comment ref="W304" authorId="1" shapeId="0" xr:uid="{96068DBA-EBE9-43ED-B5E1-C5FFC2E76E65}">
      <text>
        <r>
          <rPr>
            <b/>
            <sz val="9"/>
            <color indexed="81"/>
            <rFont val="Tahoma"/>
            <charset val="1"/>
          </rPr>
          <t>Froio, Zach:</t>
        </r>
        <r>
          <rPr>
            <sz val="9"/>
            <color indexed="81"/>
            <rFont val="Tahoma"/>
            <charset val="1"/>
          </rPr>
          <t xml:space="preserve">
Updated per IL TRM v8 p. 171 (Unknown building type)</t>
        </r>
      </text>
    </comment>
    <comment ref="W306" authorId="1" shapeId="0" xr:uid="{02E7B10C-1DF8-4637-9784-1FA75EF40335}">
      <text>
        <r>
          <rPr>
            <b/>
            <sz val="9"/>
            <color indexed="81"/>
            <rFont val="Tahoma"/>
            <charset val="1"/>
          </rPr>
          <t>Froio, Zach:</t>
        </r>
        <r>
          <rPr>
            <sz val="9"/>
            <color indexed="81"/>
            <rFont val="Tahoma"/>
            <charset val="1"/>
          </rPr>
          <t xml:space="preserve">
Updated per IL TRM v8 p. 171 (Unknown building type)</t>
        </r>
      </text>
    </comment>
    <comment ref="AC309" authorId="1" shapeId="0" xr:uid="{7A1573EE-29CE-4586-9E83-46D2276F2D9C}">
      <text>
        <r>
          <rPr>
            <b/>
            <sz val="9"/>
            <color indexed="81"/>
            <rFont val="Tahoma"/>
            <charset val="1"/>
          </rPr>
          <t>Froio, Zach:</t>
        </r>
        <r>
          <rPr>
            <sz val="9"/>
            <color indexed="81"/>
            <rFont val="Tahoma"/>
            <charset val="1"/>
          </rPr>
          <t xml:space="preserve">
Updated per IL TRM v8 p. 171 (MF - High Rise, MF - Mid Rise average)</t>
        </r>
      </text>
    </comment>
    <comment ref="AE309" authorId="1" shapeId="0" xr:uid="{2CA80814-89EC-450D-9536-CC54A236B1E8}">
      <text>
        <r>
          <rPr>
            <b/>
            <sz val="9"/>
            <color indexed="81"/>
            <rFont val="Tahoma"/>
            <charset val="1"/>
          </rPr>
          <t>Froio, Zach:</t>
        </r>
        <r>
          <rPr>
            <sz val="9"/>
            <color indexed="81"/>
            <rFont val="Tahoma"/>
            <charset val="1"/>
          </rPr>
          <t xml:space="preserve">
Updated per IL TRM v8 p. 171 (Unknown building type)</t>
        </r>
      </text>
    </comment>
    <comment ref="X327" authorId="1" shapeId="0" xr:uid="{1457706A-6A86-4D60-997D-3D13EDF1D3F4}">
      <text>
        <r>
          <rPr>
            <b/>
            <sz val="9"/>
            <color indexed="81"/>
            <rFont val="Tahoma"/>
            <charset val="1"/>
          </rPr>
          <t>Froio, Zach:</t>
        </r>
        <r>
          <rPr>
            <sz val="9"/>
            <color indexed="81"/>
            <rFont val="Tahoma"/>
            <charset val="1"/>
          </rPr>
          <t xml:space="preserve">
Updated per IL TRM v8 p. 87</t>
        </r>
      </text>
    </comment>
    <comment ref="Z327" authorId="1" shapeId="0" xr:uid="{A38FCFC2-46E2-4E26-9902-396D4D1687CA}">
      <text>
        <r>
          <rPr>
            <b/>
            <sz val="9"/>
            <color indexed="81"/>
            <rFont val="Tahoma"/>
            <charset val="1"/>
          </rPr>
          <t>Froio, Zach:</t>
        </r>
        <r>
          <rPr>
            <sz val="9"/>
            <color indexed="81"/>
            <rFont val="Tahoma"/>
            <charset val="1"/>
          </rPr>
          <t xml:space="preserve">
Updated per IL TRM v8 p. 90</t>
        </r>
      </text>
    </comment>
    <comment ref="AA327" authorId="2" shapeId="0" xr:uid="{62FDE4F8-FDA6-4C0D-83D7-8A07DFE55DCE}">
      <text>
        <r>
          <rPr>
            <b/>
            <sz val="9"/>
            <color indexed="81"/>
            <rFont val="Tahoma"/>
            <family val="2"/>
          </rPr>
          <t>Leah Maggio:</t>
        </r>
        <r>
          <rPr>
            <sz val="9"/>
            <color indexed="81"/>
            <rFont val="Tahoma"/>
            <family val="2"/>
          </rPr>
          <t xml:space="preserve">
L_base = L_low</t>
        </r>
      </text>
    </comment>
    <comment ref="AH327" authorId="1" shapeId="0" xr:uid="{082F0353-871B-4995-A87E-6A4548D2BDF6}">
      <text>
        <r>
          <rPr>
            <b/>
            <sz val="9"/>
            <color indexed="81"/>
            <rFont val="Tahoma"/>
            <charset val="1"/>
          </rPr>
          <t>Froio, Zach:</t>
        </r>
        <r>
          <rPr>
            <sz val="9"/>
            <color indexed="81"/>
            <rFont val="Tahoma"/>
            <charset val="1"/>
          </rPr>
          <t xml:space="preserve">
Previously entered as 51.4, but corrected to be 54.1 per the TRM.</t>
        </r>
      </text>
    </comment>
    <comment ref="W328" authorId="1" shapeId="0" xr:uid="{A3F866AA-F8D0-4C03-9627-4EC56A96CB74}">
      <text>
        <r>
          <rPr>
            <b/>
            <sz val="9"/>
            <color indexed="81"/>
            <rFont val="Tahoma"/>
            <charset val="1"/>
          </rPr>
          <t>Froio, Zach:</t>
        </r>
        <r>
          <rPr>
            <sz val="9"/>
            <color indexed="81"/>
            <rFont val="Tahoma"/>
            <charset val="1"/>
          </rPr>
          <t xml:space="preserve">
Updated per IL TRM v8 p. 171 (Unknown building type)</t>
        </r>
      </text>
    </comment>
    <comment ref="AC334" authorId="1" shapeId="0" xr:uid="{D0E9D662-FF75-49B8-8DBC-AE258723F34E}">
      <text>
        <r>
          <rPr>
            <b/>
            <sz val="9"/>
            <color indexed="81"/>
            <rFont val="Tahoma"/>
            <family val="2"/>
          </rPr>
          <t>Froio, Zach:</t>
        </r>
        <r>
          <rPr>
            <sz val="9"/>
            <color indexed="81"/>
            <rFont val="Tahoma"/>
            <family val="2"/>
          </rPr>
          <t xml:space="preserve">
Updated per IL TRM v7 p. 92</t>
        </r>
      </text>
    </comment>
    <comment ref="AE334" authorId="1" shapeId="0" xr:uid="{32D0EFF9-04ED-4B04-B247-0DB7F9A61F4A}">
      <text>
        <r>
          <rPr>
            <b/>
            <sz val="9"/>
            <color indexed="81"/>
            <rFont val="Tahoma"/>
            <family val="2"/>
          </rPr>
          <t>Froio, Zach:</t>
        </r>
        <r>
          <rPr>
            <sz val="9"/>
            <color indexed="81"/>
            <rFont val="Tahoma"/>
            <family val="2"/>
          </rPr>
          <t xml:space="preserve">
Assumed same UEF rating as former EF rating</t>
        </r>
      </text>
    </comment>
    <comment ref="I338" authorId="0" shapeId="0" xr:uid="{05C3BCB4-32B4-4027-83E1-CCE852AF3459}">
      <text>
        <r>
          <rPr>
            <b/>
            <sz val="9"/>
            <color indexed="81"/>
            <rFont val="Tahoma"/>
            <family val="2"/>
          </rPr>
          <t>Nielsen, Victoria:</t>
        </r>
        <r>
          <rPr>
            <sz val="9"/>
            <color indexed="81"/>
            <rFont val="Tahoma"/>
            <family val="2"/>
          </rPr>
          <t xml:space="preserve">
Changed measure life frime 15-12 yrs
</t>
        </r>
      </text>
    </comment>
    <comment ref="I371" authorId="0" shapeId="0" xr:uid="{899DFB59-AE30-4813-98FA-F594B4C20DD8}">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95DB5D86-01AA-4877-AC19-F3EE127B69A0}">
      <text>
        <r>
          <rPr>
            <b/>
            <sz val="9"/>
            <color indexed="81"/>
            <rFont val="Tahoma"/>
            <family val="2"/>
          </rPr>
          <t>Froio, Zach:</t>
        </r>
        <r>
          <rPr>
            <sz val="9"/>
            <color indexed="81"/>
            <rFont val="Tahoma"/>
            <family val="2"/>
          </rPr>
          <t xml:space="preserve">
Updated per IL TRM v7 p. 185</t>
        </r>
      </text>
    </comment>
    <comment ref="AA371" authorId="2" shapeId="0" xr:uid="{3033DABB-44EF-4A37-AF92-951CE075FEA0}">
      <text>
        <r>
          <rPr>
            <b/>
            <sz val="9"/>
            <color indexed="81"/>
            <rFont val="Tahoma"/>
            <family val="2"/>
          </rPr>
          <t>Leah Maggio:</t>
        </r>
        <r>
          <rPr>
            <sz val="9"/>
            <color indexed="81"/>
            <rFont val="Tahoma"/>
            <family val="2"/>
          </rPr>
          <t xml:space="preserve">
L_base = L_low</t>
        </r>
      </text>
    </comment>
    <comment ref="I372" authorId="0" shapeId="0" xr:uid="{30B4605B-6349-46D9-A4C8-926B6A841705}">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1E241B07-1367-4366-9B94-B7BC1EEBE40B}">
      <text>
        <r>
          <rPr>
            <b/>
            <sz val="9"/>
            <color indexed="81"/>
            <rFont val="Tahoma"/>
            <family val="2"/>
          </rPr>
          <t>Froio, Zach:</t>
        </r>
        <r>
          <rPr>
            <sz val="9"/>
            <color indexed="81"/>
            <rFont val="Tahoma"/>
            <family val="2"/>
          </rPr>
          <t xml:space="preserve">
Updated per IL TRM v7 p. 185</t>
        </r>
      </text>
    </comment>
    <comment ref="AA372" authorId="2" shapeId="0" xr:uid="{B6EECB71-B8F2-4272-81F7-122C0EECCF29}">
      <text>
        <r>
          <rPr>
            <b/>
            <sz val="9"/>
            <color indexed="81"/>
            <rFont val="Tahoma"/>
            <family val="2"/>
          </rPr>
          <t>Leah Maggio:</t>
        </r>
        <r>
          <rPr>
            <sz val="9"/>
            <color indexed="81"/>
            <rFont val="Tahoma"/>
            <family val="2"/>
          </rPr>
          <t xml:space="preserve">
L_base = L_low</t>
        </r>
      </text>
    </comment>
    <comment ref="W373" authorId="1" shapeId="0" xr:uid="{54EEC48B-9536-406D-AC54-413342754A62}">
      <text>
        <r>
          <rPr>
            <b/>
            <sz val="9"/>
            <color indexed="81"/>
            <rFont val="Tahoma"/>
            <family val="2"/>
          </rPr>
          <t>Froio, Zach:</t>
        </r>
        <r>
          <rPr>
            <sz val="9"/>
            <color indexed="81"/>
            <rFont val="Tahoma"/>
            <family val="2"/>
          </rPr>
          <t xml:space="preserve">
Updated per IL TRM v7 p. 194</t>
        </r>
      </text>
    </comment>
    <comment ref="AA373" authorId="2" shapeId="0" xr:uid="{B9B1F2A5-4580-4BD7-8931-B00E177FEB42}">
      <text>
        <r>
          <rPr>
            <b/>
            <sz val="9"/>
            <color indexed="81"/>
            <rFont val="Tahoma"/>
            <family val="2"/>
          </rPr>
          <t>Leah Maggio:</t>
        </r>
        <r>
          <rPr>
            <sz val="9"/>
            <color indexed="81"/>
            <rFont val="Tahoma"/>
            <family val="2"/>
          </rPr>
          <t xml:space="preserve">
L_base = L_low</t>
        </r>
      </text>
    </comment>
    <comment ref="AI373" authorId="1" shapeId="0" xr:uid="{99F9DD98-005B-4035-B53C-D85B3CC6306E}">
      <text>
        <r>
          <rPr>
            <b/>
            <sz val="9"/>
            <color indexed="81"/>
            <rFont val="Tahoma"/>
            <charset val="1"/>
          </rPr>
          <t>Froio, Zach:</t>
        </r>
        <r>
          <rPr>
            <sz val="9"/>
            <color indexed="81"/>
            <rFont val="Tahoma"/>
            <charset val="1"/>
          </rPr>
          <t xml:space="preserve">
Updated per IL TRM v8 p. 207</t>
        </r>
      </text>
    </comment>
    <comment ref="V374" authorId="1" shapeId="0" xr:uid="{B2FDD563-C323-4310-A700-6B1E6A21B382}">
      <text>
        <r>
          <rPr>
            <b/>
            <sz val="9"/>
            <color indexed="81"/>
            <rFont val="Tahoma"/>
            <family val="2"/>
          </rPr>
          <t>Froio, Zach:</t>
        </r>
        <r>
          <rPr>
            <sz val="9"/>
            <color indexed="81"/>
            <rFont val="Tahoma"/>
            <family val="2"/>
          </rPr>
          <t xml:space="preserve">
Updated per IL TRM v7 p. 173</t>
        </r>
      </text>
    </comment>
    <comment ref="I376" authorId="0" shapeId="0" xr:uid="{01E2DB28-2B54-47B6-B613-C7D627101E10}">
      <text>
        <r>
          <rPr>
            <b/>
            <sz val="9"/>
            <color indexed="81"/>
            <rFont val="Tahoma"/>
            <family val="2"/>
          </rPr>
          <t>Nielsen, Victoria:</t>
        </r>
        <r>
          <rPr>
            <sz val="9"/>
            <color indexed="81"/>
            <rFont val="Tahoma"/>
            <family val="2"/>
          </rPr>
          <t xml:space="preserve">
Changed from 5 to 8
</t>
        </r>
      </text>
    </comment>
    <comment ref="I377" authorId="0" shapeId="0" xr:uid="{B0ED9A50-9B3F-4BC5-A49C-E6CDDB1B926A}">
      <text>
        <r>
          <rPr>
            <b/>
            <sz val="9"/>
            <color indexed="81"/>
            <rFont val="Tahoma"/>
            <family val="2"/>
          </rPr>
          <t>Nielsen, Victoria:</t>
        </r>
        <r>
          <rPr>
            <sz val="9"/>
            <color indexed="81"/>
            <rFont val="Tahoma"/>
            <family val="2"/>
          </rPr>
          <t xml:space="preserve">
Changed from 5 to 8
</t>
        </r>
      </text>
    </comment>
    <comment ref="I378" authorId="0" shapeId="0" xr:uid="{BADCE052-0B23-49EB-A32F-35FE0E044680}">
      <text>
        <r>
          <rPr>
            <b/>
            <sz val="9"/>
            <color indexed="81"/>
            <rFont val="Tahoma"/>
            <family val="2"/>
          </rPr>
          <t>Nielsen, Victoria:</t>
        </r>
        <r>
          <rPr>
            <sz val="9"/>
            <color indexed="81"/>
            <rFont val="Tahoma"/>
            <family val="2"/>
          </rPr>
          <t xml:space="preserve">
Changed from 10 to 11. IL TRM V 7 pg 160
</t>
        </r>
      </text>
    </comment>
    <comment ref="I379" authorId="0" shapeId="0" xr:uid="{23842773-DD10-43AD-B2E4-C0A5166F79BA}">
      <text>
        <r>
          <rPr>
            <b/>
            <sz val="9"/>
            <color indexed="81"/>
            <rFont val="Tahoma"/>
            <family val="2"/>
          </rPr>
          <t>Nielsen, Victoria:</t>
        </r>
        <r>
          <rPr>
            <sz val="9"/>
            <color indexed="81"/>
            <rFont val="Tahoma"/>
            <family val="2"/>
          </rPr>
          <t xml:space="preserve">
Changed from 10 to 11. IL TRM V 7 pg 160
</t>
        </r>
      </text>
    </comment>
    <comment ref="I380" authorId="0" shapeId="0" xr:uid="{D142FDF8-B4F7-4718-B760-23F36F4808C9}">
      <text>
        <r>
          <rPr>
            <b/>
            <sz val="9"/>
            <color indexed="81"/>
            <rFont val="Tahoma"/>
            <family val="2"/>
          </rPr>
          <t>Nielsen, Victoria:</t>
        </r>
        <r>
          <rPr>
            <sz val="9"/>
            <color indexed="81"/>
            <rFont val="Tahoma"/>
            <family val="2"/>
          </rPr>
          <t xml:space="preserve">
Changed from 10 to 11. IL TRM V 7 pg 160
</t>
        </r>
      </text>
    </comment>
    <comment ref="I381" authorId="0" shapeId="0" xr:uid="{9D85E536-3961-4839-95B8-557A47018FA0}">
      <text>
        <r>
          <rPr>
            <b/>
            <sz val="9"/>
            <color indexed="81"/>
            <rFont val="Tahoma"/>
            <family val="2"/>
          </rPr>
          <t>Nielsen, Victoria:</t>
        </r>
        <r>
          <rPr>
            <sz val="9"/>
            <color indexed="81"/>
            <rFont val="Tahoma"/>
            <family val="2"/>
          </rPr>
          <t xml:space="preserve">
Changed from 10 to 11. IL TRM V 7 pg 160
</t>
        </r>
      </text>
    </comment>
    <comment ref="I383" authorId="0" shapeId="0" xr:uid="{2A896D4C-AB21-45B2-8661-8002B20209AD}">
      <text>
        <r>
          <rPr>
            <b/>
            <sz val="9"/>
            <color indexed="81"/>
            <rFont val="Tahoma"/>
            <family val="2"/>
          </rPr>
          <t>Nielsen, Victoria:</t>
        </r>
        <r>
          <rPr>
            <sz val="9"/>
            <color indexed="81"/>
            <rFont val="Tahoma"/>
            <family val="2"/>
          </rPr>
          <t xml:space="preserve">
Increased from 15 to 20 years. Pg 295
</t>
        </r>
      </text>
    </comment>
    <comment ref="V383" authorId="1" shapeId="0" xr:uid="{B038D35F-988A-4E57-8589-65C31A861537}">
      <text>
        <r>
          <rPr>
            <b/>
            <sz val="9"/>
            <color indexed="81"/>
            <rFont val="Tahoma"/>
            <family val="2"/>
          </rPr>
          <t>Froio, Zach:</t>
        </r>
        <r>
          <rPr>
            <sz val="9"/>
            <color indexed="81"/>
            <rFont val="Tahoma"/>
            <family val="2"/>
          </rPr>
          <t xml:space="preserve">
Updated per IL TRM v8 p. 293</t>
        </r>
      </text>
    </comment>
    <comment ref="X383" authorId="3" shapeId="0" xr:uid="{0AAA3128-6B0B-43D9-8D49-C7D7F231B225}">
      <text>
        <r>
          <rPr>
            <b/>
            <sz val="9"/>
            <color indexed="81"/>
            <rFont val="Tahoma"/>
            <family val="2"/>
          </rPr>
          <t>Maxwell Weiland:</t>
        </r>
        <r>
          <rPr>
            <sz val="9"/>
            <color indexed="81"/>
            <rFont val="Tahoma"/>
            <family val="2"/>
          </rPr>
          <t xml:space="preserve">
Changed from 22.2 to 23.9 based on 1 story in Chicago.</t>
        </r>
      </text>
    </comment>
    <comment ref="Z383" authorId="3" shapeId="0" xr:uid="{6707A63E-8C62-4DAF-B7FB-293DB647F866}">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F0270D3E-050A-45F5-AADA-663F0B622E04}">
      <text>
        <r>
          <rPr>
            <b/>
            <sz val="9"/>
            <color indexed="81"/>
            <rFont val="Tahoma"/>
            <family val="2"/>
          </rPr>
          <t>Maxwell Weiland:</t>
        </r>
        <r>
          <rPr>
            <sz val="9"/>
            <color indexed="81"/>
            <rFont val="Tahoma"/>
            <family val="2"/>
          </rPr>
          <t xml:space="preserve">
Changed from 70% to 72%</t>
        </r>
      </text>
    </comment>
    <comment ref="AC383" authorId="1" shapeId="0" xr:uid="{96573B73-C8CB-4C3A-AB46-BF578D2AFAC8}">
      <text>
        <r>
          <rPr>
            <b/>
            <sz val="9"/>
            <color indexed="81"/>
            <rFont val="Tahoma"/>
            <family val="2"/>
          </rPr>
          <t>Froio, Zach:</t>
        </r>
        <r>
          <rPr>
            <sz val="9"/>
            <color indexed="81"/>
            <rFont val="Tahoma"/>
            <family val="2"/>
          </rPr>
          <t xml:space="preserve">
Added per IL TRM v7 p. 303</t>
        </r>
      </text>
    </comment>
    <comment ref="AE383" authorId="1" shapeId="0" xr:uid="{82994898-5FB2-4BAF-8727-B741A8F2A2F2}">
      <text>
        <r>
          <rPr>
            <b/>
            <sz val="9"/>
            <color indexed="81"/>
            <rFont val="Tahoma"/>
            <charset val="1"/>
          </rPr>
          <t>Froio, Zach:</t>
        </r>
        <r>
          <rPr>
            <sz val="9"/>
            <color indexed="81"/>
            <rFont val="Tahoma"/>
            <charset val="1"/>
          </rPr>
          <t xml:space="preserve">
Added per IL TRM v8 p. 293</t>
        </r>
      </text>
    </comment>
    <comment ref="I384" authorId="0" shapeId="0" xr:uid="{F7E8ECBB-2BF1-4077-90FD-FA2645AF18C4}">
      <text>
        <r>
          <rPr>
            <b/>
            <sz val="9"/>
            <color indexed="81"/>
            <rFont val="Tahoma"/>
            <family val="2"/>
          </rPr>
          <t>Nielsen, Victoria:</t>
        </r>
        <r>
          <rPr>
            <sz val="9"/>
            <color indexed="81"/>
            <rFont val="Tahoma"/>
            <family val="2"/>
          </rPr>
          <t xml:space="preserve">
Increased from 15 to 20 years. Pg 327
</t>
        </r>
      </text>
    </comment>
    <comment ref="V384" authorId="1" shapeId="0" xr:uid="{4AD73DD8-68D0-4C50-BE3C-DF5270B76461}">
      <text>
        <r>
          <rPr>
            <b/>
            <sz val="9"/>
            <color indexed="81"/>
            <rFont val="Tahoma"/>
            <family val="2"/>
          </rPr>
          <t>Froio, Zach:</t>
        </r>
        <r>
          <rPr>
            <sz val="9"/>
            <color indexed="81"/>
            <rFont val="Tahoma"/>
            <family val="2"/>
          </rPr>
          <t xml:space="preserve">
Updated per IL TRM v8 p. 328</t>
        </r>
      </text>
    </comment>
    <comment ref="AC384" authorId="1" shapeId="0" xr:uid="{7D4D0B8F-0C55-43EF-B9C7-5DB27C2EFCB2}">
      <text>
        <r>
          <rPr>
            <b/>
            <sz val="9"/>
            <color indexed="81"/>
            <rFont val="Tahoma"/>
            <family val="2"/>
          </rPr>
          <t>Froio, Zach:</t>
        </r>
        <r>
          <rPr>
            <sz val="9"/>
            <color indexed="81"/>
            <rFont val="Tahoma"/>
            <family val="2"/>
          </rPr>
          <t xml:space="preserve">
Updated per IL TRM v7 p. 333</t>
        </r>
      </text>
    </comment>
    <comment ref="AH384" authorId="3" shapeId="0" xr:uid="{41781F5B-5181-41E3-B935-1A54D1C4C525}">
      <text>
        <r>
          <rPr>
            <b/>
            <sz val="9"/>
            <color indexed="81"/>
            <rFont val="Tahoma"/>
            <family val="2"/>
          </rPr>
          <t>Maxwell Weiland:</t>
        </r>
        <r>
          <rPr>
            <sz val="9"/>
            <color indexed="81"/>
            <rFont val="Tahoma"/>
            <family val="2"/>
          </rPr>
          <t xml:space="preserve">
Changed from 70% to 72%</t>
        </r>
      </text>
    </comment>
    <comment ref="AI384" authorId="1" shapeId="0" xr:uid="{A85A07EC-2C0D-4DDF-B0AC-E66708509BC5}">
      <text>
        <r>
          <rPr>
            <b/>
            <sz val="9"/>
            <color indexed="81"/>
            <rFont val="Tahoma"/>
            <family val="2"/>
          </rPr>
          <t>Froio, Zach:</t>
        </r>
        <r>
          <rPr>
            <sz val="9"/>
            <color indexed="81"/>
            <rFont val="Tahoma"/>
            <family val="2"/>
          </rPr>
          <t xml:space="preserve">
Added per IL TRM v8 p. 329</t>
        </r>
      </text>
    </comment>
    <comment ref="AK384" authorId="1" shapeId="0" xr:uid="{41B65D38-7470-4420-A40E-BEA62A9CE15A}">
      <text>
        <r>
          <rPr>
            <b/>
            <sz val="9"/>
            <color indexed="81"/>
            <rFont val="Tahoma"/>
            <family val="2"/>
          </rPr>
          <t>Froio, Zach:</t>
        </r>
        <r>
          <rPr>
            <sz val="9"/>
            <color indexed="81"/>
            <rFont val="Tahoma"/>
            <family val="2"/>
          </rPr>
          <t xml:space="preserve">
Added per IL TRM v8 p. 329</t>
        </r>
      </text>
    </comment>
    <comment ref="I385" authorId="0" shapeId="0" xr:uid="{B8B48198-618C-4750-BD50-2750E1D6D4C5}">
      <text>
        <r>
          <rPr>
            <b/>
            <sz val="9"/>
            <color indexed="81"/>
            <rFont val="Tahoma"/>
            <family val="2"/>
          </rPr>
          <t>Nielsen, Victoria:</t>
        </r>
        <r>
          <rPr>
            <sz val="9"/>
            <color indexed="81"/>
            <rFont val="Tahoma"/>
            <family val="2"/>
          </rPr>
          <t xml:space="preserve">
Decreased from 25 to 20 years. Pg 320
</t>
        </r>
      </text>
    </comment>
    <comment ref="V385" authorId="1" shapeId="0" xr:uid="{D801E200-7844-4E35-A12D-AD81B12333EF}">
      <text>
        <r>
          <rPr>
            <b/>
            <sz val="9"/>
            <color indexed="81"/>
            <rFont val="Tahoma"/>
            <family val="2"/>
          </rPr>
          <t>Froio, Zach:</t>
        </r>
        <r>
          <rPr>
            <sz val="9"/>
            <color indexed="81"/>
            <rFont val="Tahoma"/>
            <family val="2"/>
          </rPr>
          <t xml:space="preserve">
Updated per IL TRM v7 p. 325</t>
        </r>
      </text>
    </comment>
    <comment ref="AD385" authorId="3" shapeId="0" xr:uid="{124406BA-7CA4-41F2-91F6-3B6DE3EA7015}">
      <text>
        <r>
          <rPr>
            <b/>
            <sz val="9"/>
            <color indexed="81"/>
            <rFont val="Tahoma"/>
            <family val="2"/>
          </rPr>
          <t>Maxwell Weiland:</t>
        </r>
        <r>
          <rPr>
            <sz val="9"/>
            <color indexed="81"/>
            <rFont val="Tahoma"/>
            <family val="2"/>
          </rPr>
          <t xml:space="preserve">
Changed from 74% to 60%</t>
        </r>
      </text>
    </comment>
    <comment ref="AD386" authorId="3" shapeId="0" xr:uid="{FCAFA3CF-54DF-472F-AB9F-478995BCA322}">
      <text>
        <r>
          <rPr>
            <b/>
            <sz val="9"/>
            <color indexed="81"/>
            <rFont val="Tahoma"/>
            <family val="2"/>
          </rPr>
          <t>Maxwell Weiland:</t>
        </r>
        <r>
          <rPr>
            <sz val="9"/>
            <color indexed="81"/>
            <rFont val="Tahoma"/>
            <family val="2"/>
          </rPr>
          <t xml:space="preserve">
Changed from 74% to 60%</t>
        </r>
      </text>
    </comment>
    <comment ref="V387" authorId="1" shapeId="0" xr:uid="{CEC0FD2F-9754-4B43-8711-76FDD7193B4E}">
      <text>
        <r>
          <rPr>
            <b/>
            <sz val="9"/>
            <color indexed="81"/>
            <rFont val="Tahoma"/>
            <family val="2"/>
          </rPr>
          <t>Froio, Zach:</t>
        </r>
        <r>
          <rPr>
            <sz val="9"/>
            <color indexed="81"/>
            <rFont val="Tahoma"/>
            <family val="2"/>
          </rPr>
          <t xml:space="preserve">
Updated per IL TRM v7 p. 339</t>
        </r>
      </text>
    </comment>
    <comment ref="AA387" authorId="1" shapeId="0" xr:uid="{37C738A3-F8F5-4199-94E3-AE24BF5796CB}">
      <text>
        <r>
          <rPr>
            <b/>
            <sz val="9"/>
            <color indexed="81"/>
            <rFont val="Tahoma"/>
            <family val="2"/>
          </rPr>
          <t>Froio, Zach:</t>
        </r>
        <r>
          <rPr>
            <sz val="9"/>
            <color indexed="81"/>
            <rFont val="Tahoma"/>
            <family val="2"/>
          </rPr>
          <t xml:space="preserve">
Updated per IL TRM v7 p. 335</t>
        </r>
      </text>
    </comment>
    <comment ref="AD387" authorId="3" shapeId="0" xr:uid="{D9A8CB33-3DE6-4980-873D-28F99B5DAEC3}">
      <text>
        <r>
          <rPr>
            <b/>
            <sz val="9"/>
            <color indexed="81"/>
            <rFont val="Tahoma"/>
            <family val="2"/>
          </rPr>
          <t>Maxwell Weiland:</t>
        </r>
        <r>
          <rPr>
            <sz val="9"/>
            <color indexed="81"/>
            <rFont val="Tahoma"/>
            <family val="2"/>
          </rPr>
          <t xml:space="preserve">
Changed from 74% to 60%</t>
        </r>
      </text>
    </comment>
    <comment ref="V388" authorId="1" shapeId="0" xr:uid="{ADCDDC57-1684-4ABA-A8A4-B292B3BE92D9}">
      <text>
        <r>
          <rPr>
            <b/>
            <sz val="9"/>
            <color indexed="81"/>
            <rFont val="Tahoma"/>
            <family val="2"/>
          </rPr>
          <t>Froio, Zach:</t>
        </r>
        <r>
          <rPr>
            <sz val="9"/>
            <color indexed="81"/>
            <rFont val="Tahoma"/>
            <family val="2"/>
          </rPr>
          <t xml:space="preserve">
Updated per IL TRM v7 p. 175</t>
        </r>
      </text>
    </comment>
    <comment ref="V389" authorId="1" shapeId="0" xr:uid="{515AC5F4-9EE3-4400-8CDA-20F0ED5D6615}">
      <text>
        <r>
          <rPr>
            <b/>
            <sz val="9"/>
            <color indexed="81"/>
            <rFont val="Tahoma"/>
            <family val="2"/>
          </rPr>
          <t>Froio, Zach:</t>
        </r>
        <r>
          <rPr>
            <sz val="9"/>
            <color indexed="81"/>
            <rFont val="Tahoma"/>
            <family val="2"/>
          </rPr>
          <t xml:space="preserve">
Updated per IL TRM v7 p. 101</t>
        </r>
      </text>
    </comment>
    <comment ref="V390" authorId="1" shapeId="0" xr:uid="{241A6040-CC7E-4B47-8706-2F40F88260E2}">
      <text>
        <r>
          <rPr>
            <b/>
            <sz val="9"/>
            <color indexed="81"/>
            <rFont val="Tahoma"/>
            <family val="2"/>
          </rPr>
          <t>Froio, Zach:</t>
        </r>
        <r>
          <rPr>
            <sz val="9"/>
            <color indexed="81"/>
            <rFont val="Tahoma"/>
            <family val="2"/>
          </rPr>
          <t xml:space="preserve">
Updated per IL TRM v7 p. 105</t>
        </r>
      </text>
    </comment>
    <comment ref="I393" authorId="0" shapeId="0" xr:uid="{26C77458-C3B0-4346-BC79-FC29B407C2CF}">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DDC12BFC-A921-46DE-946D-545DCF5DA87E}">
      <text>
        <r>
          <rPr>
            <b/>
            <sz val="9"/>
            <color indexed="81"/>
            <rFont val="Tahoma"/>
            <family val="2"/>
          </rPr>
          <t>Froio, Zach:</t>
        </r>
        <r>
          <rPr>
            <sz val="9"/>
            <color indexed="81"/>
            <rFont val="Tahoma"/>
            <family val="2"/>
          </rPr>
          <t xml:space="preserve">
Updated per IL TRM v7 p. 185</t>
        </r>
      </text>
    </comment>
    <comment ref="AA393" authorId="2" shapeId="0" xr:uid="{3A1F806F-34E5-4D96-B0DD-17A9A0420C48}">
      <text>
        <r>
          <rPr>
            <b/>
            <sz val="9"/>
            <color indexed="81"/>
            <rFont val="Tahoma"/>
            <family val="2"/>
          </rPr>
          <t>Leah Maggio:</t>
        </r>
        <r>
          <rPr>
            <sz val="9"/>
            <color indexed="81"/>
            <rFont val="Tahoma"/>
            <family val="2"/>
          </rPr>
          <t xml:space="preserve">
L_base = L_low</t>
        </r>
      </text>
    </comment>
    <comment ref="I394" authorId="0" shapeId="0" xr:uid="{4D9D3E50-E2AD-4E7A-BD26-896FE1EBD83A}">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3AC3372A-D37B-403A-BDBC-D6F7359E17BC}">
      <text>
        <r>
          <rPr>
            <b/>
            <sz val="9"/>
            <color indexed="81"/>
            <rFont val="Tahoma"/>
            <family val="2"/>
          </rPr>
          <t>Froio, Zach:</t>
        </r>
        <r>
          <rPr>
            <sz val="9"/>
            <color indexed="81"/>
            <rFont val="Tahoma"/>
            <family val="2"/>
          </rPr>
          <t xml:space="preserve">
Updated per IL TRM v7 p. 185</t>
        </r>
      </text>
    </comment>
    <comment ref="AA394" authorId="2" shapeId="0" xr:uid="{9C2698DB-68F8-44C5-A3FF-3D4FFE1BB7AE}">
      <text>
        <r>
          <rPr>
            <b/>
            <sz val="9"/>
            <color indexed="81"/>
            <rFont val="Tahoma"/>
            <family val="2"/>
          </rPr>
          <t>Leah Maggio:</t>
        </r>
        <r>
          <rPr>
            <sz val="9"/>
            <color indexed="81"/>
            <rFont val="Tahoma"/>
            <family val="2"/>
          </rPr>
          <t xml:space="preserve">
L_base = L_low</t>
        </r>
      </text>
    </comment>
    <comment ref="W395" authorId="1" shapeId="0" xr:uid="{DEF2FD8E-5A9F-447C-8BF7-2F0F98ADA8A2}">
      <text>
        <r>
          <rPr>
            <b/>
            <sz val="9"/>
            <color indexed="81"/>
            <rFont val="Tahoma"/>
            <family val="2"/>
          </rPr>
          <t>Froio, Zach:</t>
        </r>
        <r>
          <rPr>
            <sz val="9"/>
            <color indexed="81"/>
            <rFont val="Tahoma"/>
            <family val="2"/>
          </rPr>
          <t xml:space="preserve">
Updated per IL TRM v7 p. 194</t>
        </r>
      </text>
    </comment>
    <comment ref="AA395" authorId="2" shapeId="0" xr:uid="{C3726F39-7664-423A-A6FD-3E95E20C8E3B}">
      <text>
        <r>
          <rPr>
            <b/>
            <sz val="9"/>
            <color indexed="81"/>
            <rFont val="Tahoma"/>
            <family val="2"/>
          </rPr>
          <t>Leah Maggio:</t>
        </r>
        <r>
          <rPr>
            <sz val="9"/>
            <color indexed="81"/>
            <rFont val="Tahoma"/>
            <family val="2"/>
          </rPr>
          <t xml:space="preserve">
L_base = L_low</t>
        </r>
      </text>
    </comment>
    <comment ref="V396" authorId="1" shapeId="0" xr:uid="{B113DB04-3291-436E-A9D0-11804B9B2629}">
      <text>
        <r>
          <rPr>
            <b/>
            <sz val="9"/>
            <color indexed="81"/>
            <rFont val="Tahoma"/>
            <family val="2"/>
          </rPr>
          <t>Froio, Zach:</t>
        </r>
        <r>
          <rPr>
            <sz val="9"/>
            <color indexed="81"/>
            <rFont val="Tahoma"/>
            <family val="2"/>
          </rPr>
          <t xml:space="preserve">
Updated per IL TRM v7 p. 173</t>
        </r>
      </text>
    </comment>
    <comment ref="I397" authorId="0" shapeId="0" xr:uid="{694373EC-391D-4B6C-9882-D96EADABD18E}">
      <text>
        <r>
          <rPr>
            <b/>
            <sz val="9"/>
            <color indexed="81"/>
            <rFont val="Tahoma"/>
            <family val="2"/>
          </rPr>
          <t>Nielsen, Victoria:</t>
        </r>
        <r>
          <rPr>
            <sz val="9"/>
            <color indexed="81"/>
            <rFont val="Tahoma"/>
            <family val="2"/>
          </rPr>
          <t xml:space="preserve">
Changed from 5 to 8
</t>
        </r>
      </text>
    </comment>
    <comment ref="I398" authorId="0" shapeId="0" xr:uid="{3147F4DB-86FF-4305-B12D-81299DDB6E6B}">
      <text>
        <r>
          <rPr>
            <b/>
            <sz val="9"/>
            <color indexed="81"/>
            <rFont val="Tahoma"/>
            <family val="2"/>
          </rPr>
          <t>Nielsen, Victoria:</t>
        </r>
        <r>
          <rPr>
            <sz val="9"/>
            <color indexed="81"/>
            <rFont val="Tahoma"/>
            <family val="2"/>
          </rPr>
          <t xml:space="preserve">
Changed from 5 to 8
</t>
        </r>
      </text>
    </comment>
    <comment ref="I399" authorId="0" shapeId="0" xr:uid="{5AFA7739-8120-416F-A7B3-CCA564CA8393}">
      <text>
        <r>
          <rPr>
            <b/>
            <sz val="9"/>
            <color indexed="81"/>
            <rFont val="Tahoma"/>
            <family val="2"/>
          </rPr>
          <t>Nielsen, Victoria:</t>
        </r>
        <r>
          <rPr>
            <sz val="9"/>
            <color indexed="81"/>
            <rFont val="Tahoma"/>
            <family val="2"/>
          </rPr>
          <t xml:space="preserve">
Changed from 10 to 11. IL TRM V 7 pg 160
</t>
        </r>
      </text>
    </comment>
    <comment ref="I400" authorId="0" shapeId="0" xr:uid="{6DF81A24-FBAE-4D9E-B7F2-545EA84CD6E9}">
      <text>
        <r>
          <rPr>
            <b/>
            <sz val="9"/>
            <color indexed="81"/>
            <rFont val="Tahoma"/>
            <family val="2"/>
          </rPr>
          <t>Nielsen, Victoria:</t>
        </r>
        <r>
          <rPr>
            <sz val="9"/>
            <color indexed="81"/>
            <rFont val="Tahoma"/>
            <family val="2"/>
          </rPr>
          <t xml:space="preserve">
Changed from 10 to 11. IL TRM V 7 pg 160
</t>
        </r>
      </text>
    </comment>
    <comment ref="I401" authorId="0" shapeId="0" xr:uid="{CB0B29DD-2CD7-49EF-A149-7189F65B05A9}">
      <text>
        <r>
          <rPr>
            <b/>
            <sz val="9"/>
            <color indexed="81"/>
            <rFont val="Tahoma"/>
            <family val="2"/>
          </rPr>
          <t>Nielsen, Victoria:</t>
        </r>
        <r>
          <rPr>
            <sz val="9"/>
            <color indexed="81"/>
            <rFont val="Tahoma"/>
            <family val="2"/>
          </rPr>
          <t xml:space="preserve">
Changed from 10 to 11. IL TRM V 7 pg 160
</t>
        </r>
      </text>
    </comment>
    <comment ref="I402" authorId="0" shapeId="0" xr:uid="{29B91046-91EB-4F6F-911E-DD6F4C4B3EAE}">
      <text>
        <r>
          <rPr>
            <b/>
            <sz val="9"/>
            <color indexed="81"/>
            <rFont val="Tahoma"/>
            <family val="2"/>
          </rPr>
          <t>Nielsen, Victoria:</t>
        </r>
        <r>
          <rPr>
            <sz val="9"/>
            <color indexed="81"/>
            <rFont val="Tahoma"/>
            <family val="2"/>
          </rPr>
          <t xml:space="preserve">
Changed from 10 to 11. IL TRM V 7 pg 160
</t>
        </r>
      </text>
    </comment>
    <comment ref="I404" authorId="0" shapeId="0" xr:uid="{A36A340A-E25C-483C-BC82-24A91EEF2C12}">
      <text>
        <r>
          <rPr>
            <b/>
            <sz val="9"/>
            <color indexed="81"/>
            <rFont val="Tahoma"/>
            <family val="2"/>
          </rPr>
          <t>Nielsen, Victoria:</t>
        </r>
        <r>
          <rPr>
            <sz val="9"/>
            <color indexed="81"/>
            <rFont val="Tahoma"/>
            <family val="2"/>
          </rPr>
          <t xml:space="preserve">
Increased from 15 to 20 years. Pg 295
</t>
        </r>
      </text>
    </comment>
    <comment ref="I405" authorId="0" shapeId="0" xr:uid="{9A0978ED-F548-4F76-AB36-BAB9DFFA9C4B}">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7D8F3B36-A6E8-49F9-B2D0-16A7018F9214}">
      <text>
        <r>
          <rPr>
            <b/>
            <sz val="9"/>
            <color indexed="81"/>
            <rFont val="Tahoma"/>
            <family val="2"/>
          </rPr>
          <t>Nielsen, Victoria:</t>
        </r>
        <r>
          <rPr>
            <sz val="9"/>
            <color indexed="81"/>
            <rFont val="Tahoma"/>
            <family val="2"/>
          </rPr>
          <t xml:space="preserve">
Decreased from 25 to 20 years. Pg 320
</t>
        </r>
      </text>
    </comment>
    <comment ref="V417" authorId="1" shapeId="0" xr:uid="{BBE6A1B7-DEFF-48CC-A444-4F1B4A551345}">
      <text>
        <r>
          <rPr>
            <b/>
            <sz val="9"/>
            <color indexed="81"/>
            <rFont val="Tahoma"/>
            <family val="2"/>
          </rPr>
          <t>Froio, Zach:</t>
        </r>
        <r>
          <rPr>
            <sz val="9"/>
            <color indexed="81"/>
            <rFont val="Tahoma"/>
            <family val="2"/>
          </rPr>
          <t xml:space="preserve">
Updated per IL TRM v7 p. 105</t>
        </r>
      </text>
    </comment>
    <comment ref="V418" authorId="1" shapeId="0" xr:uid="{AB08E7B7-9445-48E5-B8FD-E6D451793D29}">
      <text>
        <r>
          <rPr>
            <b/>
            <sz val="9"/>
            <color indexed="81"/>
            <rFont val="Tahoma"/>
            <family val="2"/>
          </rPr>
          <t>Froio, Zach:</t>
        </r>
        <r>
          <rPr>
            <sz val="9"/>
            <color indexed="81"/>
            <rFont val="Tahoma"/>
            <family val="2"/>
          </rPr>
          <t xml:space="preserve">
Updated per IL TRM v7 p. 175</t>
        </r>
      </text>
    </comment>
    <comment ref="I419" authorId="0" shapeId="0" xr:uid="{48A872BD-4D64-4885-A0F3-B18096581B87}">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400-000001000000}">
      <text>
        <r>
          <rPr>
            <b/>
            <sz val="9"/>
            <color indexed="81"/>
            <rFont val="Tahoma"/>
            <family val="2"/>
          </rPr>
          <t>Leah Maggio:</t>
        </r>
        <r>
          <rPr>
            <sz val="9"/>
            <color indexed="81"/>
            <rFont val="Tahoma"/>
            <family val="2"/>
          </rPr>
          <t xml:space="preserve">
MF DI ONLY</t>
        </r>
      </text>
    </comment>
    <comment ref="A46" authorId="0" shapeId="0" xr:uid="{00000000-0006-0000-0400-000002000000}">
      <text>
        <r>
          <rPr>
            <b/>
            <sz val="9"/>
            <color indexed="81"/>
            <rFont val="Tahoma"/>
            <family val="2"/>
          </rPr>
          <t>Leah Maggio:</t>
        </r>
        <r>
          <rPr>
            <sz val="9"/>
            <color indexed="81"/>
            <rFont val="Tahoma"/>
            <family val="2"/>
          </rPr>
          <t xml:space="preserve">
MF DI ONLY</t>
        </r>
      </text>
    </comment>
  </commentList>
</comments>
</file>

<file path=xl/sharedStrings.xml><?xml version="1.0" encoding="utf-8"?>
<sst xmlns="http://schemas.openxmlformats.org/spreadsheetml/2006/main" count="7826" uniqueCount="1459">
  <si>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</si>
  <si>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</si>
  <si>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</si>
  <si>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</si>
  <si>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</si>
  <si>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</si>
  <si>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</si>
  <si>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</si>
  <si>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</si>
  <si>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</si>
  <si>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</si>
  <si>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</si>
  <si>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</si>
  <si>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</si>
  <si>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</si>
  <si>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</si>
  <si>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</si>
  <si>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</si>
  <si>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</si>
  <si>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</si>
  <si>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</si>
  <si>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</si>
  <si>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</si>
  <si>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</si>
  <si>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</si>
  <si>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</si>
  <si>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</si>
  <si>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</si>
  <si>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</si>
  <si>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</si>
  <si>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</si>
  <si>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</si>
  <si>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</si>
  <si>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</si>
  <si>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</si>
  <si>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</si>
  <si>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</si>
  <si>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</si>
  <si>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</si>
  <si>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</si>
  <si>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</si>
  <si>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</si>
  <si>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</si>
  <si>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</si>
  <si>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</si>
  <si>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</si>
  <si>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</si>
  <si>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</si>
  <si>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</si>
  <si>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</si>
  <si>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</si>
  <si>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</si>
  <si>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</si>
  <si>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</si>
  <si>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</si>
  <si>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</si>
  <si>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</si>
  <si>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</si>
  <si>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</si>
  <si>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</si>
  <si>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</si>
  <si>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</si>
  <si>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</si>
  <si>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</si>
  <si>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</si>
  <si>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</si>
  <si>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</si>
  <si>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</si>
  <si>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</si>
  <si>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</si>
  <si>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</si>
  <si>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</si>
  <si>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</si>
  <si>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</si>
  <si>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</si>
  <si>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</si>
  <si>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</si>
  <si>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</si>
  <si>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</si>
  <si>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</si>
  <si>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</si>
  <si>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</si>
  <si>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</si>
  <si>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</si>
  <si>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</si>
  <si>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</si>
  <si>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</si>
  <si>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</si>
  <si>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</si>
  <si>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</si>
  <si>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</si>
  <si>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</si>
  <si>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</si>
  <si>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</si>
  <si>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</si>
  <si>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</si>
  <si>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</si>
  <si>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</si>
  <si>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</si>
  <si>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</si>
  <si>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</si>
  <si>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</si>
  <si>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</si>
  <si>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</si>
  <si>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</si>
  <si>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</si>
  <si>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</si>
  <si>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</si>
  <si>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</si>
  <si>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</si>
  <si>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</si>
  <si>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</si>
  <si>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</si>
  <si>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</si>
  <si>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</si>
  <si>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</si>
  <si>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</si>
  <si>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</si>
  <si>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</si>
  <si>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</si>
  <si>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</si>
  <si>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</si>
  <si>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</si>
  <si>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</si>
  <si>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</si>
  <si>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</si>
  <si>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</si>
  <si>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</si>
  <si>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</si>
  <si>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</si>
  <si>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</si>
  <si>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</si>
  <si>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</si>
  <si>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</si>
  <si>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</si>
  <si>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</si>
  <si>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</si>
  <si>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</si>
  <si>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</si>
  <si>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</si>
  <si>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</si>
  <si>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</si>
  <si>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</si>
  <si>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</si>
  <si>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</si>
  <si>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</si>
  <si>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</si>
  <si>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</si>
  <si>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</si>
  <si>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</si>
  <si>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</si>
  <si>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</si>
  <si>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</si>
  <si>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</si>
  <si>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</si>
  <si>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</si>
  <si>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</si>
  <si>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</si>
  <si>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</si>
  <si>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</si>
  <si>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</si>
  <si>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</si>
  <si>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</si>
  <si>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</si>
  <si>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</si>
  <si>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</si>
  <si>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</si>
  <si>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</si>
  <si>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</si>
  <si>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</si>
  <si>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</si>
  <si>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</si>
  <si>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</si>
  <si>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</si>
  <si>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</si>
  <si>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</si>
  <si>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</si>
  <si>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</si>
  <si>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</si>
  <si>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</si>
  <si>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</si>
  <si>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</si>
  <si>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</si>
  <si>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</si>
  <si>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</si>
  <si>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</si>
  <si>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</si>
  <si>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</si>
  <si>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</si>
  <si>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</si>
  <si>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</si>
  <si>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</si>
  <si>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</si>
  <si>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</si>
  <si>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</si>
  <si>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</si>
  <si>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</si>
  <si>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</si>
  <si>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</si>
  <si>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</si>
  <si>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</si>
  <si>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</si>
  <si>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</si>
  <si>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</si>
  <si>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</si>
  <si>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</si>
  <si>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</si>
  <si>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</si>
  <si>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</si>
  <si>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</si>
  <si>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</si>
  <si>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</si>
  <si>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</si>
  <si>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</si>
  <si>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</si>
  <si>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</si>
  <si>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</si>
  <si>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</si>
  <si>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</si>
  <si>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</si>
  <si>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</si>
  <si>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</si>
  <si>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</si>
  <si>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</si>
  <si>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</si>
  <si>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</si>
  <si>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</si>
  <si>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</si>
  <si>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</si>
  <si>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</si>
  <si>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</si>
  <si>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</si>
  <si>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</si>
  <si>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</si>
  <si>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</si>
  <si>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</si>
  <si>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</si>
  <si>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</si>
  <si>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</si>
  <si>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</si>
  <si>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</si>
  <si>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</si>
  <si>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</si>
  <si>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</si>
  <si>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</si>
  <si>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</si>
  <si>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</si>
  <si>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</si>
  <si>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</si>
  <si>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</si>
  <si>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</si>
  <si>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</si>
  <si>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</si>
  <si>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</si>
  <si>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</si>
  <si>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</si>
  <si>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</si>
  <si>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</si>
  <si>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</si>
  <si>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</si>
  <si>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</si>
  <si>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</si>
  <si>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</si>
  <si>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</si>
  <si>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</si>
  <si>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</si>
  <si>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</si>
  <si>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</si>
  <si>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</si>
  <si>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</si>
  <si>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</si>
  <si>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</si>
  <si>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</si>
  <si>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</si>
  <si>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</si>
  <si>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</si>
  <si>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</si>
  <si>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</si>
  <si>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</si>
  <si>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</si>
  <si>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</si>
  <si>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</si>
  <si>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</si>
  <si>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</si>
  <si>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</si>
  <si>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</si>
  <si>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</si>
  <si>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</si>
  <si>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</si>
  <si>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</si>
  <si>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</si>
  <si>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</si>
  <si>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</si>
  <si>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</si>
  <si>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</si>
  <si>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</si>
  <si>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</si>
  <si>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</si>
  <si>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</si>
  <si>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</si>
  <si>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</si>
  <si>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</si>
  <si>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</si>
  <si>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</si>
  <si>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</si>
  <si>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</si>
  <si>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</si>
  <si>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</si>
  <si>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</si>
  <si>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</si>
  <si>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</si>
  <si>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</si>
  <si>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</si>
  <si>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</si>
  <si>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</si>
  <si>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</si>
  <si>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</si>
  <si>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</si>
  <si>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</si>
  <si>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</si>
  <si>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</si>
  <si>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</si>
  <si>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</si>
  <si>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</si>
  <si>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</si>
  <si>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</si>
  <si>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</si>
  <si>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</si>
  <si>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</si>
  <si>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</si>
  <si>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</si>
  <si>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</si>
  <si>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</si>
  <si>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</si>
  <si>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</si>
  <si>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</si>
  <si>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</si>
  <si>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</si>
  <si>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</si>
  <si>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</si>
  <si>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</si>
  <si>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</si>
  <si>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</si>
  <si>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</si>
  <si>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</si>
  <si>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</si>
  <si>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</si>
  <si>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</si>
  <si>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</si>
  <si>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</si>
  <si>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</si>
  <si>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</si>
  <si>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</si>
  <si>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</si>
  <si>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</si>
  <si>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</si>
  <si>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</si>
  <si>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</si>
  <si>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</si>
  <si>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</si>
  <si>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</si>
  <si>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</si>
  <si>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</si>
  <si>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</si>
  <si>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</si>
  <si>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</si>
  <si>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</si>
  <si>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</si>
  <si>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</si>
  <si>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</si>
  <si>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</si>
  <si>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</si>
  <si>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</si>
  <si>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</si>
  <si>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</si>
  <si>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</si>
  <si>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</si>
  <si>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</si>
  <si>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</si>
  <si>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</si>
  <si>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</si>
  <si>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</si>
  <si>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</si>
  <si>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</si>
  <si>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</si>
  <si>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</si>
  <si>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</si>
  <si>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</si>
  <si>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</si>
  <si>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</si>
  <si>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</si>
  <si>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</si>
  <si>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</si>
  <si>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</si>
  <si>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</si>
  <si>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</si>
  <si>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</si>
  <si>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</si>
  <si>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</si>
  <si>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</si>
  <si>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</si>
  <si>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</si>
  <si>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</si>
  <si>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</si>
  <si>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</si>
  <si>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</si>
  <si>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</si>
  <si>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</si>
  <si>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</si>
  <si>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</si>
  <si>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</si>
  <si>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</si>
  <si>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</si>
  <si>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</si>
  <si>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</si>
  <si>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</si>
  <si>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</si>
  <si>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</si>
  <si>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</si>
  <si>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</si>
  <si>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</si>
  <si>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</si>
  <si>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</si>
  <si>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</si>
  <si>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</si>
  <si>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</si>
  <si>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</si>
  <si>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</si>
  <si>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</si>
  <si>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</si>
  <si>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</si>
  <si>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</si>
  <si>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</si>
  <si>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</si>
  <si>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</si>
  <si>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</si>
  <si>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</si>
  <si>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</si>
  <si>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</si>
  <si>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</si>
  <si>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</si>
  <si>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</si>
  <si>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</si>
  <si>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</si>
  <si>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</si>
  <si>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</si>
  <si>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</si>
  <si>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</si>
  <si>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</si>
  <si>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</si>
  <si>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</si>
  <si>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</si>
  <si>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</si>
  <si>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</si>
  <si>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</si>
  <si>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</si>
  <si>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</si>
  <si>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</si>
  <si>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</si>
  <si>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</si>
  <si>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</si>
  <si>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</si>
  <si>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</si>
  <si>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</si>
  <si>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</si>
  <si>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</si>
  <si>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</si>
  <si>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</si>
  <si>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</si>
  <si>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</si>
  <si>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</si>
  <si>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</si>
  <si>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</si>
  <si>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</si>
  <si>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</si>
  <si>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</si>
  <si>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</si>
  <si>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</si>
  <si>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</si>
  <si>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</si>
  <si>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</si>
  <si>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</si>
  <si>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</si>
  <si>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</si>
  <si>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</si>
  <si>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</si>
  <si>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</si>
  <si>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</si>
  <si>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</si>
  <si>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</si>
  <si>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</si>
  <si>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</si>
  <si>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</si>
  <si>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</si>
  <si>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</si>
  <si>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</si>
  <si>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</si>
  <si>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</si>
  <si>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</si>
  <si>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</si>
  <si>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</si>
  <si>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</si>
  <si>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</si>
  <si>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</si>
  <si>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</si>
  <si>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</si>
  <si>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</si>
  <si>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</si>
  <si>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</si>
  <si>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</si>
  <si>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</si>
  <si>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</si>
  <si>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</si>
  <si>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</si>
  <si>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</si>
  <si>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</si>
  <si>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</si>
  <si>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</si>
  <si>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</si>
  <si>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</si>
  <si>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</si>
  <si>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</si>
  <si>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</si>
  <si>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</si>
  <si>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</si>
  <si>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</si>
  <si>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</si>
  <si>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</si>
  <si>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</si>
  <si>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</si>
  <si>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</si>
  <si>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</si>
  <si>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</si>
  <si>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</si>
  <si>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</si>
  <si>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</si>
  <si>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</si>
  <si>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</si>
  <si>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</si>
  <si>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</si>
  <si>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</si>
  <si>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</si>
  <si>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</si>
  <si>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</si>
  <si>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</si>
  <si>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</si>
  <si>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</si>
  <si>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</si>
  <si>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</si>
  <si>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</si>
  <si>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</si>
  <si>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</si>
  <si>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</si>
  <si>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</si>
  <si>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</si>
  <si>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</si>
  <si>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</si>
  <si>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</si>
  <si>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</si>
  <si>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</si>
  <si>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</si>
  <si>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</si>
  <si>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</si>
  <si>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</si>
  <si>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</si>
  <si>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</si>
  <si>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</si>
  <si>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</si>
  <si>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</si>
  <si>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</si>
  <si>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</si>
  <si>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</si>
  <si>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</si>
  <si>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</si>
  <si>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</si>
  <si>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</si>
  <si>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</si>
  <si>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</si>
  <si>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</si>
  <si>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</si>
  <si>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</si>
  <si>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</si>
  <si>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</si>
  <si>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</si>
  <si>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</si>
  <si>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</si>
  <si>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</si>
  <si>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</si>
  <si>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</si>
  <si>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</si>
  <si>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</si>
  <si>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</si>
  <si>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</si>
  <si>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</si>
  <si>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</si>
  <si>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</si>
  <si>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</si>
  <si>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</si>
  <si>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</si>
  <si>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</si>
  <si>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</si>
  <si>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</si>
  <si>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</si>
  <si>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</si>
  <si>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</si>
  <si>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</si>
  <si>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</si>
  <si>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</si>
  <si>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</si>
  <si>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</si>
  <si>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</si>
  <si>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</si>
  <si>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</si>
  <si>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</si>
  <si>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</si>
  <si>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</si>
  <si>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</si>
  <si>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</si>
  <si>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</si>
  <si>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</si>
  <si>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</si>
  <si>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</si>
  <si>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</si>
  <si>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</si>
  <si>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</si>
  <si>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</si>
  <si>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</si>
  <si>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</si>
  <si>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</si>
  <si>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</si>
  <si>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</si>
  <si>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</si>
  <si>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</si>
  <si>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</si>
  <si>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</si>
  <si>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</si>
  <si>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</si>
  <si>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</si>
  <si>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</si>
  <si>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</si>
  <si>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</si>
  <si>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</si>
  <si>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</si>
  <si>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</si>
  <si>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</si>
  <si>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</si>
  <si>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</si>
  <si>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</si>
  <si>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</si>
  <si>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</si>
  <si>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</si>
  <si>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</si>
  <si>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</si>
  <si>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</si>
  <si>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</si>
  <si>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</si>
  <si>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</si>
  <si>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</si>
  <si>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</si>
  <si>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</si>
  <si>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</si>
  <si>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</si>
  <si>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</si>
  <si>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</si>
  <si>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</si>
  <si>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</si>
  <si>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</si>
  <si>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</si>
  <si>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</si>
  <si>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</si>
  <si>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</si>
  <si>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</si>
  <si>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</si>
  <si>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</si>
  <si>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</si>
  <si>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</si>
  <si>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</si>
  <si>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</si>
  <si>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</si>
  <si>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</si>
  <si>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</si>
  <si>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</si>
  <si>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</si>
  <si>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</si>
  <si>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</si>
  <si>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</si>
  <si>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</si>
  <si>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</si>
  <si>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</si>
  <si>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</si>
  <si>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</si>
  <si>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</si>
  <si>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</si>
  <si>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</si>
  <si>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</si>
  <si>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</si>
  <si>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</si>
  <si>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</si>
  <si>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</si>
  <si>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</si>
  <si>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</si>
  <si>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</si>
  <si>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</si>
  <si>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</si>
  <si>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</si>
  <si>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</si>
  <si>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</si>
  <si>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</si>
  <si>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</si>
  <si>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</si>
  <si>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</si>
  <si>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</si>
  <si>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</si>
  <si>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</si>
  <si>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</si>
  <si>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</si>
  <si>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</si>
  <si>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</si>
  <si>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</si>
  <si>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</si>
  <si>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</si>
  <si>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</si>
  <si>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</si>
  <si>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</si>
  <si>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</si>
  <si>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</si>
  <si>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</si>
  <si>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</si>
  <si>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</si>
  <si>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</si>
  <si>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</si>
  <si>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</si>
  <si>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</si>
  <si>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</si>
  <si>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</si>
  <si>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</si>
  <si>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</si>
  <si>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</si>
  <si>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</si>
  <si>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</si>
  <si>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</si>
  <si>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</si>
  <si>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</si>
  <si>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</si>
  <si>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</si>
  <si>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</si>
  <si>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</si>
  <si>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</si>
  <si>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</si>
  <si>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</si>
  <si>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</si>
  <si>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</si>
  <si>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</si>
  <si>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</si>
  <si>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</si>
  <si>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</si>
  <si>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</si>
  <si>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</si>
  <si>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</si>
  <si>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</si>
  <si>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</si>
  <si>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</si>
  <si>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</si>
  <si>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</si>
  <si>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</si>
  <si>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</si>
  <si>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</si>
  <si>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</si>
  <si>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</si>
  <si>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</si>
  <si>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</si>
  <si>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</si>
  <si>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</si>
  <si>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</si>
  <si>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</si>
  <si>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</si>
  <si>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</si>
  <si>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</si>
  <si>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</si>
  <si>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</si>
  <si>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</si>
  <si>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</si>
  <si>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</si>
  <si>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</si>
  <si>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</si>
  <si>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</si>
  <si>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</si>
  <si>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</si>
  <si>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</si>
  <si>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</si>
  <si>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</si>
  <si>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</si>
  <si>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</si>
  <si>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</si>
  <si>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</si>
  <si>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</si>
  <si>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</si>
  <si>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</si>
  <si>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</si>
  <si>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</si>
  <si>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</si>
  <si>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</si>
  <si>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</si>
  <si>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</si>
  <si>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</si>
  <si>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</si>
  <si>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</si>
  <si>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</si>
  <si>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</si>
  <si>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</si>
  <si>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</si>
  <si>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</si>
  <si>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</si>
  <si>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</si>
  <si>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</si>
  <si>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</si>
  <si>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</si>
  <si>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</si>
  <si>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</si>
  <si>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</si>
  <si>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</si>
  <si>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</si>
  <si>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</si>
  <si>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</si>
  <si>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</si>
  <si>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</si>
  <si>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</si>
  <si>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</si>
  <si>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</si>
  <si>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</si>
  <si>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</si>
  <si>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</si>
  <si>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</si>
  <si>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</si>
  <si>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</si>
  <si>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</si>
  <si>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</si>
  <si>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</si>
  <si>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</si>
  <si>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</si>
  <si>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</si>
  <si>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</si>
  <si>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ΔTherm = ((Cexist / Rexist – Cnew / Rnew) * L * ΔT * 8,766) / ηDHW /100,000</t>
  </si>
  <si>
    <t>Cnew</t>
  </si>
  <si>
    <t>ΔTherms = (EFLH * CAPInput * (AFUE(eff) / AFUE(base) -1)) / 100000</t>
  </si>
  <si>
    <t>CAPInput</t>
  </si>
  <si>
    <t>ΔTherms = ((EFLH * CAPInput)/(1-Derating_eff) * (((AFUE_eff * (1-Derating_eff)) / (AFUE_base * (1-Derating_base))) - 1)) / 100000</t>
  </si>
  <si>
    <t>ADJAirSealingGasHeat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</si>
  <si>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</si>
  <si>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</si>
  <si>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</si>
  <si>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</si>
  <si>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</si>
  <si>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</si>
  <si>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</si>
  <si>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</si>
  <si>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</si>
  <si>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</si>
  <si>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</si>
  <si>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</si>
  <si>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</si>
  <si>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</si>
  <si>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</si>
  <si>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</si>
  <si>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</si>
  <si>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</si>
  <si>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</si>
  <si>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</si>
  <si>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</si>
  <si>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</si>
  <si>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</si>
  <si>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</si>
  <si>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</si>
  <si>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</si>
  <si>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</si>
  <si>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</si>
  <si>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</si>
  <si>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</si>
  <si>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</si>
  <si>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</si>
  <si>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</si>
  <si>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</si>
  <si>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</si>
  <si>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</si>
  <si>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</si>
  <si>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</si>
  <si>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</si>
  <si>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</si>
  <si>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</si>
  <si>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</si>
  <si>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</si>
  <si>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</si>
  <si>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</si>
  <si>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</si>
  <si>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</si>
  <si>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</si>
  <si>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</si>
  <si>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</si>
  <si>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</si>
  <si>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</si>
  <si>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</si>
  <si>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</si>
  <si>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</si>
  <si>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</si>
  <si>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</si>
  <si>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</si>
  <si>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</si>
  <si>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</si>
  <si>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</si>
  <si>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</si>
  <si>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</si>
  <si>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</si>
  <si>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</si>
  <si>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</si>
  <si>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</si>
  <si>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</si>
  <si>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</si>
  <si>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</si>
  <si>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</si>
  <si>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</si>
  <si>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</si>
  <si>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</si>
  <si>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</si>
  <si>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</si>
  <si>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</si>
  <si>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</si>
  <si>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</si>
  <si>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</si>
  <si>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</si>
  <si>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</si>
  <si>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</si>
  <si>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</si>
  <si>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</si>
  <si>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</si>
  <si>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</si>
  <si>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</si>
  <si>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</si>
  <si>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</si>
  <si>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</si>
  <si>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</si>
  <si>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</si>
  <si>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</si>
  <si>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</si>
  <si>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</si>
  <si>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</si>
  <si>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</si>
  <si>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</si>
  <si>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</si>
  <si>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</si>
  <si>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</si>
  <si>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</si>
  <si>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</si>
  <si>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</si>
  <si>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</si>
  <si>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</si>
  <si>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</si>
  <si>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</si>
  <si>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</si>
  <si>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</si>
  <si>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</si>
  <si>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</si>
  <si>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</si>
  <si>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</si>
  <si>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</si>
  <si>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</si>
  <si>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</si>
  <si>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</si>
  <si>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</si>
  <si>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</si>
  <si>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</si>
  <si>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</si>
  <si>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</si>
  <si>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</si>
  <si>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</si>
  <si>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</si>
  <si>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</si>
  <si>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</si>
  <si>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</si>
  <si>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</si>
  <si>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</si>
  <si>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</si>
  <si>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</si>
  <si>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</si>
  <si>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</si>
  <si>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</si>
  <si>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</si>
  <si>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</si>
  <si>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</si>
  <si>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</si>
  <si>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</si>
  <si>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</si>
  <si>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</si>
  <si>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</si>
  <si>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</si>
  <si>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</si>
  <si>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</si>
  <si>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</si>
  <si>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</si>
  <si>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</si>
  <si>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</si>
  <si>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</si>
  <si>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</si>
  <si>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</si>
  <si>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</si>
  <si>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</si>
  <si>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</si>
  <si>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</si>
  <si>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</si>
  <si>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</si>
  <si>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</si>
  <si>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</si>
  <si>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</si>
  <si>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</si>
  <si>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</si>
  <si>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</si>
  <si>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</si>
  <si>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</si>
  <si>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</si>
  <si>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</si>
  <si>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</si>
  <si>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</si>
  <si>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</si>
  <si>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</si>
  <si>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</si>
  <si>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</si>
  <si>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</si>
  <si>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</si>
  <si>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</si>
  <si>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</si>
  <si>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</si>
  <si>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</si>
  <si>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</si>
  <si>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</si>
  <si>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</si>
  <si>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</si>
  <si>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</si>
  <si>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</si>
  <si>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</si>
  <si>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</si>
  <si>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</si>
  <si>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</si>
  <si>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</si>
  <si>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</si>
  <si>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</si>
  <si>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</si>
  <si>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</si>
  <si>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</si>
  <si>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</si>
  <si>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5.6.5</t>
  </si>
  <si>
    <t>5.6.6 Rim/Band Joist Insulation</t>
  </si>
  <si>
    <t>5.6.6</t>
  </si>
  <si>
    <t>5.7 Miscellaneous</t>
  </si>
  <si>
    <t>Volume 4: Cross Cutting Measures and Attachments</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</si>
  <si>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</si>
  <si>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</si>
  <si>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</si>
  <si>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</si>
  <si>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</si>
  <si>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</si>
  <si>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</si>
  <si>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</si>
  <si>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</si>
  <si>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</si>
  <si>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</si>
  <si>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</si>
  <si>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Plan Measure Life</t>
  </si>
  <si>
    <t>Adjusted Measure Life</t>
  </si>
  <si>
    <t xml:space="preserve">  </t>
  </si>
  <si>
    <t>Approved Plan**</t>
  </si>
  <si>
    <t>Corrected Approved Plan</t>
  </si>
  <si>
    <t>2019 Adjustable Goals***</t>
  </si>
  <si>
    <t>*** 2019 Adjustable Goals WAML includes approved plan correction and any TRM changes associated with adjustable goals</t>
  </si>
  <si>
    <t>** A calculation error was found in the original filing, this was corrected in the Corrected Approved Plan Row and the 2019 Adjustable Goals row</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</si>
  <si>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</si>
  <si>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</si>
  <si>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</si>
  <si>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</si>
  <si>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</si>
  <si>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</si>
  <si>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</si>
  <si>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</si>
  <si>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</si>
  <si>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</si>
  <si>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</si>
  <si>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</si>
  <si>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</si>
  <si>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</si>
  <si>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</si>
  <si>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</si>
  <si>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</si>
  <si>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</si>
  <si>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</si>
  <si>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</si>
  <si>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</si>
  <si>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</si>
  <si>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</si>
  <si>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</si>
  <si>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</si>
  <si>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</si>
  <si>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</si>
  <si>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</si>
  <si>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</si>
  <si>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</si>
  <si>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</si>
  <si>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</si>
  <si>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</si>
  <si>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</si>
  <si>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</si>
  <si>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</si>
  <si>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</si>
  <si>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</si>
  <si>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</si>
  <si>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</si>
  <si>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</si>
  <si>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</si>
  <si>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</si>
  <si>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</si>
  <si>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</si>
  <si>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</si>
  <si>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</si>
  <si>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</si>
  <si>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</si>
  <si>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</si>
  <si>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</si>
  <si>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</si>
  <si>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</si>
  <si>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</si>
  <si>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</si>
  <si>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</si>
  <si>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</si>
  <si>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</si>
  <si>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</si>
  <si>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</si>
  <si>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</si>
  <si>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</si>
  <si>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</si>
  <si>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</si>
  <si>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</si>
  <si>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</si>
  <si>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</si>
  <si>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</si>
  <si>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</si>
  <si>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</si>
  <si>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</si>
  <si>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</si>
  <si>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</si>
  <si>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</si>
  <si>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</si>
  <si>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</si>
  <si>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</si>
  <si>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</si>
  <si>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</si>
  <si>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</si>
  <si>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</si>
  <si>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</si>
  <si>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</si>
  <si>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</si>
  <si>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</si>
  <si>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</si>
  <si>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</si>
  <si>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</si>
  <si>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</si>
  <si>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</si>
  <si>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</si>
  <si>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</si>
  <si>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</si>
  <si>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</si>
  <si>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</si>
  <si>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</si>
  <si>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</si>
  <si>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</si>
  <si>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</si>
  <si>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</si>
  <si>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</si>
  <si>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</si>
  <si>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</si>
  <si>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</si>
  <si>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</si>
  <si>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</si>
  <si>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</si>
  <si>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</si>
  <si>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</si>
  <si>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</si>
  <si>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</si>
  <si>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</si>
  <si>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</si>
  <si>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</si>
  <si>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</si>
  <si>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</si>
  <si>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</si>
  <si>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</si>
  <si>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</si>
  <si>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</si>
  <si>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</si>
  <si>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</si>
  <si>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</si>
  <si>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</si>
  <si>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</si>
  <si>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</si>
  <si>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</si>
  <si>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</si>
  <si>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</si>
  <si>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</si>
  <si>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</si>
  <si>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</si>
  <si>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</si>
  <si>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</si>
  <si>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</si>
  <si>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</si>
  <si>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</si>
  <si>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</si>
  <si>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</si>
  <si>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</si>
  <si>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</si>
  <si>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</si>
  <si>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</si>
  <si>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</si>
  <si>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</si>
  <si>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</si>
  <si>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</si>
  <si>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</si>
  <si>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</si>
  <si>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</si>
  <si>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</si>
  <si>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</si>
  <si>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</si>
  <si>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</si>
  <si>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</si>
  <si>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</si>
  <si>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</si>
  <si>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</si>
  <si>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</si>
  <si>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</si>
  <si>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</si>
  <si>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</si>
  <si>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</si>
  <si>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</si>
  <si>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</si>
  <si>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</si>
  <si>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</si>
  <si>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</si>
  <si>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</si>
  <si>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</si>
  <si>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</si>
  <si>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</si>
  <si>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</si>
  <si>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</si>
  <si>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</si>
  <si>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</si>
  <si>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</si>
  <si>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</si>
  <si>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</si>
  <si>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</si>
  <si>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</si>
  <si>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</si>
  <si>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</si>
  <si>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</si>
  <si>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</si>
  <si>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</si>
  <si>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</si>
  <si>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</si>
  <si>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</si>
  <si>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</si>
  <si>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</si>
  <si>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</si>
  <si>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</si>
  <si>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</si>
  <si>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</si>
  <si>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</si>
  <si>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</si>
  <si>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</si>
  <si>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</si>
  <si>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</si>
  <si>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</si>
  <si>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</si>
  <si>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</si>
  <si>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</si>
  <si>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</si>
  <si>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</si>
  <si>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</si>
  <si>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</si>
  <si>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</si>
  <si>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</si>
  <si>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</si>
  <si>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</si>
  <si>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</si>
  <si>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</si>
  <si>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</si>
  <si>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</si>
  <si>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</si>
  <si>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</si>
  <si>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</si>
  <si>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</si>
  <si>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</si>
  <si>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</si>
  <si>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</si>
  <si>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</si>
  <si>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</si>
  <si>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</si>
  <si>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</si>
  <si>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</si>
  <si>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</si>
  <si>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</si>
  <si>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</si>
  <si>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</si>
  <si>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</si>
  <si>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</si>
  <si>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</si>
  <si>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</si>
  <si>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</si>
  <si>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</si>
  <si>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</si>
  <si>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</si>
  <si>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</si>
  <si>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</si>
  <si>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</si>
  <si>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</si>
  <si>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</si>
  <si>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</si>
  <si>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</si>
  <si>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</si>
  <si>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</si>
  <si>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</si>
  <si>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</si>
  <si>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</si>
  <si>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</si>
  <si>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</si>
  <si>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</si>
  <si>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</si>
  <si>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</si>
  <si>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</si>
  <si>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</si>
  <si>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</si>
  <si>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</si>
  <si>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</si>
  <si>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</si>
  <si>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</si>
  <si>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</si>
  <si>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</si>
  <si>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</si>
  <si>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</si>
  <si>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</si>
  <si>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</si>
  <si>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</si>
  <si>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</si>
  <si>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</si>
  <si>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</si>
  <si>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</si>
  <si>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</si>
  <si>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</si>
  <si>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</si>
  <si>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</si>
  <si>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</si>
  <si>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</si>
  <si>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</si>
  <si>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</si>
  <si>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</si>
  <si>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</si>
  <si>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</si>
  <si>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</si>
  <si>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</si>
  <si>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</si>
  <si>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</si>
  <si>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</si>
  <si>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</si>
  <si>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</si>
  <si>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</si>
  <si>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</si>
  <si>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</si>
  <si>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</si>
  <si>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</si>
  <si>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</si>
  <si>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</si>
  <si>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</si>
  <si>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</si>
  <si>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</si>
  <si>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</si>
  <si>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</si>
  <si>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</si>
  <si>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</si>
  <si>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</si>
  <si>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</si>
  <si>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</si>
  <si>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</si>
  <si>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</si>
  <si>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</si>
  <si>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</si>
  <si>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</si>
  <si>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</si>
  <si>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</si>
  <si>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</si>
  <si>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</si>
  <si>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</si>
  <si>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</si>
  <si>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</si>
  <si>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</si>
  <si>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</si>
  <si>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</si>
  <si>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</si>
  <si>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</si>
  <si>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</si>
  <si>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</si>
  <si>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</si>
  <si>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</si>
  <si>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</si>
  <si>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</si>
  <si>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</si>
  <si>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</si>
  <si>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</si>
  <si>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</si>
  <si>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</si>
  <si>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</si>
  <si>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</si>
  <si>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</si>
  <si>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</si>
  <si>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</si>
  <si>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</si>
  <si>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Reference</t>
  </si>
  <si>
    <t>Link</t>
  </si>
  <si>
    <t>Electric only, Impacts Cook County only</t>
  </si>
  <si>
    <t>No actual input changes</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</si>
  <si>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</si>
  <si>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</si>
  <si>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</si>
  <si>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</si>
  <si>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</si>
  <si>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</si>
  <si>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</si>
  <si>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</si>
  <si>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</si>
  <si>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</si>
  <si>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</si>
  <si>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</si>
  <si>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</si>
  <si>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</si>
  <si>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No new construction measure algorithms</t>
  </si>
  <si>
    <t>No algorithms for new building types</t>
  </si>
  <si>
    <t>Unit Savings Calculations'!W70</t>
  </si>
  <si>
    <t>Water impacts are electric only</t>
  </si>
  <si>
    <t>Does not affect algorithm</t>
  </si>
  <si>
    <t>No kit aerators (DI only)</t>
  </si>
  <si>
    <t>Updated SF ISR</t>
  </si>
  <si>
    <t>Unit Savings Calculations'!AI27</t>
  </si>
  <si>
    <t>Updated heating EFLH</t>
  </si>
  <si>
    <t>Showerhead, Pre-Rinse Sprayer adjustments</t>
  </si>
  <si>
    <t>EFLH, Pre-Rinse Sprayer adjustments</t>
  </si>
  <si>
    <t>Showerhead ISR</t>
  </si>
  <si>
    <t>EFLH adjustment</t>
  </si>
  <si>
    <t>TRM v7 Energy Savings Goal (Therms)</t>
  </si>
  <si>
    <t>Updated algorithm with new variables</t>
  </si>
  <si>
    <t>Algorithm does not assume uninsulated R-value</t>
  </si>
  <si>
    <t>ΔTherms = (((CFM50_existing - CFM50_new)/N_heat) * 60 * 24 * HDD * 0.018) / (ηHeat * 100,000) * ADJAirSealingGasHeat * IENetCorrection</t>
  </si>
  <si>
    <t>IENetCorrection</t>
  </si>
  <si>
    <t>ΔTherms = ((((1/R_old - 1/R_attic) * A_attic * (1-Framing_factor_attic)) * 24 * HDD) / (ηHeat * 100,000 Btu/therm) * ADJAtticGasHeat * IENetCorrection * %GasHeat</t>
  </si>
  <si>
    <t>%GasHeat</t>
  </si>
  <si>
    <t>Showerhead ISR, Attic Insulation, Air Sealing</t>
  </si>
  <si>
    <t>Unit Savings Calculations'!V61</t>
  </si>
  <si>
    <t>Unit Savings Calculations'!V62</t>
  </si>
  <si>
    <t>Updated 01/16/2020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</si>
</sst>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5">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sz val="10"/>
      <name val="Calibri"/>
      <family val="2"/>
    </font>
    <font>
      <sz val="11"/>
      <name val="Arial"/>
      <family val="2"/>
    </font>
    <font>
      <b/>
      <sz val="11"/>
      <color rgb="FFFFFFFF"/>
      <name val="Calibri"/>
      <family val="2"/>
      <scheme val="minor"/>
    </font>
    <font>
      <b/>
      <sz val="10"/>
      <color rgb="FF000000"/>
      <name val="Calibri"/>
      <family val="2"/>
      <scheme val="minor"/>
    </font>
    <font>
      <b/>
      <sz val="10"/>
      <color rgb="FFFFFFFF"/>
      <name val="Calibri"/>
      <family val="2"/>
      <scheme val="minor"/>
    </font>
    <font>
      <b/>
      <sz val="11"/>
      <name val="Calibri"/>
      <family val="2"/>
      <scheme val="minor"/>
    </font>
    <font>
      <sz val="9"/>
      <color indexed="81"/>
      <name val="Tahoma"/>
      <charset val="1"/>
    </font>
    <font>
      <b/>
      <sz val="9"/>
      <color indexed="81"/>
      <name val="Tahoma"/>
      <charset val="1"/>
    </font>
  </fonts>
  <fills count="10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
      <patternFill patternType="solid">
        <fgColor rgb="FF80808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49">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0" fontId="12" fillId="34" borderId="0" xfId="0" applyFont="1" applyFill="1" applyBorder="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0" fontId="12" fillId="97" borderId="51" xfId="0" applyFont="1" applyFill="1" applyBorder="1"/>
    <xf numFmtId="168" fontId="12" fillId="0" borderId="52" xfId="0" applyNumberFormat="1" applyFont="1" applyBorder="1"/>
    <xf numFmtId="168" fontId="12" fillId="0" borderId="2" xfId="0" applyNumberFormat="1" applyFont="1" applyBorder="1"/>
    <xf numFmtId="168" fontId="12" fillId="0" borderId="14" xfId="0" applyNumberFormat="1" applyFont="1" applyBorder="1"/>
    <xf numFmtId="0" fontId="12" fillId="97" borderId="53" xfId="0"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9" fontId="12" fillId="34" borderId="1" xfId="3" applyFont="1" applyFill="1" applyBorder="1"/>
    <xf numFmtId="0" fontId="18" fillId="13" borderId="1" xfId="1" applyNumberFormat="1" applyFont="1" applyFill="1" applyBorder="1" applyAlignment="1">
      <alignment horizontal="center" vertical="center" wrapText="1"/>
    </xf>
    <xf numFmtId="0" fontId="18" fillId="13" borderId="1" xfId="0" applyFont="1" applyFill="1" applyBorder="1" applyAlignment="1">
      <alignment horizont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34" borderId="1" xfId="1" applyNumberFormat="1" applyFont="1" applyFill="1" applyBorder="1"/>
    <xf numFmtId="171" fontId="13" fillId="34" borderId="1" xfId="1" applyNumberFormat="1" applyFont="1" applyFill="1" applyBorder="1" applyAlignment="1">
      <alignment horizontal="right"/>
    </xf>
    <xf numFmtId="171" fontId="12"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0" fontId="156" fillId="0" borderId="0" xfId="0" applyFont="1" applyFill="1" applyBorder="1"/>
    <xf numFmtId="9" fontId="12" fillId="0" borderId="0" xfId="3" applyFont="1" applyFill="1" applyBorder="1"/>
    <xf numFmtId="43" fontId="156" fillId="0" borderId="0" xfId="1" applyFont="1" applyFill="1" applyBorder="1"/>
    <xf numFmtId="168" fontId="156" fillId="0" borderId="0" xfId="1" applyNumberFormat="1" applyFont="1" applyFill="1" applyBorder="1"/>
    <xf numFmtId="171" fontId="156" fillId="0" borderId="0" xfId="1" applyNumberFormat="1" applyFont="1" applyFill="1" applyBorder="1"/>
    <xf numFmtId="0" fontId="157" fillId="0" borderId="0" xfId="0" applyFont="1" applyFill="1" applyBorder="1"/>
    <xf numFmtId="218" fontId="156" fillId="0" borderId="0" xfId="1" applyNumberFormat="1" applyFont="1" applyFill="1" applyBorder="1"/>
    <xf numFmtId="219" fontId="156" fillId="0" borderId="0"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43" fontId="12" fillId="34" borderId="1" xfId="1" applyNumberFormat="1" applyFont="1" applyFill="1" applyBorder="1" applyAlignment="1">
      <alignment horizontal="right"/>
    </xf>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58" fillId="0" borderId="1" xfId="0" applyFont="1" applyFill="1" applyBorder="1" applyAlignment="1">
      <alignment vertical="center" wrapText="1"/>
    </xf>
    <xf numFmtId="3" fontId="158" fillId="0" borderId="1" xfId="0" applyNumberFormat="1" applyFont="1" applyFill="1" applyBorder="1" applyAlignment="1">
      <alignment horizontal="center" vertical="center" wrapText="1"/>
    </xf>
    <xf numFmtId="3" fontId="158" fillId="0" borderId="1" xfId="0" applyNumberFormat="1" applyFont="1" applyFill="1" applyBorder="1" applyAlignment="1">
      <alignment vertical="center" wrapText="1"/>
    </xf>
    <xf numFmtId="0" fontId="158" fillId="0" borderId="3" xfId="0"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171" fontId="13" fillId="0" borderId="1" xfId="1" applyNumberFormat="1" applyFont="1" applyFill="1" applyBorder="1" applyAlignment="1">
      <alignment horizontal="right"/>
    </xf>
    <xf numFmtId="0" fontId="12" fillId="0" borderId="1" xfId="0" applyFont="1" applyFill="1" applyBorder="1"/>
    <xf numFmtId="0" fontId="12" fillId="101" borderId="0" xfId="0" applyFont="1" applyFill="1"/>
    <xf numFmtId="0" fontId="156" fillId="101" borderId="0" xfId="0" applyFont="1" applyFill="1" applyBorder="1"/>
    <xf numFmtId="9" fontId="12" fillId="101" borderId="0" xfId="3" applyFont="1" applyFill="1" applyBorder="1"/>
    <xf numFmtId="43" fontId="156" fillId="101" borderId="0" xfId="1" applyFont="1" applyFill="1" applyBorder="1"/>
    <xf numFmtId="168" fontId="156" fillId="101" borderId="0" xfId="1" applyNumberFormat="1" applyFont="1" applyFill="1" applyBorder="1"/>
    <xf numFmtId="171" fontId="13" fillId="34" borderId="1" xfId="1" applyNumberFormat="1" applyFont="1" applyFill="1" applyBorder="1" applyAlignment="1">
      <alignment horizontal="left"/>
    </xf>
    <xf numFmtId="168" fontId="12" fillId="0" borderId="1" xfId="1" applyNumberFormat="1" applyFont="1" applyFill="1" applyBorder="1"/>
    <xf numFmtId="9" fontId="12" fillId="0" borderId="1" xfId="3" applyFont="1" applyFill="1" applyBorder="1"/>
    <xf numFmtId="171" fontId="13" fillId="0" borderId="1" xfId="1" applyNumberFormat="1" applyFont="1" applyFill="1" applyBorder="1" applyAlignment="1">
      <alignment horizontal="left"/>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8" fillId="13" borderId="1" xfId="0" applyFont="1" applyFill="1" applyBorder="1" applyAlignment="1">
      <alignment horizontal="center"/>
    </xf>
    <xf numFmtId="43" fontId="13" fillId="102" borderId="1" xfId="1" applyNumberFormat="1" applyFont="1" applyFill="1" applyBorder="1" applyAlignment="1">
      <alignment horizontal="right"/>
    </xf>
    <xf numFmtId="0" fontId="12" fillId="98" borderId="1" xfId="0"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0" fontId="13" fillId="102" borderId="1" xfId="0" applyFont="1" applyFill="1" applyBorder="1" applyAlignment="1"/>
    <xf numFmtId="0" fontId="13" fillId="102" borderId="1" xfId="0" applyFont="1" applyFill="1" applyBorder="1" applyAlignment="1">
      <alignment horizontal="left"/>
    </xf>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98" borderId="1" xfId="0" applyFont="1" applyFill="1" applyBorder="1" applyAlignment="1">
      <alignment vertical="center"/>
    </xf>
    <xf numFmtId="9" fontId="12" fillId="98" borderId="1" xfId="0" applyNumberFormat="1" applyFont="1" applyFill="1" applyBorder="1" applyAlignment="1"/>
    <xf numFmtId="2" fontId="13" fillId="102" borderId="1" xfId="0" applyNumberFormat="1" applyFont="1" applyFill="1" applyBorder="1" applyAlignment="1"/>
    <xf numFmtId="39" fontId="13" fillId="102" borderId="1" xfId="1" applyNumberFormat="1" applyFont="1" applyFill="1" applyBorder="1" applyAlignment="1"/>
    <xf numFmtId="165" fontId="13" fillId="102" borderId="1" xfId="0" applyNumberFormat="1" applyFont="1" applyFill="1" applyBorder="1" applyAlignment="1"/>
    <xf numFmtId="172" fontId="13" fillId="102" borderId="1" xfId="3" applyNumberFormat="1" applyFont="1" applyFill="1" applyBorder="1" applyAlignment="1"/>
    <xf numFmtId="172" fontId="13" fillId="102" borderId="1" xfId="0" applyNumberFormat="1" applyFont="1" applyFill="1" applyBorder="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171" fontId="13" fillId="102" borderId="1" xfId="1" applyNumberFormat="1" applyFont="1" applyFill="1" applyBorder="1" applyAlignment="1">
      <alignment horizontal="right"/>
    </xf>
    <xf numFmtId="171" fontId="13" fillId="102" borderId="1" xfId="1" quotePrefix="1" applyNumberFormat="1" applyFont="1" applyFill="1" applyBorder="1" applyAlignment="1">
      <alignment horizontal="right"/>
    </xf>
    <xf numFmtId="0" fontId="1" fillId="37" borderId="1" xfId="0" applyFont="1" applyFill="1" applyBorder="1" applyAlignment="1"/>
    <xf numFmtId="1" fontId="12" fillId="34" borderId="1" xfId="3" applyNumberFormat="1" applyFont="1" applyFill="1" applyBorder="1"/>
    <xf numFmtId="0" fontId="1" fillId="0" borderId="69" xfId="0" applyFont="1" applyBorder="1" applyAlignment="1">
      <alignment vertical="center" wrapText="1"/>
    </xf>
    <xf numFmtId="1" fontId="1" fillId="0" borderId="1" xfId="0" applyNumberFormat="1" applyFont="1" applyBorder="1" applyAlignment="1">
      <alignment wrapText="1"/>
    </xf>
    <xf numFmtId="43" fontId="12" fillId="0" borderId="0" xfId="1" applyNumberFormat="1" applyFont="1"/>
    <xf numFmtId="43" fontId="18" fillId="13" borderId="1" xfId="1" applyNumberFormat="1" applyFont="1" applyFill="1" applyBorder="1" applyAlignment="1">
      <alignment horizontal="center" vertical="center"/>
    </xf>
    <xf numFmtId="43" fontId="12" fillId="0" borderId="0" xfId="1" applyNumberFormat="1" applyFont="1" applyAlignment="1">
      <alignment horizontal="right"/>
    </xf>
    <xf numFmtId="0" fontId="0" fillId="34" borderId="0" xfId="0" applyFill="1"/>
    <xf numFmtId="1" fontId="12" fillId="102" borderId="1" xfId="3" applyNumberFormat="1" applyFont="1" applyFill="1" applyBorder="1"/>
    <xf numFmtId="9" fontId="1" fillId="0" borderId="0" xfId="3" applyFont="1" applyAlignment="1">
      <alignment wrapText="1"/>
    </xf>
    <xf numFmtId="0" fontId="1" fillId="0" borderId="70" xfId="0" applyFont="1" applyBorder="1" applyAlignment="1">
      <alignment vertical="center" wrapText="1"/>
    </xf>
    <xf numFmtId="0" fontId="1" fillId="0" borderId="64" xfId="0" applyFont="1" applyBorder="1" applyAlignment="1">
      <alignment horizontal="center" vertical="center" wrapText="1"/>
    </xf>
    <xf numFmtId="1" fontId="12" fillId="0" borderId="1" xfId="3" applyNumberFormat="1" applyFont="1" applyFill="1" applyBorder="1"/>
    <xf numFmtId="168" fontId="0" fillId="34" borderId="0" xfId="1" applyNumberFormat="1" applyFont="1" applyFill="1"/>
    <xf numFmtId="0" fontId="160" fillId="103" borderId="1" xfId="1" applyNumberFormat="1" applyFont="1" applyFill="1" applyBorder="1" applyAlignment="1">
      <alignment horizontal="center" vertical="center" wrapText="1"/>
    </xf>
    <xf numFmtId="43" fontId="161" fillId="104" borderId="1" xfId="1" applyNumberFormat="1" applyFont="1" applyFill="1" applyBorder="1" applyAlignment="1">
      <alignment horizontal="right"/>
    </xf>
    <xf numFmtId="0" fontId="0" fillId="34" borderId="0" xfId="0" applyFont="1" applyFill="1"/>
    <xf numFmtId="43" fontId="12" fillId="34" borderId="1" xfId="0" applyNumberFormat="1" applyFont="1" applyFill="1" applyBorder="1"/>
    <xf numFmtId="43" fontId="12" fillId="94" borderId="1" xfId="0" applyNumberFormat="1" applyFont="1" applyFill="1" applyBorder="1"/>
    <xf numFmtId="0" fontId="152" fillId="0" borderId="0" xfId="0" applyFont="1"/>
    <xf numFmtId="0" fontId="155" fillId="101" borderId="0" xfId="0" applyFont="1" applyFill="1"/>
    <xf numFmtId="0" fontId="159" fillId="105"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0" fontId="12" fillId="6" borderId="1" xfId="0" applyFont="1" applyFill="1" applyBorder="1" applyAlignment="1"/>
    <xf numFmtId="43" fontId="12" fillId="6" borderId="1" xfId="1" applyFont="1" applyFill="1" applyBorder="1" applyAlignment="1"/>
    <xf numFmtId="165" fontId="12" fillId="98" borderId="1" xfId="0" applyNumberFormat="1" applyFont="1" applyFill="1" applyBorder="1"/>
    <xf numFmtId="0" fontId="0" fillId="0" borderId="1" xfId="0" quotePrefix="1" applyBorder="1"/>
    <xf numFmtId="172" fontId="12" fillId="6" borderId="1" xfId="0" applyNumberFormat="1" applyFont="1" applyFill="1" applyBorder="1" applyAlignment="1"/>
    <xf numFmtId="0" fontId="13" fillId="6" borderId="1" xfId="0" applyFont="1" applyFill="1" applyBorder="1" applyAlignment="1">
      <alignment horizontal="left"/>
    </xf>
    <xf numFmtId="168" fontId="13" fillId="6" borderId="1" xfId="1" applyNumberFormat="1" applyFont="1" applyFill="1" applyBorder="1" applyAlignment="1"/>
    <xf numFmtId="0" fontId="13" fillId="6" borderId="1" xfId="0" applyFont="1" applyFill="1" applyBorder="1" applyAlignment="1"/>
    <xf numFmtId="0" fontId="148" fillId="2" borderId="5" xfId="0" applyFont="1" applyFill="1" applyBorder="1" applyAlignment="1">
      <alignment horizontal="center" vertical="center" wrapText="1"/>
    </xf>
    <xf numFmtId="3" fontId="158" fillId="0" borderId="1" xfId="0" applyNumberFormat="1" applyFont="1" applyBorder="1" applyAlignment="1">
      <alignment horizontal="center" vertical="center" wrapText="1"/>
    </xf>
    <xf numFmtId="43" fontId="13" fillId="6" borderId="1" xfId="1" applyNumberFormat="1" applyFont="1" applyFill="1" applyBorder="1" applyAlignment="1">
      <alignment horizontal="right"/>
    </xf>
    <xf numFmtId="0" fontId="13" fillId="6" borderId="1" xfId="0" applyFont="1" applyFill="1" applyBorder="1"/>
    <xf numFmtId="9" fontId="13" fillId="6" borderId="1" xfId="0" applyNumberFormat="1" applyFont="1" applyFill="1" applyBorder="1"/>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3" xfId="0" applyFont="1" applyFill="1" applyBorder="1" applyAlignment="1">
      <alignment horizontal="center" vertical="center" wrapText="1"/>
    </xf>
    <xf numFmtId="0" fontId="148" fillId="7" borderId="4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1" xfId="1" applyNumberFormat="1" applyFont="1" applyFill="1" applyBorder="1" applyAlignment="1">
      <alignment horizontal="center" vertical="center" wrapText="1"/>
    </xf>
    <xf numFmtId="0" fontId="6" fillId="34" borderId="0" xfId="0" applyFont="1" applyFill="1" applyAlignment="1">
      <alignment horizontal="left"/>
    </xf>
    <xf numFmtId="168" fontId="18" fillId="13" borderId="3" xfId="1" applyNumberFormat="1" applyFont="1" applyFill="1" applyBorder="1" applyAlignment="1">
      <alignment horizontal="center" wrapText="1"/>
    </xf>
    <xf numFmtId="168" fontId="18" fillId="13" borderId="4" xfId="1" applyNumberFormat="1" applyFont="1" applyFill="1" applyBorder="1" applyAlignment="1">
      <alignment horizontal="center" wrapText="1"/>
    </xf>
    <xf numFmtId="168" fontId="18" fillId="13" borderId="5" xfId="1" applyNumberFormat="1" applyFont="1" applyFill="1" applyBorder="1" applyAlignment="1">
      <alignment horizontal="center" wrapText="1"/>
    </xf>
    <xf numFmtId="43" fontId="18" fillId="13" borderId="3" xfId="1" applyNumberFormat="1" applyFont="1" applyFill="1" applyBorder="1" applyAlignment="1">
      <alignment horizontal="center" wrapText="1"/>
    </xf>
    <xf numFmtId="43" fontId="18" fillId="13" borderId="4" xfId="1" applyNumberFormat="1" applyFont="1" applyFill="1" applyBorder="1" applyAlignment="1">
      <alignment horizontal="center" wrapText="1"/>
    </xf>
    <xf numFmtId="43" fontId="18" fillId="13" borderId="5" xfId="1" applyNumberFormat="1" applyFont="1" applyFill="1" applyBorder="1" applyAlignment="1">
      <alignment horizontal="center" wrapText="1"/>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43" fontId="12" fillId="0" borderId="1" xfId="1" applyFont="1" applyBorder="1" applyAlignment="1">
      <alignment horizontal="center"/>
    </xf>
    <xf numFmtId="0" fontId="12" fillId="0" borderId="1" xfId="0" applyFont="1" applyBorder="1" applyAlignment="1">
      <alignment horizontal="center" vertical="center"/>
    </xf>
    <xf numFmtId="43" fontId="12" fillId="34" borderId="1" xfId="1"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2263-970A-4137-9950-C72AB50BDDD7}">
  <sheetPr filterMode="1">
    <tabColor theme="6"/>
  </sheetPr>
  <dimension ref="A1:R184"/>
  <sheetViews>
    <sheetView showGridLines="0" tabSelected="1" zoomScale="70" zoomScaleNormal="70" workbookViewId="0">
      <pane ySplit="6" topLeftCell="A7"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76" t="str">
        <f ca="1">IFERROR(VALUE(MID(CELL("filename",$A$1),FIND("]",CELL("filename",$A$1))+1,255)),MID(CELL("filename",$A$1),FIND("]",CELL("filename",$A$1))+1,255))</f>
        <v>v8 Revisions</v>
      </c>
    </row>
    <row r="2" spans="1:18">
      <c r="C2" s="477" t="s">
        <v>1073</v>
      </c>
    </row>
    <row r="3" spans="1:18">
      <c r="M3" t="s">
        <v>1074</v>
      </c>
    </row>
    <row r="4" spans="1:18">
      <c r="M4">
        <f>COUNTIFS(M$7:M$184,TRUE,$O$7:$O$184,"")</f>
        <v>0</v>
      </c>
      <c r="N4">
        <f>COUNTIFS(N$7:N$184,TRUE,$O$7:$O$184,"")</f>
        <v>0</v>
      </c>
    </row>
    <row r="5" spans="1:18">
      <c r="B5" s="476" t="s">
        <v>1075</v>
      </c>
    </row>
    <row r="6" spans="1:18" ht="75" customHeight="1">
      <c r="B6" s="478" t="s">
        <v>871</v>
      </c>
      <c r="C6" s="478" t="s">
        <v>872</v>
      </c>
      <c r="D6" s="479" t="s">
        <v>1076</v>
      </c>
      <c r="E6" s="478" t="s">
        <v>873</v>
      </c>
      <c r="F6" s="478" t="s">
        <v>874</v>
      </c>
      <c r="G6" s="478" t="s">
        <v>875</v>
      </c>
      <c r="H6" s="478" t="s">
        <v>876</v>
      </c>
      <c r="I6" s="478" t="s">
        <v>877</v>
      </c>
      <c r="J6" s="479" t="s">
        <v>1077</v>
      </c>
      <c r="K6" s="479" t="s">
        <v>1078</v>
      </c>
      <c r="L6" s="479" t="s">
        <v>1079</v>
      </c>
      <c r="M6" s="479" t="s">
        <v>1080</v>
      </c>
      <c r="N6" s="479" t="s">
        <v>1081</v>
      </c>
      <c r="O6" s="479" t="s">
        <v>1082</v>
      </c>
      <c r="P6" s="479" t="s">
        <v>1083</v>
      </c>
      <c r="Q6" s="479" t="s">
        <v>1417</v>
      </c>
      <c r="R6" s="479" t="s">
        <v>1418</v>
      </c>
    </row>
    <row r="7" spans="1:18" hidden="1">
      <c r="B7" s="480" t="s">
        <v>878</v>
      </c>
      <c r="C7" s="480" t="s">
        <v>879</v>
      </c>
      <c r="D7" s="481" t="s">
        <v>879</v>
      </c>
      <c r="E7" s="480" t="s">
        <v>879</v>
      </c>
      <c r="F7" s="480" t="s">
        <v>879</v>
      </c>
      <c r="G7" s="480" t="s">
        <v>880</v>
      </c>
      <c r="H7" s="480" t="s">
        <v>1084</v>
      </c>
      <c r="I7" s="480" t="s">
        <v>879</v>
      </c>
      <c r="J7" s="482" t="b">
        <f>I7&lt;&gt;"N/A"</f>
        <v>0</v>
      </c>
      <c r="K7" s="482" t="b">
        <f t="shared" ref="K7:K38" si="0">COUNTIFS(D:D,D7,J:J,TRUE)&gt;0</f>
        <v>0</v>
      </c>
      <c r="L7" s="482" t="str">
        <f>IF(D7="n/a","n/a",ISNUMBER(MATCH(D7,'Measure-Level Adjustments Tab'!D:D,0)))</f>
        <v>n/a</v>
      </c>
      <c r="M7" s="482" t="b">
        <f>AND(G7="Errata",J7,L7)</f>
        <v>0</v>
      </c>
      <c r="N7" s="482" t="b">
        <f>AND(G7="Revision",J7,L7)</f>
        <v>0</v>
      </c>
      <c r="O7" s="482" t="s">
        <v>764</v>
      </c>
      <c r="P7" s="482"/>
      <c r="Q7" s="482"/>
      <c r="R7" s="482" t="str">
        <f>IF(Q7="","",HYPERLINK("#'"&amp;Q7,"Go To Update"))</f>
        <v/>
      </c>
    </row>
    <row r="8" spans="1:18" hidden="1">
      <c r="B8" s="480" t="s">
        <v>878</v>
      </c>
      <c r="C8" s="480" t="s">
        <v>879</v>
      </c>
      <c r="D8" s="481" t="s">
        <v>879</v>
      </c>
      <c r="E8" s="480" t="s">
        <v>879</v>
      </c>
      <c r="F8" s="480" t="s">
        <v>879</v>
      </c>
      <c r="G8" s="480" t="s">
        <v>880</v>
      </c>
      <c r="H8" s="480" t="s">
        <v>1085</v>
      </c>
      <c r="I8" s="480" t="s">
        <v>879</v>
      </c>
      <c r="J8" s="482" t="b">
        <f t="shared" ref="J8:J71" si="1">I8&lt;&gt;"N/A"</f>
        <v>0</v>
      </c>
      <c r="K8" s="482" t="b">
        <f t="shared" si="0"/>
        <v>0</v>
      </c>
      <c r="L8" s="482" t="str">
        <f>IF(D8="n/a","n/a",ISNUMBER(MATCH(D8,'Measure-Level Adjustments Tab'!D:D,0)))</f>
        <v>n/a</v>
      </c>
      <c r="M8" s="482" t="b">
        <f t="shared" ref="M8:M71" si="2">AND(G8="Errata",J8,L8)</f>
        <v>0</v>
      </c>
      <c r="N8" s="482" t="b">
        <f t="shared" ref="N8:N71" si="3">AND(G8="Revision",J8,L8)</f>
        <v>0</v>
      </c>
      <c r="O8" s="482" t="s">
        <v>764</v>
      </c>
      <c r="P8" s="482"/>
      <c r="Q8" s="482"/>
      <c r="R8" s="482" t="str">
        <f t="shared" ref="R8:R71" si="4">IF(Q8="","",HYPERLINK("#'"&amp;Q8,"Go To Update"))</f>
        <v/>
      </c>
    </row>
    <row r="9" spans="1:18" hidden="1">
      <c r="B9" s="480" t="s">
        <v>878</v>
      </c>
      <c r="C9" s="480" t="s">
        <v>879</v>
      </c>
      <c r="D9" s="481" t="s">
        <v>879</v>
      </c>
      <c r="E9" s="480" t="s">
        <v>879</v>
      </c>
      <c r="F9" s="480" t="s">
        <v>879</v>
      </c>
      <c r="G9" s="480" t="s">
        <v>880</v>
      </c>
      <c r="H9" s="480" t="s">
        <v>1086</v>
      </c>
      <c r="I9" s="480" t="s">
        <v>879</v>
      </c>
      <c r="J9" s="482" t="b">
        <f t="shared" si="1"/>
        <v>0</v>
      </c>
      <c r="K9" s="482" t="b">
        <f t="shared" si="0"/>
        <v>0</v>
      </c>
      <c r="L9" s="482" t="str">
        <f>IF(D9="n/a","n/a",ISNUMBER(MATCH(D9,'Measure-Level Adjustments Tab'!D:D,0)))</f>
        <v>n/a</v>
      </c>
      <c r="M9" s="482" t="b">
        <f t="shared" si="2"/>
        <v>0</v>
      </c>
      <c r="N9" s="482" t="b">
        <f t="shared" si="3"/>
        <v>0</v>
      </c>
      <c r="O9" s="482" t="s">
        <v>764</v>
      </c>
      <c r="P9" s="482"/>
      <c r="Q9" s="482"/>
      <c r="R9" s="482" t="str">
        <f t="shared" si="4"/>
        <v/>
      </c>
    </row>
    <row r="10" spans="1:18" hidden="1">
      <c r="B10" s="480" t="s">
        <v>878</v>
      </c>
      <c r="C10" s="480" t="s">
        <v>879</v>
      </c>
      <c r="D10" s="481" t="s">
        <v>879</v>
      </c>
      <c r="E10" s="480" t="s">
        <v>879</v>
      </c>
      <c r="F10" s="480" t="s">
        <v>879</v>
      </c>
      <c r="G10" s="480" t="s">
        <v>880</v>
      </c>
      <c r="H10" s="480" t="s">
        <v>1087</v>
      </c>
      <c r="I10" s="480" t="s">
        <v>879</v>
      </c>
      <c r="J10" s="482" t="b">
        <f t="shared" si="1"/>
        <v>0</v>
      </c>
      <c r="K10" s="482" t="b">
        <f t="shared" si="0"/>
        <v>0</v>
      </c>
      <c r="L10" s="482" t="str">
        <f>IF(D10="n/a","n/a",ISNUMBER(MATCH(D10,'Measure-Level Adjustments Tab'!D:D,0)))</f>
        <v>n/a</v>
      </c>
      <c r="M10" s="482" t="b">
        <f t="shared" si="2"/>
        <v>0</v>
      </c>
      <c r="N10" s="482" t="b">
        <f t="shared" si="3"/>
        <v>0</v>
      </c>
      <c r="O10" s="482" t="s">
        <v>764</v>
      </c>
      <c r="P10" s="482"/>
      <c r="Q10" s="482"/>
      <c r="R10" s="482" t="str">
        <f t="shared" si="4"/>
        <v/>
      </c>
    </row>
    <row r="11" spans="1:18" hidden="1">
      <c r="B11" s="480" t="s">
        <v>878</v>
      </c>
      <c r="C11" s="480" t="s">
        <v>879</v>
      </c>
      <c r="D11" s="481" t="s">
        <v>879</v>
      </c>
      <c r="E11" s="480" t="s">
        <v>879</v>
      </c>
      <c r="F11" s="480" t="s">
        <v>879</v>
      </c>
      <c r="G11" s="480" t="s">
        <v>880</v>
      </c>
      <c r="H11" s="480" t="s">
        <v>1088</v>
      </c>
      <c r="I11" s="480" t="s">
        <v>879</v>
      </c>
      <c r="J11" s="482" t="b">
        <f t="shared" si="1"/>
        <v>0</v>
      </c>
      <c r="K11" s="482" t="b">
        <f t="shared" si="0"/>
        <v>0</v>
      </c>
      <c r="L11" s="482" t="str">
        <f>IF(D11="n/a","n/a",ISNUMBER(MATCH(D11,'Measure-Level Adjustments Tab'!D:D,0)))</f>
        <v>n/a</v>
      </c>
      <c r="M11" s="482" t="b">
        <f t="shared" si="2"/>
        <v>0</v>
      </c>
      <c r="N11" s="482" t="b">
        <f t="shared" si="3"/>
        <v>0</v>
      </c>
      <c r="O11" s="482" t="s">
        <v>764</v>
      </c>
      <c r="P11" s="482"/>
      <c r="Q11" s="482"/>
      <c r="R11" s="482" t="str">
        <f t="shared" si="4"/>
        <v/>
      </c>
    </row>
    <row r="12" spans="1:18" hidden="1">
      <c r="B12" s="480" t="s">
        <v>878</v>
      </c>
      <c r="C12" s="480" t="s">
        <v>879</v>
      </c>
      <c r="D12" s="481" t="s">
        <v>879</v>
      </c>
      <c r="E12" s="480" t="s">
        <v>879</v>
      </c>
      <c r="F12" s="480" t="s">
        <v>879</v>
      </c>
      <c r="G12" s="480" t="s">
        <v>880</v>
      </c>
      <c r="H12" s="480" t="s">
        <v>1421</v>
      </c>
      <c r="I12" s="480" t="s">
        <v>879</v>
      </c>
      <c r="J12" s="482" t="b">
        <f t="shared" ref="J12" si="5">I12&lt;&gt;"N/A"</f>
        <v>0</v>
      </c>
      <c r="K12" s="482" t="b">
        <f t="shared" si="0"/>
        <v>0</v>
      </c>
      <c r="L12" s="482" t="str">
        <f>IF(D12="n/a","n/a",ISNUMBER(MATCH(D12,'Measure-Level Adjustments Tab'!D:D,0)))</f>
        <v>n/a</v>
      </c>
      <c r="M12" s="482" t="b">
        <f t="shared" ref="M12" si="6">AND(G12="Errata",J12,L12)</f>
        <v>0</v>
      </c>
      <c r="N12" s="482" t="b">
        <f t="shared" ref="N12" si="7">AND(G12="Revision",J12,L12)</f>
        <v>0</v>
      </c>
      <c r="O12" s="482" t="s">
        <v>764</v>
      </c>
      <c r="P12" s="482"/>
      <c r="Q12" s="482"/>
      <c r="R12" s="482" t="str">
        <f t="shared" ref="R12" si="8">IF(Q12="","",HYPERLINK("#'"&amp;Q12,"Go To Update"))</f>
        <v/>
      </c>
    </row>
    <row r="13" spans="1:18" hidden="1">
      <c r="B13" s="480" t="s">
        <v>878</v>
      </c>
      <c r="C13" s="480" t="s">
        <v>879</v>
      </c>
      <c r="D13" s="481" t="s">
        <v>879</v>
      </c>
      <c r="E13" s="480" t="s">
        <v>879</v>
      </c>
      <c r="F13" s="480" t="s">
        <v>879</v>
      </c>
      <c r="G13" s="480" t="s">
        <v>880</v>
      </c>
      <c r="H13" s="480" t="s">
        <v>1089</v>
      </c>
      <c r="I13" s="480" t="s">
        <v>879</v>
      </c>
      <c r="J13" s="482" t="b">
        <f t="shared" si="1"/>
        <v>0</v>
      </c>
      <c r="K13" s="482" t="b">
        <f t="shared" si="0"/>
        <v>0</v>
      </c>
      <c r="L13" s="482" t="str">
        <f>IF(D13="n/a","n/a",ISNUMBER(MATCH(D13,'Measure-Level Adjustments Tab'!D:D,0)))</f>
        <v>n/a</v>
      </c>
      <c r="M13" s="482" t="b">
        <f t="shared" si="2"/>
        <v>0</v>
      </c>
      <c r="N13" s="482" t="b">
        <f t="shared" si="3"/>
        <v>0</v>
      </c>
      <c r="O13" s="482" t="s">
        <v>764</v>
      </c>
      <c r="P13" s="482"/>
      <c r="Q13" s="482"/>
      <c r="R13" s="482" t="str">
        <f t="shared" si="4"/>
        <v/>
      </c>
    </row>
    <row r="14" spans="1:18" hidden="1">
      <c r="B14" s="480" t="s">
        <v>882</v>
      </c>
      <c r="C14" s="480" t="s">
        <v>1090</v>
      </c>
      <c r="D14" s="481" t="s">
        <v>884</v>
      </c>
      <c r="E14" s="480" t="s">
        <v>883</v>
      </c>
      <c r="F14" s="480" t="s">
        <v>1091</v>
      </c>
      <c r="G14" s="480" t="s">
        <v>907</v>
      </c>
      <c r="H14" s="480" t="s">
        <v>1092</v>
      </c>
      <c r="I14" s="480" t="s">
        <v>1093</v>
      </c>
      <c r="J14" s="482" t="b">
        <f t="shared" si="1"/>
        <v>1</v>
      </c>
      <c r="K14" s="482" t="b">
        <f t="shared" si="0"/>
        <v>1</v>
      </c>
      <c r="L14" s="482" t="b">
        <f>IF(D14="n/a","n/a",ISNUMBER(MATCH(D14,'Measure-Level Adjustments Tab'!D:D,0)))</f>
        <v>0</v>
      </c>
      <c r="M14" s="482" t="b">
        <f t="shared" si="2"/>
        <v>0</v>
      </c>
      <c r="N14" s="482" t="b">
        <f t="shared" si="3"/>
        <v>0</v>
      </c>
      <c r="O14" s="482" t="s">
        <v>764</v>
      </c>
      <c r="P14" s="482"/>
      <c r="Q14" s="482"/>
      <c r="R14" s="482" t="str">
        <f t="shared" si="4"/>
        <v/>
      </c>
    </row>
    <row r="15" spans="1:18" hidden="1">
      <c r="B15" s="480" t="s">
        <v>882</v>
      </c>
      <c r="C15" s="480" t="s">
        <v>1090</v>
      </c>
      <c r="D15" s="481" t="s">
        <v>1094</v>
      </c>
      <c r="E15" s="480" t="s">
        <v>1095</v>
      </c>
      <c r="F15" s="480" t="s">
        <v>1096</v>
      </c>
      <c r="G15" s="480" t="s">
        <v>881</v>
      </c>
      <c r="H15" s="480" t="s">
        <v>962</v>
      </c>
      <c r="I15" s="480" t="s">
        <v>879</v>
      </c>
      <c r="J15" s="482" t="b">
        <f t="shared" si="1"/>
        <v>0</v>
      </c>
      <c r="K15" s="482" t="b">
        <f t="shared" si="0"/>
        <v>0</v>
      </c>
      <c r="L15" s="482" t="b">
        <f>IF(D15="n/a","n/a",ISNUMBER(MATCH(D15,'Measure-Level Adjustments Tab'!D:D,0)))</f>
        <v>0</v>
      </c>
      <c r="M15" s="482" t="b">
        <f t="shared" si="2"/>
        <v>0</v>
      </c>
      <c r="N15" s="482" t="b">
        <f t="shared" si="3"/>
        <v>0</v>
      </c>
      <c r="O15" s="482" t="s">
        <v>764</v>
      </c>
      <c r="P15" s="482"/>
      <c r="Q15" s="482"/>
      <c r="R15" s="482" t="str">
        <f t="shared" si="4"/>
        <v/>
      </c>
    </row>
    <row r="16" spans="1:18" hidden="1">
      <c r="B16" s="480" t="s">
        <v>882</v>
      </c>
      <c r="C16" s="480" t="s">
        <v>1090</v>
      </c>
      <c r="D16" s="481" t="s">
        <v>1097</v>
      </c>
      <c r="E16" s="480" t="s">
        <v>1098</v>
      </c>
      <c r="F16" s="480" t="s">
        <v>1099</v>
      </c>
      <c r="G16" s="480" t="s">
        <v>881</v>
      </c>
      <c r="H16" s="480" t="s">
        <v>962</v>
      </c>
      <c r="I16" s="480" t="s">
        <v>879</v>
      </c>
      <c r="J16" s="482" t="b">
        <f t="shared" si="1"/>
        <v>0</v>
      </c>
      <c r="K16" s="482" t="b">
        <f t="shared" si="0"/>
        <v>0</v>
      </c>
      <c r="L16" s="482" t="b">
        <f>IF(D16="n/a","n/a",ISNUMBER(MATCH(D16,'Measure-Level Adjustments Tab'!D:D,0)))</f>
        <v>0</v>
      </c>
      <c r="M16" s="482" t="b">
        <f t="shared" si="2"/>
        <v>0</v>
      </c>
      <c r="N16" s="482" t="b">
        <f t="shared" si="3"/>
        <v>0</v>
      </c>
      <c r="O16" s="482" t="s">
        <v>764</v>
      </c>
      <c r="P16" s="482"/>
      <c r="Q16" s="482"/>
      <c r="R16" s="482" t="str">
        <f t="shared" si="4"/>
        <v/>
      </c>
    </row>
    <row r="17" spans="2:18" hidden="1">
      <c r="B17" s="480" t="s">
        <v>882</v>
      </c>
      <c r="C17" s="480" t="s">
        <v>1090</v>
      </c>
      <c r="D17" s="481" t="s">
        <v>1100</v>
      </c>
      <c r="E17" s="480" t="s">
        <v>1101</v>
      </c>
      <c r="F17" s="480" t="s">
        <v>1102</v>
      </c>
      <c r="G17" s="480" t="s">
        <v>881</v>
      </c>
      <c r="H17" s="480" t="s">
        <v>962</v>
      </c>
      <c r="I17" s="480" t="s">
        <v>879</v>
      </c>
      <c r="J17" s="482" t="b">
        <f t="shared" si="1"/>
        <v>0</v>
      </c>
      <c r="K17" s="482" t="b">
        <f t="shared" si="0"/>
        <v>0</v>
      </c>
      <c r="L17" s="482" t="b">
        <f>IF(D17="n/a","n/a",ISNUMBER(MATCH(D17,'Measure-Level Adjustments Tab'!D:D,0)))</f>
        <v>0</v>
      </c>
      <c r="M17" s="482" t="b">
        <f t="shared" si="2"/>
        <v>0</v>
      </c>
      <c r="N17" s="482" t="b">
        <f t="shared" si="3"/>
        <v>0</v>
      </c>
      <c r="O17" s="482" t="s">
        <v>764</v>
      </c>
      <c r="P17" s="482"/>
      <c r="Q17" s="482"/>
      <c r="R17" s="482" t="str">
        <f t="shared" si="4"/>
        <v/>
      </c>
    </row>
    <row r="18" spans="2:18" hidden="1">
      <c r="B18" s="480" t="s">
        <v>882</v>
      </c>
      <c r="C18" s="480" t="s">
        <v>1090</v>
      </c>
      <c r="D18" s="481" t="s">
        <v>1103</v>
      </c>
      <c r="E18" s="480" t="s">
        <v>1104</v>
      </c>
      <c r="F18" s="480" t="s">
        <v>1105</v>
      </c>
      <c r="G18" s="480" t="s">
        <v>881</v>
      </c>
      <c r="H18" s="480" t="s">
        <v>962</v>
      </c>
      <c r="I18" s="480" t="s">
        <v>879</v>
      </c>
      <c r="J18" s="482" t="b">
        <f t="shared" si="1"/>
        <v>0</v>
      </c>
      <c r="K18" s="482" t="b">
        <f t="shared" si="0"/>
        <v>0</v>
      </c>
      <c r="L18" s="482" t="b">
        <f>IF(D18="n/a","n/a",ISNUMBER(MATCH(D18,'Measure-Level Adjustments Tab'!D:D,0)))</f>
        <v>0</v>
      </c>
      <c r="M18" s="482" t="b">
        <f t="shared" si="2"/>
        <v>0</v>
      </c>
      <c r="N18" s="482" t="b">
        <f t="shared" si="3"/>
        <v>0</v>
      </c>
      <c r="O18" s="482" t="s">
        <v>764</v>
      </c>
      <c r="P18" s="482"/>
      <c r="Q18" s="482"/>
      <c r="R18" s="482" t="str">
        <f t="shared" si="4"/>
        <v/>
      </c>
    </row>
    <row r="19" spans="2:18" hidden="1">
      <c r="B19" s="480" t="s">
        <v>882</v>
      </c>
      <c r="C19" s="480" t="s">
        <v>1090</v>
      </c>
      <c r="D19" s="481" t="s">
        <v>1106</v>
      </c>
      <c r="E19" s="480" t="s">
        <v>1107</v>
      </c>
      <c r="F19" s="480" t="s">
        <v>1108</v>
      </c>
      <c r="G19" s="480" t="s">
        <v>881</v>
      </c>
      <c r="H19" s="480" t="s">
        <v>962</v>
      </c>
      <c r="I19" s="480" t="s">
        <v>879</v>
      </c>
      <c r="J19" s="482" t="b">
        <f t="shared" si="1"/>
        <v>0</v>
      </c>
      <c r="K19" s="482" t="b">
        <f t="shared" si="0"/>
        <v>0</v>
      </c>
      <c r="L19" s="482" t="b">
        <f>IF(D19="n/a","n/a",ISNUMBER(MATCH(D19,'Measure-Level Adjustments Tab'!D:D,0)))</f>
        <v>0</v>
      </c>
      <c r="M19" s="482" t="b">
        <f t="shared" si="2"/>
        <v>0</v>
      </c>
      <c r="N19" s="482" t="b">
        <f t="shared" si="3"/>
        <v>0</v>
      </c>
      <c r="O19" s="482" t="s">
        <v>764</v>
      </c>
      <c r="P19" s="482"/>
      <c r="Q19" s="482"/>
      <c r="R19" s="482" t="str">
        <f t="shared" si="4"/>
        <v/>
      </c>
    </row>
    <row r="20" spans="2:18" hidden="1">
      <c r="B20" s="480" t="s">
        <v>882</v>
      </c>
      <c r="C20" s="480" t="s">
        <v>1090</v>
      </c>
      <c r="D20" s="481" t="s">
        <v>1109</v>
      </c>
      <c r="E20" s="480" t="s">
        <v>1110</v>
      </c>
      <c r="F20" s="480" t="s">
        <v>1111</v>
      </c>
      <c r="G20" s="480" t="s">
        <v>881</v>
      </c>
      <c r="H20" s="480" t="s">
        <v>962</v>
      </c>
      <c r="I20" s="480" t="s">
        <v>879</v>
      </c>
      <c r="J20" s="482" t="b">
        <f t="shared" si="1"/>
        <v>0</v>
      </c>
      <c r="K20" s="482" t="b">
        <f t="shared" si="0"/>
        <v>0</v>
      </c>
      <c r="L20" s="482" t="b">
        <f>IF(D20="n/a","n/a",ISNUMBER(MATCH(D20,'Measure-Level Adjustments Tab'!D:D,0)))</f>
        <v>0</v>
      </c>
      <c r="M20" s="482" t="b">
        <f t="shared" si="2"/>
        <v>0</v>
      </c>
      <c r="N20" s="482" t="b">
        <f t="shared" si="3"/>
        <v>0</v>
      </c>
      <c r="O20" s="482" t="s">
        <v>764</v>
      </c>
      <c r="P20" s="482"/>
      <c r="Q20" s="482"/>
      <c r="R20" s="482" t="str">
        <f t="shared" si="4"/>
        <v/>
      </c>
    </row>
    <row r="21" spans="2:18" hidden="1">
      <c r="B21" s="480" t="s">
        <v>882</v>
      </c>
      <c r="C21" s="480" t="s">
        <v>1090</v>
      </c>
      <c r="D21" s="481" t="s">
        <v>1112</v>
      </c>
      <c r="E21" s="480" t="s">
        <v>1113</v>
      </c>
      <c r="F21" s="480" t="s">
        <v>1114</v>
      </c>
      <c r="G21" s="480" t="s">
        <v>881</v>
      </c>
      <c r="H21" s="480" t="s">
        <v>962</v>
      </c>
      <c r="I21" s="480" t="s">
        <v>879</v>
      </c>
      <c r="J21" s="482" t="b">
        <f t="shared" si="1"/>
        <v>0</v>
      </c>
      <c r="K21" s="482" t="b">
        <f t="shared" si="0"/>
        <v>0</v>
      </c>
      <c r="L21" s="482" t="b">
        <f>IF(D21="n/a","n/a",ISNUMBER(MATCH(D21,'Measure-Level Adjustments Tab'!D:D,0)))</f>
        <v>0</v>
      </c>
      <c r="M21" s="482" t="b">
        <f t="shared" si="2"/>
        <v>0</v>
      </c>
      <c r="N21" s="482" t="b">
        <f t="shared" si="3"/>
        <v>0</v>
      </c>
      <c r="O21" s="482" t="s">
        <v>764</v>
      </c>
      <c r="P21" s="482"/>
      <c r="Q21" s="482"/>
      <c r="R21" s="482" t="str">
        <f t="shared" si="4"/>
        <v/>
      </c>
    </row>
    <row r="22" spans="2:18" hidden="1">
      <c r="B22" s="480" t="s">
        <v>882</v>
      </c>
      <c r="C22" s="480" t="s">
        <v>885</v>
      </c>
      <c r="D22" s="481" t="s">
        <v>889</v>
      </c>
      <c r="E22" s="480" t="s">
        <v>888</v>
      </c>
      <c r="F22" s="480" t="s">
        <v>1115</v>
      </c>
      <c r="G22" s="480" t="s">
        <v>907</v>
      </c>
      <c r="H22" s="480" t="s">
        <v>1116</v>
      </c>
      <c r="I22" s="480" t="s">
        <v>1117</v>
      </c>
      <c r="J22" s="482" t="b">
        <f t="shared" si="1"/>
        <v>1</v>
      </c>
      <c r="K22" s="482" t="b">
        <f t="shared" si="0"/>
        <v>1</v>
      </c>
      <c r="L22" s="482" t="b">
        <f>IF(D22="n/a","n/a",ISNUMBER(MATCH(D22,'Measure-Level Adjustments Tab'!D:D,0)))</f>
        <v>0</v>
      </c>
      <c r="M22" s="482" t="b">
        <f t="shared" si="2"/>
        <v>0</v>
      </c>
      <c r="N22" s="482" t="b">
        <f t="shared" si="3"/>
        <v>0</v>
      </c>
      <c r="O22" s="482" t="s">
        <v>764</v>
      </c>
      <c r="P22" s="482"/>
      <c r="Q22" s="482"/>
      <c r="R22" s="482" t="str">
        <f t="shared" si="4"/>
        <v/>
      </c>
    </row>
    <row r="23" spans="2:18" hidden="1">
      <c r="B23" s="480" t="s">
        <v>882</v>
      </c>
      <c r="C23" s="480" t="s">
        <v>885</v>
      </c>
      <c r="D23" s="481" t="s">
        <v>891</v>
      </c>
      <c r="E23" s="480" t="s">
        <v>890</v>
      </c>
      <c r="F23" s="480" t="s">
        <v>1118</v>
      </c>
      <c r="G23" s="480" t="s">
        <v>880</v>
      </c>
      <c r="H23" s="480" t="s">
        <v>1119</v>
      </c>
      <c r="I23" s="480" t="s">
        <v>879</v>
      </c>
      <c r="J23" s="482" t="b">
        <f t="shared" si="1"/>
        <v>0</v>
      </c>
      <c r="K23" s="482" t="b">
        <f t="shared" si="0"/>
        <v>0</v>
      </c>
      <c r="L23" s="482" t="b">
        <f>IF(D23="n/a","n/a",ISNUMBER(MATCH(D23,'Measure-Level Adjustments Tab'!D:D,0)))</f>
        <v>0</v>
      </c>
      <c r="M23" s="482" t="b">
        <f t="shared" si="2"/>
        <v>0</v>
      </c>
      <c r="N23" s="482" t="b">
        <f t="shared" si="3"/>
        <v>0</v>
      </c>
      <c r="O23" s="482" t="s">
        <v>764</v>
      </c>
      <c r="P23" s="482"/>
      <c r="Q23" s="482"/>
      <c r="R23" s="482" t="str">
        <f t="shared" si="4"/>
        <v/>
      </c>
    </row>
    <row r="24" spans="2:18" hidden="1">
      <c r="B24" s="480" t="s">
        <v>882</v>
      </c>
      <c r="C24" s="480" t="s">
        <v>885</v>
      </c>
      <c r="D24" s="481" t="s">
        <v>892</v>
      </c>
      <c r="E24" s="480" t="s">
        <v>1120</v>
      </c>
      <c r="F24" s="480" t="s">
        <v>1121</v>
      </c>
      <c r="G24" s="480" t="s">
        <v>880</v>
      </c>
      <c r="H24" s="480" t="s">
        <v>1122</v>
      </c>
      <c r="I24" s="480" t="s">
        <v>879</v>
      </c>
      <c r="J24" s="482" t="b">
        <f t="shared" si="1"/>
        <v>0</v>
      </c>
      <c r="K24" s="482" t="b">
        <f t="shared" si="0"/>
        <v>0</v>
      </c>
      <c r="L24" s="482" t="b">
        <f>IF(D24="n/a","n/a",ISNUMBER(MATCH(D24,'Measure-Level Adjustments Tab'!D:D,0)))</f>
        <v>0</v>
      </c>
      <c r="M24" s="482" t="b">
        <f t="shared" si="2"/>
        <v>0</v>
      </c>
      <c r="N24" s="482" t="b">
        <f t="shared" si="3"/>
        <v>0</v>
      </c>
      <c r="O24" s="482" t="s">
        <v>764</v>
      </c>
      <c r="P24" s="482"/>
      <c r="Q24" s="482"/>
      <c r="R24" s="482" t="str">
        <f t="shared" si="4"/>
        <v/>
      </c>
    </row>
    <row r="25" spans="2:18" hidden="1">
      <c r="B25" s="480" t="s">
        <v>882</v>
      </c>
      <c r="C25" s="480" t="s">
        <v>885</v>
      </c>
      <c r="D25" s="481" t="s">
        <v>351</v>
      </c>
      <c r="E25" s="480" t="s">
        <v>893</v>
      </c>
      <c r="F25" s="480" t="s">
        <v>1123</v>
      </c>
      <c r="G25" s="480" t="s">
        <v>907</v>
      </c>
      <c r="H25" s="480" t="s">
        <v>1116</v>
      </c>
      <c r="I25" s="480" t="s">
        <v>1117</v>
      </c>
      <c r="J25" s="482" t="b">
        <f t="shared" si="1"/>
        <v>1</v>
      </c>
      <c r="K25" s="482" t="b">
        <f t="shared" si="0"/>
        <v>1</v>
      </c>
      <c r="L25" s="482" t="b">
        <f>IF(D25="n/a","n/a",ISNUMBER(MATCH(D25,'Measure-Level Adjustments Tab'!D:D,0)))</f>
        <v>1</v>
      </c>
      <c r="M25" s="482" t="b">
        <f t="shared" si="2"/>
        <v>1</v>
      </c>
      <c r="N25" s="482" t="b">
        <f t="shared" si="3"/>
        <v>0</v>
      </c>
      <c r="O25" s="482" t="s">
        <v>764</v>
      </c>
      <c r="P25" s="482" t="s">
        <v>1419</v>
      </c>
      <c r="Q25" s="482"/>
      <c r="R25" s="482" t="str">
        <f t="shared" si="4"/>
        <v/>
      </c>
    </row>
    <row r="26" spans="2:18">
      <c r="B26" s="480" t="s">
        <v>882</v>
      </c>
      <c r="C26" s="480" t="s">
        <v>885</v>
      </c>
      <c r="D26" s="481" t="s">
        <v>351</v>
      </c>
      <c r="E26" s="480" t="s">
        <v>893</v>
      </c>
      <c r="F26" s="480" t="s">
        <v>1124</v>
      </c>
      <c r="G26" s="480" t="s">
        <v>880</v>
      </c>
      <c r="H26" s="483" t="s">
        <v>1125</v>
      </c>
      <c r="I26" s="480" t="s">
        <v>908</v>
      </c>
      <c r="J26" s="482" t="b">
        <f t="shared" si="1"/>
        <v>1</v>
      </c>
      <c r="K26" s="482" t="b">
        <f t="shared" si="0"/>
        <v>1</v>
      </c>
      <c r="L26" s="482" t="b">
        <f>IF(D26="n/a","n/a",ISNUMBER(MATCH(D26,'Measure-Level Adjustments Tab'!D:D,0)))</f>
        <v>1</v>
      </c>
      <c r="M26" s="482" t="b">
        <f t="shared" si="2"/>
        <v>0</v>
      </c>
      <c r="N26" s="482" t="b">
        <f t="shared" si="3"/>
        <v>1</v>
      </c>
      <c r="O26" s="482" t="b">
        <v>1</v>
      </c>
      <c r="P26" s="482" t="s">
        <v>1429</v>
      </c>
      <c r="Q26" s="488" t="s">
        <v>1430</v>
      </c>
      <c r="R26" s="482" t="str">
        <f t="shared" si="4"/>
        <v>Go To Update</v>
      </c>
    </row>
    <row r="27" spans="2:18" hidden="1">
      <c r="B27" s="480" t="s">
        <v>882</v>
      </c>
      <c r="C27" s="480" t="s">
        <v>885</v>
      </c>
      <c r="D27" s="481" t="s">
        <v>1126</v>
      </c>
      <c r="E27" s="483" t="s">
        <v>1127</v>
      </c>
      <c r="F27" s="480" t="s">
        <v>1128</v>
      </c>
      <c r="G27" s="480" t="s">
        <v>881</v>
      </c>
      <c r="H27" s="480" t="s">
        <v>962</v>
      </c>
      <c r="I27" s="480" t="s">
        <v>879</v>
      </c>
      <c r="J27" s="482" t="b">
        <f t="shared" si="1"/>
        <v>0</v>
      </c>
      <c r="K27" s="482" t="b">
        <f t="shared" si="0"/>
        <v>0</v>
      </c>
      <c r="L27" s="482" t="b">
        <f>IF(D27="n/a","n/a",ISNUMBER(MATCH(D27,'Measure-Level Adjustments Tab'!D:D,0)))</f>
        <v>0</v>
      </c>
      <c r="M27" s="482" t="b">
        <f t="shared" si="2"/>
        <v>0</v>
      </c>
      <c r="N27" s="482" t="b">
        <f t="shared" si="3"/>
        <v>0</v>
      </c>
      <c r="O27" s="482" t="s">
        <v>764</v>
      </c>
      <c r="P27" s="482"/>
      <c r="Q27" s="482"/>
      <c r="R27" s="482" t="str">
        <f t="shared" si="4"/>
        <v/>
      </c>
    </row>
    <row r="28" spans="2:18" hidden="1">
      <c r="B28" s="480" t="s">
        <v>882</v>
      </c>
      <c r="C28" s="480" t="s">
        <v>894</v>
      </c>
      <c r="D28" s="481" t="s">
        <v>253</v>
      </c>
      <c r="E28" s="480" t="s">
        <v>1129</v>
      </c>
      <c r="F28" s="480" t="s">
        <v>1130</v>
      </c>
      <c r="G28" s="480" t="s">
        <v>907</v>
      </c>
      <c r="H28" s="480" t="s">
        <v>1116</v>
      </c>
      <c r="I28" s="480" t="s">
        <v>1117</v>
      </c>
      <c r="J28" s="482" t="b">
        <f t="shared" si="1"/>
        <v>1</v>
      </c>
      <c r="K28" s="482" t="b">
        <f t="shared" si="0"/>
        <v>1</v>
      </c>
      <c r="L28" s="482" t="b">
        <f>IF(D28="n/a","n/a",ISNUMBER(MATCH(D28,'Measure-Level Adjustments Tab'!D:D,0)))</f>
        <v>1</v>
      </c>
      <c r="M28" s="482" t="b">
        <f t="shared" si="2"/>
        <v>1</v>
      </c>
      <c r="N28" s="482" t="b">
        <f t="shared" si="3"/>
        <v>0</v>
      </c>
      <c r="O28" s="482" t="s">
        <v>764</v>
      </c>
      <c r="P28" s="482" t="s">
        <v>1419</v>
      </c>
      <c r="Q28" s="482"/>
      <c r="R28" s="482" t="str">
        <f t="shared" si="4"/>
        <v/>
      </c>
    </row>
    <row r="29" spans="2:18" hidden="1">
      <c r="B29" s="480" t="s">
        <v>882</v>
      </c>
      <c r="C29" s="480" t="s">
        <v>894</v>
      </c>
      <c r="D29" s="481" t="s">
        <v>253</v>
      </c>
      <c r="E29" s="480" t="s">
        <v>1129</v>
      </c>
      <c r="F29" s="480" t="s">
        <v>1131</v>
      </c>
      <c r="G29" s="480" t="s">
        <v>880</v>
      </c>
      <c r="H29" s="480" t="s">
        <v>1132</v>
      </c>
      <c r="I29" s="480" t="s">
        <v>879</v>
      </c>
      <c r="J29" s="482" t="b">
        <f t="shared" si="1"/>
        <v>0</v>
      </c>
      <c r="K29" s="482" t="b">
        <f t="shared" si="0"/>
        <v>1</v>
      </c>
      <c r="L29" s="482" t="b">
        <f>IF(D29="n/a","n/a",ISNUMBER(MATCH(D29,'Measure-Level Adjustments Tab'!D:D,0)))</f>
        <v>1</v>
      </c>
      <c r="M29" s="482" t="b">
        <f t="shared" si="2"/>
        <v>0</v>
      </c>
      <c r="N29" s="482" t="b">
        <f t="shared" si="3"/>
        <v>0</v>
      </c>
      <c r="O29" s="482" t="s">
        <v>764</v>
      </c>
      <c r="P29" s="482"/>
      <c r="Q29" s="482"/>
      <c r="R29" s="482" t="str">
        <f t="shared" si="4"/>
        <v/>
      </c>
    </row>
    <row r="30" spans="2:18" hidden="1">
      <c r="B30" s="480" t="s">
        <v>882</v>
      </c>
      <c r="C30" s="480" t="s">
        <v>894</v>
      </c>
      <c r="D30" s="481" t="s">
        <v>367</v>
      </c>
      <c r="E30" s="480" t="s">
        <v>896</v>
      </c>
      <c r="F30" s="480" t="s">
        <v>1133</v>
      </c>
      <c r="G30" s="480" t="s">
        <v>907</v>
      </c>
      <c r="H30" s="480" t="s">
        <v>1116</v>
      </c>
      <c r="I30" s="480" t="s">
        <v>1117</v>
      </c>
      <c r="J30" s="482" t="b">
        <f t="shared" si="1"/>
        <v>1</v>
      </c>
      <c r="K30" s="482" t="b">
        <f t="shared" si="0"/>
        <v>1</v>
      </c>
      <c r="L30" s="482" t="b">
        <f>IF(D30="n/a","n/a",ISNUMBER(MATCH(D30,'Measure-Level Adjustments Tab'!D:D,0)))</f>
        <v>1</v>
      </c>
      <c r="M30" s="482" t="b">
        <f t="shared" si="2"/>
        <v>1</v>
      </c>
      <c r="N30" s="482" t="b">
        <f t="shared" si="3"/>
        <v>0</v>
      </c>
      <c r="O30" s="482" t="s">
        <v>764</v>
      </c>
      <c r="P30" s="482" t="s">
        <v>1419</v>
      </c>
      <c r="Q30" s="482"/>
      <c r="R30" s="482" t="str">
        <f t="shared" si="4"/>
        <v/>
      </c>
    </row>
    <row r="31" spans="2:18" hidden="1">
      <c r="B31" s="480" t="s">
        <v>882</v>
      </c>
      <c r="C31" s="480" t="s">
        <v>894</v>
      </c>
      <c r="D31" s="481" t="s">
        <v>367</v>
      </c>
      <c r="E31" s="480" t="s">
        <v>896</v>
      </c>
      <c r="F31" s="480" t="s">
        <v>1133</v>
      </c>
      <c r="G31" s="480" t="s">
        <v>907</v>
      </c>
      <c r="H31" s="480" t="s">
        <v>1134</v>
      </c>
      <c r="I31" s="480" t="s">
        <v>1117</v>
      </c>
      <c r="J31" s="482" t="b">
        <f t="shared" si="1"/>
        <v>1</v>
      </c>
      <c r="K31" s="482" t="b">
        <f t="shared" si="0"/>
        <v>1</v>
      </c>
      <c r="L31" s="482" t="b">
        <f>IF(D31="n/a","n/a",ISNUMBER(MATCH(D31,'Measure-Level Adjustments Tab'!D:D,0)))</f>
        <v>1</v>
      </c>
      <c r="M31" s="482" t="b">
        <f t="shared" si="2"/>
        <v>1</v>
      </c>
      <c r="N31" s="482" t="b">
        <f t="shared" si="3"/>
        <v>0</v>
      </c>
      <c r="O31" s="482" t="s">
        <v>764</v>
      </c>
      <c r="P31" s="482" t="s">
        <v>1420</v>
      </c>
      <c r="Q31" s="482"/>
      <c r="R31" s="482" t="str">
        <f t="shared" si="4"/>
        <v/>
      </c>
    </row>
    <row r="32" spans="2:18" hidden="1">
      <c r="B32" s="480" t="s">
        <v>882</v>
      </c>
      <c r="C32" s="480" t="s">
        <v>894</v>
      </c>
      <c r="D32" s="481" t="s">
        <v>361</v>
      </c>
      <c r="E32" s="480" t="s">
        <v>897</v>
      </c>
      <c r="F32" s="480" t="s">
        <v>1135</v>
      </c>
      <c r="G32" s="480" t="s">
        <v>907</v>
      </c>
      <c r="H32" s="480" t="s">
        <v>1116</v>
      </c>
      <c r="I32" s="480" t="s">
        <v>1117</v>
      </c>
      <c r="J32" s="482" t="b">
        <f t="shared" si="1"/>
        <v>1</v>
      </c>
      <c r="K32" s="482" t="b">
        <f t="shared" si="0"/>
        <v>1</v>
      </c>
      <c r="L32" s="482" t="b">
        <f>IF(D32="n/a","n/a",ISNUMBER(MATCH(D32,'Measure-Level Adjustments Tab'!D:D,0)))</f>
        <v>1</v>
      </c>
      <c r="M32" s="482" t="b">
        <f t="shared" si="2"/>
        <v>1</v>
      </c>
      <c r="N32" s="482" t="b">
        <f t="shared" si="3"/>
        <v>0</v>
      </c>
      <c r="O32" s="482" t="s">
        <v>764</v>
      </c>
      <c r="P32" s="482" t="s">
        <v>1419</v>
      </c>
      <c r="Q32" s="482"/>
      <c r="R32" s="482" t="str">
        <f t="shared" si="4"/>
        <v/>
      </c>
    </row>
    <row r="33" spans="2:18">
      <c r="B33" s="480" t="s">
        <v>882</v>
      </c>
      <c r="C33" s="480" t="s">
        <v>894</v>
      </c>
      <c r="D33" s="481" t="s">
        <v>361</v>
      </c>
      <c r="E33" s="480" t="s">
        <v>897</v>
      </c>
      <c r="F33" s="480" t="s">
        <v>1136</v>
      </c>
      <c r="G33" s="480" t="s">
        <v>880</v>
      </c>
      <c r="H33" s="480" t="s">
        <v>1137</v>
      </c>
      <c r="I33" s="480" t="s">
        <v>1138</v>
      </c>
      <c r="J33" s="482" t="b">
        <f t="shared" si="1"/>
        <v>1</v>
      </c>
      <c r="K33" s="482" t="b">
        <f t="shared" si="0"/>
        <v>1</v>
      </c>
      <c r="L33" s="482" t="b">
        <f>IF(D33="n/a","n/a",ISNUMBER(MATCH(D33,'Measure-Level Adjustments Tab'!D:D,0)))</f>
        <v>1</v>
      </c>
      <c r="M33" s="482" t="b">
        <f t="shared" si="2"/>
        <v>0</v>
      </c>
      <c r="N33" s="482" t="b">
        <f t="shared" si="3"/>
        <v>1</v>
      </c>
      <c r="O33" s="482" t="b">
        <v>1</v>
      </c>
      <c r="P33" s="482" t="s">
        <v>1431</v>
      </c>
      <c r="Q33" s="488" t="s">
        <v>1432</v>
      </c>
      <c r="R33" s="482" t="str">
        <f t="shared" si="4"/>
        <v>Go To Update</v>
      </c>
    </row>
    <row r="34" spans="2:18" hidden="1">
      <c r="B34" s="480" t="s">
        <v>882</v>
      </c>
      <c r="C34" s="480" t="s">
        <v>894</v>
      </c>
      <c r="D34" s="481" t="s">
        <v>899</v>
      </c>
      <c r="E34" s="480" t="s">
        <v>898</v>
      </c>
      <c r="F34" s="480" t="s">
        <v>1139</v>
      </c>
      <c r="G34" s="480" t="s">
        <v>880</v>
      </c>
      <c r="H34" s="480" t="s">
        <v>1140</v>
      </c>
      <c r="I34" s="480" t="s">
        <v>879</v>
      </c>
      <c r="J34" s="482" t="b">
        <f t="shared" si="1"/>
        <v>0</v>
      </c>
      <c r="K34" s="482" t="b">
        <f t="shared" si="0"/>
        <v>0</v>
      </c>
      <c r="L34" s="482" t="b">
        <f>IF(D34="n/a","n/a",ISNUMBER(MATCH(D34,'Measure-Level Adjustments Tab'!D:D,0)))</f>
        <v>0</v>
      </c>
      <c r="M34" s="482" t="b">
        <f t="shared" si="2"/>
        <v>0</v>
      </c>
      <c r="N34" s="482" t="b">
        <f t="shared" si="3"/>
        <v>0</v>
      </c>
      <c r="O34" s="482" t="s">
        <v>764</v>
      </c>
      <c r="P34" s="482"/>
      <c r="Q34" s="482"/>
      <c r="R34" s="482" t="str">
        <f t="shared" si="4"/>
        <v/>
      </c>
    </row>
    <row r="35" spans="2:18" hidden="1">
      <c r="B35" s="480" t="s">
        <v>882</v>
      </c>
      <c r="C35" s="480" t="s">
        <v>894</v>
      </c>
      <c r="D35" s="481" t="s">
        <v>901</v>
      </c>
      <c r="E35" s="483" t="s">
        <v>900</v>
      </c>
      <c r="F35" s="480" t="s">
        <v>879</v>
      </c>
      <c r="G35" s="480" t="s">
        <v>1141</v>
      </c>
      <c r="H35" s="483" t="s">
        <v>1142</v>
      </c>
      <c r="I35" s="480" t="s">
        <v>879</v>
      </c>
      <c r="J35" s="482" t="b">
        <f t="shared" si="1"/>
        <v>0</v>
      </c>
      <c r="K35" s="482" t="b">
        <f t="shared" si="0"/>
        <v>0</v>
      </c>
      <c r="L35" s="482" t="b">
        <f>IF(D35="n/a","n/a",ISNUMBER(MATCH(D35,'Measure-Level Adjustments Tab'!D:D,0)))</f>
        <v>0</v>
      </c>
      <c r="M35" s="482" t="b">
        <f t="shared" si="2"/>
        <v>0</v>
      </c>
      <c r="N35" s="482" t="b">
        <f t="shared" si="3"/>
        <v>0</v>
      </c>
      <c r="O35" s="482" t="s">
        <v>764</v>
      </c>
      <c r="P35" s="482"/>
      <c r="Q35" s="482"/>
      <c r="R35" s="482" t="str">
        <f t="shared" si="4"/>
        <v/>
      </c>
    </row>
    <row r="36" spans="2:18" hidden="1">
      <c r="B36" s="480" t="s">
        <v>882</v>
      </c>
      <c r="C36" s="480" t="s">
        <v>894</v>
      </c>
      <c r="D36" s="481" t="s">
        <v>286</v>
      </c>
      <c r="E36" s="483" t="s">
        <v>902</v>
      </c>
      <c r="F36" s="480" t="s">
        <v>1143</v>
      </c>
      <c r="G36" s="480" t="s">
        <v>907</v>
      </c>
      <c r="H36" s="480" t="s">
        <v>1116</v>
      </c>
      <c r="I36" s="480" t="s">
        <v>1117</v>
      </c>
      <c r="J36" s="482" t="b">
        <f t="shared" si="1"/>
        <v>1</v>
      </c>
      <c r="K36" s="482" t="b">
        <f t="shared" si="0"/>
        <v>1</v>
      </c>
      <c r="L36" s="482" t="b">
        <f>IF(D36="n/a","n/a",ISNUMBER(MATCH(D36,'Measure-Level Adjustments Tab'!D:D,0)))</f>
        <v>1</v>
      </c>
      <c r="M36" s="482" t="b">
        <f t="shared" si="2"/>
        <v>1</v>
      </c>
      <c r="N36" s="482" t="b">
        <f t="shared" si="3"/>
        <v>0</v>
      </c>
      <c r="O36" s="482" t="s">
        <v>764</v>
      </c>
      <c r="P36" s="482" t="s">
        <v>1419</v>
      </c>
      <c r="Q36" s="482"/>
      <c r="R36" s="482" t="str">
        <f t="shared" si="4"/>
        <v/>
      </c>
    </row>
    <row r="37" spans="2:18" hidden="1">
      <c r="B37" s="480" t="s">
        <v>882</v>
      </c>
      <c r="C37" s="480" t="s">
        <v>894</v>
      </c>
      <c r="D37" s="481" t="s">
        <v>286</v>
      </c>
      <c r="E37" s="483" t="s">
        <v>902</v>
      </c>
      <c r="F37" s="480" t="s">
        <v>1144</v>
      </c>
      <c r="G37" s="480" t="s">
        <v>880</v>
      </c>
      <c r="H37" s="483" t="s">
        <v>1145</v>
      </c>
      <c r="I37" s="480" t="s">
        <v>879</v>
      </c>
      <c r="J37" s="482" t="b">
        <f t="shared" si="1"/>
        <v>0</v>
      </c>
      <c r="K37" s="482" t="b">
        <f t="shared" si="0"/>
        <v>1</v>
      </c>
      <c r="L37" s="482" t="b">
        <f>IF(D37="n/a","n/a",ISNUMBER(MATCH(D37,'Measure-Level Adjustments Tab'!D:D,0)))</f>
        <v>1</v>
      </c>
      <c r="M37" s="482" t="b">
        <f t="shared" si="2"/>
        <v>0</v>
      </c>
      <c r="N37" s="482" t="b">
        <f t="shared" si="3"/>
        <v>0</v>
      </c>
      <c r="O37" s="482" t="s">
        <v>764</v>
      </c>
      <c r="P37" s="482"/>
      <c r="Q37" s="482"/>
      <c r="R37" s="482" t="str">
        <f t="shared" si="4"/>
        <v/>
      </c>
    </row>
    <row r="38" spans="2:18" hidden="1">
      <c r="B38" s="480" t="s">
        <v>882</v>
      </c>
      <c r="C38" s="480" t="s">
        <v>894</v>
      </c>
      <c r="D38" s="481" t="s">
        <v>903</v>
      </c>
      <c r="E38" s="483" t="s">
        <v>1146</v>
      </c>
      <c r="F38" s="480" t="s">
        <v>1147</v>
      </c>
      <c r="G38" s="480" t="s">
        <v>880</v>
      </c>
      <c r="H38" s="483" t="s">
        <v>1148</v>
      </c>
      <c r="I38" s="480" t="s">
        <v>879</v>
      </c>
      <c r="J38" s="482" t="b">
        <f t="shared" si="1"/>
        <v>0</v>
      </c>
      <c r="K38" s="482" t="b">
        <f t="shared" si="0"/>
        <v>0</v>
      </c>
      <c r="L38" s="482" t="b">
        <f>IF(D38="n/a","n/a",ISNUMBER(MATCH(D38,'Measure-Level Adjustments Tab'!D:D,0)))</f>
        <v>0</v>
      </c>
      <c r="M38" s="482" t="b">
        <f t="shared" si="2"/>
        <v>0</v>
      </c>
      <c r="N38" s="482" t="b">
        <f t="shared" si="3"/>
        <v>0</v>
      </c>
      <c r="O38" s="482" t="s">
        <v>764</v>
      </c>
      <c r="P38" s="482"/>
      <c r="Q38" s="482"/>
      <c r="R38" s="482" t="str">
        <f t="shared" si="4"/>
        <v/>
      </c>
    </row>
    <row r="39" spans="2:18" hidden="1">
      <c r="B39" s="480" t="s">
        <v>882</v>
      </c>
      <c r="C39" s="480" t="s">
        <v>894</v>
      </c>
      <c r="D39" s="481" t="s">
        <v>149</v>
      </c>
      <c r="E39" s="483" t="s">
        <v>1149</v>
      </c>
      <c r="F39" s="480" t="s">
        <v>1150</v>
      </c>
      <c r="G39" s="480" t="s">
        <v>880</v>
      </c>
      <c r="H39" s="483" t="s">
        <v>1151</v>
      </c>
      <c r="I39" s="480" t="s">
        <v>879</v>
      </c>
      <c r="J39" s="482" t="b">
        <f t="shared" si="1"/>
        <v>0</v>
      </c>
      <c r="K39" s="482" t="b">
        <f t="shared" ref="K39:K70" si="9">COUNTIFS(D:D,D39,J:J,TRUE)&gt;0</f>
        <v>0</v>
      </c>
      <c r="L39" s="482" t="b">
        <f>IF(D39="n/a","n/a",ISNUMBER(MATCH(D39,'Measure-Level Adjustments Tab'!D:D,0)))</f>
        <v>1</v>
      </c>
      <c r="M39" s="482" t="b">
        <f t="shared" si="2"/>
        <v>0</v>
      </c>
      <c r="N39" s="482" t="b">
        <f t="shared" si="3"/>
        <v>0</v>
      </c>
      <c r="O39" s="482" t="s">
        <v>764</v>
      </c>
      <c r="P39" s="482"/>
      <c r="Q39" s="482"/>
      <c r="R39" s="482" t="str">
        <f t="shared" si="4"/>
        <v/>
      </c>
    </row>
    <row r="40" spans="2:18" hidden="1">
      <c r="B40" s="480" t="s">
        <v>882</v>
      </c>
      <c r="C40" s="480" t="s">
        <v>894</v>
      </c>
      <c r="D40" s="481" t="s">
        <v>1152</v>
      </c>
      <c r="E40" s="483" t="s">
        <v>1153</v>
      </c>
      <c r="F40" s="480" t="s">
        <v>1154</v>
      </c>
      <c r="G40" s="480" t="s">
        <v>1155</v>
      </c>
      <c r="H40" s="480" t="s">
        <v>962</v>
      </c>
      <c r="I40" s="480" t="s">
        <v>879</v>
      </c>
      <c r="J40" s="482" t="b">
        <f t="shared" si="1"/>
        <v>0</v>
      </c>
      <c r="K40" s="482" t="b">
        <f t="shared" si="9"/>
        <v>0</v>
      </c>
      <c r="L40" s="482" t="b">
        <f>IF(D40="n/a","n/a",ISNUMBER(MATCH(D40,'Measure-Level Adjustments Tab'!D:D,0)))</f>
        <v>0</v>
      </c>
      <c r="M40" s="482" t="b">
        <f t="shared" si="2"/>
        <v>0</v>
      </c>
      <c r="N40" s="482" t="b">
        <f t="shared" si="3"/>
        <v>0</v>
      </c>
      <c r="O40" s="482" t="s">
        <v>764</v>
      </c>
      <c r="P40" s="482"/>
      <c r="Q40" s="482"/>
      <c r="R40" s="482" t="str">
        <f t="shared" si="4"/>
        <v/>
      </c>
    </row>
    <row r="41" spans="2:18">
      <c r="B41" s="480" t="s">
        <v>882</v>
      </c>
      <c r="C41" s="480" t="s">
        <v>904</v>
      </c>
      <c r="D41" s="481">
        <v>4.4000000000000004</v>
      </c>
      <c r="E41" s="483" t="s">
        <v>905</v>
      </c>
      <c r="F41" s="480" t="s">
        <v>879</v>
      </c>
      <c r="G41" s="480" t="s">
        <v>880</v>
      </c>
      <c r="H41" s="483" t="s">
        <v>906</v>
      </c>
      <c r="I41" s="480" t="s">
        <v>886</v>
      </c>
      <c r="J41" s="482" t="b">
        <f t="shared" si="1"/>
        <v>1</v>
      </c>
      <c r="K41" s="482" t="b">
        <f t="shared" si="9"/>
        <v>1</v>
      </c>
      <c r="L41" s="482" t="b">
        <v>1</v>
      </c>
      <c r="M41" s="482" t="b">
        <f t="shared" si="2"/>
        <v>0</v>
      </c>
      <c r="N41" s="482" t="b">
        <f t="shared" si="3"/>
        <v>1</v>
      </c>
      <c r="O41" s="482" t="b">
        <v>1</v>
      </c>
      <c r="P41" s="482" t="s">
        <v>1434</v>
      </c>
      <c r="Q41" s="488" t="s">
        <v>1437</v>
      </c>
      <c r="R41" s="482" t="str">
        <f t="shared" si="4"/>
        <v>Go To Update</v>
      </c>
    </row>
    <row r="42" spans="2:18">
      <c r="B42" s="480" t="s">
        <v>882</v>
      </c>
      <c r="C42" s="480" t="s">
        <v>904</v>
      </c>
      <c r="D42" s="481">
        <v>4.4000000000000004</v>
      </c>
      <c r="E42" s="483" t="s">
        <v>905</v>
      </c>
      <c r="F42" s="480" t="s">
        <v>879</v>
      </c>
      <c r="G42" s="480" t="s">
        <v>880</v>
      </c>
      <c r="H42" s="483" t="s">
        <v>1156</v>
      </c>
      <c r="I42" s="480" t="s">
        <v>886</v>
      </c>
      <c r="J42" s="482" t="b">
        <f t="shared" si="1"/>
        <v>1</v>
      </c>
      <c r="K42" s="482" t="b">
        <f t="shared" si="9"/>
        <v>1</v>
      </c>
      <c r="L42" s="482" t="b">
        <v>1</v>
      </c>
      <c r="M42" s="482" t="b">
        <f t="shared" si="2"/>
        <v>0</v>
      </c>
      <c r="N42" s="482" t="b">
        <f t="shared" si="3"/>
        <v>1</v>
      </c>
      <c r="O42" s="482" t="s">
        <v>764</v>
      </c>
      <c r="P42" s="482" t="s">
        <v>1435</v>
      </c>
      <c r="Q42" s="482"/>
      <c r="R42" s="482" t="str">
        <f t="shared" si="4"/>
        <v/>
      </c>
    </row>
    <row r="43" spans="2:18">
      <c r="B43" s="480" t="s">
        <v>882</v>
      </c>
      <c r="C43" s="480" t="s">
        <v>904</v>
      </c>
      <c r="D43" s="481">
        <v>4.4000000000000004</v>
      </c>
      <c r="E43" s="483" t="s">
        <v>905</v>
      </c>
      <c r="F43" s="480" t="s">
        <v>879</v>
      </c>
      <c r="G43" s="480" t="s">
        <v>880</v>
      </c>
      <c r="H43" s="480" t="s">
        <v>1157</v>
      </c>
      <c r="I43" s="480" t="s">
        <v>886</v>
      </c>
      <c r="J43" s="482" t="b">
        <f t="shared" si="1"/>
        <v>1</v>
      </c>
      <c r="K43" s="482" t="b">
        <f t="shared" si="9"/>
        <v>1</v>
      </c>
      <c r="L43" s="482" t="b">
        <v>1</v>
      </c>
      <c r="M43" s="482" t="b">
        <f t="shared" si="2"/>
        <v>0</v>
      </c>
      <c r="N43" s="482" t="b">
        <f t="shared" si="3"/>
        <v>1</v>
      </c>
      <c r="O43" s="482" t="s">
        <v>764</v>
      </c>
      <c r="P43" s="482" t="s">
        <v>1436</v>
      </c>
      <c r="Q43" s="482"/>
      <c r="R43" s="482" t="str">
        <f t="shared" si="4"/>
        <v/>
      </c>
    </row>
    <row r="44" spans="2:18" hidden="1">
      <c r="B44" s="480" t="s">
        <v>882</v>
      </c>
      <c r="C44" s="480" t="s">
        <v>904</v>
      </c>
      <c r="D44" s="481" t="s">
        <v>910</v>
      </c>
      <c r="E44" s="480" t="s">
        <v>909</v>
      </c>
      <c r="F44" s="480" t="s">
        <v>1158</v>
      </c>
      <c r="G44" s="480" t="s">
        <v>880</v>
      </c>
      <c r="H44" s="483" t="s">
        <v>1148</v>
      </c>
      <c r="I44" s="480" t="s">
        <v>879</v>
      </c>
      <c r="J44" s="482" t="b">
        <f t="shared" si="1"/>
        <v>0</v>
      </c>
      <c r="K44" s="482" t="b">
        <f t="shared" si="9"/>
        <v>0</v>
      </c>
      <c r="L44" s="482" t="b">
        <f>IF(D44="n/a","n/a",ISNUMBER(MATCH(D44,'Measure-Level Adjustments Tab'!D:D,0)))</f>
        <v>0</v>
      </c>
      <c r="M44" s="482" t="b">
        <f t="shared" si="2"/>
        <v>0</v>
      </c>
      <c r="N44" s="482" t="b">
        <f t="shared" si="3"/>
        <v>0</v>
      </c>
      <c r="O44" s="482" t="s">
        <v>764</v>
      </c>
      <c r="P44" s="482"/>
      <c r="Q44" s="482"/>
      <c r="R44" s="482" t="str">
        <f t="shared" si="4"/>
        <v/>
      </c>
    </row>
    <row r="45" spans="2:18" hidden="1">
      <c r="B45" s="480" t="s">
        <v>882</v>
      </c>
      <c r="C45" s="480" t="s">
        <v>904</v>
      </c>
      <c r="D45" s="481" t="s">
        <v>910</v>
      </c>
      <c r="E45" s="480" t="s">
        <v>909</v>
      </c>
      <c r="F45" s="480" t="s">
        <v>1158</v>
      </c>
      <c r="G45" s="480" t="s">
        <v>880</v>
      </c>
      <c r="H45" s="480" t="s">
        <v>949</v>
      </c>
      <c r="I45" s="480" t="s">
        <v>879</v>
      </c>
      <c r="J45" s="482" t="b">
        <f t="shared" si="1"/>
        <v>0</v>
      </c>
      <c r="K45" s="482" t="b">
        <f t="shared" si="9"/>
        <v>0</v>
      </c>
      <c r="L45" s="482" t="b">
        <f>IF(D45="n/a","n/a",ISNUMBER(MATCH(D45,'Measure-Level Adjustments Tab'!D:D,0)))</f>
        <v>0</v>
      </c>
      <c r="M45" s="482" t="b">
        <f t="shared" si="2"/>
        <v>0</v>
      </c>
      <c r="N45" s="482" t="b">
        <f t="shared" si="3"/>
        <v>0</v>
      </c>
      <c r="O45" s="482" t="s">
        <v>764</v>
      </c>
      <c r="P45" s="482"/>
      <c r="Q45" s="482"/>
      <c r="R45" s="482" t="str">
        <f t="shared" si="4"/>
        <v/>
      </c>
    </row>
    <row r="46" spans="2:18" hidden="1">
      <c r="B46" s="480" t="s">
        <v>882</v>
      </c>
      <c r="C46" s="480" t="s">
        <v>904</v>
      </c>
      <c r="D46" s="481" t="s">
        <v>912</v>
      </c>
      <c r="E46" s="480" t="s">
        <v>1159</v>
      </c>
      <c r="F46" s="480" t="s">
        <v>1160</v>
      </c>
      <c r="G46" s="480" t="s">
        <v>880</v>
      </c>
      <c r="H46" s="483" t="s">
        <v>1148</v>
      </c>
      <c r="I46" s="480" t="s">
        <v>879</v>
      </c>
      <c r="J46" s="482" t="b">
        <f t="shared" si="1"/>
        <v>0</v>
      </c>
      <c r="K46" s="482" t="b">
        <f t="shared" si="9"/>
        <v>0</v>
      </c>
      <c r="L46" s="482" t="b">
        <f>IF(D46="n/a","n/a",ISNUMBER(MATCH(D46,'Measure-Level Adjustments Tab'!D:D,0)))</f>
        <v>0</v>
      </c>
      <c r="M46" s="482" t="b">
        <f t="shared" si="2"/>
        <v>0</v>
      </c>
      <c r="N46" s="482" t="b">
        <f t="shared" si="3"/>
        <v>0</v>
      </c>
      <c r="O46" s="482" t="s">
        <v>764</v>
      </c>
      <c r="P46" s="482"/>
      <c r="Q46" s="482"/>
      <c r="R46" s="482" t="str">
        <f t="shared" si="4"/>
        <v/>
      </c>
    </row>
    <row r="47" spans="2:18" hidden="1">
      <c r="B47" s="480" t="s">
        <v>882</v>
      </c>
      <c r="C47" s="480" t="s">
        <v>904</v>
      </c>
      <c r="D47" s="481" t="s">
        <v>343</v>
      </c>
      <c r="E47" s="480" t="s">
        <v>913</v>
      </c>
      <c r="F47" s="480" t="s">
        <v>1161</v>
      </c>
      <c r="G47" s="480" t="s">
        <v>880</v>
      </c>
      <c r="H47" s="480" t="s">
        <v>921</v>
      </c>
      <c r="I47" s="480" t="s">
        <v>879</v>
      </c>
      <c r="J47" s="482" t="b">
        <f t="shared" si="1"/>
        <v>0</v>
      </c>
      <c r="K47" s="482" t="b">
        <f t="shared" si="9"/>
        <v>0</v>
      </c>
      <c r="L47" s="482" t="b">
        <f>IF(D47="n/a","n/a",ISNUMBER(MATCH(D47,'Measure-Level Adjustments Tab'!D:D,0)))</f>
        <v>1</v>
      </c>
      <c r="M47" s="482" t="b">
        <f t="shared" si="2"/>
        <v>0</v>
      </c>
      <c r="N47" s="482" t="b">
        <f t="shared" si="3"/>
        <v>0</v>
      </c>
      <c r="O47" s="482" t="s">
        <v>764</v>
      </c>
      <c r="P47" s="482"/>
      <c r="Q47" s="482"/>
      <c r="R47" s="482" t="str">
        <f t="shared" si="4"/>
        <v/>
      </c>
    </row>
    <row r="48" spans="2:18" hidden="1">
      <c r="B48" s="480" t="s">
        <v>882</v>
      </c>
      <c r="C48" s="480" t="s">
        <v>904</v>
      </c>
      <c r="D48" s="481" t="s">
        <v>343</v>
      </c>
      <c r="E48" s="480" t="s">
        <v>913</v>
      </c>
      <c r="F48" s="480" t="s">
        <v>1161</v>
      </c>
      <c r="G48" s="480" t="s">
        <v>880</v>
      </c>
      <c r="H48" s="480" t="s">
        <v>1162</v>
      </c>
      <c r="I48" s="480" t="s">
        <v>879</v>
      </c>
      <c r="J48" s="482" t="b">
        <f t="shared" si="1"/>
        <v>0</v>
      </c>
      <c r="K48" s="482" t="b">
        <f t="shared" si="9"/>
        <v>0</v>
      </c>
      <c r="L48" s="482" t="b">
        <f>IF(D48="n/a","n/a",ISNUMBER(MATCH(D48,'Measure-Level Adjustments Tab'!D:D,0)))</f>
        <v>1</v>
      </c>
      <c r="M48" s="482" t="b">
        <f t="shared" si="2"/>
        <v>0</v>
      </c>
      <c r="N48" s="482" t="b">
        <f t="shared" si="3"/>
        <v>0</v>
      </c>
      <c r="O48" s="482" t="s">
        <v>764</v>
      </c>
      <c r="P48" s="482"/>
      <c r="Q48" s="482"/>
      <c r="R48" s="482" t="str">
        <f t="shared" si="4"/>
        <v/>
      </c>
    </row>
    <row r="49" spans="2:18" hidden="1">
      <c r="B49" s="480" t="s">
        <v>882</v>
      </c>
      <c r="C49" s="480" t="s">
        <v>904</v>
      </c>
      <c r="D49" s="481" t="s">
        <v>301</v>
      </c>
      <c r="E49" s="480" t="s">
        <v>914</v>
      </c>
      <c r="F49" s="480" t="s">
        <v>1163</v>
      </c>
      <c r="G49" s="480" t="s">
        <v>880</v>
      </c>
      <c r="H49" s="480" t="s">
        <v>1164</v>
      </c>
      <c r="I49" s="480" t="s">
        <v>879</v>
      </c>
      <c r="J49" s="482" t="b">
        <f t="shared" si="1"/>
        <v>0</v>
      </c>
      <c r="K49" s="482" t="b">
        <f t="shared" si="9"/>
        <v>0</v>
      </c>
      <c r="L49" s="482" t="b">
        <f>IF(D49="n/a","n/a",ISNUMBER(MATCH(D49,'Measure-Level Adjustments Tab'!D:D,0)))</f>
        <v>1</v>
      </c>
      <c r="M49" s="482" t="b">
        <f t="shared" si="2"/>
        <v>0</v>
      </c>
      <c r="N49" s="482" t="b">
        <f t="shared" si="3"/>
        <v>0</v>
      </c>
      <c r="O49" s="482" t="s">
        <v>764</v>
      </c>
      <c r="P49" s="482"/>
      <c r="Q49" s="482"/>
      <c r="R49" s="482" t="str">
        <f t="shared" si="4"/>
        <v/>
      </c>
    </row>
    <row r="50" spans="2:18" hidden="1">
      <c r="B50" s="480" t="s">
        <v>882</v>
      </c>
      <c r="C50" s="480" t="s">
        <v>904</v>
      </c>
      <c r="D50" s="481" t="s">
        <v>301</v>
      </c>
      <c r="E50" s="480" t="s">
        <v>914</v>
      </c>
      <c r="F50" s="480" t="s">
        <v>1163</v>
      </c>
      <c r="G50" s="480" t="s">
        <v>880</v>
      </c>
      <c r="H50" s="480" t="s">
        <v>1162</v>
      </c>
      <c r="I50" s="480" t="s">
        <v>879</v>
      </c>
      <c r="J50" s="482" t="b">
        <f t="shared" si="1"/>
        <v>0</v>
      </c>
      <c r="K50" s="482" t="b">
        <f t="shared" si="9"/>
        <v>0</v>
      </c>
      <c r="L50" s="482" t="b">
        <f>IF(D50="n/a","n/a",ISNUMBER(MATCH(D50,'Measure-Level Adjustments Tab'!D:D,0)))</f>
        <v>1</v>
      </c>
      <c r="M50" s="482" t="b">
        <f t="shared" si="2"/>
        <v>0</v>
      </c>
      <c r="N50" s="482" t="b">
        <f t="shared" si="3"/>
        <v>0</v>
      </c>
      <c r="O50" s="482" t="s">
        <v>764</v>
      </c>
      <c r="P50" s="482"/>
      <c r="Q50" s="482"/>
      <c r="R50" s="482" t="str">
        <f t="shared" si="4"/>
        <v/>
      </c>
    </row>
    <row r="51" spans="2:18" hidden="1">
      <c r="B51" s="480" t="s">
        <v>882</v>
      </c>
      <c r="C51" s="480" t="s">
        <v>904</v>
      </c>
      <c r="D51" s="481" t="s">
        <v>916</v>
      </c>
      <c r="E51" s="480" t="s">
        <v>915</v>
      </c>
      <c r="F51" s="480" t="s">
        <v>1165</v>
      </c>
      <c r="G51" s="480" t="s">
        <v>880</v>
      </c>
      <c r="H51" s="480" t="s">
        <v>1166</v>
      </c>
      <c r="I51" s="480" t="s">
        <v>1167</v>
      </c>
      <c r="J51" s="482" t="b">
        <f t="shared" si="1"/>
        <v>1</v>
      </c>
      <c r="K51" s="482" t="b">
        <f t="shared" si="9"/>
        <v>1</v>
      </c>
      <c r="L51" s="482" t="b">
        <f>IF(D51="n/a","n/a",ISNUMBER(MATCH(D51,'Measure-Level Adjustments Tab'!D:D,0)))</f>
        <v>0</v>
      </c>
      <c r="M51" s="482" t="b">
        <f t="shared" si="2"/>
        <v>0</v>
      </c>
      <c r="N51" s="482" t="b">
        <f t="shared" si="3"/>
        <v>0</v>
      </c>
      <c r="O51" s="482" t="s">
        <v>764</v>
      </c>
      <c r="P51" s="482"/>
      <c r="Q51" s="482"/>
      <c r="R51" s="482" t="str">
        <f t="shared" si="4"/>
        <v/>
      </c>
    </row>
    <row r="52" spans="2:18" hidden="1">
      <c r="B52" s="480" t="s">
        <v>882</v>
      </c>
      <c r="C52" s="480" t="s">
        <v>904</v>
      </c>
      <c r="D52" s="481" t="s">
        <v>916</v>
      </c>
      <c r="E52" s="480" t="s">
        <v>915</v>
      </c>
      <c r="F52" s="480" t="s">
        <v>1165</v>
      </c>
      <c r="G52" s="480" t="s">
        <v>880</v>
      </c>
      <c r="H52" s="480" t="s">
        <v>1168</v>
      </c>
      <c r="I52" s="480" t="s">
        <v>1167</v>
      </c>
      <c r="J52" s="482" t="b">
        <f t="shared" si="1"/>
        <v>1</v>
      </c>
      <c r="K52" s="482" t="b">
        <f t="shared" si="9"/>
        <v>1</v>
      </c>
      <c r="L52" s="482" t="b">
        <f>IF(D52="n/a","n/a",ISNUMBER(MATCH(D52,'Measure-Level Adjustments Tab'!D:D,0)))</f>
        <v>0</v>
      </c>
      <c r="M52" s="482" t="b">
        <f t="shared" si="2"/>
        <v>0</v>
      </c>
      <c r="N52" s="482" t="b">
        <f t="shared" si="3"/>
        <v>0</v>
      </c>
      <c r="O52" s="482" t="s">
        <v>764</v>
      </c>
      <c r="P52" s="482"/>
      <c r="Q52" s="482"/>
      <c r="R52" s="482" t="str">
        <f t="shared" si="4"/>
        <v/>
      </c>
    </row>
    <row r="53" spans="2:18" hidden="1">
      <c r="B53" s="480" t="s">
        <v>882</v>
      </c>
      <c r="C53" s="480" t="s">
        <v>904</v>
      </c>
      <c r="D53" s="481" t="s">
        <v>918</v>
      </c>
      <c r="E53" s="480" t="s">
        <v>917</v>
      </c>
      <c r="F53" s="480" t="s">
        <v>1169</v>
      </c>
      <c r="G53" s="480" t="s">
        <v>880</v>
      </c>
      <c r="H53" s="483" t="s">
        <v>1148</v>
      </c>
      <c r="I53" s="480" t="s">
        <v>879</v>
      </c>
      <c r="J53" s="482" t="b">
        <f t="shared" si="1"/>
        <v>0</v>
      </c>
      <c r="K53" s="482" t="b">
        <f t="shared" si="9"/>
        <v>0</v>
      </c>
      <c r="L53" s="482" t="b">
        <f>IF(D53="n/a","n/a",ISNUMBER(MATCH(D53,'Measure-Level Adjustments Tab'!D:D,0)))</f>
        <v>0</v>
      </c>
      <c r="M53" s="482" t="b">
        <f t="shared" si="2"/>
        <v>0</v>
      </c>
      <c r="N53" s="482" t="b">
        <f t="shared" si="3"/>
        <v>0</v>
      </c>
      <c r="O53" s="482" t="s">
        <v>764</v>
      </c>
      <c r="P53" s="482"/>
      <c r="Q53" s="482"/>
      <c r="R53" s="482" t="str">
        <f t="shared" si="4"/>
        <v/>
      </c>
    </row>
    <row r="54" spans="2:18">
      <c r="B54" s="480" t="s">
        <v>882</v>
      </c>
      <c r="C54" s="480" t="s">
        <v>904</v>
      </c>
      <c r="D54" s="481" t="s">
        <v>266</v>
      </c>
      <c r="E54" s="480" t="s">
        <v>1170</v>
      </c>
      <c r="F54" s="480" t="s">
        <v>1171</v>
      </c>
      <c r="G54" s="480" t="s">
        <v>880</v>
      </c>
      <c r="H54" s="480" t="s">
        <v>1172</v>
      </c>
      <c r="I54" s="480" t="s">
        <v>887</v>
      </c>
      <c r="J54" s="482" t="b">
        <f t="shared" si="1"/>
        <v>1</v>
      </c>
      <c r="K54" s="482" t="b">
        <f t="shared" si="9"/>
        <v>1</v>
      </c>
      <c r="L54" s="482" t="b">
        <f>IF(D54="n/a","n/a",ISNUMBER(MATCH(D54,'Measure-Level Adjustments Tab'!D:D,0)))</f>
        <v>1</v>
      </c>
      <c r="M54" s="482" t="b">
        <f t="shared" si="2"/>
        <v>0</v>
      </c>
      <c r="N54" s="482" t="b">
        <f t="shared" si="3"/>
        <v>1</v>
      </c>
      <c r="O54" s="482" t="s">
        <v>764</v>
      </c>
      <c r="P54" s="482" t="s">
        <v>1438</v>
      </c>
      <c r="Q54" s="482"/>
      <c r="R54" s="482" t="str">
        <f t="shared" si="4"/>
        <v/>
      </c>
    </row>
    <row r="55" spans="2:18">
      <c r="B55" s="480" t="s">
        <v>882</v>
      </c>
      <c r="C55" s="480" t="s">
        <v>904</v>
      </c>
      <c r="D55" s="481" t="s">
        <v>266</v>
      </c>
      <c r="E55" s="480" t="s">
        <v>1170</v>
      </c>
      <c r="F55" s="480" t="s">
        <v>1171</v>
      </c>
      <c r="G55" s="480" t="s">
        <v>880</v>
      </c>
      <c r="H55" s="480" t="s">
        <v>1173</v>
      </c>
      <c r="I55" s="480" t="s">
        <v>887</v>
      </c>
      <c r="J55" s="482" t="b">
        <f t="shared" si="1"/>
        <v>1</v>
      </c>
      <c r="K55" s="482" t="b">
        <f t="shared" si="9"/>
        <v>1</v>
      </c>
      <c r="L55" s="482" t="b">
        <f>IF(D55="n/a","n/a",ISNUMBER(MATCH(D55,'Measure-Level Adjustments Tab'!D:D,0)))</f>
        <v>1</v>
      </c>
      <c r="M55" s="482" t="b">
        <f t="shared" si="2"/>
        <v>0</v>
      </c>
      <c r="N55" s="482" t="b">
        <f t="shared" si="3"/>
        <v>1</v>
      </c>
      <c r="O55" s="482" t="s">
        <v>764</v>
      </c>
      <c r="P55" s="482" t="s">
        <v>1439</v>
      </c>
      <c r="Q55" s="482"/>
      <c r="R55" s="482" t="str">
        <f t="shared" si="4"/>
        <v/>
      </c>
    </row>
    <row r="56" spans="2:18">
      <c r="B56" s="480" t="s">
        <v>882</v>
      </c>
      <c r="C56" s="480" t="s">
        <v>904</v>
      </c>
      <c r="D56" s="481" t="s">
        <v>266</v>
      </c>
      <c r="E56" s="480" t="s">
        <v>1170</v>
      </c>
      <c r="F56" s="480" t="s">
        <v>1171</v>
      </c>
      <c r="G56" s="480" t="s">
        <v>880</v>
      </c>
      <c r="H56" s="480" t="s">
        <v>1174</v>
      </c>
      <c r="I56" s="480" t="s">
        <v>887</v>
      </c>
      <c r="J56" s="482" t="b">
        <f t="shared" si="1"/>
        <v>1</v>
      </c>
      <c r="K56" s="482" t="b">
        <f t="shared" si="9"/>
        <v>1</v>
      </c>
      <c r="L56" s="482" t="b">
        <f>IF(D56="n/a","n/a",ISNUMBER(MATCH(D56,'Measure-Level Adjustments Tab'!D:D,0)))</f>
        <v>1</v>
      </c>
      <c r="M56" s="482" t="b">
        <f t="shared" si="2"/>
        <v>0</v>
      </c>
      <c r="N56" s="482" t="b">
        <f t="shared" si="3"/>
        <v>1</v>
      </c>
      <c r="O56" s="482" t="s">
        <v>764</v>
      </c>
      <c r="P56" s="482" t="s">
        <v>1438</v>
      </c>
      <c r="Q56" s="482"/>
      <c r="R56" s="482" t="str">
        <f t="shared" si="4"/>
        <v/>
      </c>
    </row>
    <row r="57" spans="2:18" hidden="1">
      <c r="B57" s="480" t="s">
        <v>882</v>
      </c>
      <c r="C57" s="480" t="s">
        <v>904</v>
      </c>
      <c r="D57" s="481" t="s">
        <v>920</v>
      </c>
      <c r="E57" s="480" t="s">
        <v>919</v>
      </c>
      <c r="F57" s="480" t="s">
        <v>1175</v>
      </c>
      <c r="G57" s="480" t="s">
        <v>907</v>
      </c>
      <c r="H57" s="480" t="s">
        <v>1176</v>
      </c>
      <c r="I57" s="480" t="s">
        <v>1177</v>
      </c>
      <c r="J57" s="482" t="b">
        <f t="shared" si="1"/>
        <v>1</v>
      </c>
      <c r="K57" s="482" t="b">
        <f t="shared" si="9"/>
        <v>1</v>
      </c>
      <c r="L57" s="482" t="b">
        <f>IF(D57="n/a","n/a",ISNUMBER(MATCH(D57,'Measure-Level Adjustments Tab'!D:D,0)))</f>
        <v>0</v>
      </c>
      <c r="M57" s="482" t="b">
        <f t="shared" si="2"/>
        <v>0</v>
      </c>
      <c r="N57" s="482" t="b">
        <f t="shared" si="3"/>
        <v>0</v>
      </c>
      <c r="O57" s="482" t="s">
        <v>764</v>
      </c>
      <c r="P57" s="482"/>
      <c r="Q57" s="482"/>
      <c r="R57" s="482" t="str">
        <f t="shared" si="4"/>
        <v/>
      </c>
    </row>
    <row r="58" spans="2:18" hidden="1">
      <c r="B58" s="480" t="s">
        <v>882</v>
      </c>
      <c r="C58" s="480" t="s">
        <v>904</v>
      </c>
      <c r="D58" s="481" t="s">
        <v>920</v>
      </c>
      <c r="E58" s="480" t="s">
        <v>919</v>
      </c>
      <c r="F58" s="480" t="s">
        <v>1178</v>
      </c>
      <c r="G58" s="480" t="s">
        <v>880</v>
      </c>
      <c r="H58" s="483" t="s">
        <v>1148</v>
      </c>
      <c r="I58" s="480" t="s">
        <v>1179</v>
      </c>
      <c r="J58" s="482" t="b">
        <f t="shared" si="1"/>
        <v>1</v>
      </c>
      <c r="K58" s="482" t="b">
        <f t="shared" si="9"/>
        <v>1</v>
      </c>
      <c r="L58" s="482" t="b">
        <f>IF(D58="n/a","n/a",ISNUMBER(MATCH(D58,'Measure-Level Adjustments Tab'!D:D,0)))</f>
        <v>0</v>
      </c>
      <c r="M58" s="482" t="b">
        <f t="shared" si="2"/>
        <v>0</v>
      </c>
      <c r="N58" s="482" t="b">
        <f t="shared" si="3"/>
        <v>0</v>
      </c>
      <c r="O58" s="482" t="s">
        <v>764</v>
      </c>
      <c r="P58" s="482"/>
      <c r="Q58" s="482"/>
      <c r="R58" s="482" t="str">
        <f t="shared" si="4"/>
        <v/>
      </c>
    </row>
    <row r="59" spans="2:18" hidden="1">
      <c r="B59" s="480" t="s">
        <v>882</v>
      </c>
      <c r="C59" s="480" t="s">
        <v>904</v>
      </c>
      <c r="D59" s="481" t="s">
        <v>920</v>
      </c>
      <c r="E59" s="480" t="s">
        <v>919</v>
      </c>
      <c r="F59" s="480" t="s">
        <v>1178</v>
      </c>
      <c r="G59" s="480" t="s">
        <v>880</v>
      </c>
      <c r="H59" s="483" t="s">
        <v>1180</v>
      </c>
      <c r="I59" s="480" t="s">
        <v>1179</v>
      </c>
      <c r="J59" s="482" t="b">
        <f t="shared" si="1"/>
        <v>1</v>
      </c>
      <c r="K59" s="482" t="b">
        <f t="shared" si="9"/>
        <v>1</v>
      </c>
      <c r="L59" s="482" t="b">
        <f>IF(D59="n/a","n/a",ISNUMBER(MATCH(D59,'Measure-Level Adjustments Tab'!D:D,0)))</f>
        <v>0</v>
      </c>
      <c r="M59" s="482" t="b">
        <f t="shared" si="2"/>
        <v>0</v>
      </c>
      <c r="N59" s="482" t="b">
        <f t="shared" si="3"/>
        <v>0</v>
      </c>
      <c r="O59" s="482" t="s">
        <v>764</v>
      </c>
      <c r="P59" s="482"/>
      <c r="Q59" s="482"/>
      <c r="R59" s="482" t="str">
        <f t="shared" si="4"/>
        <v/>
      </c>
    </row>
    <row r="60" spans="2:18" hidden="1">
      <c r="B60" s="480" t="s">
        <v>882</v>
      </c>
      <c r="C60" s="480" t="s">
        <v>904</v>
      </c>
      <c r="D60" s="481" t="s">
        <v>225</v>
      </c>
      <c r="E60" s="480" t="s">
        <v>1181</v>
      </c>
      <c r="F60" s="480" t="s">
        <v>1182</v>
      </c>
      <c r="G60" s="480" t="s">
        <v>1141</v>
      </c>
      <c r="H60" s="484" t="s">
        <v>1183</v>
      </c>
      <c r="I60" s="480" t="s">
        <v>879</v>
      </c>
      <c r="J60" s="482" t="b">
        <f t="shared" si="1"/>
        <v>0</v>
      </c>
      <c r="K60" s="482" t="b">
        <f t="shared" si="9"/>
        <v>0</v>
      </c>
      <c r="L60" s="482" t="b">
        <f>IF(D60="n/a","n/a",ISNUMBER(MATCH(D60,'Measure-Level Adjustments Tab'!D:D,0)))</f>
        <v>1</v>
      </c>
      <c r="M60" s="482" t="b">
        <f t="shared" si="2"/>
        <v>0</v>
      </c>
      <c r="N60" s="482" t="b">
        <f t="shared" si="3"/>
        <v>0</v>
      </c>
      <c r="O60" s="482" t="s">
        <v>764</v>
      </c>
      <c r="P60" s="482"/>
      <c r="Q60" s="482"/>
      <c r="R60" s="482" t="str">
        <f t="shared" si="4"/>
        <v/>
      </c>
    </row>
    <row r="61" spans="2:18" hidden="1">
      <c r="B61" s="480" t="s">
        <v>882</v>
      </c>
      <c r="C61" s="480" t="s">
        <v>904</v>
      </c>
      <c r="D61" s="481" t="s">
        <v>1184</v>
      </c>
      <c r="E61" s="483" t="s">
        <v>1185</v>
      </c>
      <c r="F61" s="480" t="s">
        <v>1186</v>
      </c>
      <c r="G61" s="480" t="s">
        <v>880</v>
      </c>
      <c r="H61" s="483" t="s">
        <v>1187</v>
      </c>
      <c r="I61" s="480" t="s">
        <v>879</v>
      </c>
      <c r="J61" s="482" t="b">
        <f t="shared" si="1"/>
        <v>0</v>
      </c>
      <c r="K61" s="482" t="b">
        <f t="shared" si="9"/>
        <v>0</v>
      </c>
      <c r="L61" s="482" t="b">
        <f>IF(D61="n/a","n/a",ISNUMBER(MATCH(D61,'Measure-Level Adjustments Tab'!D:D,0)))</f>
        <v>0</v>
      </c>
      <c r="M61" s="482" t="b">
        <f t="shared" si="2"/>
        <v>0</v>
      </c>
      <c r="N61" s="482" t="b">
        <f t="shared" si="3"/>
        <v>0</v>
      </c>
      <c r="O61" s="482" t="s">
        <v>764</v>
      </c>
      <c r="P61" s="482"/>
      <c r="Q61" s="482"/>
      <c r="R61" s="482" t="str">
        <f t="shared" si="4"/>
        <v/>
      </c>
    </row>
    <row r="62" spans="2:18" hidden="1">
      <c r="B62" s="480" t="s">
        <v>882</v>
      </c>
      <c r="C62" s="480" t="s">
        <v>904</v>
      </c>
      <c r="D62" s="481" t="s">
        <v>1188</v>
      </c>
      <c r="E62" s="480" t="s">
        <v>1189</v>
      </c>
      <c r="F62" s="480" t="s">
        <v>1190</v>
      </c>
      <c r="G62" s="480" t="s">
        <v>880</v>
      </c>
      <c r="H62" s="483" t="s">
        <v>1191</v>
      </c>
      <c r="I62" s="480" t="s">
        <v>879</v>
      </c>
      <c r="J62" s="482" t="b">
        <f t="shared" si="1"/>
        <v>0</v>
      </c>
      <c r="K62" s="482" t="b">
        <f t="shared" si="9"/>
        <v>0</v>
      </c>
      <c r="L62" s="482" t="b">
        <f>IF(D62="n/a","n/a",ISNUMBER(MATCH(D62,'Measure-Level Adjustments Tab'!D:D,0)))</f>
        <v>0</v>
      </c>
      <c r="M62" s="482" t="b">
        <f t="shared" si="2"/>
        <v>0</v>
      </c>
      <c r="N62" s="482" t="b">
        <f t="shared" si="3"/>
        <v>0</v>
      </c>
      <c r="O62" s="482" t="s">
        <v>764</v>
      </c>
      <c r="P62" s="482"/>
      <c r="Q62" s="482"/>
      <c r="R62" s="482" t="str">
        <f t="shared" si="4"/>
        <v/>
      </c>
    </row>
    <row r="63" spans="2:18" hidden="1">
      <c r="B63" s="480" t="s">
        <v>882</v>
      </c>
      <c r="C63" s="480" t="s">
        <v>904</v>
      </c>
      <c r="D63" s="481" t="s">
        <v>922</v>
      </c>
      <c r="E63" s="480" t="s">
        <v>1192</v>
      </c>
      <c r="F63" s="480" t="s">
        <v>923</v>
      </c>
      <c r="G63" s="480" t="s">
        <v>1141</v>
      </c>
      <c r="H63" s="483" t="s">
        <v>1193</v>
      </c>
      <c r="I63" s="480" t="s">
        <v>879</v>
      </c>
      <c r="J63" s="482" t="b">
        <f t="shared" si="1"/>
        <v>0</v>
      </c>
      <c r="K63" s="482" t="b">
        <f t="shared" si="9"/>
        <v>0</v>
      </c>
      <c r="L63" s="482" t="b">
        <f>IF(D63="n/a","n/a",ISNUMBER(MATCH(D63,'Measure-Level Adjustments Tab'!D:D,0)))</f>
        <v>0</v>
      </c>
      <c r="M63" s="482" t="b">
        <f t="shared" si="2"/>
        <v>0</v>
      </c>
      <c r="N63" s="482" t="b">
        <f t="shared" si="3"/>
        <v>0</v>
      </c>
      <c r="O63" s="482" t="s">
        <v>764</v>
      </c>
      <c r="P63" s="482"/>
      <c r="Q63" s="482"/>
      <c r="R63" s="482" t="str">
        <f t="shared" si="4"/>
        <v/>
      </c>
    </row>
    <row r="64" spans="2:18" hidden="1">
      <c r="B64" s="480" t="s">
        <v>882</v>
      </c>
      <c r="C64" s="480" t="s">
        <v>904</v>
      </c>
      <c r="D64" s="481" t="s">
        <v>924</v>
      </c>
      <c r="E64" s="480" t="s">
        <v>1194</v>
      </c>
      <c r="F64" s="480" t="s">
        <v>1195</v>
      </c>
      <c r="G64" s="480" t="s">
        <v>907</v>
      </c>
      <c r="H64" s="480" t="s">
        <v>1196</v>
      </c>
      <c r="I64" s="480" t="s">
        <v>911</v>
      </c>
      <c r="J64" s="482" t="b">
        <f t="shared" si="1"/>
        <v>1</v>
      </c>
      <c r="K64" s="482" t="b">
        <f t="shared" si="9"/>
        <v>1</v>
      </c>
      <c r="L64" s="482" t="b">
        <f>IF(D64="n/a","n/a",ISNUMBER(MATCH(D64,'Measure-Level Adjustments Tab'!D:D,0)))</f>
        <v>0</v>
      </c>
      <c r="M64" s="482" t="b">
        <f t="shared" si="2"/>
        <v>0</v>
      </c>
      <c r="N64" s="482" t="b">
        <f t="shared" si="3"/>
        <v>0</v>
      </c>
      <c r="O64" s="482" t="s">
        <v>764</v>
      </c>
      <c r="P64" s="482"/>
      <c r="Q64" s="482"/>
      <c r="R64" s="482" t="str">
        <f t="shared" si="4"/>
        <v/>
      </c>
    </row>
    <row r="65" spans="2:18" hidden="1">
      <c r="B65" s="480" t="s">
        <v>882</v>
      </c>
      <c r="C65" s="480" t="s">
        <v>904</v>
      </c>
      <c r="D65" s="481" t="s">
        <v>924</v>
      </c>
      <c r="E65" s="480" t="s">
        <v>1194</v>
      </c>
      <c r="F65" s="480" t="s">
        <v>1197</v>
      </c>
      <c r="G65" s="480" t="s">
        <v>880</v>
      </c>
      <c r="H65" s="483" t="s">
        <v>1148</v>
      </c>
      <c r="I65" s="480" t="s">
        <v>1179</v>
      </c>
      <c r="J65" s="482" t="b">
        <f t="shared" si="1"/>
        <v>1</v>
      </c>
      <c r="K65" s="482" t="b">
        <f t="shared" si="9"/>
        <v>1</v>
      </c>
      <c r="L65" s="482" t="b">
        <f>IF(D65="n/a","n/a",ISNUMBER(MATCH(D65,'Measure-Level Adjustments Tab'!D:D,0)))</f>
        <v>0</v>
      </c>
      <c r="M65" s="482" t="b">
        <f t="shared" si="2"/>
        <v>0</v>
      </c>
      <c r="N65" s="482" t="b">
        <f t="shared" si="3"/>
        <v>0</v>
      </c>
      <c r="O65" s="482" t="s">
        <v>764</v>
      </c>
      <c r="P65" s="482"/>
      <c r="Q65" s="482"/>
      <c r="R65" s="482" t="str">
        <f t="shared" si="4"/>
        <v/>
      </c>
    </row>
    <row r="66" spans="2:18" hidden="1">
      <c r="B66" s="480" t="s">
        <v>882</v>
      </c>
      <c r="C66" s="480" t="s">
        <v>904</v>
      </c>
      <c r="D66" s="481" t="s">
        <v>924</v>
      </c>
      <c r="E66" s="480" t="s">
        <v>1194</v>
      </c>
      <c r="F66" s="480" t="s">
        <v>1197</v>
      </c>
      <c r="G66" s="480" t="s">
        <v>880</v>
      </c>
      <c r="H66" s="483" t="s">
        <v>1198</v>
      </c>
      <c r="I66" s="480" t="s">
        <v>1179</v>
      </c>
      <c r="J66" s="482" t="b">
        <f t="shared" si="1"/>
        <v>1</v>
      </c>
      <c r="K66" s="482" t="b">
        <f t="shared" si="9"/>
        <v>1</v>
      </c>
      <c r="L66" s="482" t="b">
        <f>IF(D66="n/a","n/a",ISNUMBER(MATCH(D66,'Measure-Level Adjustments Tab'!D:D,0)))</f>
        <v>0</v>
      </c>
      <c r="M66" s="482" t="b">
        <f t="shared" si="2"/>
        <v>0</v>
      </c>
      <c r="N66" s="482" t="b">
        <f t="shared" si="3"/>
        <v>0</v>
      </c>
      <c r="O66" s="482" t="s">
        <v>764</v>
      </c>
      <c r="P66" s="482"/>
      <c r="Q66" s="482"/>
      <c r="R66" s="482" t="str">
        <f t="shared" si="4"/>
        <v/>
      </c>
    </row>
    <row r="67" spans="2:18" hidden="1">
      <c r="B67" s="480" t="s">
        <v>882</v>
      </c>
      <c r="C67" s="480" t="s">
        <v>904</v>
      </c>
      <c r="D67" s="481" t="s">
        <v>927</v>
      </c>
      <c r="E67" s="480" t="s">
        <v>926</v>
      </c>
      <c r="F67" s="480" t="s">
        <v>1199</v>
      </c>
      <c r="G67" s="480" t="s">
        <v>880</v>
      </c>
      <c r="H67" s="483" t="s">
        <v>1148</v>
      </c>
      <c r="I67" s="480" t="s">
        <v>879</v>
      </c>
      <c r="J67" s="482" t="b">
        <f t="shared" si="1"/>
        <v>0</v>
      </c>
      <c r="K67" s="482" t="b">
        <f t="shared" si="9"/>
        <v>0</v>
      </c>
      <c r="L67" s="482" t="b">
        <f>IF(D67="n/a","n/a",ISNUMBER(MATCH(D67,'Measure-Level Adjustments Tab'!D:D,0)))</f>
        <v>0</v>
      </c>
      <c r="M67" s="482" t="b">
        <f t="shared" si="2"/>
        <v>0</v>
      </c>
      <c r="N67" s="482" t="b">
        <f t="shared" si="3"/>
        <v>0</v>
      </c>
      <c r="O67" s="482" t="s">
        <v>764</v>
      </c>
      <c r="P67" s="482"/>
      <c r="Q67" s="482"/>
      <c r="R67" s="482" t="str">
        <f t="shared" si="4"/>
        <v/>
      </c>
    </row>
    <row r="68" spans="2:18" hidden="1">
      <c r="B68" s="480" t="s">
        <v>882</v>
      </c>
      <c r="C68" s="480" t="s">
        <v>904</v>
      </c>
      <c r="D68" s="481" t="s">
        <v>927</v>
      </c>
      <c r="E68" s="480" t="s">
        <v>926</v>
      </c>
      <c r="F68" s="480" t="s">
        <v>1199</v>
      </c>
      <c r="G68" s="480" t="s">
        <v>880</v>
      </c>
      <c r="H68" s="480" t="s">
        <v>1200</v>
      </c>
      <c r="I68" s="480" t="s">
        <v>879</v>
      </c>
      <c r="J68" s="482" t="b">
        <f t="shared" si="1"/>
        <v>0</v>
      </c>
      <c r="K68" s="482" t="b">
        <f t="shared" si="9"/>
        <v>0</v>
      </c>
      <c r="L68" s="482" t="b">
        <f>IF(D68="n/a","n/a",ISNUMBER(MATCH(D68,'Measure-Level Adjustments Tab'!D:D,0)))</f>
        <v>0</v>
      </c>
      <c r="M68" s="482" t="b">
        <f t="shared" si="2"/>
        <v>0</v>
      </c>
      <c r="N68" s="482" t="b">
        <f t="shared" si="3"/>
        <v>0</v>
      </c>
      <c r="O68" s="482" t="s">
        <v>764</v>
      </c>
      <c r="P68" s="482"/>
      <c r="Q68" s="482"/>
      <c r="R68" s="482" t="str">
        <f t="shared" si="4"/>
        <v/>
      </c>
    </row>
    <row r="69" spans="2:18" hidden="1">
      <c r="B69" s="480" t="s">
        <v>882</v>
      </c>
      <c r="C69" s="480" t="s">
        <v>904</v>
      </c>
      <c r="D69" s="481" t="s">
        <v>929</v>
      </c>
      <c r="E69" s="480" t="s">
        <v>928</v>
      </c>
      <c r="F69" s="480" t="s">
        <v>1201</v>
      </c>
      <c r="G69" s="480" t="s">
        <v>880</v>
      </c>
      <c r="H69" s="483" t="s">
        <v>1198</v>
      </c>
      <c r="I69" s="480" t="s">
        <v>1179</v>
      </c>
      <c r="J69" s="482" t="b">
        <f t="shared" si="1"/>
        <v>1</v>
      </c>
      <c r="K69" s="482" t="b">
        <f t="shared" si="9"/>
        <v>1</v>
      </c>
      <c r="L69" s="482" t="b">
        <f>IF(D69="n/a","n/a",ISNUMBER(MATCH(D69,'Measure-Level Adjustments Tab'!D:D,0)))</f>
        <v>0</v>
      </c>
      <c r="M69" s="482" t="b">
        <f t="shared" si="2"/>
        <v>0</v>
      </c>
      <c r="N69" s="482" t="b">
        <f t="shared" si="3"/>
        <v>0</v>
      </c>
      <c r="O69" s="482" t="s">
        <v>764</v>
      </c>
      <c r="P69" s="482"/>
      <c r="Q69" s="482"/>
      <c r="R69" s="482" t="str">
        <f t="shared" si="4"/>
        <v/>
      </c>
    </row>
    <row r="70" spans="2:18" hidden="1">
      <c r="B70" s="480" t="s">
        <v>882</v>
      </c>
      <c r="C70" s="480" t="s">
        <v>904</v>
      </c>
      <c r="D70" s="481" t="s">
        <v>1202</v>
      </c>
      <c r="E70" s="483" t="s">
        <v>1203</v>
      </c>
      <c r="F70" s="480" t="s">
        <v>1204</v>
      </c>
      <c r="G70" s="480" t="s">
        <v>880</v>
      </c>
      <c r="H70" s="483" t="s">
        <v>1205</v>
      </c>
      <c r="I70" s="480" t="s">
        <v>911</v>
      </c>
      <c r="J70" s="482" t="b">
        <f t="shared" si="1"/>
        <v>1</v>
      </c>
      <c r="K70" s="482" t="b">
        <f t="shared" si="9"/>
        <v>1</v>
      </c>
      <c r="L70" s="482" t="b">
        <f>IF(D70="n/a","n/a",ISNUMBER(MATCH(D70,'Measure-Level Adjustments Tab'!D:D,0)))</f>
        <v>0</v>
      </c>
      <c r="M70" s="482" t="b">
        <f t="shared" si="2"/>
        <v>0</v>
      </c>
      <c r="N70" s="482" t="b">
        <f t="shared" si="3"/>
        <v>0</v>
      </c>
      <c r="O70" s="482" t="s">
        <v>764</v>
      </c>
      <c r="P70" s="482"/>
      <c r="Q70" s="482"/>
      <c r="R70" s="482" t="str">
        <f t="shared" si="4"/>
        <v/>
      </c>
    </row>
    <row r="71" spans="2:18" hidden="1">
      <c r="B71" s="480" t="s">
        <v>882</v>
      </c>
      <c r="C71" s="480" t="s">
        <v>904</v>
      </c>
      <c r="D71" s="481" t="s">
        <v>931</v>
      </c>
      <c r="E71" s="483" t="s">
        <v>930</v>
      </c>
      <c r="F71" s="480" t="s">
        <v>1206</v>
      </c>
      <c r="G71" s="480" t="s">
        <v>880</v>
      </c>
      <c r="H71" s="483" t="s">
        <v>1207</v>
      </c>
      <c r="I71" s="480" t="s">
        <v>879</v>
      </c>
      <c r="J71" s="482" t="b">
        <f t="shared" si="1"/>
        <v>0</v>
      </c>
      <c r="K71" s="482" t="b">
        <f t="shared" ref="K71:K102" si="10">COUNTIFS(D:D,D71,J:J,TRUE)&gt;0</f>
        <v>0</v>
      </c>
      <c r="L71" s="482" t="b">
        <f>IF(D71="n/a","n/a",ISNUMBER(MATCH(D71,'Measure-Level Adjustments Tab'!D:D,0)))</f>
        <v>0</v>
      </c>
      <c r="M71" s="482" t="b">
        <f t="shared" si="2"/>
        <v>0</v>
      </c>
      <c r="N71" s="482" t="b">
        <f t="shared" si="3"/>
        <v>0</v>
      </c>
      <c r="O71" s="482" t="s">
        <v>764</v>
      </c>
      <c r="P71" s="482"/>
      <c r="Q71" s="482"/>
      <c r="R71" s="482" t="str">
        <f t="shared" si="4"/>
        <v/>
      </c>
    </row>
    <row r="72" spans="2:18" hidden="1">
      <c r="B72" s="480" t="s">
        <v>882</v>
      </c>
      <c r="C72" s="480" t="s">
        <v>904</v>
      </c>
      <c r="D72" s="481" t="s">
        <v>932</v>
      </c>
      <c r="E72" s="480" t="s">
        <v>1208</v>
      </c>
      <c r="F72" s="480" t="s">
        <v>1209</v>
      </c>
      <c r="G72" s="480" t="s">
        <v>880</v>
      </c>
      <c r="H72" s="483" t="s">
        <v>1148</v>
      </c>
      <c r="I72" s="480" t="s">
        <v>879</v>
      </c>
      <c r="J72" s="482" t="b">
        <f t="shared" ref="J72:J139" si="11">I72&lt;&gt;"N/A"</f>
        <v>0</v>
      </c>
      <c r="K72" s="482" t="b">
        <f t="shared" si="10"/>
        <v>0</v>
      </c>
      <c r="L72" s="482" t="b">
        <f>IF(D72="n/a","n/a",ISNUMBER(MATCH(D72,'Measure-Level Adjustments Tab'!D:D,0)))</f>
        <v>0</v>
      </c>
      <c r="M72" s="482" t="b">
        <f t="shared" ref="M72:M135" si="12">AND(G72="Errata",J72,L72)</f>
        <v>0</v>
      </c>
      <c r="N72" s="482" t="b">
        <f t="shared" ref="N72:N135" si="13">AND(G72="Revision",J72,L72)</f>
        <v>0</v>
      </c>
      <c r="O72" s="482" t="s">
        <v>764</v>
      </c>
      <c r="P72" s="482"/>
      <c r="Q72" s="482"/>
      <c r="R72" s="482" t="str">
        <f t="shared" ref="R72:R135" si="14">IF(Q72="","",HYPERLINK("#'"&amp;Q72,"Go To Update"))</f>
        <v/>
      </c>
    </row>
    <row r="73" spans="2:18" hidden="1">
      <c r="B73" s="480" t="s">
        <v>882</v>
      </c>
      <c r="C73" s="480" t="s">
        <v>904</v>
      </c>
      <c r="D73" s="481" t="s">
        <v>932</v>
      </c>
      <c r="E73" s="480" t="s">
        <v>1208</v>
      </c>
      <c r="F73" s="480" t="s">
        <v>1209</v>
      </c>
      <c r="G73" s="480" t="s">
        <v>880</v>
      </c>
      <c r="H73" s="483" t="s">
        <v>1210</v>
      </c>
      <c r="I73" s="480" t="s">
        <v>879</v>
      </c>
      <c r="J73" s="482" t="b">
        <f t="shared" si="11"/>
        <v>0</v>
      </c>
      <c r="K73" s="482" t="b">
        <f t="shared" si="10"/>
        <v>0</v>
      </c>
      <c r="L73" s="482" t="b">
        <f>IF(D73="n/a","n/a",ISNUMBER(MATCH(D73,'Measure-Level Adjustments Tab'!D:D,0)))</f>
        <v>0</v>
      </c>
      <c r="M73" s="482" t="b">
        <f t="shared" si="12"/>
        <v>0</v>
      </c>
      <c r="N73" s="482" t="b">
        <f t="shared" si="13"/>
        <v>0</v>
      </c>
      <c r="O73" s="482" t="s">
        <v>764</v>
      </c>
      <c r="P73" s="482"/>
      <c r="Q73" s="482"/>
      <c r="R73" s="482" t="str">
        <f t="shared" si="14"/>
        <v/>
      </c>
    </row>
    <row r="74" spans="2:18" hidden="1">
      <c r="B74" s="480" t="s">
        <v>882</v>
      </c>
      <c r="C74" s="480" t="s">
        <v>904</v>
      </c>
      <c r="D74" s="481" t="s">
        <v>934</v>
      </c>
      <c r="E74" s="480" t="s">
        <v>933</v>
      </c>
      <c r="F74" s="480" t="s">
        <v>1211</v>
      </c>
      <c r="G74" s="480" t="s">
        <v>880</v>
      </c>
      <c r="H74" s="483" t="s">
        <v>1212</v>
      </c>
      <c r="I74" s="480" t="s">
        <v>879</v>
      </c>
      <c r="J74" s="482" t="b">
        <f t="shared" si="11"/>
        <v>0</v>
      </c>
      <c r="K74" s="482" t="b">
        <f t="shared" si="10"/>
        <v>0</v>
      </c>
      <c r="L74" s="482" t="b">
        <f>IF(D74="n/a","n/a",ISNUMBER(MATCH(D74,'Measure-Level Adjustments Tab'!D:D,0)))</f>
        <v>0</v>
      </c>
      <c r="M74" s="482" t="b">
        <f t="shared" si="12"/>
        <v>0</v>
      </c>
      <c r="N74" s="482" t="b">
        <f t="shared" si="13"/>
        <v>0</v>
      </c>
      <c r="O74" s="482" t="s">
        <v>764</v>
      </c>
      <c r="P74" s="482"/>
      <c r="Q74" s="482"/>
      <c r="R74" s="482" t="str">
        <f t="shared" si="14"/>
        <v/>
      </c>
    </row>
    <row r="75" spans="2:18" hidden="1">
      <c r="B75" s="480" t="s">
        <v>882</v>
      </c>
      <c r="C75" s="480" t="s">
        <v>904</v>
      </c>
      <c r="D75" s="481" t="s">
        <v>938</v>
      </c>
      <c r="E75" s="480" t="s">
        <v>937</v>
      </c>
      <c r="F75" s="480" t="s">
        <v>1213</v>
      </c>
      <c r="G75" s="480" t="s">
        <v>880</v>
      </c>
      <c r="H75" s="480" t="s">
        <v>1214</v>
      </c>
      <c r="I75" s="480" t="s">
        <v>879</v>
      </c>
      <c r="J75" s="482" t="b">
        <f t="shared" si="11"/>
        <v>0</v>
      </c>
      <c r="K75" s="482" t="b">
        <f t="shared" si="10"/>
        <v>0</v>
      </c>
      <c r="L75" s="482" t="b">
        <f>IF(D75="n/a","n/a",ISNUMBER(MATCH(D75,'Measure-Level Adjustments Tab'!D:D,0)))</f>
        <v>0</v>
      </c>
      <c r="M75" s="482" t="b">
        <f t="shared" si="12"/>
        <v>0</v>
      </c>
      <c r="N75" s="482" t="b">
        <f t="shared" si="13"/>
        <v>0</v>
      </c>
      <c r="O75" s="482" t="s">
        <v>764</v>
      </c>
      <c r="P75" s="482"/>
      <c r="Q75" s="482"/>
      <c r="R75" s="482" t="str">
        <f t="shared" si="14"/>
        <v/>
      </c>
    </row>
    <row r="76" spans="2:18" hidden="1">
      <c r="B76" s="480" t="s">
        <v>882</v>
      </c>
      <c r="C76" s="480" t="s">
        <v>904</v>
      </c>
      <c r="D76" s="481" t="s">
        <v>939</v>
      </c>
      <c r="E76" s="480" t="s">
        <v>1422</v>
      </c>
      <c r="F76" s="480" t="s">
        <v>1215</v>
      </c>
      <c r="G76" s="480" t="s">
        <v>1141</v>
      </c>
      <c r="H76" s="480" t="s">
        <v>1183</v>
      </c>
      <c r="I76" s="480" t="s">
        <v>879</v>
      </c>
      <c r="J76" s="482" t="b">
        <f t="shared" si="11"/>
        <v>0</v>
      </c>
      <c r="K76" s="482" t="b">
        <f t="shared" si="10"/>
        <v>0</v>
      </c>
      <c r="L76" s="482" t="b">
        <f>IF(D76="n/a","n/a",ISNUMBER(MATCH(D76,'Measure-Level Adjustments Tab'!D:D,0)))</f>
        <v>0</v>
      </c>
      <c r="M76" s="482" t="b">
        <f t="shared" si="12"/>
        <v>0</v>
      </c>
      <c r="N76" s="482" t="b">
        <f t="shared" si="13"/>
        <v>0</v>
      </c>
      <c r="O76" s="482" t="s">
        <v>764</v>
      </c>
      <c r="P76" s="482"/>
      <c r="Q76" s="482"/>
      <c r="R76" s="482" t="str">
        <f t="shared" si="14"/>
        <v/>
      </c>
    </row>
    <row r="77" spans="2:18" hidden="1">
      <c r="B77" s="480" t="s">
        <v>882</v>
      </c>
      <c r="C77" s="480" t="s">
        <v>904</v>
      </c>
      <c r="D77" s="481" t="s">
        <v>940</v>
      </c>
      <c r="E77" s="480" t="s">
        <v>1216</v>
      </c>
      <c r="F77" s="480" t="s">
        <v>1217</v>
      </c>
      <c r="G77" s="480" t="s">
        <v>880</v>
      </c>
      <c r="H77" s="483" t="s">
        <v>1148</v>
      </c>
      <c r="I77" s="480" t="s">
        <v>879</v>
      </c>
      <c r="J77" s="482" t="b">
        <f t="shared" si="11"/>
        <v>0</v>
      </c>
      <c r="K77" s="482" t="b">
        <f t="shared" si="10"/>
        <v>0</v>
      </c>
      <c r="L77" s="482" t="b">
        <f>IF(D77="n/a","n/a",ISNUMBER(MATCH(D77,'Measure-Level Adjustments Tab'!D:D,0)))</f>
        <v>0</v>
      </c>
      <c r="M77" s="482" t="b">
        <f t="shared" si="12"/>
        <v>0</v>
      </c>
      <c r="N77" s="482" t="b">
        <f t="shared" si="13"/>
        <v>0</v>
      </c>
      <c r="O77" s="482" t="s">
        <v>764</v>
      </c>
      <c r="P77" s="482"/>
      <c r="Q77" s="482"/>
      <c r="R77" s="482" t="str">
        <f t="shared" si="14"/>
        <v/>
      </c>
    </row>
    <row r="78" spans="2:18" hidden="1">
      <c r="B78" s="480" t="s">
        <v>882</v>
      </c>
      <c r="C78" s="480" t="s">
        <v>904</v>
      </c>
      <c r="D78" s="481" t="s">
        <v>941</v>
      </c>
      <c r="E78" s="480" t="s">
        <v>1218</v>
      </c>
      <c r="F78" s="480" t="s">
        <v>1219</v>
      </c>
      <c r="G78" s="480" t="s">
        <v>880</v>
      </c>
      <c r="H78" s="480" t="s">
        <v>1220</v>
      </c>
      <c r="I78" s="480" t="s">
        <v>879</v>
      </c>
      <c r="J78" s="482" t="b">
        <f t="shared" si="11"/>
        <v>0</v>
      </c>
      <c r="K78" s="482" t="b">
        <f t="shared" si="10"/>
        <v>0</v>
      </c>
      <c r="L78" s="482" t="b">
        <f>IF(D78="n/a","n/a",ISNUMBER(MATCH(D78,'Measure-Level Adjustments Tab'!D:D,0)))</f>
        <v>0</v>
      </c>
      <c r="M78" s="482" t="b">
        <f t="shared" si="12"/>
        <v>0</v>
      </c>
      <c r="N78" s="482" t="b">
        <f t="shared" si="13"/>
        <v>0</v>
      </c>
      <c r="O78" s="482" t="s">
        <v>764</v>
      </c>
      <c r="P78" s="482"/>
      <c r="Q78" s="482"/>
      <c r="R78" s="482" t="str">
        <f t="shared" si="14"/>
        <v/>
      </c>
    </row>
    <row r="79" spans="2:18" hidden="1">
      <c r="B79" s="480" t="s">
        <v>882</v>
      </c>
      <c r="C79" s="480" t="s">
        <v>904</v>
      </c>
      <c r="D79" s="481" t="s">
        <v>941</v>
      </c>
      <c r="E79" s="480" t="s">
        <v>1218</v>
      </c>
      <c r="F79" s="480" t="s">
        <v>1219</v>
      </c>
      <c r="G79" s="480" t="s">
        <v>880</v>
      </c>
      <c r="H79" s="480" t="s">
        <v>1221</v>
      </c>
      <c r="I79" s="480" t="s">
        <v>879</v>
      </c>
      <c r="J79" s="482" t="b">
        <f t="shared" si="11"/>
        <v>0</v>
      </c>
      <c r="K79" s="482" t="b">
        <f t="shared" si="10"/>
        <v>0</v>
      </c>
      <c r="L79" s="482" t="b">
        <f>IF(D79="n/a","n/a",ISNUMBER(MATCH(D79,'Measure-Level Adjustments Tab'!D:D,0)))</f>
        <v>0</v>
      </c>
      <c r="M79" s="482" t="b">
        <f t="shared" si="12"/>
        <v>0</v>
      </c>
      <c r="N79" s="482" t="b">
        <f t="shared" si="13"/>
        <v>0</v>
      </c>
      <c r="O79" s="482" t="s">
        <v>764</v>
      </c>
      <c r="P79" s="482"/>
      <c r="Q79" s="482"/>
      <c r="R79" s="482" t="str">
        <f t="shared" si="14"/>
        <v/>
      </c>
    </row>
    <row r="80" spans="2:18" hidden="1">
      <c r="B80" s="480" t="s">
        <v>882</v>
      </c>
      <c r="C80" s="480" t="s">
        <v>904</v>
      </c>
      <c r="D80" s="481" t="s">
        <v>941</v>
      </c>
      <c r="E80" s="480" t="s">
        <v>1218</v>
      </c>
      <c r="F80" s="480" t="s">
        <v>1219</v>
      </c>
      <c r="G80" s="480" t="s">
        <v>880</v>
      </c>
      <c r="H80" s="480" t="s">
        <v>1222</v>
      </c>
      <c r="I80" s="480" t="s">
        <v>879</v>
      </c>
      <c r="J80" s="482" t="b">
        <f t="shared" si="11"/>
        <v>0</v>
      </c>
      <c r="K80" s="482" t="b">
        <f t="shared" si="10"/>
        <v>0</v>
      </c>
      <c r="L80" s="482" t="b">
        <f>IF(D80="n/a","n/a",ISNUMBER(MATCH(D80,'Measure-Level Adjustments Tab'!D:D,0)))</f>
        <v>0</v>
      </c>
      <c r="M80" s="482" t="b">
        <f t="shared" si="12"/>
        <v>0</v>
      </c>
      <c r="N80" s="482" t="b">
        <f t="shared" si="13"/>
        <v>0</v>
      </c>
      <c r="O80" s="482" t="s">
        <v>764</v>
      </c>
      <c r="P80" s="482"/>
      <c r="Q80" s="482"/>
      <c r="R80" s="482" t="str">
        <f t="shared" si="14"/>
        <v/>
      </c>
    </row>
    <row r="81" spans="2:18" hidden="1">
      <c r="B81" s="480" t="s">
        <v>882</v>
      </c>
      <c r="C81" s="480" t="s">
        <v>904</v>
      </c>
      <c r="D81" s="481" t="s">
        <v>1223</v>
      </c>
      <c r="E81" s="480" t="s">
        <v>1224</v>
      </c>
      <c r="F81" s="480" t="s">
        <v>1225</v>
      </c>
      <c r="G81" s="480" t="s">
        <v>881</v>
      </c>
      <c r="H81" s="480" t="s">
        <v>962</v>
      </c>
      <c r="I81" s="480" t="s">
        <v>879</v>
      </c>
      <c r="J81" s="482" t="b">
        <f t="shared" si="11"/>
        <v>0</v>
      </c>
      <c r="K81" s="482" t="b">
        <f t="shared" si="10"/>
        <v>0</v>
      </c>
      <c r="L81" s="482" t="b">
        <f>IF(D81="n/a","n/a",ISNUMBER(MATCH(D81,'Measure-Level Adjustments Tab'!D:D,0)))</f>
        <v>0</v>
      </c>
      <c r="M81" s="482" t="b">
        <f t="shared" si="12"/>
        <v>0</v>
      </c>
      <c r="N81" s="482" t="b">
        <f t="shared" si="13"/>
        <v>0</v>
      </c>
      <c r="O81" s="482" t="s">
        <v>764</v>
      </c>
      <c r="P81" s="482"/>
      <c r="Q81" s="482"/>
      <c r="R81" s="482" t="str">
        <f t="shared" si="14"/>
        <v/>
      </c>
    </row>
    <row r="82" spans="2:18" hidden="1">
      <c r="B82" s="480" t="s">
        <v>882</v>
      </c>
      <c r="C82" s="480" t="s">
        <v>904</v>
      </c>
      <c r="D82" s="481" t="s">
        <v>1226</v>
      </c>
      <c r="E82" s="480" t="s">
        <v>1227</v>
      </c>
      <c r="F82" s="480" t="s">
        <v>1228</v>
      </c>
      <c r="G82" s="480" t="s">
        <v>881</v>
      </c>
      <c r="H82" s="480" t="s">
        <v>962</v>
      </c>
      <c r="I82" s="480" t="s">
        <v>879</v>
      </c>
      <c r="J82" s="482" t="b">
        <f t="shared" si="11"/>
        <v>0</v>
      </c>
      <c r="K82" s="482" t="b">
        <f t="shared" si="10"/>
        <v>0</v>
      </c>
      <c r="L82" s="482" t="b">
        <f>IF(D82="n/a","n/a",ISNUMBER(MATCH(D82,'Measure-Level Adjustments Tab'!D:D,0)))</f>
        <v>0</v>
      </c>
      <c r="M82" s="482" t="b">
        <f t="shared" si="12"/>
        <v>0</v>
      </c>
      <c r="N82" s="482" t="b">
        <f t="shared" si="13"/>
        <v>0</v>
      </c>
      <c r="O82" s="482" t="s">
        <v>764</v>
      </c>
      <c r="P82" s="482"/>
      <c r="Q82" s="482"/>
      <c r="R82" s="482" t="str">
        <f t="shared" si="14"/>
        <v/>
      </c>
    </row>
    <row r="83" spans="2:18" hidden="1">
      <c r="B83" s="480" t="s">
        <v>882</v>
      </c>
      <c r="C83" s="480" t="s">
        <v>904</v>
      </c>
      <c r="D83" s="481" t="s">
        <v>1229</v>
      </c>
      <c r="E83" s="480" t="s">
        <v>1230</v>
      </c>
      <c r="F83" s="480" t="s">
        <v>1231</v>
      </c>
      <c r="G83" s="480" t="s">
        <v>881</v>
      </c>
      <c r="H83" s="480" t="s">
        <v>962</v>
      </c>
      <c r="I83" s="480" t="s">
        <v>879</v>
      </c>
      <c r="J83" s="482" t="b">
        <f t="shared" si="11"/>
        <v>0</v>
      </c>
      <c r="K83" s="482" t="b">
        <f t="shared" si="10"/>
        <v>0</v>
      </c>
      <c r="L83" s="482" t="b">
        <f>IF(D83="n/a","n/a",ISNUMBER(MATCH(D83,'Measure-Level Adjustments Tab'!D:D,0)))</f>
        <v>0</v>
      </c>
      <c r="M83" s="482" t="b">
        <f t="shared" si="12"/>
        <v>0</v>
      </c>
      <c r="N83" s="482" t="b">
        <f t="shared" si="13"/>
        <v>0</v>
      </c>
      <c r="O83" s="482" t="s">
        <v>764</v>
      </c>
      <c r="P83" s="482"/>
      <c r="Q83" s="482"/>
      <c r="R83" s="482" t="str">
        <f t="shared" si="14"/>
        <v/>
      </c>
    </row>
    <row r="84" spans="2:18" hidden="1">
      <c r="B84" s="480" t="s">
        <v>882</v>
      </c>
      <c r="C84" s="480" t="s">
        <v>942</v>
      </c>
      <c r="D84" s="481">
        <v>4.5</v>
      </c>
      <c r="E84" s="480" t="s">
        <v>1232</v>
      </c>
      <c r="F84" s="480" t="s">
        <v>879</v>
      </c>
      <c r="G84" s="480" t="s">
        <v>880</v>
      </c>
      <c r="H84" s="480" t="s">
        <v>1233</v>
      </c>
      <c r="I84" s="480" t="s">
        <v>879</v>
      </c>
      <c r="J84" s="482" t="b">
        <f t="shared" si="11"/>
        <v>0</v>
      </c>
      <c r="K84" s="482" t="b">
        <f t="shared" si="10"/>
        <v>0</v>
      </c>
      <c r="L84" s="482" t="b">
        <f>IF(D84="n/a","n/a",ISNUMBER(MATCH(D84,'Measure-Level Adjustments Tab'!D:D,0)))</f>
        <v>0</v>
      </c>
      <c r="M84" s="482" t="b">
        <f t="shared" si="12"/>
        <v>0</v>
      </c>
      <c r="N84" s="482" t="b">
        <f t="shared" si="13"/>
        <v>0</v>
      </c>
      <c r="O84" s="482" t="s">
        <v>764</v>
      </c>
      <c r="P84" s="482"/>
      <c r="Q84" s="482"/>
      <c r="R84" s="482" t="str">
        <f t="shared" si="14"/>
        <v/>
      </c>
    </row>
    <row r="85" spans="2:18" hidden="1">
      <c r="B85" s="480" t="s">
        <v>882</v>
      </c>
      <c r="C85" s="480" t="s">
        <v>942</v>
      </c>
      <c r="D85" s="481">
        <v>4.5</v>
      </c>
      <c r="E85" s="480" t="s">
        <v>1232</v>
      </c>
      <c r="F85" s="480" t="s">
        <v>879</v>
      </c>
      <c r="G85" s="480" t="s">
        <v>880</v>
      </c>
      <c r="H85" s="480" t="s">
        <v>1234</v>
      </c>
      <c r="I85" s="480" t="s">
        <v>879</v>
      </c>
      <c r="J85" s="482" t="b">
        <f t="shared" si="11"/>
        <v>0</v>
      </c>
      <c r="K85" s="482" t="b">
        <f t="shared" si="10"/>
        <v>0</v>
      </c>
      <c r="L85" s="482" t="b">
        <f>IF(D85="n/a","n/a",ISNUMBER(MATCH(D85,'Measure-Level Adjustments Tab'!D:D,0)))</f>
        <v>0</v>
      </c>
      <c r="M85" s="482" t="b">
        <f t="shared" si="12"/>
        <v>0</v>
      </c>
      <c r="N85" s="482" t="b">
        <f t="shared" si="13"/>
        <v>0</v>
      </c>
      <c r="O85" s="482" t="s">
        <v>764</v>
      </c>
      <c r="P85" s="482"/>
      <c r="Q85" s="482"/>
      <c r="R85" s="482" t="str">
        <f t="shared" si="14"/>
        <v/>
      </c>
    </row>
    <row r="86" spans="2:18" hidden="1">
      <c r="B86" s="480" t="s">
        <v>882</v>
      </c>
      <c r="C86" s="480" t="s">
        <v>942</v>
      </c>
      <c r="D86" s="481" t="s">
        <v>944</v>
      </c>
      <c r="E86" s="480" t="s">
        <v>943</v>
      </c>
      <c r="F86" s="480" t="s">
        <v>879</v>
      </c>
      <c r="G86" s="480" t="s">
        <v>1235</v>
      </c>
      <c r="H86" s="480" t="s">
        <v>1236</v>
      </c>
      <c r="I86" s="480" t="s">
        <v>879</v>
      </c>
      <c r="J86" s="482" t="b">
        <f t="shared" si="11"/>
        <v>0</v>
      </c>
      <c r="K86" s="482" t="b">
        <f t="shared" si="10"/>
        <v>0</v>
      </c>
      <c r="L86" s="482" t="b">
        <f>IF(D86="n/a","n/a",ISNUMBER(MATCH(D86,'Measure-Level Adjustments Tab'!D:D,0)))</f>
        <v>0</v>
      </c>
      <c r="M86" s="482" t="b">
        <f t="shared" si="12"/>
        <v>0</v>
      </c>
      <c r="N86" s="482" t="b">
        <f t="shared" si="13"/>
        <v>0</v>
      </c>
      <c r="O86" s="482" t="s">
        <v>764</v>
      </c>
      <c r="P86" s="482"/>
      <c r="Q86" s="482"/>
      <c r="R86" s="482" t="str">
        <f t="shared" si="14"/>
        <v/>
      </c>
    </row>
    <row r="87" spans="2:18" hidden="1">
      <c r="B87" s="480" t="s">
        <v>882</v>
      </c>
      <c r="C87" s="480" t="s">
        <v>942</v>
      </c>
      <c r="D87" s="481" t="s">
        <v>946</v>
      </c>
      <c r="E87" s="480" t="s">
        <v>945</v>
      </c>
      <c r="F87" s="480" t="s">
        <v>1237</v>
      </c>
      <c r="G87" s="480" t="s">
        <v>907</v>
      </c>
      <c r="H87" s="480" t="s">
        <v>1238</v>
      </c>
      <c r="I87" s="480" t="s">
        <v>879</v>
      </c>
      <c r="J87" s="482" t="b">
        <f t="shared" si="11"/>
        <v>0</v>
      </c>
      <c r="K87" s="482" t="b">
        <f t="shared" si="10"/>
        <v>1</v>
      </c>
      <c r="L87" s="482" t="b">
        <f>IF(D87="n/a","n/a",ISNUMBER(MATCH(D87,'Measure-Level Adjustments Tab'!D:D,0)))</f>
        <v>0</v>
      </c>
      <c r="M87" s="482" t="b">
        <f t="shared" si="12"/>
        <v>0</v>
      </c>
      <c r="N87" s="482" t="b">
        <f t="shared" si="13"/>
        <v>0</v>
      </c>
      <c r="O87" s="482" t="s">
        <v>764</v>
      </c>
      <c r="P87" s="482"/>
      <c r="Q87" s="482"/>
      <c r="R87" s="482" t="str">
        <f t="shared" si="14"/>
        <v/>
      </c>
    </row>
    <row r="88" spans="2:18" hidden="1">
      <c r="B88" s="480" t="s">
        <v>882</v>
      </c>
      <c r="C88" s="480" t="s">
        <v>942</v>
      </c>
      <c r="D88" s="481" t="s">
        <v>946</v>
      </c>
      <c r="E88" s="480" t="s">
        <v>945</v>
      </c>
      <c r="F88" s="480" t="s">
        <v>1239</v>
      </c>
      <c r="G88" s="480" t="s">
        <v>880</v>
      </c>
      <c r="H88" s="480" t="s">
        <v>1423</v>
      </c>
      <c r="I88" s="480" t="s">
        <v>1240</v>
      </c>
      <c r="J88" s="482" t="b">
        <f t="shared" si="11"/>
        <v>1</v>
      </c>
      <c r="K88" s="482" t="b">
        <f t="shared" si="10"/>
        <v>1</v>
      </c>
      <c r="L88" s="482" t="b">
        <f>IF(D88="n/a","n/a",ISNUMBER(MATCH(D88,'Measure-Level Adjustments Tab'!D:D,0)))</f>
        <v>0</v>
      </c>
      <c r="M88" s="482" t="b">
        <f t="shared" si="12"/>
        <v>0</v>
      </c>
      <c r="N88" s="482" t="b">
        <f t="shared" si="13"/>
        <v>0</v>
      </c>
      <c r="O88" s="482" t="s">
        <v>764</v>
      </c>
      <c r="P88" s="482"/>
      <c r="Q88" s="482"/>
      <c r="R88" s="482" t="str">
        <f t="shared" si="14"/>
        <v/>
      </c>
    </row>
    <row r="89" spans="2:18" hidden="1">
      <c r="B89" s="480" t="s">
        <v>882</v>
      </c>
      <c r="C89" s="480" t="s">
        <v>942</v>
      </c>
      <c r="D89" s="481" t="s">
        <v>948</v>
      </c>
      <c r="E89" s="483" t="s">
        <v>947</v>
      </c>
      <c r="F89" s="480" t="s">
        <v>1241</v>
      </c>
      <c r="G89" s="480" t="s">
        <v>907</v>
      </c>
      <c r="H89" s="480" t="s">
        <v>1242</v>
      </c>
      <c r="I89" s="480" t="s">
        <v>879</v>
      </c>
      <c r="J89" s="482" t="b">
        <f t="shared" si="11"/>
        <v>0</v>
      </c>
      <c r="K89" s="482" t="b">
        <f t="shared" si="10"/>
        <v>1</v>
      </c>
      <c r="L89" s="482" t="b">
        <f>IF(D89="n/a","n/a",ISNUMBER(MATCH(D89,'Measure-Level Adjustments Tab'!D:D,0)))</f>
        <v>0</v>
      </c>
      <c r="M89" s="482" t="b">
        <f t="shared" si="12"/>
        <v>0</v>
      </c>
      <c r="N89" s="482" t="b">
        <f t="shared" si="13"/>
        <v>0</v>
      </c>
      <c r="O89" s="482" t="s">
        <v>764</v>
      </c>
      <c r="P89" s="482"/>
      <c r="Q89" s="482"/>
      <c r="R89" s="482" t="str">
        <f t="shared" si="14"/>
        <v/>
      </c>
    </row>
    <row r="90" spans="2:18" hidden="1">
      <c r="B90" s="480" t="s">
        <v>882</v>
      </c>
      <c r="C90" s="480" t="s">
        <v>942</v>
      </c>
      <c r="D90" s="481" t="s">
        <v>948</v>
      </c>
      <c r="E90" s="483" t="s">
        <v>947</v>
      </c>
      <c r="F90" s="480" t="s">
        <v>1241</v>
      </c>
      <c r="G90" s="480" t="s">
        <v>1243</v>
      </c>
      <c r="H90" s="480" t="s">
        <v>1424</v>
      </c>
      <c r="I90" s="480" t="s">
        <v>1244</v>
      </c>
      <c r="J90" s="482" t="b">
        <f t="shared" si="11"/>
        <v>1</v>
      </c>
      <c r="K90" s="482" t="b">
        <f t="shared" si="10"/>
        <v>1</v>
      </c>
      <c r="L90" s="482" t="b">
        <f>IF(D90="n/a","n/a",ISNUMBER(MATCH(D90,'Measure-Level Adjustments Tab'!D:D,0)))</f>
        <v>0</v>
      </c>
      <c r="M90" s="482" t="b">
        <f t="shared" si="12"/>
        <v>0</v>
      </c>
      <c r="N90" s="482" t="b">
        <f t="shared" si="13"/>
        <v>0</v>
      </c>
      <c r="O90" s="482" t="s">
        <v>764</v>
      </c>
      <c r="P90" s="482"/>
      <c r="Q90" s="482"/>
      <c r="R90" s="482" t="str">
        <f t="shared" si="14"/>
        <v/>
      </c>
    </row>
    <row r="91" spans="2:18" hidden="1">
      <c r="B91" s="480" t="s">
        <v>882</v>
      </c>
      <c r="C91" s="480" t="s">
        <v>942</v>
      </c>
      <c r="D91" s="481" t="s">
        <v>1245</v>
      </c>
      <c r="E91" s="480" t="s">
        <v>1246</v>
      </c>
      <c r="F91" s="480" t="s">
        <v>1247</v>
      </c>
      <c r="G91" s="480" t="s">
        <v>880</v>
      </c>
      <c r="H91" s="480" t="s">
        <v>1248</v>
      </c>
      <c r="I91" s="480" t="s">
        <v>879</v>
      </c>
      <c r="J91" s="482" t="b">
        <f t="shared" si="11"/>
        <v>0</v>
      </c>
      <c r="K91" s="482" t="b">
        <f t="shared" si="10"/>
        <v>0</v>
      </c>
      <c r="L91" s="482" t="b">
        <f>IF(D91="n/a","n/a",ISNUMBER(MATCH(D91,'Measure-Level Adjustments Tab'!D:D,0)))</f>
        <v>0</v>
      </c>
      <c r="M91" s="482" t="b">
        <f t="shared" si="12"/>
        <v>0</v>
      </c>
      <c r="N91" s="482" t="b">
        <f t="shared" si="13"/>
        <v>0</v>
      </c>
      <c r="O91" s="482" t="s">
        <v>764</v>
      </c>
      <c r="P91" s="482"/>
      <c r="Q91" s="482"/>
      <c r="R91" s="482" t="str">
        <f t="shared" si="14"/>
        <v/>
      </c>
    </row>
    <row r="92" spans="2:18" hidden="1">
      <c r="B92" s="480" t="s">
        <v>882</v>
      </c>
      <c r="C92" s="480" t="s">
        <v>942</v>
      </c>
      <c r="D92" s="481" t="s">
        <v>951</v>
      </c>
      <c r="E92" s="483" t="s">
        <v>950</v>
      </c>
      <c r="F92" s="480" t="s">
        <v>1249</v>
      </c>
      <c r="G92" s="480" t="s">
        <v>907</v>
      </c>
      <c r="H92" s="483" t="s">
        <v>1250</v>
      </c>
      <c r="I92" s="480" t="s">
        <v>879</v>
      </c>
      <c r="J92" s="482" t="b">
        <f t="shared" si="11"/>
        <v>0</v>
      </c>
      <c r="K92" s="482" t="b">
        <f t="shared" si="10"/>
        <v>0</v>
      </c>
      <c r="L92" s="482" t="b">
        <f>IF(D92="n/a","n/a",ISNUMBER(MATCH(D92,'Measure-Level Adjustments Tab'!D:D,0)))</f>
        <v>0</v>
      </c>
      <c r="M92" s="482" t="b">
        <f t="shared" si="12"/>
        <v>0</v>
      </c>
      <c r="N92" s="482" t="b">
        <f t="shared" si="13"/>
        <v>0</v>
      </c>
      <c r="O92" s="482" t="s">
        <v>764</v>
      </c>
      <c r="P92" s="482"/>
      <c r="Q92" s="482"/>
      <c r="R92" s="482" t="str">
        <f t="shared" si="14"/>
        <v/>
      </c>
    </row>
    <row r="93" spans="2:18" hidden="1">
      <c r="B93" s="480" t="s">
        <v>882</v>
      </c>
      <c r="C93" s="480" t="s">
        <v>942</v>
      </c>
      <c r="D93" s="481" t="s">
        <v>1251</v>
      </c>
      <c r="E93" s="480" t="s">
        <v>1252</v>
      </c>
      <c r="F93" s="480" t="s">
        <v>1253</v>
      </c>
      <c r="G93" s="480" t="s">
        <v>880</v>
      </c>
      <c r="H93" s="480" t="s">
        <v>952</v>
      </c>
      <c r="I93" s="480" t="s">
        <v>879</v>
      </c>
      <c r="J93" s="482" t="b">
        <f t="shared" si="11"/>
        <v>0</v>
      </c>
      <c r="K93" s="482" t="b">
        <f t="shared" si="10"/>
        <v>0</v>
      </c>
      <c r="L93" s="482" t="b">
        <f>IF(D93="n/a","n/a",ISNUMBER(MATCH(D93,'Measure-Level Adjustments Tab'!D:D,0)))</f>
        <v>0</v>
      </c>
      <c r="M93" s="482" t="b">
        <f t="shared" si="12"/>
        <v>0</v>
      </c>
      <c r="N93" s="482" t="b">
        <f t="shared" si="13"/>
        <v>0</v>
      </c>
      <c r="O93" s="482" t="s">
        <v>764</v>
      </c>
      <c r="P93" s="482"/>
      <c r="Q93" s="482"/>
      <c r="R93" s="482" t="str">
        <f t="shared" si="14"/>
        <v/>
      </c>
    </row>
    <row r="94" spans="2:18" hidden="1">
      <c r="B94" s="480" t="s">
        <v>882</v>
      </c>
      <c r="C94" s="480" t="s">
        <v>942</v>
      </c>
      <c r="D94" s="481" t="s">
        <v>954</v>
      </c>
      <c r="E94" s="480" t="s">
        <v>953</v>
      </c>
      <c r="F94" s="480" t="s">
        <v>1254</v>
      </c>
      <c r="G94" s="480" t="s">
        <v>907</v>
      </c>
      <c r="H94" s="480" t="s">
        <v>1255</v>
      </c>
      <c r="I94" s="480" t="s">
        <v>911</v>
      </c>
      <c r="J94" s="482" t="b">
        <f t="shared" si="11"/>
        <v>1</v>
      </c>
      <c r="K94" s="482" t="b">
        <f t="shared" si="10"/>
        <v>1</v>
      </c>
      <c r="L94" s="482" t="b">
        <f>IF(D94="n/a","n/a",ISNUMBER(MATCH(D94,'Measure-Level Adjustments Tab'!D:D,0)))</f>
        <v>0</v>
      </c>
      <c r="M94" s="482" t="b">
        <f t="shared" si="12"/>
        <v>0</v>
      </c>
      <c r="N94" s="482" t="b">
        <f t="shared" si="13"/>
        <v>0</v>
      </c>
      <c r="O94" s="482" t="s">
        <v>764</v>
      </c>
      <c r="P94" s="482"/>
      <c r="Q94" s="482"/>
      <c r="R94" s="482" t="str">
        <f t="shared" si="14"/>
        <v/>
      </c>
    </row>
    <row r="95" spans="2:18" hidden="1">
      <c r="B95" s="480" t="s">
        <v>882</v>
      </c>
      <c r="C95" s="480" t="s">
        <v>942</v>
      </c>
      <c r="D95" s="481" t="s">
        <v>954</v>
      </c>
      <c r="E95" s="480" t="s">
        <v>953</v>
      </c>
      <c r="F95" s="480" t="s">
        <v>1254</v>
      </c>
      <c r="G95" s="480" t="s">
        <v>1243</v>
      </c>
      <c r="H95" s="480" t="s">
        <v>1256</v>
      </c>
      <c r="I95" s="480" t="s">
        <v>879</v>
      </c>
      <c r="J95" s="482" t="b">
        <f>I95&lt;&gt;"N/A"</f>
        <v>0</v>
      </c>
      <c r="K95" s="482" t="b">
        <f t="shared" si="10"/>
        <v>1</v>
      </c>
      <c r="L95" s="482" t="b">
        <f>IF(D95="n/a","n/a",ISNUMBER(MATCH(D95,'Measure-Level Adjustments Tab'!D:D,0)))</f>
        <v>0</v>
      </c>
      <c r="M95" s="482" t="b">
        <f t="shared" si="12"/>
        <v>0</v>
      </c>
      <c r="N95" s="482" t="b">
        <f t="shared" si="13"/>
        <v>0</v>
      </c>
      <c r="O95" s="482" t="s">
        <v>764</v>
      </c>
      <c r="P95" s="482"/>
      <c r="Q95" s="482"/>
      <c r="R95" s="482" t="str">
        <f t="shared" si="14"/>
        <v/>
      </c>
    </row>
    <row r="96" spans="2:18" hidden="1">
      <c r="B96" s="480" t="s">
        <v>882</v>
      </c>
      <c r="C96" s="480" t="s">
        <v>942</v>
      </c>
      <c r="D96" s="481" t="s">
        <v>956</v>
      </c>
      <c r="E96" s="483" t="s">
        <v>955</v>
      </c>
      <c r="F96" s="480" t="s">
        <v>879</v>
      </c>
      <c r="G96" s="480" t="s">
        <v>1235</v>
      </c>
      <c r="H96" s="480" t="s">
        <v>1236</v>
      </c>
      <c r="I96" s="480" t="s">
        <v>879</v>
      </c>
      <c r="J96" s="482" t="b">
        <f t="shared" si="11"/>
        <v>0</v>
      </c>
      <c r="K96" s="482" t="b">
        <f t="shared" si="10"/>
        <v>0</v>
      </c>
      <c r="L96" s="482" t="b">
        <f>IF(D96="n/a","n/a",ISNUMBER(MATCH(D96,'Measure-Level Adjustments Tab'!D:D,0)))</f>
        <v>0</v>
      </c>
      <c r="M96" s="482" t="b">
        <f t="shared" si="12"/>
        <v>0</v>
      </c>
      <c r="N96" s="482" t="b">
        <f t="shared" si="13"/>
        <v>0</v>
      </c>
      <c r="O96" s="482" t="s">
        <v>764</v>
      </c>
      <c r="P96" s="482"/>
      <c r="Q96" s="482"/>
      <c r="R96" s="482" t="str">
        <f t="shared" si="14"/>
        <v/>
      </c>
    </row>
    <row r="97" spans="2:18" hidden="1">
      <c r="B97" s="480" t="s">
        <v>882</v>
      </c>
      <c r="C97" s="480" t="s">
        <v>957</v>
      </c>
      <c r="D97" s="481" t="s">
        <v>959</v>
      </c>
      <c r="E97" s="480" t="s">
        <v>958</v>
      </c>
      <c r="F97" s="480" t="s">
        <v>1257</v>
      </c>
      <c r="G97" s="480" t="s">
        <v>880</v>
      </c>
      <c r="H97" s="480" t="s">
        <v>1258</v>
      </c>
      <c r="I97" s="480" t="s">
        <v>879</v>
      </c>
      <c r="J97" s="482" t="b">
        <f t="shared" si="11"/>
        <v>0</v>
      </c>
      <c r="K97" s="482" t="b">
        <f t="shared" si="10"/>
        <v>0</v>
      </c>
      <c r="L97" s="482" t="b">
        <f>IF(D97="n/a","n/a",ISNUMBER(MATCH(D97,'Measure-Level Adjustments Tab'!D:D,0)))</f>
        <v>0</v>
      </c>
      <c r="M97" s="482" t="b">
        <f t="shared" si="12"/>
        <v>0</v>
      </c>
      <c r="N97" s="482" t="b">
        <f t="shared" si="13"/>
        <v>0</v>
      </c>
      <c r="O97" s="482" t="s">
        <v>764</v>
      </c>
      <c r="P97" s="482"/>
      <c r="Q97" s="482"/>
      <c r="R97" s="482" t="str">
        <f t="shared" si="14"/>
        <v/>
      </c>
    </row>
    <row r="98" spans="2:18" hidden="1">
      <c r="B98" s="480" t="s">
        <v>882</v>
      </c>
      <c r="C98" s="480" t="s">
        <v>957</v>
      </c>
      <c r="D98" s="481" t="s">
        <v>1259</v>
      </c>
      <c r="E98" s="480" t="s">
        <v>1260</v>
      </c>
      <c r="F98" s="480" t="s">
        <v>1261</v>
      </c>
      <c r="G98" s="480" t="s">
        <v>880</v>
      </c>
      <c r="H98" s="480" t="s">
        <v>1262</v>
      </c>
      <c r="I98" s="480" t="s">
        <v>879</v>
      </c>
      <c r="J98" s="482" t="b">
        <f t="shared" si="11"/>
        <v>0</v>
      </c>
      <c r="K98" s="482" t="b">
        <f t="shared" si="10"/>
        <v>0</v>
      </c>
      <c r="L98" s="482" t="b">
        <f>IF(D98="n/a","n/a",ISNUMBER(MATCH(D98,'Measure-Level Adjustments Tab'!D:D,0)))</f>
        <v>0</v>
      </c>
      <c r="M98" s="482" t="b">
        <f t="shared" si="12"/>
        <v>0</v>
      </c>
      <c r="N98" s="482" t="b">
        <f t="shared" si="13"/>
        <v>0</v>
      </c>
      <c r="O98" s="482" t="s">
        <v>764</v>
      </c>
      <c r="P98" s="482"/>
      <c r="Q98" s="482"/>
      <c r="R98" s="482" t="str">
        <f t="shared" si="14"/>
        <v/>
      </c>
    </row>
    <row r="99" spans="2:18" hidden="1">
      <c r="B99" s="480" t="s">
        <v>882</v>
      </c>
      <c r="C99" s="480" t="s">
        <v>957</v>
      </c>
      <c r="D99" s="481" t="s">
        <v>1259</v>
      </c>
      <c r="E99" s="480" t="s">
        <v>1260</v>
      </c>
      <c r="F99" s="480" t="s">
        <v>1261</v>
      </c>
      <c r="G99" s="480" t="s">
        <v>880</v>
      </c>
      <c r="H99" s="480" t="s">
        <v>1016</v>
      </c>
      <c r="I99" s="480" t="s">
        <v>879</v>
      </c>
      <c r="J99" s="482" t="b">
        <f t="shared" si="11"/>
        <v>0</v>
      </c>
      <c r="K99" s="482" t="b">
        <f t="shared" si="10"/>
        <v>0</v>
      </c>
      <c r="L99" s="482" t="b">
        <f>IF(D99="n/a","n/a",ISNUMBER(MATCH(D99,'Measure-Level Adjustments Tab'!D:D,0)))</f>
        <v>0</v>
      </c>
      <c r="M99" s="482" t="b">
        <f t="shared" si="12"/>
        <v>0</v>
      </c>
      <c r="N99" s="482" t="b">
        <f t="shared" si="13"/>
        <v>0</v>
      </c>
      <c r="O99" s="482" t="s">
        <v>764</v>
      </c>
      <c r="P99" s="482"/>
      <c r="Q99" s="482"/>
      <c r="R99" s="482" t="str">
        <f t="shared" si="14"/>
        <v/>
      </c>
    </row>
    <row r="100" spans="2:18" hidden="1">
      <c r="B100" s="480" t="s">
        <v>882</v>
      </c>
      <c r="C100" s="480" t="s">
        <v>957</v>
      </c>
      <c r="D100" s="481" t="s">
        <v>961</v>
      </c>
      <c r="E100" s="480" t="s">
        <v>960</v>
      </c>
      <c r="F100" s="480" t="s">
        <v>1263</v>
      </c>
      <c r="G100" s="480" t="s">
        <v>880</v>
      </c>
      <c r="H100" s="480" t="s">
        <v>1264</v>
      </c>
      <c r="I100" s="480" t="s">
        <v>879</v>
      </c>
      <c r="J100" s="482" t="b">
        <f t="shared" si="11"/>
        <v>0</v>
      </c>
      <c r="K100" s="482" t="b">
        <f t="shared" si="10"/>
        <v>0</v>
      </c>
      <c r="L100" s="482" t="b">
        <f>IF(D100="n/a","n/a",ISNUMBER(MATCH(D100,'Measure-Level Adjustments Tab'!D:D,0)))</f>
        <v>0</v>
      </c>
      <c r="M100" s="482" t="b">
        <f t="shared" si="12"/>
        <v>0</v>
      </c>
      <c r="N100" s="482" t="b">
        <f t="shared" si="13"/>
        <v>0</v>
      </c>
      <c r="O100" s="482" t="s">
        <v>764</v>
      </c>
      <c r="P100" s="482"/>
      <c r="Q100" s="482"/>
      <c r="R100" s="482" t="str">
        <f t="shared" si="14"/>
        <v/>
      </c>
    </row>
    <row r="101" spans="2:18" hidden="1">
      <c r="B101" s="480" t="s">
        <v>882</v>
      </c>
      <c r="C101" s="480" t="s">
        <v>957</v>
      </c>
      <c r="D101" s="481" t="s">
        <v>963</v>
      </c>
      <c r="E101" s="480" t="s">
        <v>1265</v>
      </c>
      <c r="F101" s="480" t="s">
        <v>1266</v>
      </c>
      <c r="G101" s="480" t="s">
        <v>880</v>
      </c>
      <c r="H101" s="480" t="s">
        <v>1267</v>
      </c>
      <c r="I101" s="480" t="s">
        <v>1138</v>
      </c>
      <c r="J101" s="482" t="b">
        <f t="shared" si="11"/>
        <v>1</v>
      </c>
      <c r="K101" s="482" t="b">
        <f t="shared" si="10"/>
        <v>1</v>
      </c>
      <c r="L101" s="482" t="b">
        <f>IF(D101="n/a","n/a",ISNUMBER(MATCH(D101,'Measure-Level Adjustments Tab'!D:D,0)))</f>
        <v>0</v>
      </c>
      <c r="M101" s="482" t="b">
        <f t="shared" si="12"/>
        <v>0</v>
      </c>
      <c r="N101" s="482" t="b">
        <f t="shared" si="13"/>
        <v>0</v>
      </c>
      <c r="O101" s="482" t="s">
        <v>764</v>
      </c>
      <c r="P101" s="482"/>
      <c r="Q101" s="482"/>
      <c r="R101" s="482" t="str">
        <f t="shared" si="14"/>
        <v/>
      </c>
    </row>
    <row r="102" spans="2:18" hidden="1">
      <c r="B102" s="480" t="s">
        <v>882</v>
      </c>
      <c r="C102" s="480" t="s">
        <v>957</v>
      </c>
      <c r="D102" s="481" t="s">
        <v>963</v>
      </c>
      <c r="E102" s="480" t="s">
        <v>1265</v>
      </c>
      <c r="F102" s="480" t="s">
        <v>1266</v>
      </c>
      <c r="G102" s="480" t="s">
        <v>880</v>
      </c>
      <c r="H102" s="480" t="s">
        <v>1268</v>
      </c>
      <c r="I102" s="480" t="s">
        <v>1138</v>
      </c>
      <c r="J102" s="482" t="b">
        <f t="shared" si="11"/>
        <v>1</v>
      </c>
      <c r="K102" s="482" t="b">
        <f t="shared" si="10"/>
        <v>1</v>
      </c>
      <c r="L102" s="482" t="b">
        <f>IF(D102="n/a","n/a",ISNUMBER(MATCH(D102,'Measure-Level Adjustments Tab'!D:D,0)))</f>
        <v>0</v>
      </c>
      <c r="M102" s="482" t="b">
        <f t="shared" si="12"/>
        <v>0</v>
      </c>
      <c r="N102" s="482" t="b">
        <f t="shared" si="13"/>
        <v>0</v>
      </c>
      <c r="O102" s="482" t="s">
        <v>764</v>
      </c>
      <c r="P102" s="482"/>
      <c r="Q102" s="482"/>
      <c r="R102" s="482" t="str">
        <f t="shared" si="14"/>
        <v/>
      </c>
    </row>
    <row r="103" spans="2:18" hidden="1">
      <c r="B103" s="480" t="s">
        <v>882</v>
      </c>
      <c r="C103" s="480" t="s">
        <v>964</v>
      </c>
      <c r="D103" s="481" t="s">
        <v>966</v>
      </c>
      <c r="E103" s="480" t="s">
        <v>965</v>
      </c>
      <c r="F103" s="480" t="s">
        <v>1269</v>
      </c>
      <c r="G103" s="480" t="s">
        <v>880</v>
      </c>
      <c r="H103" s="480" t="s">
        <v>1270</v>
      </c>
      <c r="I103" s="480" t="s">
        <v>879</v>
      </c>
      <c r="J103" s="482" t="b">
        <f t="shared" si="11"/>
        <v>0</v>
      </c>
      <c r="K103" s="482" t="b">
        <f t="shared" ref="K103:K134" si="15">COUNTIFS(D:D,D103,J:J,TRUE)&gt;0</f>
        <v>0</v>
      </c>
      <c r="L103" s="482" t="b">
        <f>IF(D103="n/a","n/a",ISNUMBER(MATCH(D103,'Measure-Level Adjustments Tab'!D:D,0)))</f>
        <v>0</v>
      </c>
      <c r="M103" s="482" t="b">
        <f t="shared" si="12"/>
        <v>0</v>
      </c>
      <c r="N103" s="482" t="b">
        <f t="shared" si="13"/>
        <v>0</v>
      </c>
      <c r="O103" s="482" t="s">
        <v>764</v>
      </c>
      <c r="P103" s="482"/>
      <c r="Q103" s="482"/>
      <c r="R103" s="482" t="str">
        <f t="shared" si="14"/>
        <v/>
      </c>
    </row>
    <row r="104" spans="2:18" hidden="1">
      <c r="B104" s="480" t="s">
        <v>882</v>
      </c>
      <c r="C104" s="480" t="s">
        <v>964</v>
      </c>
      <c r="D104" s="481" t="s">
        <v>966</v>
      </c>
      <c r="E104" s="480" t="s">
        <v>965</v>
      </c>
      <c r="F104" s="480" t="s">
        <v>1269</v>
      </c>
      <c r="G104" s="480" t="s">
        <v>880</v>
      </c>
      <c r="H104" s="480" t="s">
        <v>1271</v>
      </c>
      <c r="I104" s="480" t="s">
        <v>879</v>
      </c>
      <c r="J104" s="482" t="b">
        <f t="shared" si="11"/>
        <v>0</v>
      </c>
      <c r="K104" s="482" t="b">
        <f t="shared" si="15"/>
        <v>0</v>
      </c>
      <c r="L104" s="482" t="b">
        <f>IF(D104="n/a","n/a",ISNUMBER(MATCH(D104,'Measure-Level Adjustments Tab'!D:D,0)))</f>
        <v>0</v>
      </c>
      <c r="M104" s="482" t="b">
        <f t="shared" si="12"/>
        <v>0</v>
      </c>
      <c r="N104" s="482" t="b">
        <f t="shared" si="13"/>
        <v>0</v>
      </c>
      <c r="O104" s="482" t="s">
        <v>764</v>
      </c>
      <c r="P104" s="482"/>
      <c r="Q104" s="482"/>
      <c r="R104" s="482" t="str">
        <f t="shared" si="14"/>
        <v/>
      </c>
    </row>
    <row r="105" spans="2:18" hidden="1">
      <c r="B105" s="480" t="s">
        <v>882</v>
      </c>
      <c r="C105" s="480" t="s">
        <v>964</v>
      </c>
      <c r="D105" s="481" t="s">
        <v>966</v>
      </c>
      <c r="E105" s="480" t="s">
        <v>965</v>
      </c>
      <c r="F105" s="480" t="s">
        <v>1269</v>
      </c>
      <c r="G105" s="480" t="s">
        <v>880</v>
      </c>
      <c r="H105" s="480" t="s">
        <v>1272</v>
      </c>
      <c r="I105" s="480" t="s">
        <v>879</v>
      </c>
      <c r="J105" s="482" t="b">
        <f t="shared" si="11"/>
        <v>0</v>
      </c>
      <c r="K105" s="482" t="b">
        <f t="shared" si="15"/>
        <v>0</v>
      </c>
      <c r="L105" s="482" t="b">
        <f>IF(D105="n/a","n/a",ISNUMBER(MATCH(D105,'Measure-Level Adjustments Tab'!D:D,0)))</f>
        <v>0</v>
      </c>
      <c r="M105" s="482" t="b">
        <f t="shared" si="12"/>
        <v>0</v>
      </c>
      <c r="N105" s="482" t="b">
        <f t="shared" si="13"/>
        <v>0</v>
      </c>
      <c r="O105" s="482" t="s">
        <v>764</v>
      </c>
      <c r="P105" s="482"/>
      <c r="Q105" s="482"/>
      <c r="R105" s="482" t="str">
        <f t="shared" si="14"/>
        <v/>
      </c>
    </row>
    <row r="106" spans="2:18" hidden="1">
      <c r="B106" s="480" t="s">
        <v>882</v>
      </c>
      <c r="C106" s="480" t="s">
        <v>964</v>
      </c>
      <c r="D106" s="481" t="s">
        <v>968</v>
      </c>
      <c r="E106" s="483" t="s">
        <v>967</v>
      </c>
      <c r="F106" s="480" t="s">
        <v>1273</v>
      </c>
      <c r="G106" s="480" t="s">
        <v>880</v>
      </c>
      <c r="H106" s="483" t="s">
        <v>1274</v>
      </c>
      <c r="I106" s="480" t="s">
        <v>879</v>
      </c>
      <c r="J106" s="482" t="b">
        <f t="shared" si="11"/>
        <v>0</v>
      </c>
      <c r="K106" s="482" t="b">
        <f t="shared" si="15"/>
        <v>0</v>
      </c>
      <c r="L106" s="482" t="b">
        <f>IF(D106="n/a","n/a",ISNUMBER(MATCH(D106,'Measure-Level Adjustments Tab'!D:D,0)))</f>
        <v>0</v>
      </c>
      <c r="M106" s="482" t="b">
        <f t="shared" si="12"/>
        <v>0</v>
      </c>
      <c r="N106" s="482" t="b">
        <f t="shared" si="13"/>
        <v>0</v>
      </c>
      <c r="O106" s="482" t="s">
        <v>764</v>
      </c>
      <c r="P106" s="482"/>
      <c r="Q106" s="482"/>
      <c r="R106" s="482" t="str">
        <f t="shared" si="14"/>
        <v/>
      </c>
    </row>
    <row r="107" spans="2:18" hidden="1">
      <c r="B107" s="480" t="s">
        <v>882</v>
      </c>
      <c r="C107" s="480" t="s">
        <v>964</v>
      </c>
      <c r="D107" s="481" t="s">
        <v>970</v>
      </c>
      <c r="E107" s="483" t="s">
        <v>969</v>
      </c>
      <c r="F107" s="480" t="s">
        <v>1275</v>
      </c>
      <c r="G107" s="480" t="s">
        <v>880</v>
      </c>
      <c r="H107" s="483" t="s">
        <v>1276</v>
      </c>
      <c r="I107" s="480" t="s">
        <v>879</v>
      </c>
      <c r="J107" s="482" t="b">
        <f t="shared" si="11"/>
        <v>0</v>
      </c>
      <c r="K107" s="482" t="b">
        <f t="shared" si="15"/>
        <v>0</v>
      </c>
      <c r="L107" s="482" t="b">
        <f>IF(D107="n/a","n/a",ISNUMBER(MATCH(D107,'Measure-Level Adjustments Tab'!D:D,0)))</f>
        <v>0</v>
      </c>
      <c r="M107" s="482" t="b">
        <f t="shared" si="12"/>
        <v>0</v>
      </c>
      <c r="N107" s="482" t="b">
        <f t="shared" si="13"/>
        <v>0</v>
      </c>
      <c r="O107" s="482" t="s">
        <v>764</v>
      </c>
      <c r="P107" s="482"/>
      <c r="Q107" s="482"/>
      <c r="R107" s="482" t="str">
        <f t="shared" si="14"/>
        <v/>
      </c>
    </row>
    <row r="108" spans="2:18" hidden="1">
      <c r="B108" s="480" t="s">
        <v>882</v>
      </c>
      <c r="C108" s="480" t="s">
        <v>964</v>
      </c>
      <c r="D108" s="481" t="s">
        <v>1277</v>
      </c>
      <c r="E108" s="483" t="s">
        <v>1278</v>
      </c>
      <c r="F108" s="480" t="s">
        <v>1279</v>
      </c>
      <c r="G108" s="480" t="s">
        <v>881</v>
      </c>
      <c r="H108" s="480" t="s">
        <v>962</v>
      </c>
      <c r="I108" s="480" t="s">
        <v>879</v>
      </c>
      <c r="J108" s="482" t="b">
        <f t="shared" si="11"/>
        <v>0</v>
      </c>
      <c r="K108" s="482" t="b">
        <f t="shared" si="15"/>
        <v>0</v>
      </c>
      <c r="L108" s="482" t="b">
        <f>IF(D108="n/a","n/a",ISNUMBER(MATCH(D108,'Measure-Level Adjustments Tab'!D:D,0)))</f>
        <v>0</v>
      </c>
      <c r="M108" s="482" t="b">
        <f t="shared" si="12"/>
        <v>0</v>
      </c>
      <c r="N108" s="482" t="b">
        <f t="shared" si="13"/>
        <v>0</v>
      </c>
      <c r="O108" s="482" t="s">
        <v>764</v>
      </c>
      <c r="P108" s="482"/>
      <c r="Q108" s="482"/>
      <c r="R108" s="482" t="str">
        <f t="shared" si="14"/>
        <v/>
      </c>
    </row>
    <row r="109" spans="2:18" hidden="1">
      <c r="B109" s="480" t="s">
        <v>882</v>
      </c>
      <c r="C109" s="480" t="s">
        <v>964</v>
      </c>
      <c r="D109" s="481" t="s">
        <v>1280</v>
      </c>
      <c r="E109" s="480" t="s">
        <v>1281</v>
      </c>
      <c r="F109" s="480" t="s">
        <v>1282</v>
      </c>
      <c r="G109" s="480" t="s">
        <v>881</v>
      </c>
      <c r="H109" s="480" t="s">
        <v>962</v>
      </c>
      <c r="I109" s="480" t="s">
        <v>879</v>
      </c>
      <c r="J109" s="482" t="b">
        <f t="shared" si="11"/>
        <v>0</v>
      </c>
      <c r="K109" s="482" t="b">
        <f t="shared" si="15"/>
        <v>0</v>
      </c>
      <c r="L109" s="482" t="b">
        <f>IF(D109="n/a","n/a",ISNUMBER(MATCH(D109,'Measure-Level Adjustments Tab'!D:D,0)))</f>
        <v>0</v>
      </c>
      <c r="M109" s="482" t="b">
        <f t="shared" si="12"/>
        <v>0</v>
      </c>
      <c r="N109" s="482" t="b">
        <f t="shared" si="13"/>
        <v>0</v>
      </c>
      <c r="O109" s="482" t="s">
        <v>764</v>
      </c>
      <c r="P109" s="482"/>
      <c r="Q109" s="482"/>
      <c r="R109" s="482" t="str">
        <f t="shared" si="14"/>
        <v/>
      </c>
    </row>
    <row r="110" spans="2:18" hidden="1">
      <c r="B110" s="480" t="s">
        <v>882</v>
      </c>
      <c r="C110" s="480" t="s">
        <v>971</v>
      </c>
      <c r="D110" s="481" t="s">
        <v>973</v>
      </c>
      <c r="E110" s="480" t="s">
        <v>972</v>
      </c>
      <c r="F110" s="480" t="s">
        <v>1283</v>
      </c>
      <c r="G110" s="480" t="s">
        <v>880</v>
      </c>
      <c r="H110" s="483" t="s">
        <v>1148</v>
      </c>
      <c r="I110" s="480" t="s">
        <v>879</v>
      </c>
      <c r="J110" s="482" t="b">
        <f t="shared" si="11"/>
        <v>0</v>
      </c>
      <c r="K110" s="482" t="b">
        <f t="shared" si="15"/>
        <v>0</v>
      </c>
      <c r="L110" s="482" t="b">
        <f>IF(D110="n/a","n/a",ISNUMBER(MATCH(D110,'Measure-Level Adjustments Tab'!D:D,0)))</f>
        <v>0</v>
      </c>
      <c r="M110" s="482" t="b">
        <f t="shared" si="12"/>
        <v>0</v>
      </c>
      <c r="N110" s="482" t="b">
        <f t="shared" si="13"/>
        <v>0</v>
      </c>
      <c r="O110" s="482" t="s">
        <v>764</v>
      </c>
      <c r="P110" s="482"/>
      <c r="Q110" s="482"/>
      <c r="R110" s="482" t="str">
        <f t="shared" si="14"/>
        <v/>
      </c>
    </row>
    <row r="111" spans="2:18" hidden="1">
      <c r="B111" s="480" t="s">
        <v>882</v>
      </c>
      <c r="C111" s="480" t="s">
        <v>971</v>
      </c>
      <c r="D111" s="481" t="s">
        <v>1284</v>
      </c>
      <c r="E111" s="483" t="s">
        <v>1285</v>
      </c>
      <c r="F111" s="480" t="s">
        <v>1286</v>
      </c>
      <c r="G111" s="480" t="s">
        <v>880</v>
      </c>
      <c r="H111" s="483" t="s">
        <v>1287</v>
      </c>
      <c r="I111" s="480" t="s">
        <v>908</v>
      </c>
      <c r="J111" s="482" t="b">
        <f t="shared" si="11"/>
        <v>1</v>
      </c>
      <c r="K111" s="482" t="b">
        <f t="shared" si="15"/>
        <v>1</v>
      </c>
      <c r="L111" s="482" t="b">
        <f>IF(D111="n/a","n/a",ISNUMBER(MATCH(D111,'Measure-Level Adjustments Tab'!D:D,0)))</f>
        <v>0</v>
      </c>
      <c r="M111" s="482" t="b">
        <f t="shared" si="12"/>
        <v>0</v>
      </c>
      <c r="N111" s="482" t="b">
        <f t="shared" si="13"/>
        <v>0</v>
      </c>
      <c r="O111" s="482" t="s">
        <v>764</v>
      </c>
      <c r="P111" s="482"/>
      <c r="Q111" s="482"/>
      <c r="R111" s="482" t="str">
        <f t="shared" si="14"/>
        <v/>
      </c>
    </row>
    <row r="112" spans="2:18" hidden="1">
      <c r="B112" s="480" t="s">
        <v>882</v>
      </c>
      <c r="C112" s="480" t="s">
        <v>971</v>
      </c>
      <c r="D112" s="481" t="s">
        <v>1288</v>
      </c>
      <c r="E112" s="480" t="s">
        <v>1289</v>
      </c>
      <c r="F112" s="480" t="s">
        <v>1290</v>
      </c>
      <c r="G112" s="480" t="s">
        <v>880</v>
      </c>
      <c r="H112" s="480" t="s">
        <v>1291</v>
      </c>
      <c r="I112" s="480" t="s">
        <v>887</v>
      </c>
      <c r="J112" s="482" t="b">
        <f t="shared" si="11"/>
        <v>1</v>
      </c>
      <c r="K112" s="482" t="b">
        <f t="shared" si="15"/>
        <v>1</v>
      </c>
      <c r="L112" s="482" t="b">
        <f>IF(D112="n/a","n/a",ISNUMBER(MATCH(D112,'Measure-Level Adjustments Tab'!D:D,0)))</f>
        <v>0</v>
      </c>
      <c r="M112" s="482" t="b">
        <f t="shared" si="12"/>
        <v>0</v>
      </c>
      <c r="N112" s="482" t="b">
        <f t="shared" si="13"/>
        <v>0</v>
      </c>
      <c r="O112" s="482" t="s">
        <v>764</v>
      </c>
      <c r="P112" s="482"/>
      <c r="Q112" s="482"/>
      <c r="R112" s="482" t="str">
        <f t="shared" si="14"/>
        <v/>
      </c>
    </row>
    <row r="113" spans="2:18" hidden="1">
      <c r="B113" s="480" t="s">
        <v>882</v>
      </c>
      <c r="C113" s="480" t="s">
        <v>971</v>
      </c>
      <c r="D113" s="481" t="s">
        <v>975</v>
      </c>
      <c r="E113" s="480" t="s">
        <v>974</v>
      </c>
      <c r="F113" s="480" t="s">
        <v>1292</v>
      </c>
      <c r="G113" s="480" t="s">
        <v>880</v>
      </c>
      <c r="H113" s="480" t="s">
        <v>1293</v>
      </c>
      <c r="I113" s="480" t="s">
        <v>879</v>
      </c>
      <c r="J113" s="482" t="b">
        <f t="shared" si="11"/>
        <v>0</v>
      </c>
      <c r="K113" s="482" t="b">
        <f t="shared" si="15"/>
        <v>0</v>
      </c>
      <c r="L113" s="482" t="b">
        <f>IF(D113="n/a","n/a",ISNUMBER(MATCH(D113,'Measure-Level Adjustments Tab'!D:D,0)))</f>
        <v>0</v>
      </c>
      <c r="M113" s="482" t="b">
        <f t="shared" si="12"/>
        <v>0</v>
      </c>
      <c r="N113" s="482" t="b">
        <f t="shared" si="13"/>
        <v>0</v>
      </c>
      <c r="O113" s="482" t="s">
        <v>764</v>
      </c>
      <c r="P113" s="482"/>
      <c r="Q113" s="482"/>
      <c r="R113" s="482" t="str">
        <f t="shared" si="14"/>
        <v/>
      </c>
    </row>
    <row r="114" spans="2:18" hidden="1">
      <c r="B114" s="480" t="s">
        <v>882</v>
      </c>
      <c r="C114" s="480" t="s">
        <v>971</v>
      </c>
      <c r="D114" s="481" t="s">
        <v>1294</v>
      </c>
      <c r="E114" s="480" t="s">
        <v>1295</v>
      </c>
      <c r="F114" s="480" t="s">
        <v>1296</v>
      </c>
      <c r="G114" s="480" t="s">
        <v>881</v>
      </c>
      <c r="H114" s="480" t="s">
        <v>962</v>
      </c>
      <c r="I114" s="480" t="s">
        <v>879</v>
      </c>
      <c r="J114" s="482" t="b">
        <f t="shared" si="11"/>
        <v>0</v>
      </c>
      <c r="K114" s="482" t="b">
        <f t="shared" si="15"/>
        <v>0</v>
      </c>
      <c r="L114" s="482" t="b">
        <f>IF(D114="n/a","n/a",ISNUMBER(MATCH(D114,'Measure-Level Adjustments Tab'!D:D,0)))</f>
        <v>0</v>
      </c>
      <c r="M114" s="482" t="b">
        <f t="shared" si="12"/>
        <v>0</v>
      </c>
      <c r="N114" s="482" t="b">
        <f t="shared" si="13"/>
        <v>0</v>
      </c>
      <c r="O114" s="482" t="s">
        <v>764</v>
      </c>
      <c r="P114" s="482"/>
      <c r="Q114" s="482"/>
      <c r="R114" s="482" t="str">
        <f t="shared" si="14"/>
        <v/>
      </c>
    </row>
    <row r="115" spans="2:18" hidden="1">
      <c r="B115" s="480" t="s">
        <v>882</v>
      </c>
      <c r="C115" s="480" t="s">
        <v>971</v>
      </c>
      <c r="D115" s="481" t="s">
        <v>1297</v>
      </c>
      <c r="E115" s="480" t="s">
        <v>1298</v>
      </c>
      <c r="F115" s="480" t="s">
        <v>1299</v>
      </c>
      <c r="G115" s="480" t="s">
        <v>881</v>
      </c>
      <c r="H115" s="480" t="s">
        <v>962</v>
      </c>
      <c r="I115" s="480" t="s">
        <v>879</v>
      </c>
      <c r="J115" s="482" t="b">
        <f t="shared" si="11"/>
        <v>0</v>
      </c>
      <c r="K115" s="482" t="b">
        <f t="shared" si="15"/>
        <v>0</v>
      </c>
      <c r="L115" s="482" t="b">
        <f>IF(D115="n/a","n/a",ISNUMBER(MATCH(D115,'Measure-Level Adjustments Tab'!D:D,0)))</f>
        <v>0</v>
      </c>
      <c r="M115" s="482" t="b">
        <f t="shared" si="12"/>
        <v>0</v>
      </c>
      <c r="N115" s="482" t="b">
        <f t="shared" si="13"/>
        <v>0</v>
      </c>
      <c r="O115" s="482" t="s">
        <v>764</v>
      </c>
      <c r="P115" s="482"/>
      <c r="Q115" s="482"/>
      <c r="R115" s="482" t="str">
        <f t="shared" si="14"/>
        <v/>
      </c>
    </row>
    <row r="116" spans="2:18" hidden="1">
      <c r="B116" s="480" t="s">
        <v>882</v>
      </c>
      <c r="C116" s="480" t="s">
        <v>971</v>
      </c>
      <c r="D116" s="481" t="s">
        <v>1300</v>
      </c>
      <c r="E116" s="480" t="s">
        <v>1301</v>
      </c>
      <c r="F116" s="480" t="s">
        <v>1302</v>
      </c>
      <c r="G116" s="480" t="s">
        <v>881</v>
      </c>
      <c r="H116" s="480" t="s">
        <v>962</v>
      </c>
      <c r="I116" s="480" t="s">
        <v>879</v>
      </c>
      <c r="J116" s="482" t="b">
        <f t="shared" si="11"/>
        <v>0</v>
      </c>
      <c r="K116" s="482" t="b">
        <f t="shared" si="15"/>
        <v>0</v>
      </c>
      <c r="L116" s="482" t="b">
        <f>IF(D116="n/a","n/a",ISNUMBER(MATCH(D116,'Measure-Level Adjustments Tab'!D:D,0)))</f>
        <v>0</v>
      </c>
      <c r="M116" s="482" t="b">
        <f t="shared" si="12"/>
        <v>0</v>
      </c>
      <c r="N116" s="482" t="b">
        <f t="shared" si="13"/>
        <v>0</v>
      </c>
      <c r="O116" s="482" t="s">
        <v>764</v>
      </c>
      <c r="P116" s="482"/>
      <c r="Q116" s="482"/>
      <c r="R116" s="482" t="str">
        <f t="shared" si="14"/>
        <v/>
      </c>
    </row>
    <row r="117" spans="2:18" hidden="1">
      <c r="B117" s="480" t="s">
        <v>882</v>
      </c>
      <c r="C117" s="480" t="s">
        <v>971</v>
      </c>
      <c r="D117" s="481" t="s">
        <v>1303</v>
      </c>
      <c r="E117" s="480" t="s">
        <v>1304</v>
      </c>
      <c r="F117" s="480" t="s">
        <v>1305</v>
      </c>
      <c r="G117" s="480" t="s">
        <v>881</v>
      </c>
      <c r="H117" s="480" t="s">
        <v>962</v>
      </c>
      <c r="I117" s="480" t="s">
        <v>879</v>
      </c>
      <c r="J117" s="482" t="b">
        <f t="shared" si="11"/>
        <v>0</v>
      </c>
      <c r="K117" s="482" t="b">
        <f t="shared" si="15"/>
        <v>0</v>
      </c>
      <c r="L117" s="482" t="b">
        <f>IF(D117="n/a","n/a",ISNUMBER(MATCH(D117,'Measure-Level Adjustments Tab'!D:D,0)))</f>
        <v>0</v>
      </c>
      <c r="M117" s="482" t="b">
        <f t="shared" si="12"/>
        <v>0</v>
      </c>
      <c r="N117" s="482" t="b">
        <f t="shared" si="13"/>
        <v>0</v>
      </c>
      <c r="O117" s="482" t="s">
        <v>764</v>
      </c>
      <c r="P117" s="482"/>
      <c r="Q117" s="482"/>
      <c r="R117" s="482" t="str">
        <f t="shared" si="14"/>
        <v/>
      </c>
    </row>
    <row r="118" spans="2:18" hidden="1">
      <c r="B118" s="480" t="s">
        <v>882</v>
      </c>
      <c r="C118" s="480" t="s">
        <v>971</v>
      </c>
      <c r="D118" s="481" t="s">
        <v>1306</v>
      </c>
      <c r="E118" s="480" t="s">
        <v>1307</v>
      </c>
      <c r="F118" s="480" t="s">
        <v>1308</v>
      </c>
      <c r="G118" s="480" t="s">
        <v>881</v>
      </c>
      <c r="H118" s="480" t="s">
        <v>962</v>
      </c>
      <c r="I118" s="480" t="s">
        <v>879</v>
      </c>
      <c r="J118" s="482" t="b">
        <f t="shared" si="11"/>
        <v>0</v>
      </c>
      <c r="K118" s="482" t="b">
        <f t="shared" si="15"/>
        <v>0</v>
      </c>
      <c r="L118" s="482" t="b">
        <f>IF(D118="n/a","n/a",ISNUMBER(MATCH(D118,'Measure-Level Adjustments Tab'!D:D,0)))</f>
        <v>0</v>
      </c>
      <c r="M118" s="482" t="b">
        <f t="shared" si="12"/>
        <v>0</v>
      </c>
      <c r="N118" s="482" t="b">
        <f t="shared" si="13"/>
        <v>0</v>
      </c>
      <c r="O118" s="482" t="s">
        <v>764</v>
      </c>
      <c r="P118" s="482"/>
      <c r="Q118" s="482"/>
      <c r="R118" s="482" t="str">
        <f t="shared" si="14"/>
        <v/>
      </c>
    </row>
    <row r="119" spans="2:18" hidden="1">
      <c r="B119" s="480" t="s">
        <v>976</v>
      </c>
      <c r="C119" s="480" t="s">
        <v>977</v>
      </c>
      <c r="D119" s="481" t="s">
        <v>1309</v>
      </c>
      <c r="E119" s="480" t="s">
        <v>1310</v>
      </c>
      <c r="F119" s="480" t="s">
        <v>1311</v>
      </c>
      <c r="G119" s="480" t="s">
        <v>880</v>
      </c>
      <c r="H119" s="480" t="s">
        <v>1312</v>
      </c>
      <c r="I119" s="480" t="s">
        <v>879</v>
      </c>
      <c r="J119" s="482" t="b">
        <f t="shared" si="11"/>
        <v>0</v>
      </c>
      <c r="K119" s="482" t="b">
        <f t="shared" si="15"/>
        <v>0</v>
      </c>
      <c r="L119" s="482" t="b">
        <f>IF(D119="n/a","n/a",ISNUMBER(MATCH(D119,'Measure-Level Adjustments Tab'!D:D,0)))</f>
        <v>0</v>
      </c>
      <c r="M119" s="482" t="b">
        <f t="shared" si="12"/>
        <v>0</v>
      </c>
      <c r="N119" s="482" t="b">
        <f t="shared" si="13"/>
        <v>0</v>
      </c>
      <c r="O119" s="482" t="s">
        <v>764</v>
      </c>
      <c r="P119" s="482"/>
      <c r="Q119" s="482"/>
      <c r="R119" s="482" t="str">
        <f t="shared" si="14"/>
        <v/>
      </c>
    </row>
    <row r="120" spans="2:18" hidden="1">
      <c r="B120" s="480" t="s">
        <v>976</v>
      </c>
      <c r="C120" s="480" t="s">
        <v>977</v>
      </c>
      <c r="D120" s="481" t="s">
        <v>979</v>
      </c>
      <c r="E120" s="483" t="s">
        <v>978</v>
      </c>
      <c r="F120" s="480" t="s">
        <v>1313</v>
      </c>
      <c r="G120" s="480" t="s">
        <v>907</v>
      </c>
      <c r="H120" s="480" t="s">
        <v>1116</v>
      </c>
      <c r="I120" s="480" t="s">
        <v>1117</v>
      </c>
      <c r="J120" s="482" t="b">
        <f t="shared" si="11"/>
        <v>1</v>
      </c>
      <c r="K120" s="482" t="b">
        <f t="shared" si="15"/>
        <v>1</v>
      </c>
      <c r="L120" s="482" t="b">
        <f>IF(D120="n/a","n/a",ISNUMBER(MATCH(D120,'Measure-Level Adjustments Tab'!D:D,0)))</f>
        <v>0</v>
      </c>
      <c r="M120" s="482" t="b">
        <f t="shared" si="12"/>
        <v>0</v>
      </c>
      <c r="N120" s="482" t="b">
        <f t="shared" si="13"/>
        <v>0</v>
      </c>
      <c r="O120" s="482" t="s">
        <v>764</v>
      </c>
      <c r="P120" s="482"/>
      <c r="Q120" s="482"/>
      <c r="R120" s="482" t="str">
        <f t="shared" si="14"/>
        <v/>
      </c>
    </row>
    <row r="121" spans="2:18" hidden="1">
      <c r="B121" s="480" t="s">
        <v>976</v>
      </c>
      <c r="C121" s="480" t="s">
        <v>977</v>
      </c>
      <c r="D121" s="481" t="s">
        <v>979</v>
      </c>
      <c r="E121" s="483" t="s">
        <v>978</v>
      </c>
      <c r="F121" s="480" t="s">
        <v>1314</v>
      </c>
      <c r="G121" s="480" t="s">
        <v>880</v>
      </c>
      <c r="H121" s="480" t="s">
        <v>1315</v>
      </c>
      <c r="I121" s="480" t="s">
        <v>887</v>
      </c>
      <c r="J121" s="482" t="b">
        <f t="shared" si="11"/>
        <v>1</v>
      </c>
      <c r="K121" s="482" t="b">
        <f t="shared" si="15"/>
        <v>1</v>
      </c>
      <c r="L121" s="482" t="b">
        <f>IF(D121="n/a","n/a",ISNUMBER(MATCH(D121,'Measure-Level Adjustments Tab'!D:D,0)))</f>
        <v>0</v>
      </c>
      <c r="M121" s="482" t="b">
        <f t="shared" si="12"/>
        <v>0</v>
      </c>
      <c r="N121" s="482" t="b">
        <f t="shared" si="13"/>
        <v>0</v>
      </c>
      <c r="O121" s="482" t="s">
        <v>764</v>
      </c>
      <c r="P121" s="482"/>
      <c r="Q121" s="482"/>
      <c r="R121" s="482" t="str">
        <f t="shared" si="14"/>
        <v/>
      </c>
    </row>
    <row r="122" spans="2:18" hidden="1">
      <c r="B122" s="480" t="s">
        <v>976</v>
      </c>
      <c r="C122" s="480" t="s">
        <v>977</v>
      </c>
      <c r="D122" s="481" t="s">
        <v>981</v>
      </c>
      <c r="E122" s="480" t="s">
        <v>980</v>
      </c>
      <c r="F122" s="480" t="s">
        <v>1316</v>
      </c>
      <c r="G122" s="480" t="s">
        <v>907</v>
      </c>
      <c r="H122" s="480" t="s">
        <v>1317</v>
      </c>
      <c r="I122" s="480" t="s">
        <v>1318</v>
      </c>
      <c r="J122" s="482" t="b">
        <f t="shared" si="11"/>
        <v>1</v>
      </c>
      <c r="K122" s="482" t="b">
        <f t="shared" si="15"/>
        <v>1</v>
      </c>
      <c r="L122" s="482" t="b">
        <f>IF(D122="n/a","n/a",ISNUMBER(MATCH(D122,'Measure-Level Adjustments Tab'!D:D,0)))</f>
        <v>0</v>
      </c>
      <c r="M122" s="482" t="b">
        <f t="shared" si="12"/>
        <v>0</v>
      </c>
      <c r="N122" s="482" t="b">
        <f t="shared" si="13"/>
        <v>0</v>
      </c>
      <c r="O122" s="482" t="s">
        <v>764</v>
      </c>
      <c r="P122" s="482"/>
      <c r="Q122" s="482"/>
      <c r="R122" s="482" t="str">
        <f t="shared" si="14"/>
        <v/>
      </c>
    </row>
    <row r="123" spans="2:18" hidden="1">
      <c r="B123" s="480" t="s">
        <v>976</v>
      </c>
      <c r="C123" s="480" t="s">
        <v>977</v>
      </c>
      <c r="D123" s="481" t="s">
        <v>981</v>
      </c>
      <c r="E123" s="480" t="s">
        <v>980</v>
      </c>
      <c r="F123" s="480" t="s">
        <v>1319</v>
      </c>
      <c r="G123" s="480" t="s">
        <v>880</v>
      </c>
      <c r="H123" s="480" t="s">
        <v>1320</v>
      </c>
      <c r="I123" s="480" t="s">
        <v>1318</v>
      </c>
      <c r="J123" s="482" t="b">
        <f t="shared" si="11"/>
        <v>1</v>
      </c>
      <c r="K123" s="482" t="b">
        <f t="shared" si="15"/>
        <v>1</v>
      </c>
      <c r="L123" s="482" t="b">
        <f>IF(D123="n/a","n/a",ISNUMBER(MATCH(D123,'Measure-Level Adjustments Tab'!D:D,0)))</f>
        <v>0</v>
      </c>
      <c r="M123" s="482" t="b">
        <f t="shared" si="12"/>
        <v>0</v>
      </c>
      <c r="N123" s="482" t="b">
        <f t="shared" si="13"/>
        <v>0</v>
      </c>
      <c r="O123" s="482" t="s">
        <v>764</v>
      </c>
      <c r="P123" s="482"/>
      <c r="Q123" s="482"/>
      <c r="R123" s="482" t="str">
        <f t="shared" si="14"/>
        <v/>
      </c>
    </row>
    <row r="124" spans="2:18" hidden="1">
      <c r="B124" s="480" t="s">
        <v>976</v>
      </c>
      <c r="C124" s="480" t="s">
        <v>977</v>
      </c>
      <c r="D124" s="481" t="s">
        <v>981</v>
      </c>
      <c r="E124" s="480" t="s">
        <v>980</v>
      </c>
      <c r="F124" s="480" t="s">
        <v>1319</v>
      </c>
      <c r="G124" s="480" t="s">
        <v>880</v>
      </c>
      <c r="H124" s="480" t="s">
        <v>925</v>
      </c>
      <c r="I124" s="480" t="s">
        <v>1318</v>
      </c>
      <c r="J124" s="482" t="b">
        <f t="shared" si="11"/>
        <v>1</v>
      </c>
      <c r="K124" s="482" t="b">
        <f t="shared" si="15"/>
        <v>1</v>
      </c>
      <c r="L124" s="482" t="b">
        <f>IF(D124="n/a","n/a",ISNUMBER(MATCH(D124,'Measure-Level Adjustments Tab'!D:D,0)))</f>
        <v>0</v>
      </c>
      <c r="M124" s="482" t="b">
        <f t="shared" si="12"/>
        <v>0</v>
      </c>
      <c r="N124" s="482" t="b">
        <f t="shared" si="13"/>
        <v>0</v>
      </c>
      <c r="O124" s="482" t="s">
        <v>764</v>
      </c>
      <c r="P124" s="482"/>
      <c r="Q124" s="482"/>
      <c r="R124" s="482" t="str">
        <f t="shared" si="14"/>
        <v/>
      </c>
    </row>
    <row r="125" spans="2:18" hidden="1">
      <c r="B125" s="480" t="s">
        <v>976</v>
      </c>
      <c r="C125" s="480" t="s">
        <v>977</v>
      </c>
      <c r="D125" s="481" t="s">
        <v>983</v>
      </c>
      <c r="E125" s="480" t="s">
        <v>982</v>
      </c>
      <c r="F125" s="480" t="s">
        <v>1321</v>
      </c>
      <c r="G125" s="480" t="s">
        <v>907</v>
      </c>
      <c r="H125" s="480" t="s">
        <v>1116</v>
      </c>
      <c r="I125" s="480" t="s">
        <v>1117</v>
      </c>
      <c r="J125" s="482" t="b">
        <f t="shared" si="11"/>
        <v>1</v>
      </c>
      <c r="K125" s="482" t="b">
        <f t="shared" si="15"/>
        <v>1</v>
      </c>
      <c r="L125" s="482" t="b">
        <f>IF(D125="n/a","n/a",ISNUMBER(MATCH(D125,'Measure-Level Adjustments Tab'!D:D,0)))</f>
        <v>0</v>
      </c>
      <c r="M125" s="482" t="b">
        <f t="shared" si="12"/>
        <v>0</v>
      </c>
      <c r="N125" s="482" t="b">
        <f t="shared" si="13"/>
        <v>0</v>
      </c>
      <c r="O125" s="482" t="s">
        <v>764</v>
      </c>
      <c r="P125" s="482"/>
      <c r="Q125" s="482"/>
      <c r="R125" s="482" t="str">
        <f t="shared" si="14"/>
        <v/>
      </c>
    </row>
    <row r="126" spans="2:18" hidden="1">
      <c r="B126" s="480" t="s">
        <v>976</v>
      </c>
      <c r="C126" s="480" t="s">
        <v>977</v>
      </c>
      <c r="D126" s="481" t="s">
        <v>985</v>
      </c>
      <c r="E126" s="480" t="s">
        <v>984</v>
      </c>
      <c r="F126" s="480" t="s">
        <v>1322</v>
      </c>
      <c r="G126" s="480" t="s">
        <v>880</v>
      </c>
      <c r="H126" s="480" t="s">
        <v>1323</v>
      </c>
      <c r="I126" s="480" t="s">
        <v>879</v>
      </c>
      <c r="J126" s="482" t="b">
        <f t="shared" si="11"/>
        <v>0</v>
      </c>
      <c r="K126" s="482" t="b">
        <f t="shared" si="15"/>
        <v>0</v>
      </c>
      <c r="L126" s="482" t="b">
        <f>IF(D126="n/a","n/a",ISNUMBER(MATCH(D126,'Measure-Level Adjustments Tab'!D:D,0)))</f>
        <v>0</v>
      </c>
      <c r="M126" s="482" t="b">
        <f t="shared" si="12"/>
        <v>0</v>
      </c>
      <c r="N126" s="482" t="b">
        <f t="shared" si="13"/>
        <v>0</v>
      </c>
      <c r="O126" s="482" t="s">
        <v>764</v>
      </c>
      <c r="P126" s="482"/>
      <c r="Q126" s="482"/>
      <c r="R126" s="482" t="str">
        <f t="shared" si="14"/>
        <v/>
      </c>
    </row>
    <row r="127" spans="2:18" hidden="1">
      <c r="B127" s="480" t="s">
        <v>976</v>
      </c>
      <c r="C127" s="480" t="s">
        <v>977</v>
      </c>
      <c r="D127" s="481" t="s">
        <v>987</v>
      </c>
      <c r="E127" s="480" t="s">
        <v>986</v>
      </c>
      <c r="F127" s="480" t="s">
        <v>1324</v>
      </c>
      <c r="G127" s="480" t="s">
        <v>880</v>
      </c>
      <c r="H127" s="480" t="s">
        <v>1325</v>
      </c>
      <c r="I127" s="480" t="s">
        <v>879</v>
      </c>
      <c r="J127" s="482" t="b">
        <f t="shared" si="11"/>
        <v>0</v>
      </c>
      <c r="K127" s="482" t="b">
        <f t="shared" si="15"/>
        <v>0</v>
      </c>
      <c r="L127" s="482" t="b">
        <f>IF(D127="n/a","n/a",ISNUMBER(MATCH(D127,'Measure-Level Adjustments Tab'!D:D,0)))</f>
        <v>0</v>
      </c>
      <c r="M127" s="482" t="b">
        <f t="shared" si="12"/>
        <v>0</v>
      </c>
      <c r="N127" s="482" t="b">
        <f t="shared" si="13"/>
        <v>0</v>
      </c>
      <c r="O127" s="482" t="s">
        <v>764</v>
      </c>
      <c r="P127" s="482"/>
      <c r="Q127" s="482"/>
      <c r="R127" s="482" t="str">
        <f t="shared" si="14"/>
        <v/>
      </c>
    </row>
    <row r="128" spans="2:18" hidden="1">
      <c r="B128" s="480" t="s">
        <v>976</v>
      </c>
      <c r="C128" s="480" t="s">
        <v>977</v>
      </c>
      <c r="D128" s="481" t="s">
        <v>989</v>
      </c>
      <c r="E128" s="480" t="s">
        <v>988</v>
      </c>
      <c r="F128" s="480" t="s">
        <v>1326</v>
      </c>
      <c r="G128" s="480" t="s">
        <v>880</v>
      </c>
      <c r="H128" s="480" t="s">
        <v>1327</v>
      </c>
      <c r="I128" s="480" t="s">
        <v>879</v>
      </c>
      <c r="J128" s="482" t="b">
        <f t="shared" si="11"/>
        <v>0</v>
      </c>
      <c r="K128" s="482" t="b">
        <f t="shared" si="15"/>
        <v>0</v>
      </c>
      <c r="L128" s="482" t="b">
        <f>IF(D128="n/a","n/a",ISNUMBER(MATCH(D128,'Measure-Level Adjustments Tab'!D:D,0)))</f>
        <v>0</v>
      </c>
      <c r="M128" s="482" t="b">
        <f t="shared" si="12"/>
        <v>0</v>
      </c>
      <c r="N128" s="482" t="b">
        <f t="shared" si="13"/>
        <v>0</v>
      </c>
      <c r="O128" s="482" t="s">
        <v>764</v>
      </c>
      <c r="P128" s="482"/>
      <c r="Q128" s="482"/>
      <c r="R128" s="482" t="str">
        <f t="shared" si="14"/>
        <v/>
      </c>
    </row>
    <row r="129" spans="2:18" hidden="1">
      <c r="B129" s="480" t="s">
        <v>976</v>
      </c>
      <c r="C129" s="480" t="s">
        <v>990</v>
      </c>
      <c r="D129" s="481" t="s">
        <v>992</v>
      </c>
      <c r="E129" s="483" t="s">
        <v>991</v>
      </c>
      <c r="F129" s="480" t="s">
        <v>1328</v>
      </c>
      <c r="G129" s="480" t="s">
        <v>880</v>
      </c>
      <c r="H129" s="480" t="s">
        <v>1329</v>
      </c>
      <c r="I129" s="480" t="s">
        <v>879</v>
      </c>
      <c r="J129" s="482" t="b">
        <f t="shared" si="11"/>
        <v>0</v>
      </c>
      <c r="K129" s="482" t="b">
        <f t="shared" si="15"/>
        <v>0</v>
      </c>
      <c r="L129" s="482" t="b">
        <f>IF(D129="n/a","n/a",ISNUMBER(MATCH(D129,'Measure-Level Adjustments Tab'!D:D,0)))</f>
        <v>0</v>
      </c>
      <c r="M129" s="482" t="b">
        <f t="shared" si="12"/>
        <v>0</v>
      </c>
      <c r="N129" s="482" t="b">
        <f t="shared" si="13"/>
        <v>0</v>
      </c>
      <c r="O129" s="482" t="s">
        <v>764</v>
      </c>
      <c r="P129" s="482"/>
      <c r="Q129" s="482"/>
      <c r="R129" s="482" t="str">
        <f t="shared" si="14"/>
        <v/>
      </c>
    </row>
    <row r="130" spans="2:18" hidden="1">
      <c r="B130" s="480" t="s">
        <v>976</v>
      </c>
      <c r="C130" s="480" t="s">
        <v>990</v>
      </c>
      <c r="D130" s="481" t="s">
        <v>994</v>
      </c>
      <c r="E130" s="483" t="s">
        <v>993</v>
      </c>
      <c r="F130" s="480" t="s">
        <v>1330</v>
      </c>
      <c r="G130" s="480" t="s">
        <v>880</v>
      </c>
      <c r="H130" s="480" t="s">
        <v>1331</v>
      </c>
      <c r="I130" s="480" t="s">
        <v>1318</v>
      </c>
      <c r="J130" s="482" t="b">
        <f t="shared" si="11"/>
        <v>1</v>
      </c>
      <c r="K130" s="482" t="b">
        <f t="shared" si="15"/>
        <v>1</v>
      </c>
      <c r="L130" s="482" t="b">
        <f>IF(D130="n/a","n/a",ISNUMBER(MATCH(D130,'Measure-Level Adjustments Tab'!D:D,0)))</f>
        <v>0</v>
      </c>
      <c r="M130" s="482" t="b">
        <f t="shared" si="12"/>
        <v>0</v>
      </c>
      <c r="N130" s="482" t="b">
        <f t="shared" si="13"/>
        <v>0</v>
      </c>
      <c r="O130" s="482" t="s">
        <v>764</v>
      </c>
      <c r="P130" s="482"/>
      <c r="Q130" s="482"/>
      <c r="R130" s="482" t="str">
        <f t="shared" si="14"/>
        <v/>
      </c>
    </row>
    <row r="131" spans="2:18" hidden="1">
      <c r="B131" s="480" t="s">
        <v>976</v>
      </c>
      <c r="C131" s="480" t="s">
        <v>990</v>
      </c>
      <c r="D131" s="481" t="s">
        <v>994</v>
      </c>
      <c r="E131" s="483" t="s">
        <v>993</v>
      </c>
      <c r="F131" s="480" t="s">
        <v>1330</v>
      </c>
      <c r="G131" s="480" t="s">
        <v>880</v>
      </c>
      <c r="H131" s="480" t="s">
        <v>1332</v>
      </c>
      <c r="I131" s="480" t="s">
        <v>1318</v>
      </c>
      <c r="J131" s="482" t="b">
        <f t="shared" si="11"/>
        <v>1</v>
      </c>
      <c r="K131" s="482" t="b">
        <f t="shared" si="15"/>
        <v>1</v>
      </c>
      <c r="L131" s="482" t="b">
        <f>IF(D131="n/a","n/a",ISNUMBER(MATCH(D131,'Measure-Level Adjustments Tab'!D:D,0)))</f>
        <v>0</v>
      </c>
      <c r="M131" s="482" t="b">
        <f t="shared" si="12"/>
        <v>0</v>
      </c>
      <c r="N131" s="482" t="b">
        <f t="shared" si="13"/>
        <v>0</v>
      </c>
      <c r="O131" s="482" t="s">
        <v>764</v>
      </c>
      <c r="P131" s="482"/>
      <c r="Q131" s="482"/>
      <c r="R131" s="482" t="str">
        <f t="shared" si="14"/>
        <v/>
      </c>
    </row>
    <row r="132" spans="2:18" hidden="1">
      <c r="B132" s="480" t="s">
        <v>976</v>
      </c>
      <c r="C132" s="480" t="s">
        <v>995</v>
      </c>
      <c r="D132" s="481" t="s">
        <v>997</v>
      </c>
      <c r="E132" s="480" t="s">
        <v>996</v>
      </c>
      <c r="F132" s="480" t="s">
        <v>1333</v>
      </c>
      <c r="G132" s="480" t="s">
        <v>880</v>
      </c>
      <c r="H132" s="480" t="s">
        <v>1334</v>
      </c>
      <c r="I132" s="480" t="s">
        <v>879</v>
      </c>
      <c r="J132" s="482" t="b">
        <f t="shared" si="11"/>
        <v>0</v>
      </c>
      <c r="K132" s="482" t="b">
        <f t="shared" si="15"/>
        <v>0</v>
      </c>
      <c r="L132" s="482" t="b">
        <f>IF(D132="n/a","n/a",ISNUMBER(MATCH(D132,'Measure-Level Adjustments Tab'!D:D,0)))</f>
        <v>0</v>
      </c>
      <c r="M132" s="482" t="b">
        <f t="shared" si="12"/>
        <v>0</v>
      </c>
      <c r="N132" s="482" t="b">
        <f t="shared" si="13"/>
        <v>0</v>
      </c>
      <c r="O132" s="482" t="s">
        <v>764</v>
      </c>
      <c r="P132" s="482"/>
      <c r="Q132" s="482"/>
      <c r="R132" s="482" t="str">
        <f t="shared" si="14"/>
        <v/>
      </c>
    </row>
    <row r="133" spans="2:18" hidden="1">
      <c r="B133" s="480" t="s">
        <v>976</v>
      </c>
      <c r="C133" s="480" t="s">
        <v>995</v>
      </c>
      <c r="D133" s="481" t="s">
        <v>428</v>
      </c>
      <c r="E133" s="483" t="s">
        <v>998</v>
      </c>
      <c r="F133" s="480" t="s">
        <v>1335</v>
      </c>
      <c r="G133" s="480" t="s">
        <v>880</v>
      </c>
      <c r="H133" s="483" t="s">
        <v>1336</v>
      </c>
      <c r="I133" s="480" t="s">
        <v>879</v>
      </c>
      <c r="J133" s="482" t="b">
        <f t="shared" si="11"/>
        <v>0</v>
      </c>
      <c r="K133" s="482" t="b">
        <f t="shared" si="15"/>
        <v>0</v>
      </c>
      <c r="L133" s="482" t="b">
        <f>IF(D133="n/a","n/a",ISNUMBER(MATCH(D133,'Measure-Level Adjustments Tab'!D:D,0)))</f>
        <v>1</v>
      </c>
      <c r="M133" s="482" t="b">
        <f t="shared" si="12"/>
        <v>0</v>
      </c>
      <c r="N133" s="482" t="b">
        <f t="shared" si="13"/>
        <v>0</v>
      </c>
      <c r="O133" s="482" t="s">
        <v>764</v>
      </c>
      <c r="P133" s="482"/>
      <c r="Q133" s="482"/>
      <c r="R133" s="482" t="str">
        <f t="shared" si="14"/>
        <v/>
      </c>
    </row>
    <row r="134" spans="2:18" hidden="1">
      <c r="B134" s="480" t="s">
        <v>976</v>
      </c>
      <c r="C134" s="480" t="s">
        <v>995</v>
      </c>
      <c r="D134" s="481" t="s">
        <v>1000</v>
      </c>
      <c r="E134" s="480" t="s">
        <v>999</v>
      </c>
      <c r="F134" s="480" t="s">
        <v>1337</v>
      </c>
      <c r="G134" s="480" t="s">
        <v>880</v>
      </c>
      <c r="H134" s="480" t="s">
        <v>1338</v>
      </c>
      <c r="I134" s="480" t="s">
        <v>879</v>
      </c>
      <c r="J134" s="482" t="b">
        <f t="shared" si="11"/>
        <v>0</v>
      </c>
      <c r="K134" s="482" t="b">
        <f t="shared" si="15"/>
        <v>0</v>
      </c>
      <c r="L134" s="482" t="b">
        <f>IF(D134="n/a","n/a",ISNUMBER(MATCH(D134,'Measure-Level Adjustments Tab'!D:D,0)))</f>
        <v>0</v>
      </c>
      <c r="M134" s="482" t="b">
        <f t="shared" si="12"/>
        <v>0</v>
      </c>
      <c r="N134" s="482" t="b">
        <f t="shared" si="13"/>
        <v>0</v>
      </c>
      <c r="O134" s="482" t="s">
        <v>764</v>
      </c>
      <c r="P134" s="482"/>
      <c r="Q134" s="482"/>
      <c r="R134" s="482" t="str">
        <f t="shared" si="14"/>
        <v/>
      </c>
    </row>
    <row r="135" spans="2:18" hidden="1">
      <c r="B135" s="480" t="s">
        <v>976</v>
      </c>
      <c r="C135" s="480" t="s">
        <v>995</v>
      </c>
      <c r="D135" s="481" t="s">
        <v>1000</v>
      </c>
      <c r="E135" s="480" t="s">
        <v>999</v>
      </c>
      <c r="F135" s="480" t="s">
        <v>1337</v>
      </c>
      <c r="G135" s="480" t="s">
        <v>880</v>
      </c>
      <c r="H135" s="480" t="s">
        <v>1339</v>
      </c>
      <c r="I135" s="480" t="s">
        <v>879</v>
      </c>
      <c r="J135" s="482" t="b">
        <f t="shared" si="11"/>
        <v>0</v>
      </c>
      <c r="K135" s="482" t="b">
        <f t="shared" ref="K135:K166" si="16">COUNTIFS(D:D,D135,J:J,TRUE)&gt;0</f>
        <v>0</v>
      </c>
      <c r="L135" s="482" t="b">
        <f>IF(D135="n/a","n/a",ISNUMBER(MATCH(D135,'Measure-Level Adjustments Tab'!D:D,0)))</f>
        <v>0</v>
      </c>
      <c r="M135" s="482" t="b">
        <f t="shared" si="12"/>
        <v>0</v>
      </c>
      <c r="N135" s="482" t="b">
        <f t="shared" si="13"/>
        <v>0</v>
      </c>
      <c r="O135" s="482" t="s">
        <v>764</v>
      </c>
      <c r="P135" s="482"/>
      <c r="Q135" s="482"/>
      <c r="R135" s="482" t="str">
        <f t="shared" si="14"/>
        <v/>
      </c>
    </row>
    <row r="136" spans="2:18" hidden="1">
      <c r="B136" s="480" t="s">
        <v>976</v>
      </c>
      <c r="C136" s="480" t="s">
        <v>995</v>
      </c>
      <c r="D136" s="481" t="s">
        <v>401</v>
      </c>
      <c r="E136" s="480" t="s">
        <v>1002</v>
      </c>
      <c r="F136" s="480" t="s">
        <v>1340</v>
      </c>
      <c r="G136" s="480" t="s">
        <v>880</v>
      </c>
      <c r="H136" s="480" t="s">
        <v>1341</v>
      </c>
      <c r="I136" s="480" t="s">
        <v>879</v>
      </c>
      <c r="J136" s="482" t="b">
        <f>I136&lt;&gt;"N/A"</f>
        <v>0</v>
      </c>
      <c r="K136" s="482" t="b">
        <f t="shared" si="16"/>
        <v>0</v>
      </c>
      <c r="L136" s="482" t="b">
        <f>IF(D136="n/a","n/a",ISNUMBER(MATCH(D136,'Measure-Level Adjustments Tab'!D:D,0)))</f>
        <v>1</v>
      </c>
      <c r="M136" s="482" t="b">
        <f t="shared" ref="M136:M184" si="17">AND(G136="Errata",J136,L136)</f>
        <v>0</v>
      </c>
      <c r="N136" s="482" t="b">
        <f t="shared" ref="N136:N184" si="18">AND(G136="Revision",J136,L136)</f>
        <v>0</v>
      </c>
      <c r="O136" s="482" t="s">
        <v>764</v>
      </c>
      <c r="P136" s="482"/>
      <c r="Q136" s="482"/>
      <c r="R136" s="482" t="str">
        <f t="shared" ref="R136:R184" si="19">IF(Q136="","",HYPERLINK("#'"&amp;Q136,"Go To Update"))</f>
        <v/>
      </c>
    </row>
    <row r="137" spans="2:18" hidden="1">
      <c r="B137" s="480" t="s">
        <v>976</v>
      </c>
      <c r="C137" s="480" t="s">
        <v>995</v>
      </c>
      <c r="D137" s="481" t="s">
        <v>1004</v>
      </c>
      <c r="E137" s="480" t="s">
        <v>1003</v>
      </c>
      <c r="F137" s="480" t="s">
        <v>1342</v>
      </c>
      <c r="G137" s="480" t="s">
        <v>880</v>
      </c>
      <c r="H137" s="480" t="s">
        <v>1341</v>
      </c>
      <c r="I137" s="480" t="s">
        <v>879</v>
      </c>
      <c r="J137" s="482" t="b">
        <f>I137&lt;&gt;"N/A"</f>
        <v>0</v>
      </c>
      <c r="K137" s="482" t="b">
        <f t="shared" si="16"/>
        <v>0</v>
      </c>
      <c r="L137" s="482" t="b">
        <f>IF(D137="n/a","n/a",ISNUMBER(MATCH(D137,'Measure-Level Adjustments Tab'!D:D,0)))</f>
        <v>0</v>
      </c>
      <c r="M137" s="482" t="b">
        <f t="shared" si="17"/>
        <v>0</v>
      </c>
      <c r="N137" s="482" t="b">
        <f t="shared" si="18"/>
        <v>0</v>
      </c>
      <c r="O137" s="482" t="s">
        <v>764</v>
      </c>
      <c r="P137" s="482"/>
      <c r="Q137" s="482"/>
      <c r="R137" s="482" t="str">
        <f t="shared" si="19"/>
        <v/>
      </c>
    </row>
    <row r="138" spans="2:18" hidden="1">
      <c r="B138" s="480" t="s">
        <v>976</v>
      </c>
      <c r="C138" s="480" t="s">
        <v>995</v>
      </c>
      <c r="D138" s="481" t="s">
        <v>1005</v>
      </c>
      <c r="E138" s="483" t="s">
        <v>1343</v>
      </c>
      <c r="F138" s="480" t="s">
        <v>1344</v>
      </c>
      <c r="G138" s="480" t="s">
        <v>880</v>
      </c>
      <c r="H138" s="483" t="s">
        <v>1345</v>
      </c>
      <c r="I138" s="480" t="s">
        <v>879</v>
      </c>
      <c r="J138" s="482" t="b">
        <f t="shared" si="11"/>
        <v>0</v>
      </c>
      <c r="K138" s="482" t="b">
        <f t="shared" si="16"/>
        <v>0</v>
      </c>
      <c r="L138" s="482" t="b">
        <f>IF(D138="n/a","n/a",ISNUMBER(MATCH(D138,'Measure-Level Adjustments Tab'!D:D,0)))</f>
        <v>0</v>
      </c>
      <c r="M138" s="482" t="b">
        <f t="shared" si="17"/>
        <v>0</v>
      </c>
      <c r="N138" s="482" t="b">
        <f t="shared" si="18"/>
        <v>0</v>
      </c>
      <c r="O138" s="482" t="s">
        <v>764</v>
      </c>
      <c r="P138" s="482"/>
      <c r="Q138" s="482"/>
      <c r="R138" s="482" t="str">
        <f t="shared" si="19"/>
        <v/>
      </c>
    </row>
    <row r="139" spans="2:18" hidden="1">
      <c r="B139" s="480" t="s">
        <v>976</v>
      </c>
      <c r="C139" s="480" t="s">
        <v>995</v>
      </c>
      <c r="D139" s="481" t="s">
        <v>447</v>
      </c>
      <c r="E139" s="480" t="s">
        <v>1006</v>
      </c>
      <c r="F139" s="480" t="s">
        <v>1346</v>
      </c>
      <c r="G139" s="480" t="s">
        <v>880</v>
      </c>
      <c r="H139" s="480" t="s">
        <v>1347</v>
      </c>
      <c r="I139" s="480" t="s">
        <v>879</v>
      </c>
      <c r="J139" s="482" t="b">
        <f t="shared" si="11"/>
        <v>0</v>
      </c>
      <c r="K139" s="482" t="b">
        <f t="shared" si="16"/>
        <v>0</v>
      </c>
      <c r="L139" s="482" t="b">
        <f>IF(D139="n/a","n/a",ISNUMBER(MATCH(D139,'Measure-Level Adjustments Tab'!D:D,0)))</f>
        <v>1</v>
      </c>
      <c r="M139" s="482" t="b">
        <f t="shared" si="17"/>
        <v>0</v>
      </c>
      <c r="N139" s="482" t="b">
        <f t="shared" si="18"/>
        <v>0</v>
      </c>
      <c r="O139" s="482" t="s">
        <v>764</v>
      </c>
      <c r="P139" s="482"/>
      <c r="Q139" s="482"/>
      <c r="R139" s="482" t="str">
        <f t="shared" si="19"/>
        <v/>
      </c>
    </row>
    <row r="140" spans="2:18" hidden="1">
      <c r="B140" s="480" t="s">
        <v>976</v>
      </c>
      <c r="C140" s="480" t="s">
        <v>995</v>
      </c>
      <c r="D140" s="481" t="s">
        <v>447</v>
      </c>
      <c r="E140" s="480" t="s">
        <v>1006</v>
      </c>
      <c r="F140" s="480" t="s">
        <v>1346</v>
      </c>
      <c r="G140" s="480" t="s">
        <v>880</v>
      </c>
      <c r="H140" s="480" t="s">
        <v>1348</v>
      </c>
      <c r="I140" s="480" t="s">
        <v>879</v>
      </c>
      <c r="J140" s="482" t="b">
        <f t="shared" ref="J140:J184" si="20">I140&lt;&gt;"N/A"</f>
        <v>0</v>
      </c>
      <c r="K140" s="482" t="b">
        <f t="shared" si="16"/>
        <v>0</v>
      </c>
      <c r="L140" s="482" t="b">
        <f>IF(D140="n/a","n/a",ISNUMBER(MATCH(D140,'Measure-Level Adjustments Tab'!D:D,0)))</f>
        <v>1</v>
      </c>
      <c r="M140" s="482" t="b">
        <f t="shared" si="17"/>
        <v>0</v>
      </c>
      <c r="N140" s="482" t="b">
        <f t="shared" si="18"/>
        <v>0</v>
      </c>
      <c r="O140" s="482" t="s">
        <v>764</v>
      </c>
      <c r="P140" s="482"/>
      <c r="Q140" s="482"/>
      <c r="R140" s="482" t="str">
        <f t="shared" si="19"/>
        <v/>
      </c>
    </row>
    <row r="141" spans="2:18" hidden="1">
      <c r="B141" s="480" t="s">
        <v>976</v>
      </c>
      <c r="C141" s="480" t="s">
        <v>995</v>
      </c>
      <c r="D141" s="481" t="s">
        <v>1008</v>
      </c>
      <c r="E141" s="480" t="s">
        <v>1007</v>
      </c>
      <c r="F141" s="480" t="s">
        <v>1349</v>
      </c>
      <c r="G141" s="480" t="s">
        <v>907</v>
      </c>
      <c r="H141" s="480" t="s">
        <v>1350</v>
      </c>
      <c r="I141" s="480" t="s">
        <v>879</v>
      </c>
      <c r="J141" s="482" t="b">
        <f t="shared" si="20"/>
        <v>0</v>
      </c>
      <c r="K141" s="482" t="b">
        <f t="shared" si="16"/>
        <v>0</v>
      </c>
      <c r="L141" s="482" t="b">
        <f>IF(D141="n/a","n/a",ISNUMBER(MATCH(D141,'Measure-Level Adjustments Tab'!D:D,0)))</f>
        <v>0</v>
      </c>
      <c r="M141" s="482" t="b">
        <f t="shared" si="17"/>
        <v>0</v>
      </c>
      <c r="N141" s="482" t="b">
        <f t="shared" si="18"/>
        <v>0</v>
      </c>
      <c r="O141" s="482" t="s">
        <v>764</v>
      </c>
      <c r="P141" s="482"/>
      <c r="Q141" s="482"/>
      <c r="R141" s="482" t="str">
        <f t="shared" si="19"/>
        <v/>
      </c>
    </row>
    <row r="142" spans="2:18" hidden="1">
      <c r="B142" s="480" t="s">
        <v>976</v>
      </c>
      <c r="C142" s="480" t="s">
        <v>995</v>
      </c>
      <c r="D142" s="481" t="s">
        <v>394</v>
      </c>
      <c r="E142" s="480" t="s">
        <v>1009</v>
      </c>
      <c r="F142" s="480" t="s">
        <v>1351</v>
      </c>
      <c r="G142" s="480" t="s">
        <v>880</v>
      </c>
      <c r="H142" s="480" t="s">
        <v>1352</v>
      </c>
      <c r="I142" s="480" t="s">
        <v>879</v>
      </c>
      <c r="J142" s="482" t="b">
        <f t="shared" si="20"/>
        <v>0</v>
      </c>
      <c r="K142" s="482" t="b">
        <f t="shared" si="16"/>
        <v>0</v>
      </c>
      <c r="L142" s="482" t="b">
        <f>IF(D142="n/a","n/a",ISNUMBER(MATCH(D142,'Measure-Level Adjustments Tab'!D:D,0)))</f>
        <v>1</v>
      </c>
      <c r="M142" s="482" t="b">
        <f t="shared" si="17"/>
        <v>0</v>
      </c>
      <c r="N142" s="482" t="b">
        <f t="shared" si="18"/>
        <v>0</v>
      </c>
      <c r="O142" s="482" t="s">
        <v>764</v>
      </c>
      <c r="P142" s="482"/>
      <c r="Q142" s="482"/>
      <c r="R142" s="482" t="str">
        <f t="shared" si="19"/>
        <v/>
      </c>
    </row>
    <row r="143" spans="2:18" hidden="1">
      <c r="B143" s="480" t="s">
        <v>976</v>
      </c>
      <c r="C143" s="480" t="s">
        <v>995</v>
      </c>
      <c r="D143" s="481" t="s">
        <v>394</v>
      </c>
      <c r="E143" s="480" t="s">
        <v>1009</v>
      </c>
      <c r="F143" s="480" t="s">
        <v>1351</v>
      </c>
      <c r="G143" s="480" t="s">
        <v>880</v>
      </c>
      <c r="H143" s="480" t="s">
        <v>1353</v>
      </c>
      <c r="I143" s="480" t="s">
        <v>879</v>
      </c>
      <c r="J143" s="482" t="b">
        <f t="shared" si="20"/>
        <v>0</v>
      </c>
      <c r="K143" s="482" t="b">
        <f t="shared" si="16"/>
        <v>0</v>
      </c>
      <c r="L143" s="482" t="b">
        <f>IF(D143="n/a","n/a",ISNUMBER(MATCH(D143,'Measure-Level Adjustments Tab'!D:D,0)))</f>
        <v>1</v>
      </c>
      <c r="M143" s="482" t="b">
        <f t="shared" si="17"/>
        <v>0</v>
      </c>
      <c r="N143" s="482" t="b">
        <f t="shared" si="18"/>
        <v>0</v>
      </c>
      <c r="O143" s="482" t="s">
        <v>764</v>
      </c>
      <c r="P143" s="482"/>
      <c r="Q143" s="482"/>
      <c r="R143" s="482" t="str">
        <f t="shared" si="19"/>
        <v/>
      </c>
    </row>
    <row r="144" spans="2:18" hidden="1">
      <c r="B144" s="480" t="s">
        <v>976</v>
      </c>
      <c r="C144" s="480" t="s">
        <v>995</v>
      </c>
      <c r="D144" s="481" t="s">
        <v>1354</v>
      </c>
      <c r="E144" s="480" t="s">
        <v>1355</v>
      </c>
      <c r="F144" s="480" t="s">
        <v>1356</v>
      </c>
      <c r="G144" s="480" t="s">
        <v>880</v>
      </c>
      <c r="H144" s="480" t="s">
        <v>1357</v>
      </c>
      <c r="I144" s="480" t="s">
        <v>908</v>
      </c>
      <c r="J144" s="482" t="b">
        <f t="shared" si="20"/>
        <v>1</v>
      </c>
      <c r="K144" s="482" t="b">
        <f t="shared" si="16"/>
        <v>1</v>
      </c>
      <c r="L144" s="482" t="b">
        <f>IF(D144="n/a","n/a",ISNUMBER(MATCH(D144,'Measure-Level Adjustments Tab'!D:D,0)))</f>
        <v>0</v>
      </c>
      <c r="M144" s="482" t="b">
        <f t="shared" si="17"/>
        <v>0</v>
      </c>
      <c r="N144" s="482" t="b">
        <f t="shared" si="18"/>
        <v>0</v>
      </c>
      <c r="O144" s="482" t="s">
        <v>764</v>
      </c>
      <c r="P144" s="482"/>
      <c r="Q144" s="482"/>
      <c r="R144" s="482" t="str">
        <f t="shared" si="19"/>
        <v/>
      </c>
    </row>
    <row r="145" spans="2:18" hidden="1">
      <c r="B145" s="480" t="s">
        <v>976</v>
      </c>
      <c r="C145" s="480" t="s">
        <v>995</v>
      </c>
      <c r="D145" s="481" t="s">
        <v>49</v>
      </c>
      <c r="E145" s="480" t="s">
        <v>1010</v>
      </c>
      <c r="F145" s="480" t="s">
        <v>1358</v>
      </c>
      <c r="G145" s="480" t="s">
        <v>880</v>
      </c>
      <c r="H145" s="480" t="s">
        <v>1347</v>
      </c>
      <c r="I145" s="480" t="s">
        <v>879</v>
      </c>
      <c r="J145" s="482" t="b">
        <f t="shared" si="20"/>
        <v>0</v>
      </c>
      <c r="K145" s="482" t="b">
        <f t="shared" si="16"/>
        <v>0</v>
      </c>
      <c r="L145" s="482" t="b">
        <f>IF(D145="n/a","n/a",ISNUMBER(MATCH(D145,'Measure-Level Adjustments Tab'!D:D,0)))</f>
        <v>1</v>
      </c>
      <c r="M145" s="482" t="b">
        <f t="shared" si="17"/>
        <v>0</v>
      </c>
      <c r="N145" s="482" t="b">
        <f t="shared" si="18"/>
        <v>0</v>
      </c>
      <c r="O145" s="482" t="s">
        <v>764</v>
      </c>
      <c r="P145" s="482"/>
      <c r="Q145" s="482"/>
      <c r="R145" s="482" t="str">
        <f t="shared" si="19"/>
        <v/>
      </c>
    </row>
    <row r="146" spans="2:18" hidden="1">
      <c r="B146" s="480" t="s">
        <v>976</v>
      </c>
      <c r="C146" s="480" t="s">
        <v>995</v>
      </c>
      <c r="D146" s="481" t="s">
        <v>49</v>
      </c>
      <c r="E146" s="480" t="s">
        <v>1010</v>
      </c>
      <c r="F146" s="480" t="s">
        <v>1358</v>
      </c>
      <c r="G146" s="480" t="s">
        <v>880</v>
      </c>
      <c r="H146" s="480" t="s">
        <v>1348</v>
      </c>
      <c r="I146" s="480" t="s">
        <v>879</v>
      </c>
      <c r="J146" s="482" t="b">
        <f t="shared" si="20"/>
        <v>0</v>
      </c>
      <c r="K146" s="482" t="b">
        <f t="shared" si="16"/>
        <v>0</v>
      </c>
      <c r="L146" s="482" t="b">
        <f>IF(D146="n/a","n/a",ISNUMBER(MATCH(D146,'Measure-Level Adjustments Tab'!D:D,0)))</f>
        <v>1</v>
      </c>
      <c r="M146" s="482" t="b">
        <f t="shared" si="17"/>
        <v>0</v>
      </c>
      <c r="N146" s="482" t="b">
        <f t="shared" si="18"/>
        <v>0</v>
      </c>
      <c r="O146" s="482" t="s">
        <v>764</v>
      </c>
      <c r="P146" s="482"/>
      <c r="Q146" s="482"/>
      <c r="R146" s="482" t="str">
        <f t="shared" si="19"/>
        <v/>
      </c>
    </row>
    <row r="147" spans="2:18" hidden="1">
      <c r="B147" s="480" t="s">
        <v>976</v>
      </c>
      <c r="C147" s="480" t="s">
        <v>995</v>
      </c>
      <c r="D147" s="481" t="s">
        <v>1359</v>
      </c>
      <c r="E147" s="483" t="s">
        <v>1360</v>
      </c>
      <c r="F147" s="480" t="s">
        <v>1361</v>
      </c>
      <c r="G147" s="480" t="s">
        <v>881</v>
      </c>
      <c r="H147" s="483" t="s">
        <v>962</v>
      </c>
      <c r="I147" s="480" t="s">
        <v>879</v>
      </c>
      <c r="J147" s="482" t="b">
        <f t="shared" si="20"/>
        <v>0</v>
      </c>
      <c r="K147" s="482" t="b">
        <f t="shared" si="16"/>
        <v>0</v>
      </c>
      <c r="L147" s="482" t="b">
        <f>IF(D147="n/a","n/a",ISNUMBER(MATCH(D147,'Measure-Level Adjustments Tab'!D:D,0)))</f>
        <v>0</v>
      </c>
      <c r="M147" s="482" t="b">
        <f t="shared" si="17"/>
        <v>0</v>
      </c>
      <c r="N147" s="482" t="b">
        <f t="shared" si="18"/>
        <v>0</v>
      </c>
      <c r="O147" s="482" t="s">
        <v>764</v>
      </c>
      <c r="P147" s="482"/>
      <c r="Q147" s="482"/>
      <c r="R147" s="482" t="str">
        <f t="shared" si="19"/>
        <v/>
      </c>
    </row>
    <row r="148" spans="2:18" hidden="1">
      <c r="B148" s="480" t="s">
        <v>976</v>
      </c>
      <c r="C148" s="480" t="s">
        <v>1011</v>
      </c>
      <c r="D148" s="481" t="s">
        <v>1015</v>
      </c>
      <c r="E148" s="480" t="s">
        <v>1014</v>
      </c>
      <c r="F148" s="480" t="s">
        <v>1362</v>
      </c>
      <c r="G148" s="480" t="s">
        <v>907</v>
      </c>
      <c r="H148" s="480" t="s">
        <v>1363</v>
      </c>
      <c r="I148" s="480" t="s">
        <v>879</v>
      </c>
      <c r="J148" s="482" t="b">
        <f t="shared" si="20"/>
        <v>0</v>
      </c>
      <c r="K148" s="482" t="b">
        <f t="shared" si="16"/>
        <v>0</v>
      </c>
      <c r="L148" s="482" t="b">
        <f>IF(D148="n/a","n/a",ISNUMBER(MATCH(D148,'Measure-Level Adjustments Tab'!D:D,0)))</f>
        <v>0</v>
      </c>
      <c r="M148" s="482" t="b">
        <f t="shared" si="17"/>
        <v>0</v>
      </c>
      <c r="N148" s="482" t="b">
        <f t="shared" si="18"/>
        <v>0</v>
      </c>
      <c r="O148" s="482" t="s">
        <v>764</v>
      </c>
      <c r="P148" s="482"/>
      <c r="Q148" s="482"/>
      <c r="R148" s="482" t="str">
        <f t="shared" si="19"/>
        <v/>
      </c>
    </row>
    <row r="149" spans="2:18" hidden="1">
      <c r="B149" s="480" t="s">
        <v>976</v>
      </c>
      <c r="C149" s="480" t="s">
        <v>1011</v>
      </c>
      <c r="D149" s="481" t="s">
        <v>1015</v>
      </c>
      <c r="E149" s="480" t="s">
        <v>1014</v>
      </c>
      <c r="F149" s="480" t="s">
        <v>1364</v>
      </c>
      <c r="G149" s="480" t="s">
        <v>880</v>
      </c>
      <c r="H149" s="480" t="s">
        <v>1425</v>
      </c>
      <c r="I149" s="480" t="s">
        <v>879</v>
      </c>
      <c r="J149" s="482" t="b">
        <f t="shared" si="20"/>
        <v>0</v>
      </c>
      <c r="K149" s="482" t="b">
        <f t="shared" si="16"/>
        <v>0</v>
      </c>
      <c r="L149" s="482" t="b">
        <f>IF(D149="n/a","n/a",ISNUMBER(MATCH(D149,'Measure-Level Adjustments Tab'!D:D,0)))</f>
        <v>0</v>
      </c>
      <c r="M149" s="482" t="b">
        <f t="shared" si="17"/>
        <v>0</v>
      </c>
      <c r="N149" s="482" t="b">
        <f t="shared" si="18"/>
        <v>0</v>
      </c>
      <c r="O149" s="482" t="s">
        <v>764</v>
      </c>
      <c r="P149" s="482"/>
      <c r="Q149" s="482"/>
      <c r="R149" s="482" t="str">
        <f t="shared" si="19"/>
        <v/>
      </c>
    </row>
    <row r="150" spans="2:18" hidden="1">
      <c r="B150" s="480" t="s">
        <v>976</v>
      </c>
      <c r="C150" s="480" t="s">
        <v>1011</v>
      </c>
      <c r="D150" s="481" t="s">
        <v>470</v>
      </c>
      <c r="E150" s="480" t="s">
        <v>1365</v>
      </c>
      <c r="F150" s="480" t="s">
        <v>1366</v>
      </c>
      <c r="G150" s="480" t="s">
        <v>907</v>
      </c>
      <c r="H150" s="480" t="s">
        <v>1116</v>
      </c>
      <c r="I150" s="480" t="s">
        <v>1117</v>
      </c>
      <c r="J150" s="482" t="b">
        <f t="shared" si="20"/>
        <v>1</v>
      </c>
      <c r="K150" s="482" t="b">
        <f t="shared" si="16"/>
        <v>1</v>
      </c>
      <c r="L150" s="482" t="b">
        <f>IF(D150="n/a","n/a",ISNUMBER(MATCH(D150,'Measure-Level Adjustments Tab'!D:D,0)))</f>
        <v>1</v>
      </c>
      <c r="M150" s="482" t="b">
        <f t="shared" si="17"/>
        <v>1</v>
      </c>
      <c r="N150" s="482" t="b">
        <f t="shared" si="18"/>
        <v>0</v>
      </c>
      <c r="O150" s="482" t="s">
        <v>764</v>
      </c>
      <c r="P150" s="482" t="s">
        <v>1419</v>
      </c>
      <c r="Q150" s="482"/>
      <c r="R150" s="482" t="str">
        <f t="shared" si="19"/>
        <v/>
      </c>
    </row>
    <row r="151" spans="2:18">
      <c r="B151" s="480" t="s">
        <v>976</v>
      </c>
      <c r="C151" s="480" t="s">
        <v>1011</v>
      </c>
      <c r="D151" s="481" t="s">
        <v>470</v>
      </c>
      <c r="E151" s="480" t="s">
        <v>1365</v>
      </c>
      <c r="F151" s="480" t="s">
        <v>1367</v>
      </c>
      <c r="G151" s="480" t="s">
        <v>880</v>
      </c>
      <c r="H151" s="480" t="s">
        <v>1329</v>
      </c>
      <c r="I151" s="480" t="s">
        <v>1368</v>
      </c>
      <c r="J151" s="482" t="b">
        <f t="shared" si="20"/>
        <v>1</v>
      </c>
      <c r="K151" s="482" t="b">
        <f t="shared" si="16"/>
        <v>1</v>
      </c>
      <c r="L151" s="482" t="b">
        <f>IF(D151="n/a","n/a",ISNUMBER(MATCH(D151,'Measure-Level Adjustments Tab'!D:D,0)))</f>
        <v>1</v>
      </c>
      <c r="M151" s="482" t="b">
        <f t="shared" si="17"/>
        <v>0</v>
      </c>
      <c r="N151" s="482" t="b">
        <f t="shared" si="18"/>
        <v>1</v>
      </c>
      <c r="O151" s="482" t="s">
        <v>764</v>
      </c>
      <c r="P151" s="482" t="s">
        <v>1440</v>
      </c>
      <c r="Q151" s="482"/>
      <c r="R151" s="482" t="str">
        <f t="shared" si="19"/>
        <v/>
      </c>
    </row>
    <row r="152" spans="2:18" hidden="1">
      <c r="B152" s="480" t="s">
        <v>976</v>
      </c>
      <c r="C152" s="480" t="s">
        <v>1011</v>
      </c>
      <c r="D152" s="481" t="s">
        <v>466</v>
      </c>
      <c r="E152" s="480" t="s">
        <v>1018</v>
      </c>
      <c r="F152" s="480" t="s">
        <v>1369</v>
      </c>
      <c r="G152" s="480" t="s">
        <v>907</v>
      </c>
      <c r="H152" s="480" t="s">
        <v>1116</v>
      </c>
      <c r="I152" s="480" t="s">
        <v>1117</v>
      </c>
      <c r="J152" s="482" t="b">
        <f t="shared" si="20"/>
        <v>1</v>
      </c>
      <c r="K152" s="482" t="b">
        <f t="shared" si="16"/>
        <v>1</v>
      </c>
      <c r="L152" s="482" t="b">
        <f>IF(D152="n/a","n/a",ISNUMBER(MATCH(D152,'Measure-Level Adjustments Tab'!D:D,0)))</f>
        <v>1</v>
      </c>
      <c r="M152" s="482" t="b">
        <f t="shared" si="17"/>
        <v>1</v>
      </c>
      <c r="N152" s="482" t="b">
        <f t="shared" si="18"/>
        <v>0</v>
      </c>
      <c r="O152" s="482" t="s">
        <v>764</v>
      </c>
      <c r="P152" s="482" t="s">
        <v>1419</v>
      </c>
      <c r="Q152" s="482"/>
      <c r="R152" s="482" t="str">
        <f t="shared" si="19"/>
        <v/>
      </c>
    </row>
    <row r="153" spans="2:18">
      <c r="B153" s="480" t="s">
        <v>976</v>
      </c>
      <c r="C153" s="480" t="s">
        <v>1011</v>
      </c>
      <c r="D153" s="481" t="s">
        <v>466</v>
      </c>
      <c r="E153" s="480" t="s">
        <v>1018</v>
      </c>
      <c r="F153" s="480" t="s">
        <v>1370</v>
      </c>
      <c r="G153" s="480" t="s">
        <v>880</v>
      </c>
      <c r="H153" s="480" t="s">
        <v>1371</v>
      </c>
      <c r="I153" s="480" t="s">
        <v>1368</v>
      </c>
      <c r="J153" s="482" t="b">
        <f t="shared" si="20"/>
        <v>1</v>
      </c>
      <c r="K153" s="482" t="b">
        <f t="shared" si="16"/>
        <v>1</v>
      </c>
      <c r="L153" s="482" t="b">
        <f>IF(D153="n/a","n/a",ISNUMBER(MATCH(D153,'Measure-Level Adjustments Tab'!D:D,0)))</f>
        <v>1</v>
      </c>
      <c r="M153" s="482" t="b">
        <f t="shared" si="17"/>
        <v>0</v>
      </c>
      <c r="N153" s="482" t="b">
        <f t="shared" si="18"/>
        <v>1</v>
      </c>
      <c r="O153" s="482" t="b">
        <v>1</v>
      </c>
      <c r="P153" s="482" t="s">
        <v>1441</v>
      </c>
      <c r="Q153" s="488" t="s">
        <v>1442</v>
      </c>
      <c r="R153" s="482" t="str">
        <f t="shared" si="19"/>
        <v>Go To Update</v>
      </c>
    </row>
    <row r="154" spans="2:18" hidden="1">
      <c r="B154" s="480" t="s">
        <v>976</v>
      </c>
      <c r="C154" s="480" t="s">
        <v>1011</v>
      </c>
      <c r="D154" s="481" t="s">
        <v>376</v>
      </c>
      <c r="E154" s="480" t="s">
        <v>1372</v>
      </c>
      <c r="F154" s="480" t="s">
        <v>1373</v>
      </c>
      <c r="G154" s="480" t="s">
        <v>880</v>
      </c>
      <c r="H154" s="480" t="s">
        <v>1374</v>
      </c>
      <c r="I154" s="480" t="s">
        <v>879</v>
      </c>
      <c r="J154" s="482" t="b">
        <f t="shared" si="20"/>
        <v>0</v>
      </c>
      <c r="K154" s="482" t="b">
        <f t="shared" si="16"/>
        <v>0</v>
      </c>
      <c r="L154" s="482" t="b">
        <f>IF(D154="n/a","n/a",ISNUMBER(MATCH(D154,'Measure-Level Adjustments Tab'!D:D,0)))</f>
        <v>1</v>
      </c>
      <c r="M154" s="482" t="b">
        <f t="shared" si="17"/>
        <v>0</v>
      </c>
      <c r="N154" s="482" t="b">
        <f t="shared" si="18"/>
        <v>0</v>
      </c>
      <c r="O154" s="482" t="s">
        <v>764</v>
      </c>
      <c r="P154" s="482"/>
      <c r="Q154" s="482"/>
      <c r="R154" s="482" t="str">
        <f t="shared" si="19"/>
        <v/>
      </c>
    </row>
    <row r="155" spans="2:18" hidden="1">
      <c r="B155" s="480" t="s">
        <v>976</v>
      </c>
      <c r="C155" s="480" t="s">
        <v>1011</v>
      </c>
      <c r="D155" s="481" t="s">
        <v>1019</v>
      </c>
      <c r="E155" s="480" t="s">
        <v>1375</v>
      </c>
      <c r="F155" s="480" t="s">
        <v>1376</v>
      </c>
      <c r="G155" s="480" t="s">
        <v>907</v>
      </c>
      <c r="H155" s="480" t="s">
        <v>1116</v>
      </c>
      <c r="I155" s="480" t="s">
        <v>1117</v>
      </c>
      <c r="J155" s="482" t="b">
        <f t="shared" si="20"/>
        <v>1</v>
      </c>
      <c r="K155" s="482" t="b">
        <f t="shared" si="16"/>
        <v>1</v>
      </c>
      <c r="L155" s="482" t="b">
        <f>IF(D155="n/a","n/a",ISNUMBER(MATCH(D155,'Measure-Level Adjustments Tab'!D:D,0)))</f>
        <v>0</v>
      </c>
      <c r="M155" s="482" t="b">
        <f t="shared" si="17"/>
        <v>0</v>
      </c>
      <c r="N155" s="482" t="b">
        <f t="shared" si="18"/>
        <v>0</v>
      </c>
      <c r="O155" s="482" t="s">
        <v>764</v>
      </c>
      <c r="P155" s="482"/>
      <c r="Q155" s="482"/>
      <c r="R155" s="482" t="str">
        <f t="shared" si="19"/>
        <v/>
      </c>
    </row>
    <row r="156" spans="2:18" hidden="1">
      <c r="B156" s="480" t="s">
        <v>976</v>
      </c>
      <c r="C156" s="480" t="s">
        <v>1011</v>
      </c>
      <c r="D156" s="481" t="s">
        <v>1019</v>
      </c>
      <c r="E156" s="480" t="s">
        <v>1375</v>
      </c>
      <c r="F156" s="480" t="s">
        <v>1376</v>
      </c>
      <c r="G156" s="480" t="s">
        <v>907</v>
      </c>
      <c r="H156" s="480" t="s">
        <v>1377</v>
      </c>
      <c r="I156" s="480" t="s">
        <v>1117</v>
      </c>
      <c r="J156" s="482" t="b">
        <f t="shared" si="20"/>
        <v>1</v>
      </c>
      <c r="K156" s="482" t="b">
        <f t="shared" si="16"/>
        <v>1</v>
      </c>
      <c r="L156" s="482" t="b">
        <f>IF(D156="n/a","n/a",ISNUMBER(MATCH(D156,'Measure-Level Adjustments Tab'!D:D,0)))</f>
        <v>0</v>
      </c>
      <c r="M156" s="482" t="b">
        <f t="shared" si="17"/>
        <v>0</v>
      </c>
      <c r="N156" s="482" t="b">
        <f t="shared" si="18"/>
        <v>0</v>
      </c>
      <c r="O156" s="482" t="s">
        <v>764</v>
      </c>
      <c r="P156" s="482"/>
      <c r="Q156" s="482"/>
      <c r="R156" s="482" t="str">
        <f t="shared" si="19"/>
        <v/>
      </c>
    </row>
    <row r="157" spans="2:18" hidden="1">
      <c r="B157" s="480" t="s">
        <v>976</v>
      </c>
      <c r="C157" s="480" t="s">
        <v>1011</v>
      </c>
      <c r="D157" s="481" t="s">
        <v>1021</v>
      </c>
      <c r="E157" s="480" t="s">
        <v>1020</v>
      </c>
      <c r="F157" s="480" t="s">
        <v>1378</v>
      </c>
      <c r="G157" s="480" t="s">
        <v>907</v>
      </c>
      <c r="H157" s="480" t="s">
        <v>1116</v>
      </c>
      <c r="I157" s="480" t="s">
        <v>1117</v>
      </c>
      <c r="J157" s="482" t="b">
        <f t="shared" si="20"/>
        <v>1</v>
      </c>
      <c r="K157" s="482" t="b">
        <f t="shared" si="16"/>
        <v>1</v>
      </c>
      <c r="L157" s="482" t="b">
        <f>IF(D157="n/a","n/a",ISNUMBER(MATCH(D157,'Measure-Level Adjustments Tab'!D:D,0)))</f>
        <v>0</v>
      </c>
      <c r="M157" s="482" t="b">
        <f t="shared" si="17"/>
        <v>0</v>
      </c>
      <c r="N157" s="482" t="b">
        <f t="shared" si="18"/>
        <v>0</v>
      </c>
      <c r="O157" s="482" t="s">
        <v>764</v>
      </c>
      <c r="P157" s="482"/>
      <c r="Q157" s="482"/>
      <c r="R157" s="482" t="str">
        <f t="shared" si="19"/>
        <v/>
      </c>
    </row>
    <row r="158" spans="2:18" hidden="1">
      <c r="B158" s="480" t="s">
        <v>976</v>
      </c>
      <c r="C158" s="480" t="s">
        <v>1011</v>
      </c>
      <c r="D158" s="481" t="s">
        <v>1379</v>
      </c>
      <c r="E158" s="480" t="s">
        <v>1380</v>
      </c>
      <c r="F158" s="480" t="s">
        <v>1381</v>
      </c>
      <c r="G158" s="480" t="s">
        <v>881</v>
      </c>
      <c r="H158" s="480" t="s">
        <v>1382</v>
      </c>
      <c r="I158" s="480" t="s">
        <v>879</v>
      </c>
      <c r="J158" s="482" t="b">
        <f t="shared" si="20"/>
        <v>0</v>
      </c>
      <c r="K158" s="482" t="b">
        <f t="shared" si="16"/>
        <v>0</v>
      </c>
      <c r="L158" s="482" t="b">
        <f>IF(D158="n/a","n/a",ISNUMBER(MATCH(D158,'Measure-Level Adjustments Tab'!D:D,0)))</f>
        <v>0</v>
      </c>
      <c r="M158" s="482" t="b">
        <f t="shared" si="17"/>
        <v>0</v>
      </c>
      <c r="N158" s="482" t="b">
        <f t="shared" si="18"/>
        <v>0</v>
      </c>
      <c r="O158" s="482" t="s">
        <v>764</v>
      </c>
      <c r="P158" s="482"/>
      <c r="Q158" s="482"/>
      <c r="R158" s="482" t="str">
        <f t="shared" si="19"/>
        <v/>
      </c>
    </row>
    <row r="159" spans="2:18" hidden="1">
      <c r="B159" s="480" t="s">
        <v>976</v>
      </c>
      <c r="C159" s="480" t="s">
        <v>1022</v>
      </c>
      <c r="D159" s="481" t="s">
        <v>1024</v>
      </c>
      <c r="E159" s="480" t="s">
        <v>1023</v>
      </c>
      <c r="F159" s="480" t="s">
        <v>879</v>
      </c>
      <c r="G159" s="480" t="s">
        <v>1235</v>
      </c>
      <c r="H159" s="480" t="s">
        <v>1236</v>
      </c>
      <c r="I159" s="480" t="s">
        <v>879</v>
      </c>
      <c r="J159" s="482" t="b">
        <f t="shared" si="20"/>
        <v>0</v>
      </c>
      <c r="K159" s="482" t="b">
        <f t="shared" si="16"/>
        <v>0</v>
      </c>
      <c r="L159" s="482" t="b">
        <f>IF(D159="n/a","n/a",ISNUMBER(MATCH(D159,'Measure-Level Adjustments Tab'!D:D,0)))</f>
        <v>0</v>
      </c>
      <c r="M159" s="482" t="b">
        <f t="shared" si="17"/>
        <v>0</v>
      </c>
      <c r="N159" s="482" t="b">
        <f t="shared" si="18"/>
        <v>0</v>
      </c>
      <c r="O159" s="482" t="s">
        <v>764</v>
      </c>
      <c r="P159" s="482"/>
      <c r="Q159" s="482"/>
      <c r="R159" s="482" t="str">
        <f t="shared" si="19"/>
        <v/>
      </c>
    </row>
    <row r="160" spans="2:18" hidden="1">
      <c r="B160" s="480" t="s">
        <v>976</v>
      </c>
      <c r="C160" s="480" t="s">
        <v>1022</v>
      </c>
      <c r="D160" s="481" t="s">
        <v>1026</v>
      </c>
      <c r="E160" s="483" t="s">
        <v>1025</v>
      </c>
      <c r="F160" s="480" t="s">
        <v>879</v>
      </c>
      <c r="G160" s="480" t="s">
        <v>1235</v>
      </c>
      <c r="H160" s="480" t="s">
        <v>1236</v>
      </c>
      <c r="I160" s="480" t="s">
        <v>879</v>
      </c>
      <c r="J160" s="482" t="b">
        <f t="shared" si="20"/>
        <v>0</v>
      </c>
      <c r="K160" s="482" t="b">
        <f t="shared" si="16"/>
        <v>0</v>
      </c>
      <c r="L160" s="482" t="b">
        <f>IF(D160="n/a","n/a",ISNUMBER(MATCH(D160,'Measure-Level Adjustments Tab'!D:D,0)))</f>
        <v>0</v>
      </c>
      <c r="M160" s="482" t="b">
        <f t="shared" si="17"/>
        <v>0</v>
      </c>
      <c r="N160" s="482" t="b">
        <f t="shared" si="18"/>
        <v>0</v>
      </c>
      <c r="O160" s="482" t="s">
        <v>764</v>
      </c>
      <c r="P160" s="482"/>
      <c r="Q160" s="482"/>
      <c r="R160" s="482" t="str">
        <f t="shared" si="19"/>
        <v/>
      </c>
    </row>
    <row r="161" spans="2:18" hidden="1">
      <c r="B161" s="480" t="s">
        <v>976</v>
      </c>
      <c r="C161" s="480" t="s">
        <v>1022</v>
      </c>
      <c r="D161" s="481" t="s">
        <v>1028</v>
      </c>
      <c r="E161" s="480" t="s">
        <v>1027</v>
      </c>
      <c r="F161" s="480" t="s">
        <v>879</v>
      </c>
      <c r="G161" s="480" t="s">
        <v>1235</v>
      </c>
      <c r="H161" s="480" t="s">
        <v>1236</v>
      </c>
      <c r="I161" s="480" t="s">
        <v>879</v>
      </c>
      <c r="J161" s="482" t="b">
        <f t="shared" si="20"/>
        <v>0</v>
      </c>
      <c r="K161" s="482" t="b">
        <f t="shared" si="16"/>
        <v>0</v>
      </c>
      <c r="L161" s="482" t="b">
        <f>IF(D161="n/a","n/a",ISNUMBER(MATCH(D161,'Measure-Level Adjustments Tab'!D:D,0)))</f>
        <v>0</v>
      </c>
      <c r="M161" s="482" t="b">
        <f t="shared" si="17"/>
        <v>0</v>
      </c>
      <c r="N161" s="482" t="b">
        <f t="shared" si="18"/>
        <v>0</v>
      </c>
      <c r="O161" s="482" t="s">
        <v>764</v>
      </c>
      <c r="P161" s="482"/>
      <c r="Q161" s="482"/>
      <c r="R161" s="482" t="str">
        <f t="shared" si="19"/>
        <v/>
      </c>
    </row>
    <row r="162" spans="2:18" hidden="1">
      <c r="B162" s="480" t="s">
        <v>976</v>
      </c>
      <c r="C162" s="480" t="s">
        <v>1022</v>
      </c>
      <c r="D162" s="481" t="s">
        <v>1029</v>
      </c>
      <c r="E162" s="480" t="s">
        <v>1383</v>
      </c>
      <c r="F162" s="480" t="s">
        <v>879</v>
      </c>
      <c r="G162" s="480" t="s">
        <v>1235</v>
      </c>
      <c r="H162" s="480" t="s">
        <v>1236</v>
      </c>
      <c r="I162" s="480" t="s">
        <v>879</v>
      </c>
      <c r="J162" s="482" t="b">
        <f t="shared" si="20"/>
        <v>0</v>
      </c>
      <c r="K162" s="482" t="b">
        <f t="shared" si="16"/>
        <v>0</v>
      </c>
      <c r="L162" s="482" t="b">
        <f>IF(D162="n/a","n/a",ISNUMBER(MATCH(D162,'Measure-Level Adjustments Tab'!D:D,0)))</f>
        <v>0</v>
      </c>
      <c r="M162" s="482" t="b">
        <f t="shared" si="17"/>
        <v>0</v>
      </c>
      <c r="N162" s="482" t="b">
        <f t="shared" si="18"/>
        <v>0</v>
      </c>
      <c r="O162" s="482" t="s">
        <v>764</v>
      </c>
      <c r="P162" s="482"/>
      <c r="Q162" s="482"/>
      <c r="R162" s="482" t="str">
        <f t="shared" si="19"/>
        <v/>
      </c>
    </row>
    <row r="163" spans="2:18" hidden="1">
      <c r="B163" s="480" t="s">
        <v>976</v>
      </c>
      <c r="C163" s="480" t="s">
        <v>1022</v>
      </c>
      <c r="D163" s="481" t="s">
        <v>1031</v>
      </c>
      <c r="E163" s="483" t="s">
        <v>1030</v>
      </c>
      <c r="F163" s="480" t="s">
        <v>879</v>
      </c>
      <c r="G163" s="480" t="s">
        <v>1235</v>
      </c>
      <c r="H163" s="480" t="s">
        <v>1236</v>
      </c>
      <c r="I163" s="480" t="s">
        <v>879</v>
      </c>
      <c r="J163" s="482" t="b">
        <f t="shared" si="20"/>
        <v>0</v>
      </c>
      <c r="K163" s="482" t="b">
        <f t="shared" si="16"/>
        <v>0</v>
      </c>
      <c r="L163" s="482" t="b">
        <f>IF(D163="n/a","n/a",ISNUMBER(MATCH(D163,'Measure-Level Adjustments Tab'!D:D,0)))</f>
        <v>0</v>
      </c>
      <c r="M163" s="482" t="b">
        <f t="shared" si="17"/>
        <v>0</v>
      </c>
      <c r="N163" s="482" t="b">
        <f t="shared" si="18"/>
        <v>0</v>
      </c>
      <c r="O163" s="482" t="s">
        <v>764</v>
      </c>
      <c r="P163" s="482"/>
      <c r="Q163" s="482"/>
      <c r="R163" s="482" t="str">
        <f t="shared" si="19"/>
        <v/>
      </c>
    </row>
    <row r="164" spans="2:18" hidden="1">
      <c r="B164" s="480" t="s">
        <v>976</v>
      </c>
      <c r="C164" s="480" t="s">
        <v>1022</v>
      </c>
      <c r="D164" s="481" t="s">
        <v>1033</v>
      </c>
      <c r="E164" s="483" t="s">
        <v>1032</v>
      </c>
      <c r="F164" s="480" t="s">
        <v>1384</v>
      </c>
      <c r="G164" s="480" t="s">
        <v>880</v>
      </c>
      <c r="H164" s="480" t="s">
        <v>1426</v>
      </c>
      <c r="I164" s="480" t="s">
        <v>1385</v>
      </c>
      <c r="J164" s="482" t="b">
        <f t="shared" si="20"/>
        <v>1</v>
      </c>
      <c r="K164" s="482" t="b">
        <f t="shared" si="16"/>
        <v>1</v>
      </c>
      <c r="L164" s="482" t="b">
        <f>IF(D164="n/a","n/a",ISNUMBER(MATCH(D164,'Measure-Level Adjustments Tab'!D:D,0)))</f>
        <v>0</v>
      </c>
      <c r="M164" s="482" t="b">
        <f t="shared" si="17"/>
        <v>0</v>
      </c>
      <c r="N164" s="482" t="b">
        <f t="shared" si="18"/>
        <v>0</v>
      </c>
      <c r="O164" s="482" t="s">
        <v>764</v>
      </c>
      <c r="P164" s="482"/>
      <c r="Q164" s="482"/>
      <c r="R164" s="482" t="str">
        <f t="shared" si="19"/>
        <v/>
      </c>
    </row>
    <row r="165" spans="2:18" hidden="1">
      <c r="B165" s="480" t="s">
        <v>976</v>
      </c>
      <c r="C165" s="480" t="s">
        <v>1022</v>
      </c>
      <c r="D165" s="481" t="s">
        <v>1035</v>
      </c>
      <c r="E165" s="483" t="s">
        <v>1034</v>
      </c>
      <c r="F165" s="480" t="s">
        <v>1386</v>
      </c>
      <c r="G165" s="480" t="s">
        <v>880</v>
      </c>
      <c r="H165" s="480" t="s">
        <v>1427</v>
      </c>
      <c r="I165" s="480" t="s">
        <v>1385</v>
      </c>
      <c r="J165" s="482" t="b">
        <f t="shared" si="20"/>
        <v>1</v>
      </c>
      <c r="K165" s="482" t="b">
        <f t="shared" si="16"/>
        <v>1</v>
      </c>
      <c r="L165" s="482" t="b">
        <f>IF(D165="n/a","n/a",ISNUMBER(MATCH(D165,'Measure-Level Adjustments Tab'!D:D,0)))</f>
        <v>0</v>
      </c>
      <c r="M165" s="482" t="b">
        <f t="shared" si="17"/>
        <v>0</v>
      </c>
      <c r="N165" s="482" t="b">
        <f t="shared" si="18"/>
        <v>0</v>
      </c>
      <c r="O165" s="482" t="s">
        <v>764</v>
      </c>
      <c r="P165" s="482"/>
      <c r="Q165" s="482"/>
      <c r="R165" s="482" t="str">
        <f t="shared" si="19"/>
        <v/>
      </c>
    </row>
    <row r="166" spans="2:18" hidden="1">
      <c r="B166" s="480" t="s">
        <v>976</v>
      </c>
      <c r="C166" s="480" t="s">
        <v>1022</v>
      </c>
      <c r="D166" s="481" t="s">
        <v>1037</v>
      </c>
      <c r="E166" s="483" t="s">
        <v>1036</v>
      </c>
      <c r="F166" s="480" t="s">
        <v>1387</v>
      </c>
      <c r="G166" s="480" t="s">
        <v>880</v>
      </c>
      <c r="H166" s="480" t="s">
        <v>1428</v>
      </c>
      <c r="I166" s="480" t="s">
        <v>1385</v>
      </c>
      <c r="J166" s="482" t="b">
        <f t="shared" si="20"/>
        <v>1</v>
      </c>
      <c r="K166" s="482" t="b">
        <f t="shared" si="16"/>
        <v>1</v>
      </c>
      <c r="L166" s="482" t="b">
        <f>IF(D166="n/a","n/a",ISNUMBER(MATCH(D166,'Measure-Level Adjustments Tab'!D:D,0)))</f>
        <v>0</v>
      </c>
      <c r="M166" s="482" t="b">
        <f t="shared" si="17"/>
        <v>0</v>
      </c>
      <c r="N166" s="482" t="b">
        <f t="shared" si="18"/>
        <v>0</v>
      </c>
      <c r="O166" s="482" t="s">
        <v>764</v>
      </c>
      <c r="P166" s="482"/>
      <c r="Q166" s="482"/>
      <c r="R166" s="482" t="str">
        <f t="shared" si="19"/>
        <v/>
      </c>
    </row>
    <row r="167" spans="2:18" hidden="1">
      <c r="B167" s="480" t="s">
        <v>976</v>
      </c>
      <c r="C167" s="480" t="s">
        <v>1022</v>
      </c>
      <c r="D167" s="481" t="s">
        <v>1039</v>
      </c>
      <c r="E167" s="483" t="s">
        <v>1038</v>
      </c>
      <c r="F167" s="480" t="s">
        <v>1388</v>
      </c>
      <c r="G167" s="480" t="s">
        <v>880</v>
      </c>
      <c r="H167" s="480" t="s">
        <v>1389</v>
      </c>
      <c r="I167" s="480" t="s">
        <v>908</v>
      </c>
      <c r="J167" s="482" t="b">
        <f t="shared" si="20"/>
        <v>1</v>
      </c>
      <c r="K167" s="482" t="b">
        <f t="shared" ref="K167:K184" si="21">COUNTIFS(D:D,D167,J:J,TRUE)&gt;0</f>
        <v>1</v>
      </c>
      <c r="L167" s="482" t="b">
        <f>IF(D167="n/a","n/a",ISNUMBER(MATCH(D167,'Measure-Level Adjustments Tab'!D:D,0)))</f>
        <v>0</v>
      </c>
      <c r="M167" s="482" t="b">
        <f t="shared" si="17"/>
        <v>0</v>
      </c>
      <c r="N167" s="482" t="b">
        <f t="shared" si="18"/>
        <v>0</v>
      </c>
      <c r="O167" s="482" t="s">
        <v>764</v>
      </c>
      <c r="P167" s="482"/>
      <c r="Q167" s="482"/>
      <c r="R167" s="482" t="str">
        <f t="shared" si="19"/>
        <v/>
      </c>
    </row>
    <row r="168" spans="2:18" hidden="1">
      <c r="B168" s="480" t="s">
        <v>976</v>
      </c>
      <c r="C168" s="480" t="s">
        <v>1022</v>
      </c>
      <c r="D168" s="481" t="s">
        <v>1390</v>
      </c>
      <c r="E168" s="483" t="s">
        <v>1391</v>
      </c>
      <c r="F168" s="480" t="s">
        <v>1392</v>
      </c>
      <c r="G168" s="480" t="s">
        <v>881</v>
      </c>
      <c r="H168" s="480" t="s">
        <v>962</v>
      </c>
      <c r="I168" s="480" t="s">
        <v>879</v>
      </c>
      <c r="J168" s="482" t="b">
        <f t="shared" si="20"/>
        <v>0</v>
      </c>
      <c r="K168" s="482" t="b">
        <f t="shared" si="21"/>
        <v>0</v>
      </c>
      <c r="L168" s="482" t="b">
        <f>IF(D168="n/a","n/a",ISNUMBER(MATCH(D168,'Measure-Level Adjustments Tab'!D:D,0)))</f>
        <v>0</v>
      </c>
      <c r="M168" s="482" t="b">
        <f t="shared" si="17"/>
        <v>0</v>
      </c>
      <c r="N168" s="482" t="b">
        <f t="shared" si="18"/>
        <v>0</v>
      </c>
      <c r="O168" s="482" t="s">
        <v>764</v>
      </c>
      <c r="P168" s="482"/>
      <c r="Q168" s="482"/>
      <c r="R168" s="482" t="str">
        <f t="shared" si="19"/>
        <v/>
      </c>
    </row>
    <row r="169" spans="2:18" hidden="1">
      <c r="B169" s="480" t="s">
        <v>976</v>
      </c>
      <c r="C169" s="480" t="s">
        <v>1040</v>
      </c>
      <c r="D169" s="481" t="s">
        <v>438</v>
      </c>
      <c r="E169" s="480" t="s">
        <v>1041</v>
      </c>
      <c r="F169" s="480" t="s">
        <v>1393</v>
      </c>
      <c r="G169" s="480" t="s">
        <v>880</v>
      </c>
      <c r="H169" s="480" t="s">
        <v>1394</v>
      </c>
      <c r="I169" s="480" t="s">
        <v>879</v>
      </c>
      <c r="J169" s="482" t="b">
        <f t="shared" si="20"/>
        <v>0</v>
      </c>
      <c r="K169" s="482" t="b">
        <f t="shared" si="21"/>
        <v>1</v>
      </c>
      <c r="L169" s="482" t="b">
        <f>IF(D169="n/a","n/a",ISNUMBER(MATCH(D169,'Measure-Level Adjustments Tab'!D:D,0)))</f>
        <v>1</v>
      </c>
      <c r="M169" s="482" t="b">
        <f t="shared" si="17"/>
        <v>0</v>
      </c>
      <c r="N169" s="482" t="b">
        <f t="shared" si="18"/>
        <v>0</v>
      </c>
      <c r="O169" s="482" t="s">
        <v>764</v>
      </c>
      <c r="P169" s="482"/>
      <c r="Q169" s="482"/>
      <c r="R169" s="482" t="str">
        <f t="shared" si="19"/>
        <v/>
      </c>
    </row>
    <row r="170" spans="2:18">
      <c r="B170" s="480" t="s">
        <v>976</v>
      </c>
      <c r="C170" s="480" t="s">
        <v>1040</v>
      </c>
      <c r="D170" s="481" t="s">
        <v>438</v>
      </c>
      <c r="E170" s="480" t="s">
        <v>1041</v>
      </c>
      <c r="F170" s="480" t="s">
        <v>1393</v>
      </c>
      <c r="G170" s="480" t="s">
        <v>880</v>
      </c>
      <c r="H170" s="480" t="s">
        <v>1395</v>
      </c>
      <c r="I170" s="480" t="s">
        <v>879</v>
      </c>
      <c r="J170" s="482" t="b">
        <v>1</v>
      </c>
      <c r="K170" s="482" t="b">
        <f t="shared" si="21"/>
        <v>1</v>
      </c>
      <c r="L170" s="482" t="b">
        <f>IF(D170="n/a","n/a",ISNUMBER(MATCH(D170,'Measure-Level Adjustments Tab'!D:D,0)))</f>
        <v>1</v>
      </c>
      <c r="M170" s="482" t="b">
        <f t="shared" si="17"/>
        <v>0</v>
      </c>
      <c r="N170" s="482" t="b">
        <f t="shared" si="18"/>
        <v>1</v>
      </c>
      <c r="O170" s="482" t="b">
        <v>1</v>
      </c>
      <c r="P170" s="482" t="s">
        <v>1449</v>
      </c>
      <c r="Q170" s="482" t="s">
        <v>1456</v>
      </c>
      <c r="R170" s="482" t="str">
        <f t="shared" si="19"/>
        <v>Go To Update</v>
      </c>
    </row>
    <row r="171" spans="2:18" hidden="1">
      <c r="B171" s="480" t="s">
        <v>976</v>
      </c>
      <c r="C171" s="480" t="s">
        <v>1040</v>
      </c>
      <c r="D171" s="481" t="s">
        <v>438</v>
      </c>
      <c r="E171" s="480" t="s">
        <v>1041</v>
      </c>
      <c r="F171" s="480" t="s">
        <v>1393</v>
      </c>
      <c r="G171" s="480" t="s">
        <v>880</v>
      </c>
      <c r="H171" s="480" t="s">
        <v>1396</v>
      </c>
      <c r="I171" s="480" t="s">
        <v>879</v>
      </c>
      <c r="J171" s="482" t="b">
        <f t="shared" si="20"/>
        <v>0</v>
      </c>
      <c r="K171" s="482" t="b">
        <f t="shared" si="21"/>
        <v>1</v>
      </c>
      <c r="L171" s="482" t="b">
        <f>IF(D171="n/a","n/a",ISNUMBER(MATCH(D171,'Measure-Level Adjustments Tab'!D:D,0)))</f>
        <v>1</v>
      </c>
      <c r="M171" s="482" t="b">
        <f t="shared" si="17"/>
        <v>0</v>
      </c>
      <c r="N171" s="482" t="b">
        <f t="shared" si="18"/>
        <v>0</v>
      </c>
      <c r="O171" s="482" t="s">
        <v>764</v>
      </c>
      <c r="P171" s="482"/>
      <c r="Q171" s="482"/>
      <c r="R171" s="482" t="str">
        <f t="shared" si="19"/>
        <v/>
      </c>
    </row>
    <row r="172" spans="2:18" hidden="1">
      <c r="B172" s="480" t="s">
        <v>976</v>
      </c>
      <c r="C172" s="480" t="s">
        <v>1040</v>
      </c>
      <c r="D172" s="481" t="s">
        <v>431</v>
      </c>
      <c r="E172" s="480" t="s">
        <v>1043</v>
      </c>
      <c r="F172" s="480" t="s">
        <v>1397</v>
      </c>
      <c r="G172" s="480" t="s">
        <v>880</v>
      </c>
      <c r="H172" s="480" t="s">
        <v>1396</v>
      </c>
      <c r="I172" s="480" t="s">
        <v>879</v>
      </c>
      <c r="J172" s="482" t="b">
        <f t="shared" si="20"/>
        <v>0</v>
      </c>
      <c r="K172" s="482" t="b">
        <f t="shared" si="21"/>
        <v>0</v>
      </c>
      <c r="L172" s="482" t="b">
        <f>IF(D172="n/a","n/a",ISNUMBER(MATCH(D172,'Measure-Level Adjustments Tab'!D:D,0)))</f>
        <v>1</v>
      </c>
      <c r="M172" s="482" t="b">
        <f t="shared" si="17"/>
        <v>0</v>
      </c>
      <c r="N172" s="482" t="b">
        <f t="shared" si="18"/>
        <v>0</v>
      </c>
      <c r="O172" s="482" t="s">
        <v>764</v>
      </c>
      <c r="P172" s="482"/>
      <c r="Q172" s="482"/>
      <c r="R172" s="482" t="str">
        <f t="shared" si="19"/>
        <v/>
      </c>
    </row>
    <row r="173" spans="2:18" hidden="1">
      <c r="B173" s="480" t="s">
        <v>976</v>
      </c>
      <c r="C173" s="480" t="s">
        <v>1040</v>
      </c>
      <c r="D173" s="481" t="s">
        <v>1044</v>
      </c>
      <c r="E173" s="480" t="s">
        <v>1398</v>
      </c>
      <c r="F173" s="480" t="s">
        <v>1399</v>
      </c>
      <c r="G173" s="480" t="s">
        <v>907</v>
      </c>
      <c r="H173" s="480" t="s">
        <v>1400</v>
      </c>
      <c r="I173" s="480" t="s">
        <v>887</v>
      </c>
      <c r="J173" s="482" t="b">
        <f t="shared" si="20"/>
        <v>1</v>
      </c>
      <c r="K173" s="482" t="b">
        <f t="shared" si="21"/>
        <v>1</v>
      </c>
      <c r="L173" s="482" t="b">
        <f>IF(D173="n/a","n/a",ISNUMBER(MATCH(D173,'Measure-Level Adjustments Tab'!D:D,0)))</f>
        <v>0</v>
      </c>
      <c r="M173" s="482" t="b">
        <f t="shared" si="17"/>
        <v>0</v>
      </c>
      <c r="N173" s="482" t="b">
        <f t="shared" si="18"/>
        <v>0</v>
      </c>
      <c r="O173" s="482" t="s">
        <v>764</v>
      </c>
      <c r="P173" s="482"/>
      <c r="Q173" s="482"/>
      <c r="R173" s="482" t="str">
        <f t="shared" si="19"/>
        <v/>
      </c>
    </row>
    <row r="174" spans="2:18" hidden="1">
      <c r="B174" s="480" t="s">
        <v>976</v>
      </c>
      <c r="C174" s="480" t="s">
        <v>1040</v>
      </c>
      <c r="D174" s="481" t="s">
        <v>1044</v>
      </c>
      <c r="E174" s="480" t="s">
        <v>1398</v>
      </c>
      <c r="F174" s="480" t="s">
        <v>1401</v>
      </c>
      <c r="G174" s="480" t="s">
        <v>880</v>
      </c>
      <c r="H174" s="480" t="s">
        <v>1396</v>
      </c>
      <c r="I174" s="480" t="s">
        <v>879</v>
      </c>
      <c r="J174" s="482" t="b">
        <f t="shared" si="20"/>
        <v>0</v>
      </c>
      <c r="K174" s="482" t="b">
        <f t="shared" si="21"/>
        <v>1</v>
      </c>
      <c r="L174" s="482" t="b">
        <f>IF(D174="n/a","n/a",ISNUMBER(MATCH(D174,'Measure-Level Adjustments Tab'!D:D,0)))</f>
        <v>0</v>
      </c>
      <c r="M174" s="482" t="b">
        <f t="shared" si="17"/>
        <v>0</v>
      </c>
      <c r="N174" s="482" t="b">
        <f t="shared" si="18"/>
        <v>0</v>
      </c>
      <c r="O174" s="482" t="s">
        <v>764</v>
      </c>
      <c r="P174" s="482"/>
      <c r="Q174" s="482"/>
      <c r="R174" s="482" t="str">
        <f t="shared" si="19"/>
        <v/>
      </c>
    </row>
    <row r="175" spans="2:18" hidden="1">
      <c r="B175" s="480" t="s">
        <v>976</v>
      </c>
      <c r="C175" s="480" t="s">
        <v>1040</v>
      </c>
      <c r="D175" s="481" t="s">
        <v>417</v>
      </c>
      <c r="E175" s="480" t="s">
        <v>1045</v>
      </c>
      <c r="F175" s="480" t="s">
        <v>1402</v>
      </c>
      <c r="G175" s="480" t="s">
        <v>880</v>
      </c>
      <c r="H175" s="480" t="s">
        <v>1396</v>
      </c>
      <c r="I175" s="480" t="s">
        <v>879</v>
      </c>
      <c r="J175" s="482" t="b">
        <f t="shared" si="20"/>
        <v>0</v>
      </c>
      <c r="K175" s="482" t="b">
        <f t="shared" si="21"/>
        <v>0</v>
      </c>
      <c r="L175" s="482" t="b">
        <f>IF(D175="n/a","n/a",ISNUMBER(MATCH(D175,'Measure-Level Adjustments Tab'!D:D,0)))</f>
        <v>1</v>
      </c>
      <c r="M175" s="482" t="b">
        <f t="shared" si="17"/>
        <v>0</v>
      </c>
      <c r="N175" s="482" t="b">
        <f t="shared" si="18"/>
        <v>0</v>
      </c>
      <c r="O175" s="482" t="s">
        <v>764</v>
      </c>
      <c r="P175" s="482"/>
      <c r="Q175" s="482"/>
      <c r="R175" s="482" t="str">
        <f t="shared" si="19"/>
        <v/>
      </c>
    </row>
    <row r="176" spans="2:18">
      <c r="B176" s="480" t="s">
        <v>976</v>
      </c>
      <c r="C176" s="480" t="s">
        <v>1040</v>
      </c>
      <c r="D176" s="481" t="s">
        <v>1048</v>
      </c>
      <c r="E176" s="480" t="s">
        <v>1047</v>
      </c>
      <c r="F176" s="480" t="s">
        <v>1403</v>
      </c>
      <c r="G176" s="480" t="s">
        <v>880</v>
      </c>
      <c r="H176" s="480" t="s">
        <v>1395</v>
      </c>
      <c r="I176" s="480" t="s">
        <v>887</v>
      </c>
      <c r="J176" s="482" t="b">
        <f t="shared" si="20"/>
        <v>1</v>
      </c>
      <c r="K176" s="482" t="b">
        <f t="shared" si="21"/>
        <v>1</v>
      </c>
      <c r="L176" s="482" t="b">
        <f>IF(D176="n/a","n/a",ISNUMBER(MATCH(D176,'Measure-Level Adjustments Tab'!D:D,0)))</f>
        <v>1</v>
      </c>
      <c r="M176" s="482" t="b">
        <f t="shared" si="17"/>
        <v>0</v>
      </c>
      <c r="N176" s="482" t="b">
        <f t="shared" si="18"/>
        <v>1</v>
      </c>
      <c r="O176" s="482" t="b">
        <v>1</v>
      </c>
      <c r="P176" s="482" t="s">
        <v>1449</v>
      </c>
      <c r="Q176" s="482" t="s">
        <v>1457</v>
      </c>
      <c r="R176" s="482" t="str">
        <f t="shared" si="19"/>
        <v>Go To Update</v>
      </c>
    </row>
    <row r="177" spans="2:18">
      <c r="B177" s="480" t="s">
        <v>976</v>
      </c>
      <c r="C177" s="480" t="s">
        <v>1040</v>
      </c>
      <c r="D177" s="481" t="s">
        <v>1048</v>
      </c>
      <c r="E177" s="480" t="s">
        <v>1047</v>
      </c>
      <c r="F177" s="480" t="s">
        <v>1403</v>
      </c>
      <c r="G177" s="480" t="s">
        <v>880</v>
      </c>
      <c r="H177" s="480" t="s">
        <v>1404</v>
      </c>
      <c r="I177" s="480" t="s">
        <v>887</v>
      </c>
      <c r="J177" s="482" t="b">
        <f t="shared" si="20"/>
        <v>1</v>
      </c>
      <c r="K177" s="482" t="b">
        <f t="shared" si="21"/>
        <v>1</v>
      </c>
      <c r="L177" s="482" t="b">
        <f>IF(D177="n/a","n/a",ISNUMBER(MATCH(D177,'Measure-Level Adjustments Tab'!D:D,0)))</f>
        <v>1</v>
      </c>
      <c r="M177" s="482" t="b">
        <f t="shared" si="17"/>
        <v>0</v>
      </c>
      <c r="N177" s="482" t="b">
        <f t="shared" si="18"/>
        <v>1</v>
      </c>
      <c r="O177" s="482" t="s">
        <v>764</v>
      </c>
      <c r="P177" s="482" t="s">
        <v>1450</v>
      </c>
      <c r="Q177" s="482"/>
      <c r="R177" s="482" t="str">
        <f t="shared" si="19"/>
        <v/>
      </c>
    </row>
    <row r="178" spans="2:18">
      <c r="B178" s="480" t="s">
        <v>976</v>
      </c>
      <c r="C178" s="480" t="s">
        <v>1040</v>
      </c>
      <c r="D178" s="481" t="s">
        <v>1048</v>
      </c>
      <c r="E178" s="480" t="s">
        <v>1047</v>
      </c>
      <c r="F178" s="480" t="s">
        <v>1403</v>
      </c>
      <c r="G178" s="480" t="s">
        <v>880</v>
      </c>
      <c r="H178" s="480" t="s">
        <v>1396</v>
      </c>
      <c r="I178" s="480" t="s">
        <v>887</v>
      </c>
      <c r="J178" s="482" t="b">
        <f t="shared" si="20"/>
        <v>1</v>
      </c>
      <c r="K178" s="482" t="b">
        <f t="shared" si="21"/>
        <v>1</v>
      </c>
      <c r="L178" s="482" t="b">
        <f>IF(D178="n/a","n/a",ISNUMBER(MATCH(D178,'Measure-Level Adjustments Tab'!D:D,0)))</f>
        <v>1</v>
      </c>
      <c r="M178" s="482" t="b">
        <f t="shared" si="17"/>
        <v>0</v>
      </c>
      <c r="N178" s="482" t="b">
        <f t="shared" si="18"/>
        <v>1</v>
      </c>
      <c r="O178" s="482" t="s">
        <v>764</v>
      </c>
      <c r="P178" s="482" t="s">
        <v>1439</v>
      </c>
      <c r="Q178" s="482"/>
      <c r="R178" s="482" t="str">
        <f t="shared" si="19"/>
        <v/>
      </c>
    </row>
    <row r="179" spans="2:18" hidden="1">
      <c r="B179" s="480" t="s">
        <v>976</v>
      </c>
      <c r="C179" s="480" t="s">
        <v>1040</v>
      </c>
      <c r="D179" s="481" t="s">
        <v>1050</v>
      </c>
      <c r="E179" s="480" t="s">
        <v>1049</v>
      </c>
      <c r="F179" s="480" t="s">
        <v>1405</v>
      </c>
      <c r="G179" s="480" t="s">
        <v>880</v>
      </c>
      <c r="H179" s="480" t="s">
        <v>1396</v>
      </c>
      <c r="I179" s="480" t="s">
        <v>879</v>
      </c>
      <c r="J179" s="482" t="b">
        <f t="shared" si="20"/>
        <v>0</v>
      </c>
      <c r="K179" s="482" t="b">
        <f t="shared" si="21"/>
        <v>0</v>
      </c>
      <c r="L179" s="482" t="b">
        <f>IF(D179="n/a","n/a",ISNUMBER(MATCH(D179,'Measure-Level Adjustments Tab'!D:D,0)))</f>
        <v>0</v>
      </c>
      <c r="M179" s="482" t="b">
        <f t="shared" si="17"/>
        <v>0</v>
      </c>
      <c r="N179" s="482" t="b">
        <f t="shared" si="18"/>
        <v>0</v>
      </c>
      <c r="O179" s="482" t="s">
        <v>764</v>
      </c>
      <c r="P179" s="482"/>
      <c r="Q179" s="482"/>
      <c r="R179" s="482" t="str">
        <f t="shared" si="19"/>
        <v/>
      </c>
    </row>
    <row r="180" spans="2:18" hidden="1">
      <c r="B180" s="480" t="s">
        <v>976</v>
      </c>
      <c r="C180" s="480" t="s">
        <v>1051</v>
      </c>
      <c r="D180" s="481" t="s">
        <v>1406</v>
      </c>
      <c r="E180" s="480" t="s">
        <v>1407</v>
      </c>
      <c r="F180" s="480" t="s">
        <v>1408</v>
      </c>
      <c r="G180" s="480" t="s">
        <v>881</v>
      </c>
      <c r="H180" s="480" t="s">
        <v>936</v>
      </c>
      <c r="I180" s="480" t="s">
        <v>879</v>
      </c>
      <c r="J180" s="482" t="b">
        <f t="shared" si="20"/>
        <v>0</v>
      </c>
      <c r="K180" s="482" t="b">
        <f t="shared" si="21"/>
        <v>0</v>
      </c>
      <c r="L180" s="482" t="b">
        <f>IF(D180="n/a","n/a",ISNUMBER(MATCH(D180,'Measure-Level Adjustments Tab'!D:D,0)))</f>
        <v>0</v>
      </c>
      <c r="M180" s="482" t="b">
        <f t="shared" si="17"/>
        <v>0</v>
      </c>
      <c r="N180" s="482" t="b">
        <f t="shared" si="18"/>
        <v>0</v>
      </c>
      <c r="O180" s="482" t="s">
        <v>764</v>
      </c>
      <c r="P180" s="482"/>
      <c r="Q180" s="482"/>
      <c r="R180" s="482" t="str">
        <f t="shared" si="19"/>
        <v/>
      </c>
    </row>
    <row r="181" spans="2:18" hidden="1">
      <c r="B181" s="480" t="s">
        <v>1052</v>
      </c>
      <c r="C181" s="480" t="s">
        <v>1409</v>
      </c>
      <c r="D181" s="481" t="s">
        <v>764</v>
      </c>
      <c r="E181" s="483" t="s">
        <v>1410</v>
      </c>
      <c r="F181" s="480" t="s">
        <v>879</v>
      </c>
      <c r="G181" s="480" t="s">
        <v>880</v>
      </c>
      <c r="H181" s="483" t="s">
        <v>1411</v>
      </c>
      <c r="I181" s="480" t="s">
        <v>879</v>
      </c>
      <c r="J181" s="482" t="b">
        <f t="shared" si="20"/>
        <v>0</v>
      </c>
      <c r="K181" s="482" t="b">
        <f t="shared" si="21"/>
        <v>0</v>
      </c>
      <c r="L181" s="482" t="str">
        <f>IF(D181="n/a","n/a",ISNUMBER(MATCH(D181,'Measure-Level Adjustments Tab'!D:D,0)))</f>
        <v>n/a</v>
      </c>
      <c r="M181" s="482" t="b">
        <f t="shared" si="17"/>
        <v>0</v>
      </c>
      <c r="N181" s="482" t="b">
        <f t="shared" si="18"/>
        <v>0</v>
      </c>
      <c r="O181" s="482" t="s">
        <v>764</v>
      </c>
      <c r="P181" s="482"/>
      <c r="Q181" s="482"/>
      <c r="R181" s="482" t="str">
        <f t="shared" si="19"/>
        <v/>
      </c>
    </row>
    <row r="182" spans="2:18" hidden="1">
      <c r="B182" s="480" t="s">
        <v>1052</v>
      </c>
      <c r="C182" s="480" t="s">
        <v>1409</v>
      </c>
      <c r="D182" s="481" t="s">
        <v>764</v>
      </c>
      <c r="E182" s="483" t="s">
        <v>1410</v>
      </c>
      <c r="F182" s="480" t="s">
        <v>879</v>
      </c>
      <c r="G182" s="480" t="s">
        <v>880</v>
      </c>
      <c r="H182" s="483" t="s">
        <v>1412</v>
      </c>
      <c r="I182" s="480" t="s">
        <v>879</v>
      </c>
      <c r="J182" s="482" t="b">
        <f t="shared" si="20"/>
        <v>0</v>
      </c>
      <c r="K182" s="482" t="b">
        <f t="shared" si="21"/>
        <v>0</v>
      </c>
      <c r="L182" s="482" t="str">
        <f>IF(D182="n/a","n/a",ISNUMBER(MATCH(D182,'Measure-Level Adjustments Tab'!D:D,0)))</f>
        <v>n/a</v>
      </c>
      <c r="M182" s="482" t="b">
        <f t="shared" si="17"/>
        <v>0</v>
      </c>
      <c r="N182" s="482" t="b">
        <f t="shared" si="18"/>
        <v>0</v>
      </c>
      <c r="O182" s="482" t="s">
        <v>764</v>
      </c>
      <c r="P182" s="482"/>
      <c r="Q182" s="482"/>
      <c r="R182" s="482" t="str">
        <f t="shared" si="19"/>
        <v/>
      </c>
    </row>
    <row r="183" spans="2:18" hidden="1">
      <c r="B183" s="480" t="s">
        <v>1052</v>
      </c>
      <c r="C183" s="480" t="s">
        <v>1409</v>
      </c>
      <c r="D183" s="481" t="s">
        <v>764</v>
      </c>
      <c r="E183" s="483" t="s">
        <v>1410</v>
      </c>
      <c r="F183" s="480" t="s">
        <v>879</v>
      </c>
      <c r="G183" s="480" t="s">
        <v>880</v>
      </c>
      <c r="H183" s="483" t="s">
        <v>1413</v>
      </c>
      <c r="I183" s="480" t="s">
        <v>879</v>
      </c>
      <c r="J183" s="482" t="b">
        <f t="shared" si="20"/>
        <v>0</v>
      </c>
      <c r="K183" s="482" t="b">
        <f t="shared" si="21"/>
        <v>0</v>
      </c>
      <c r="L183" s="482" t="str">
        <f>IF(D183="n/a","n/a",ISNUMBER(MATCH(D183,'Measure-Level Adjustments Tab'!D:D,0)))</f>
        <v>n/a</v>
      </c>
      <c r="M183" s="482" t="b">
        <f t="shared" si="17"/>
        <v>0</v>
      </c>
      <c r="N183" s="482" t="b">
        <f t="shared" si="18"/>
        <v>0</v>
      </c>
      <c r="O183" s="482" t="s">
        <v>764</v>
      </c>
      <c r="P183" s="482"/>
      <c r="Q183" s="482"/>
      <c r="R183" s="482" t="str">
        <f t="shared" si="19"/>
        <v/>
      </c>
    </row>
    <row r="184" spans="2:18" hidden="1">
      <c r="B184" s="480" t="s">
        <v>1052</v>
      </c>
      <c r="C184" s="480" t="s">
        <v>1414</v>
      </c>
      <c r="D184" s="481" t="s">
        <v>764</v>
      </c>
      <c r="E184" s="483" t="s">
        <v>1415</v>
      </c>
      <c r="F184" s="480" t="s">
        <v>879</v>
      </c>
      <c r="G184" s="480" t="s">
        <v>881</v>
      </c>
      <c r="H184" s="483" t="s">
        <v>1416</v>
      </c>
      <c r="I184" s="480" t="s">
        <v>879</v>
      </c>
      <c r="J184" s="482" t="b">
        <f t="shared" si="20"/>
        <v>0</v>
      </c>
      <c r="K184" s="482" t="b">
        <f t="shared" si="21"/>
        <v>0</v>
      </c>
      <c r="L184" s="482" t="str">
        <f>IF(D184="n/a","n/a",ISNUMBER(MATCH(D184,'Measure-Level Adjustments Tab'!D:D,0)))</f>
        <v>n/a</v>
      </c>
      <c r="M184" s="482" t="b">
        <f t="shared" si="17"/>
        <v>0</v>
      </c>
      <c r="N184" s="482" t="b">
        <f t="shared" si="18"/>
        <v>0</v>
      </c>
      <c r="O184" s="482" t="s">
        <v>764</v>
      </c>
      <c r="P184" s="482"/>
      <c r="Q184" s="482"/>
      <c r="R184" s="482" t="str">
        <f t="shared" si="19"/>
        <v/>
      </c>
    </row>
  </sheetData>
  <autoFilter ref="B6:P184" xr:uid="{07F68788-862E-42A0-A67A-2B14FB05B21F}">
    <filterColumn colId="12">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zoomScale="70" zoomScaleNormal="70" zoomScaleSheetLayoutView="70" workbookViewId="0"/>
  </sheetViews>
  <sheetFormatPr defaultColWidth="9.1796875" defaultRowHeight="13"/>
  <cols>
    <col min="1" max="1" width="36.1796875" style="17" customWidth="1"/>
    <col min="2" max="2" width="11" style="172" customWidth="1"/>
    <col min="3" max="3" width="10.453125" style="172" customWidth="1"/>
    <col min="4" max="4" width="10.453125" style="171" customWidth="1"/>
    <col min="5" max="5" width="9" style="171" customWidth="1"/>
    <col min="6" max="6" width="8.54296875" style="171" customWidth="1"/>
    <col min="7" max="7" width="8.54296875" style="17" customWidth="1"/>
    <col min="8" max="8" width="9" style="17" customWidth="1"/>
    <col min="9" max="9" width="8.81640625" style="17" customWidth="1"/>
    <col min="10" max="10" width="4.26953125" style="17" customWidth="1"/>
    <col min="11" max="11" width="5" style="17" customWidth="1"/>
    <col min="12" max="12" width="8.54296875" style="17" customWidth="1"/>
    <col min="13" max="13" width="8.54296875" style="171" customWidth="1"/>
    <col min="14" max="14" width="10.453125" style="171" customWidth="1"/>
    <col min="15" max="16" width="10.453125" style="17" customWidth="1"/>
    <col min="17" max="17" width="9" style="17" customWidth="1"/>
    <col min="18" max="21" width="8.54296875" style="17" customWidth="1"/>
    <col min="22" max="23" width="8.54296875" style="171" customWidth="1"/>
    <col min="24" max="26" width="7.54296875" style="17" customWidth="1"/>
    <col min="27" max="27" width="5" style="17" customWidth="1"/>
    <col min="28" max="28" width="2.81640625" style="17" customWidth="1"/>
    <col min="29" max="30" width="5" style="17" customWidth="1"/>
    <col min="31" max="31" width="5" style="171" customWidth="1"/>
    <col min="32" max="32" width="8.54296875" style="171" customWidth="1"/>
    <col min="33" max="33" width="8.54296875" style="17" customWidth="1"/>
    <col min="34" max="36" width="7.54296875" style="17" customWidth="1"/>
    <col min="37" max="44" width="5" style="17" customWidth="1"/>
    <col min="45" max="16384" width="9.1796875" style="17"/>
  </cols>
  <sheetData>
    <row r="1" spans="1:36" s="2" customFormat="1">
      <c r="A1" s="213" t="s">
        <v>758</v>
      </c>
      <c r="I1" s="6"/>
      <c r="J1" s="25"/>
      <c r="K1" s="25"/>
      <c r="L1" s="4"/>
      <c r="M1" s="4"/>
      <c r="N1" s="4"/>
      <c r="O1" s="4"/>
      <c r="P1" s="3"/>
      <c r="Q1" s="3"/>
      <c r="R1" s="4"/>
      <c r="S1" s="212"/>
      <c r="T1" s="4"/>
    </row>
    <row r="2" spans="1:36">
      <c r="B2" s="17"/>
      <c r="D2" s="17"/>
      <c r="E2" s="17"/>
      <c r="G2" s="171"/>
      <c r="H2" s="171"/>
      <c r="J2" s="171"/>
      <c r="K2" s="171"/>
      <c r="L2" s="171"/>
      <c r="N2" s="17"/>
      <c r="S2" s="171"/>
      <c r="T2" s="171"/>
      <c r="U2" s="171"/>
      <c r="W2" s="17"/>
      <c r="AB2" s="171"/>
      <c r="AC2" s="171"/>
      <c r="AD2" s="171"/>
      <c r="AF2" s="17"/>
    </row>
    <row r="3" spans="1:36" s="4" customFormat="1">
      <c r="A3" s="17"/>
      <c r="B3" s="547" t="s">
        <v>793</v>
      </c>
      <c r="C3" s="547"/>
      <c r="D3" s="547"/>
      <c r="E3" s="547"/>
      <c r="F3" s="547"/>
      <c r="G3" s="547"/>
      <c r="H3" s="547"/>
      <c r="I3" s="547"/>
      <c r="K3" s="547" t="s">
        <v>794</v>
      </c>
      <c r="L3" s="547"/>
      <c r="M3" s="547"/>
      <c r="N3" s="547"/>
      <c r="O3" s="547"/>
      <c r="P3" s="547"/>
      <c r="Q3" s="547"/>
      <c r="R3" s="547"/>
      <c r="T3" s="547" t="s">
        <v>795</v>
      </c>
      <c r="U3" s="547"/>
      <c r="V3" s="547"/>
      <c r="W3" s="547"/>
      <c r="X3" s="547"/>
      <c r="Y3" s="547"/>
      <c r="Z3" s="547"/>
      <c r="AA3" s="547"/>
      <c r="AC3" s="547" t="s">
        <v>796</v>
      </c>
      <c r="AD3" s="547"/>
      <c r="AE3" s="547"/>
      <c r="AF3" s="547"/>
      <c r="AG3" s="547"/>
      <c r="AH3" s="547"/>
      <c r="AI3" s="547"/>
      <c r="AJ3" s="547"/>
    </row>
    <row r="4" spans="1:36" s="4" customFormat="1">
      <c r="A4" s="211"/>
      <c r="B4" s="155">
        <v>2018</v>
      </c>
      <c r="C4" s="155">
        <v>2019</v>
      </c>
      <c r="D4" s="155">
        <v>2020</v>
      </c>
      <c r="E4" s="210">
        <v>2021</v>
      </c>
      <c r="F4" s="210">
        <v>2022</v>
      </c>
      <c r="G4" s="210">
        <v>2023</v>
      </c>
      <c r="H4" s="210">
        <v>2024</v>
      </c>
      <c r="I4" s="210">
        <v>2025</v>
      </c>
      <c r="K4" s="155">
        <v>2018</v>
      </c>
      <c r="L4" s="155">
        <v>2019</v>
      </c>
      <c r="M4" s="155">
        <v>2020</v>
      </c>
      <c r="N4" s="210">
        <v>2021</v>
      </c>
      <c r="O4" s="210">
        <v>2022</v>
      </c>
      <c r="P4" s="210">
        <v>2023</v>
      </c>
      <c r="Q4" s="210">
        <v>2024</v>
      </c>
      <c r="R4" s="210">
        <v>2025</v>
      </c>
      <c r="T4" s="155">
        <v>2018</v>
      </c>
      <c r="U4" s="155">
        <v>2019</v>
      </c>
      <c r="V4" s="155">
        <v>2020</v>
      </c>
      <c r="W4" s="210">
        <v>2021</v>
      </c>
      <c r="X4" s="210">
        <v>2022</v>
      </c>
      <c r="Y4" s="210">
        <v>2023</v>
      </c>
      <c r="Z4" s="210">
        <v>2024</v>
      </c>
      <c r="AA4" s="210">
        <v>2025</v>
      </c>
      <c r="AC4" s="155">
        <v>2018</v>
      </c>
      <c r="AD4" s="155">
        <v>2019</v>
      </c>
      <c r="AE4" s="155">
        <v>2020</v>
      </c>
      <c r="AF4" s="210">
        <v>2021</v>
      </c>
      <c r="AG4" s="210">
        <v>2022</v>
      </c>
      <c r="AH4" s="210">
        <v>2023</v>
      </c>
      <c r="AI4" s="210">
        <v>2024</v>
      </c>
      <c r="AJ4" s="210">
        <v>2025</v>
      </c>
    </row>
    <row r="5" spans="1:36" s="4" customFormat="1">
      <c r="A5" s="15" t="s">
        <v>797</v>
      </c>
      <c r="B5" s="16">
        <f>B53</f>
        <v>824000.00000000012</v>
      </c>
      <c r="C5" s="16">
        <f t="shared" ref="C5:I5" si="0">C53</f>
        <v>824000.00000000012</v>
      </c>
      <c r="D5" s="16">
        <f t="shared" si="0"/>
        <v>362304.8709703866</v>
      </c>
      <c r="E5" s="16">
        <f t="shared" si="0"/>
        <v>157335.27451620335</v>
      </c>
      <c r="F5" s="16">
        <f t="shared" si="0"/>
        <v>69178.806228984715</v>
      </c>
      <c r="G5" s="16">
        <f t="shared" si="0"/>
        <v>30041.733746467315</v>
      </c>
      <c r="H5" s="16">
        <f t="shared" si="0"/>
        <v>0</v>
      </c>
      <c r="I5" s="16">
        <f t="shared" si="0"/>
        <v>0</v>
      </c>
      <c r="K5" s="16">
        <f>B54</f>
        <v>823000</v>
      </c>
      <c r="L5" s="16">
        <f t="shared" ref="L5:R5" si="1">C54</f>
        <v>460695.1290296134</v>
      </c>
      <c r="M5" s="16">
        <f t="shared" si="1"/>
        <v>202563.2151453394</v>
      </c>
      <c r="N5" s="16">
        <f t="shared" si="1"/>
        <v>87965.527420087325</v>
      </c>
      <c r="O5" s="16">
        <f t="shared" si="1"/>
        <v>38677.595948758164</v>
      </c>
      <c r="P5" s="16">
        <f t="shared" si="1"/>
        <v>16796.214083254912</v>
      </c>
      <c r="Q5" s="16">
        <f t="shared" si="1"/>
        <v>0</v>
      </c>
      <c r="R5" s="16">
        <f t="shared" si="1"/>
        <v>0</v>
      </c>
      <c r="T5" s="16">
        <f>B55</f>
        <v>814000</v>
      </c>
      <c r="U5" s="16">
        <f t="shared" ref="U5:AA5" si="2">C55</f>
        <v>454101.5103384573</v>
      </c>
      <c r="V5" s="16">
        <f t="shared" si="2"/>
        <v>199664.064454651</v>
      </c>
      <c r="W5" s="16">
        <f t="shared" si="2"/>
        <v>86706.536149664724</v>
      </c>
      <c r="X5" s="16">
        <f t="shared" si="2"/>
        <v>38124.029601933777</v>
      </c>
      <c r="Y5" s="16">
        <f t="shared" si="2"/>
        <v>16555.821198369667</v>
      </c>
      <c r="Z5" s="16">
        <f t="shared" si="2"/>
        <v>0</v>
      </c>
      <c r="AA5" s="16">
        <f t="shared" si="2"/>
        <v>0</v>
      </c>
      <c r="AC5" s="16">
        <f>B56</f>
        <v>805000</v>
      </c>
      <c r="AD5" s="16">
        <f t="shared" ref="AD5:AJ5" si="3">C56</f>
        <v>448191.60189627699</v>
      </c>
      <c r="AE5" s="16">
        <f t="shared" si="3"/>
        <v>197065.53458136105</v>
      </c>
      <c r="AF5" s="16">
        <f t="shared" si="3"/>
        <v>85578.093107048131</v>
      </c>
      <c r="AG5" s="16">
        <f t="shared" si="3"/>
        <v>37627.864054661164</v>
      </c>
      <c r="AH5" s="16">
        <f t="shared" si="3"/>
        <v>16340.355305304158</v>
      </c>
      <c r="AI5" s="16">
        <f t="shared" si="3"/>
        <v>0</v>
      </c>
      <c r="AJ5" s="16">
        <f t="shared" si="3"/>
        <v>0</v>
      </c>
    </row>
    <row r="6" spans="1:36" s="4" customFormat="1">
      <c r="A6" s="15" t="s">
        <v>798</v>
      </c>
      <c r="B6" s="16">
        <f>B73</f>
        <v>0</v>
      </c>
      <c r="C6" s="16">
        <f t="shared" ref="C6:I6" si="4">C73</f>
        <v>0</v>
      </c>
      <c r="D6" s="16">
        <f t="shared" si="4"/>
        <v>0</v>
      </c>
      <c r="E6" s="16">
        <f t="shared" si="4"/>
        <v>0</v>
      </c>
      <c r="F6" s="16">
        <f t="shared" si="4"/>
        <v>0</v>
      </c>
      <c r="G6" s="16">
        <f t="shared" si="4"/>
        <v>0</v>
      </c>
      <c r="H6" s="16">
        <f t="shared" si="4"/>
        <v>0</v>
      </c>
      <c r="I6" s="16">
        <f t="shared" si="4"/>
        <v>0</v>
      </c>
      <c r="K6" s="16">
        <f>B74</f>
        <v>0</v>
      </c>
      <c r="L6" s="16">
        <f t="shared" ref="L6:R6" si="5">C74</f>
        <v>0</v>
      </c>
      <c r="M6" s="16">
        <f t="shared" si="5"/>
        <v>0</v>
      </c>
      <c r="N6" s="16">
        <f t="shared" si="5"/>
        <v>0</v>
      </c>
      <c r="O6" s="16">
        <f t="shared" si="5"/>
        <v>0</v>
      </c>
      <c r="P6" s="16">
        <f t="shared" si="5"/>
        <v>0</v>
      </c>
      <c r="Q6" s="16">
        <f t="shared" si="5"/>
        <v>0</v>
      </c>
      <c r="R6" s="16">
        <f t="shared" si="5"/>
        <v>0</v>
      </c>
      <c r="T6" s="16">
        <f>B75</f>
        <v>0</v>
      </c>
      <c r="U6" s="16">
        <f t="shared" ref="U6:AA6" si="6">C75</f>
        <v>0</v>
      </c>
      <c r="V6" s="16">
        <f t="shared" si="6"/>
        <v>0</v>
      </c>
      <c r="W6" s="16">
        <f t="shared" si="6"/>
        <v>0</v>
      </c>
      <c r="X6" s="16">
        <f t="shared" si="6"/>
        <v>0</v>
      </c>
      <c r="Y6" s="16">
        <f t="shared" si="6"/>
        <v>0</v>
      </c>
      <c r="Z6" s="16">
        <f t="shared" si="6"/>
        <v>0</v>
      </c>
      <c r="AA6" s="16">
        <f t="shared" si="6"/>
        <v>0</v>
      </c>
      <c r="AC6" s="16">
        <f>B76</f>
        <v>0</v>
      </c>
      <c r="AD6" s="16">
        <f t="shared" ref="AD6:AJ6" si="7">C76</f>
        <v>0</v>
      </c>
      <c r="AE6" s="16">
        <f t="shared" si="7"/>
        <v>0</v>
      </c>
      <c r="AF6" s="16">
        <f t="shared" si="7"/>
        <v>0</v>
      </c>
      <c r="AG6" s="16">
        <f t="shared" si="7"/>
        <v>0</v>
      </c>
      <c r="AH6" s="16">
        <f t="shared" si="7"/>
        <v>0</v>
      </c>
      <c r="AI6" s="16">
        <f t="shared" si="7"/>
        <v>0</v>
      </c>
      <c r="AJ6" s="16">
        <f t="shared" si="7"/>
        <v>0</v>
      </c>
    </row>
    <row r="7" spans="1:36">
      <c r="B7" s="171"/>
      <c r="C7" s="171"/>
      <c r="G7" s="171"/>
      <c r="H7" s="171"/>
      <c r="I7" s="171"/>
      <c r="K7" s="171"/>
      <c r="L7" s="171"/>
      <c r="O7" s="171"/>
      <c r="P7" s="171"/>
      <c r="Q7" s="171"/>
      <c r="R7" s="171"/>
      <c r="T7" s="171"/>
      <c r="U7" s="171"/>
      <c r="X7" s="171"/>
      <c r="Y7" s="171"/>
      <c r="Z7" s="171"/>
      <c r="AA7" s="171"/>
      <c r="AC7" s="171"/>
      <c r="AD7" s="171"/>
      <c r="AG7" s="171"/>
      <c r="AH7" s="171"/>
      <c r="AI7" s="171"/>
      <c r="AJ7" s="171"/>
    </row>
    <row r="8" spans="1:36" s="4" customFormat="1">
      <c r="A8" s="15" t="s">
        <v>799</v>
      </c>
      <c r="B8" s="16">
        <f>N53</f>
        <v>575000</v>
      </c>
      <c r="C8" s="16">
        <f t="shared" ref="C8:I8" si="8">O53</f>
        <v>575000</v>
      </c>
      <c r="D8" s="16">
        <f t="shared" si="8"/>
        <v>252821.96699996633</v>
      </c>
      <c r="E8" s="16">
        <f t="shared" si="8"/>
        <v>109790.99860050596</v>
      </c>
      <c r="F8" s="16">
        <f t="shared" si="8"/>
        <v>48274.045608818211</v>
      </c>
      <c r="G8" s="16">
        <f t="shared" si="8"/>
        <v>20963.588475993573</v>
      </c>
      <c r="H8" s="16">
        <f t="shared" si="8"/>
        <v>0</v>
      </c>
      <c r="I8" s="16">
        <f t="shared" si="8"/>
        <v>0</v>
      </c>
      <c r="K8" s="16">
        <f>N54</f>
        <v>573000</v>
      </c>
      <c r="L8" s="16">
        <f t="shared" ref="L8:R8" si="9">O54</f>
        <v>320178.0330000337</v>
      </c>
      <c r="M8" s="16">
        <f t="shared" si="9"/>
        <v>140779.20016217159</v>
      </c>
      <c r="N8" s="16">
        <f t="shared" si="9"/>
        <v>61135.071257425137</v>
      </c>
      <c r="O8" s="16">
        <f t="shared" si="9"/>
        <v>26880.502553017963</v>
      </c>
      <c r="P8" s="16">
        <f t="shared" si="9"/>
        <v>11673.18351802747</v>
      </c>
      <c r="Q8" s="16">
        <f t="shared" si="9"/>
        <v>0</v>
      </c>
      <c r="R8" s="16">
        <f t="shared" si="9"/>
        <v>0</v>
      </c>
      <c r="T8" s="16">
        <f>N55</f>
        <v>566000</v>
      </c>
      <c r="U8" s="16">
        <f t="shared" ref="U8:AA8" si="10">O55</f>
        <v>315429.80123732239</v>
      </c>
      <c r="V8" s="16">
        <f t="shared" si="10"/>
        <v>138691.44834648393</v>
      </c>
      <c r="W8" s="16">
        <f t="shared" si="10"/>
        <v>60228.439767312586</v>
      </c>
      <c r="X8" s="16">
        <f t="shared" si="10"/>
        <v>26481.865410975592</v>
      </c>
      <c r="Y8" s="16">
        <f t="shared" si="10"/>
        <v>11500.070515136826</v>
      </c>
      <c r="Z8" s="16">
        <f t="shared" si="10"/>
        <v>0</v>
      </c>
      <c r="AA8" s="16">
        <f t="shared" si="10"/>
        <v>0</v>
      </c>
      <c r="AC8" s="16">
        <f>N56</f>
        <v>558000</v>
      </c>
      <c r="AD8" s="16">
        <f t="shared" ref="AD8:AJ8" si="11">O56</f>
        <v>309899.43478727271</v>
      </c>
      <c r="AE8" s="16">
        <f t="shared" si="11"/>
        <v>136259.79943494973</v>
      </c>
      <c r="AF8" s="16">
        <f t="shared" si="11"/>
        <v>59172.466801786177</v>
      </c>
      <c r="AG8" s="16">
        <f t="shared" si="11"/>
        <v>26017.564259248327</v>
      </c>
      <c r="AH8" s="16">
        <f t="shared" si="11"/>
        <v>11298.442121431986</v>
      </c>
      <c r="AI8" s="16">
        <f t="shared" si="11"/>
        <v>0</v>
      </c>
      <c r="AJ8" s="16">
        <f t="shared" si="11"/>
        <v>0</v>
      </c>
    </row>
    <row r="9" spans="1:36" s="4" customFormat="1">
      <c r="A9" s="15" t="s">
        <v>800</v>
      </c>
      <c r="B9" s="16">
        <f>N73</f>
        <v>0</v>
      </c>
      <c r="C9" s="16">
        <f t="shared" ref="C9:I9" si="12">O73</f>
        <v>0</v>
      </c>
      <c r="D9" s="16">
        <f t="shared" si="12"/>
        <v>0</v>
      </c>
      <c r="E9" s="16">
        <f t="shared" si="12"/>
        <v>0</v>
      </c>
      <c r="F9" s="16">
        <f t="shared" si="12"/>
        <v>0</v>
      </c>
      <c r="G9" s="16">
        <f t="shared" si="12"/>
        <v>0</v>
      </c>
      <c r="H9" s="16">
        <f t="shared" si="12"/>
        <v>0</v>
      </c>
      <c r="I9" s="16">
        <f t="shared" si="12"/>
        <v>0</v>
      </c>
      <c r="K9" s="16">
        <f>N74</f>
        <v>0</v>
      </c>
      <c r="L9" s="16">
        <f t="shared" ref="L9:R9" si="13">O74</f>
        <v>0</v>
      </c>
      <c r="M9" s="16">
        <f t="shared" si="13"/>
        <v>0</v>
      </c>
      <c r="N9" s="16">
        <f t="shared" si="13"/>
        <v>0</v>
      </c>
      <c r="O9" s="16">
        <f t="shared" si="13"/>
        <v>0</v>
      </c>
      <c r="P9" s="16">
        <f t="shared" si="13"/>
        <v>0</v>
      </c>
      <c r="Q9" s="16">
        <f t="shared" si="13"/>
        <v>0</v>
      </c>
      <c r="R9" s="16">
        <f t="shared" si="13"/>
        <v>0</v>
      </c>
      <c r="T9" s="16">
        <f>N75</f>
        <v>0</v>
      </c>
      <c r="U9" s="16">
        <f t="shared" ref="U9:AA9" si="14">O75</f>
        <v>0</v>
      </c>
      <c r="V9" s="16">
        <f t="shared" si="14"/>
        <v>0</v>
      </c>
      <c r="W9" s="16">
        <f t="shared" si="14"/>
        <v>0</v>
      </c>
      <c r="X9" s="16">
        <f t="shared" si="14"/>
        <v>0</v>
      </c>
      <c r="Y9" s="16">
        <f t="shared" si="14"/>
        <v>0</v>
      </c>
      <c r="Z9" s="16">
        <f t="shared" si="14"/>
        <v>0</v>
      </c>
      <c r="AA9" s="16">
        <f t="shared" si="14"/>
        <v>0</v>
      </c>
      <c r="AC9" s="16">
        <f>N76</f>
        <v>0</v>
      </c>
      <c r="AD9" s="16">
        <f t="shared" ref="AD9:AJ9" si="15">O76</f>
        <v>0</v>
      </c>
      <c r="AE9" s="16">
        <f t="shared" si="15"/>
        <v>0</v>
      </c>
      <c r="AF9" s="16">
        <f t="shared" si="15"/>
        <v>0</v>
      </c>
      <c r="AG9" s="16">
        <f t="shared" si="15"/>
        <v>0</v>
      </c>
      <c r="AH9" s="16">
        <f t="shared" si="15"/>
        <v>0</v>
      </c>
      <c r="AI9" s="16">
        <f t="shared" si="15"/>
        <v>0</v>
      </c>
      <c r="AJ9" s="16">
        <f t="shared" si="15"/>
        <v>0</v>
      </c>
    </row>
    <row r="10" spans="1:36" s="4" customFormat="1">
      <c r="A10" s="209"/>
      <c r="B10" s="17"/>
      <c r="C10" s="17"/>
      <c r="D10" s="17"/>
      <c r="E10" s="17"/>
      <c r="F10" s="17"/>
      <c r="G10" s="17"/>
      <c r="M10" s="17"/>
      <c r="N10" s="17"/>
      <c r="O10" s="17"/>
      <c r="P10" s="17"/>
      <c r="V10" s="17"/>
      <c r="W10" s="17"/>
      <c r="X10" s="17"/>
      <c r="Y10" s="17"/>
      <c r="AA10" s="17"/>
    </row>
    <row r="11" spans="1:36" s="4" customFormat="1">
      <c r="A11" s="179" t="s">
        <v>801</v>
      </c>
      <c r="B11" s="17"/>
      <c r="C11" s="17"/>
      <c r="D11" s="17"/>
      <c r="E11" s="17"/>
      <c r="F11" s="17"/>
      <c r="G11" s="17"/>
      <c r="M11" s="17"/>
      <c r="N11" s="17"/>
      <c r="O11" s="17"/>
      <c r="P11" s="17"/>
      <c r="V11" s="17"/>
      <c r="W11" s="17"/>
      <c r="X11" s="17"/>
      <c r="Y11" s="17"/>
      <c r="AA11" s="17"/>
    </row>
    <row r="12" spans="1:36">
      <c r="B12" s="172" t="s">
        <v>802</v>
      </c>
      <c r="C12" s="172" t="s">
        <v>697</v>
      </c>
      <c r="D12" s="17" t="s">
        <v>803</v>
      </c>
    </row>
    <row r="13" spans="1:36">
      <c r="A13" s="15" t="s">
        <v>804</v>
      </c>
      <c r="B13" s="16">
        <v>3280440</v>
      </c>
      <c r="C13" s="16">
        <v>151200</v>
      </c>
      <c r="D13" s="334">
        <f>B13/C13</f>
        <v>21.696031746031746</v>
      </c>
    </row>
    <row r="14" spans="1:36">
      <c r="A14" s="15" t="s">
        <v>805</v>
      </c>
      <c r="B14" s="16">
        <v>1108565</v>
      </c>
      <c r="C14" s="16">
        <v>91350</v>
      </c>
      <c r="D14" s="334">
        <f>B14/C14</f>
        <v>12.135358511220581</v>
      </c>
    </row>
    <row r="15" spans="1:36">
      <c r="D15" s="17"/>
    </row>
    <row r="16" spans="1:36" s="2" customFormat="1">
      <c r="A16" s="70" t="s">
        <v>667</v>
      </c>
      <c r="C16" s="335"/>
      <c r="D16" s="336"/>
      <c r="E16" s="153"/>
      <c r="F16" s="12"/>
      <c r="G16" s="337"/>
      <c r="H16" s="337"/>
      <c r="I16" s="153"/>
      <c r="J16" s="338"/>
      <c r="N16" s="548" t="s">
        <v>806</v>
      </c>
      <c r="O16" s="548"/>
      <c r="P16" s="548"/>
      <c r="Q16" s="153"/>
      <c r="R16" s="12"/>
      <c r="S16" s="337"/>
      <c r="T16" s="337"/>
      <c r="U16" s="337"/>
      <c r="V16" s="153"/>
      <c r="W16" s="338"/>
      <c r="X16" s="338"/>
      <c r="Y16" s="338"/>
    </row>
    <row r="17" spans="1:32" s="2" customFormat="1">
      <c r="P17" s="12"/>
      <c r="Q17" s="12"/>
      <c r="R17" s="153"/>
      <c r="S17" s="25"/>
      <c r="T17" s="25"/>
      <c r="U17" s="25"/>
      <c r="V17" s="25"/>
      <c r="W17" s="153"/>
      <c r="X17" s="25"/>
      <c r="Y17" s="25"/>
      <c r="Z17" s="25"/>
    </row>
    <row r="18" spans="1:32" s="2" customFormat="1">
      <c r="A18" s="186" t="s">
        <v>757</v>
      </c>
      <c r="B18" s="208">
        <v>2018</v>
      </c>
      <c r="C18" s="207">
        <v>2019</v>
      </c>
      <c r="D18" s="207">
        <v>2020</v>
      </c>
      <c r="E18" s="207">
        <v>2021</v>
      </c>
      <c r="F18" s="2" t="s">
        <v>807</v>
      </c>
      <c r="N18" s="208">
        <v>2018</v>
      </c>
      <c r="O18" s="207">
        <v>2019</v>
      </c>
      <c r="P18" s="207">
        <v>2020</v>
      </c>
      <c r="Q18" s="207">
        <v>2020</v>
      </c>
      <c r="Z18" s="25"/>
    </row>
    <row r="19" spans="1:32" s="2" customFormat="1">
      <c r="A19" s="203" t="s">
        <v>747</v>
      </c>
      <c r="B19" s="206">
        <v>46800</v>
      </c>
      <c r="C19" s="206">
        <v>45900</v>
      </c>
      <c r="D19" s="206">
        <v>44900</v>
      </c>
      <c r="E19" s="206">
        <v>44000</v>
      </c>
      <c r="G19" s="337"/>
      <c r="N19" s="89">
        <v>54000</v>
      </c>
      <c r="O19" s="89">
        <v>52800</v>
      </c>
      <c r="P19" s="89">
        <v>51600</v>
      </c>
      <c r="Q19" s="89">
        <v>50400</v>
      </c>
    </row>
    <row r="20" spans="1:32" s="2" customFormat="1">
      <c r="A20" s="205" t="s">
        <v>808</v>
      </c>
      <c r="B20" s="339">
        <v>4</v>
      </c>
      <c r="C20" s="339">
        <v>4</v>
      </c>
      <c r="D20" s="339">
        <v>4</v>
      </c>
      <c r="E20" s="339">
        <v>4</v>
      </c>
      <c r="N20" s="340">
        <v>4</v>
      </c>
      <c r="O20" s="340">
        <v>4</v>
      </c>
      <c r="P20" s="340">
        <v>4</v>
      </c>
      <c r="Q20" s="340">
        <v>4</v>
      </c>
    </row>
    <row r="21" spans="1:32" s="2" customFormat="1">
      <c r="A21" s="203" t="s">
        <v>756</v>
      </c>
      <c r="B21" s="206">
        <v>824000</v>
      </c>
      <c r="C21" s="206">
        <v>823000</v>
      </c>
      <c r="D21" s="206">
        <v>814000</v>
      </c>
      <c r="E21" s="206">
        <v>805000</v>
      </c>
      <c r="F21" s="341">
        <f>SUM(B45+B65)</f>
        <v>824000.00000000012</v>
      </c>
      <c r="G21" s="341">
        <f>SUM(C45+C65)</f>
        <v>823000</v>
      </c>
      <c r="H21" s="341">
        <f>SUM(D45+D65)</f>
        <v>814000</v>
      </c>
      <c r="I21" s="341">
        <f>SUM(E45+E65)</f>
        <v>805000</v>
      </c>
      <c r="N21" s="89">
        <v>575000</v>
      </c>
      <c r="O21" s="89">
        <v>573000</v>
      </c>
      <c r="P21" s="89">
        <v>566000</v>
      </c>
      <c r="Q21" s="89">
        <v>558000</v>
      </c>
      <c r="R21" s="341">
        <f>SUM(N45+N65)</f>
        <v>575000</v>
      </c>
      <c r="S21" s="341">
        <f>SUM(O45+O65)</f>
        <v>573000</v>
      </c>
      <c r="T21" s="341">
        <f>SUM(P45+P65)</f>
        <v>566000</v>
      </c>
      <c r="U21" s="341">
        <f>SUM(Q45+Q65)</f>
        <v>558000</v>
      </c>
    </row>
    <row r="22" spans="1:32" s="2" customFormat="1">
      <c r="A22" s="342" t="s">
        <v>809</v>
      </c>
      <c r="B22" s="206">
        <v>824000</v>
      </c>
      <c r="C22" s="206">
        <v>460695.12902961345</v>
      </c>
      <c r="D22" s="206">
        <v>454101.51033845718</v>
      </c>
      <c r="E22" s="206">
        <v>448191.60189627705</v>
      </c>
      <c r="N22" s="89">
        <v>575000</v>
      </c>
      <c r="O22" s="89">
        <v>320178.0330000337</v>
      </c>
      <c r="P22" s="89">
        <v>315429.80123732239</v>
      </c>
      <c r="Q22" s="89">
        <v>309899.43478727271</v>
      </c>
    </row>
    <row r="23" spans="1:32" s="2" customFormat="1">
      <c r="A23" s="342" t="s">
        <v>810</v>
      </c>
      <c r="B23" s="206">
        <v>1442860.685462042</v>
      </c>
      <c r="C23" s="206">
        <v>806697.68162705342</v>
      </c>
      <c r="D23" s="206">
        <v>795151.96174307622</v>
      </c>
      <c r="E23" s="206">
        <v>784803.44894465164</v>
      </c>
      <c r="N23" s="206">
        <v>1006850.5996852841</v>
      </c>
      <c r="O23" s="206">
        <v>560645.99049067579</v>
      </c>
      <c r="P23" s="206">
        <v>552331.62527723133</v>
      </c>
      <c r="Q23" s="206">
        <v>542647.70740468893</v>
      </c>
    </row>
    <row r="24" spans="1:32" s="2" customFormat="1">
      <c r="A24" s="205" t="s">
        <v>560</v>
      </c>
      <c r="B24" s="204">
        <v>400000</v>
      </c>
      <c r="C24" s="204">
        <v>400000</v>
      </c>
      <c r="D24" s="204">
        <v>400000</v>
      </c>
      <c r="E24" s="204">
        <v>400001</v>
      </c>
      <c r="N24" s="204">
        <v>350000</v>
      </c>
      <c r="O24" s="204">
        <v>350000</v>
      </c>
      <c r="P24" s="204">
        <v>350000</v>
      </c>
      <c r="Q24" s="204">
        <v>350001</v>
      </c>
    </row>
    <row r="25" spans="1:32" s="2" customFormat="1">
      <c r="A25" s="203" t="s">
        <v>755</v>
      </c>
      <c r="B25" s="202">
        <f>B24/B19</f>
        <v>8.5470085470085468</v>
      </c>
      <c r="C25" s="202">
        <f>C24/C19</f>
        <v>8.7145969498910674</v>
      </c>
      <c r="D25" s="202">
        <f>D24/D19</f>
        <v>8.908685968819599</v>
      </c>
      <c r="E25" s="202">
        <f>E24/E19</f>
        <v>9.0909318181818186</v>
      </c>
      <c r="N25" s="343">
        <f>N24/N19</f>
        <v>6.4814814814814818</v>
      </c>
      <c r="O25" s="343">
        <f>O24/O19</f>
        <v>6.6287878787878789</v>
      </c>
      <c r="P25" s="343">
        <f>P24/P19</f>
        <v>6.7829457364341081</v>
      </c>
      <c r="Q25" s="343">
        <f>Q24/Q19</f>
        <v>6.944464285714286</v>
      </c>
    </row>
    <row r="26" spans="1:32" s="2" customFormat="1"/>
    <row r="27" spans="1:32" s="2" customFormat="1">
      <c r="A27" s="201" t="s">
        <v>754</v>
      </c>
      <c r="B27" s="200">
        <v>4.2000000000000003E-2</v>
      </c>
      <c r="N27" s="200">
        <v>4.2000000000000003E-2</v>
      </c>
    </row>
    <row r="28" spans="1:32">
      <c r="A28" s="199" t="s">
        <v>811</v>
      </c>
      <c r="B28" s="198">
        <v>0.26400000000000001</v>
      </c>
      <c r="M28" s="2"/>
      <c r="N28" s="6"/>
      <c r="O28" s="2"/>
      <c r="P28" s="2"/>
      <c r="Q28" s="2"/>
      <c r="R28" s="2"/>
      <c r="S28" s="2"/>
      <c r="T28" s="2"/>
      <c r="U28" s="12"/>
      <c r="V28" s="12"/>
      <c r="W28" s="153"/>
      <c r="X28" s="2"/>
      <c r="Y28" s="2"/>
      <c r="Z28" s="2"/>
      <c r="AE28" s="17"/>
      <c r="AF28" s="17"/>
    </row>
    <row r="29" spans="1:32" s="2" customFormat="1"/>
    <row r="30" spans="1:32">
      <c r="C30" s="544" t="s">
        <v>753</v>
      </c>
      <c r="D30" s="545"/>
      <c r="E30" s="545"/>
      <c r="F30" s="545"/>
      <c r="G30" s="546"/>
      <c r="H30" s="171"/>
      <c r="I30" s="171"/>
      <c r="J30" s="171"/>
      <c r="M30" s="2"/>
      <c r="N30" s="17"/>
      <c r="O30" s="171"/>
      <c r="P30" s="171"/>
      <c r="V30" s="17"/>
      <c r="W30" s="17"/>
      <c r="X30" s="171"/>
      <c r="Y30" s="171"/>
      <c r="AE30" s="17"/>
      <c r="AF30" s="17"/>
    </row>
    <row r="31" spans="1:32">
      <c r="A31" s="4"/>
      <c r="B31" s="25"/>
      <c r="C31" s="344" t="s">
        <v>752</v>
      </c>
      <c r="D31" s="345" t="s">
        <v>751</v>
      </c>
      <c r="E31" s="346" t="s">
        <v>750</v>
      </c>
      <c r="F31" s="347" t="s">
        <v>749</v>
      </c>
      <c r="G31" s="348" t="s">
        <v>812</v>
      </c>
      <c r="H31" s="171"/>
      <c r="I31" s="171"/>
      <c r="J31" s="171"/>
      <c r="K31" s="4"/>
      <c r="M31" s="2"/>
      <c r="N31" s="17"/>
      <c r="P31" s="4"/>
      <c r="Q31" s="4"/>
      <c r="R31" s="4"/>
      <c r="S31" s="4"/>
      <c r="T31" s="4"/>
      <c r="V31" s="17"/>
      <c r="W31" s="17"/>
      <c r="Y31" s="4"/>
      <c r="Z31" s="4"/>
      <c r="AA31" s="4"/>
      <c r="AB31" s="4"/>
      <c r="AE31" s="17"/>
      <c r="AF31" s="17"/>
    </row>
    <row r="32" spans="1:32">
      <c r="A32" s="4"/>
      <c r="B32" s="25"/>
      <c r="C32" s="197">
        <v>1</v>
      </c>
      <c r="D32" s="196">
        <v>0.45</v>
      </c>
      <c r="E32" s="196">
        <v>0.2</v>
      </c>
      <c r="F32" s="196">
        <v>0.09</v>
      </c>
      <c r="G32" s="195">
        <v>0.04</v>
      </c>
      <c r="H32" s="171"/>
      <c r="I32" s="171"/>
      <c r="J32" s="171"/>
      <c r="K32" s="4"/>
      <c r="M32" s="2"/>
      <c r="N32" s="17"/>
      <c r="P32" s="4"/>
      <c r="Q32" s="4"/>
      <c r="R32" s="4"/>
      <c r="S32" s="4"/>
      <c r="T32" s="4"/>
      <c r="V32" s="17"/>
      <c r="W32" s="17"/>
      <c r="Y32" s="4"/>
      <c r="Z32" s="4"/>
      <c r="AA32" s="4"/>
      <c r="AB32" s="4"/>
      <c r="AE32" s="17"/>
      <c r="AF32" s="17"/>
    </row>
    <row r="33" spans="1:32" ht="14.5">
      <c r="A33" s="4"/>
      <c r="B33" s="349" t="s">
        <v>813</v>
      </c>
      <c r="C33" s="17"/>
      <c r="D33" s="350">
        <v>0.97708972753610179</v>
      </c>
      <c r="E33" s="350">
        <v>0.95470433565657364</v>
      </c>
      <c r="F33" s="350">
        <v>0.93283179920421666</v>
      </c>
      <c r="G33" s="350">
        <v>0.91146036852145962</v>
      </c>
      <c r="H33" s="171"/>
      <c r="I33" s="171"/>
      <c r="J33" s="171"/>
      <c r="K33" s="4"/>
      <c r="M33" s="2"/>
      <c r="N33" s="17"/>
      <c r="P33" s="4"/>
      <c r="Q33" s="4"/>
      <c r="R33" s="4"/>
      <c r="S33" s="4"/>
      <c r="T33" s="4"/>
      <c r="V33" s="17"/>
      <c r="W33" s="17"/>
      <c r="Y33" s="4"/>
      <c r="Z33" s="4"/>
      <c r="AA33" s="4"/>
      <c r="AB33" s="4"/>
      <c r="AE33" s="17"/>
      <c r="AF33" s="17"/>
    </row>
    <row r="34" spans="1:32" s="2" customFormat="1">
      <c r="A34" s="186" t="s">
        <v>748</v>
      </c>
    </row>
    <row r="35" spans="1:32" s="2" customFormat="1">
      <c r="A35" s="194"/>
      <c r="B35" s="193">
        <v>2018</v>
      </c>
      <c r="C35" s="193">
        <v>2019</v>
      </c>
      <c r="D35" s="192">
        <v>2020</v>
      </c>
      <c r="E35" s="192">
        <v>2021</v>
      </c>
      <c r="N35" s="193">
        <v>2018</v>
      </c>
      <c r="O35" s="193">
        <v>2019</v>
      </c>
      <c r="P35" s="192">
        <v>2020</v>
      </c>
      <c r="Q35" s="192">
        <v>2021</v>
      </c>
    </row>
    <row r="36" spans="1:32" s="2" customFormat="1">
      <c r="A36" s="190" t="s">
        <v>747</v>
      </c>
      <c r="B36" s="191">
        <f>B19</f>
        <v>46800</v>
      </c>
      <c r="C36" s="191">
        <f t="shared" ref="C36:D36" si="16">C19</f>
        <v>45900</v>
      </c>
      <c r="D36" s="191">
        <f t="shared" si="16"/>
        <v>44900</v>
      </c>
      <c r="E36" s="191">
        <f>E19</f>
        <v>44000</v>
      </c>
      <c r="N36" s="191">
        <f>N19</f>
        <v>54000</v>
      </c>
      <c r="O36" s="191">
        <f t="shared" ref="O36:Q36" si="17">O19</f>
        <v>52800</v>
      </c>
      <c r="P36" s="191">
        <f t="shared" si="17"/>
        <v>51600</v>
      </c>
      <c r="Q36" s="191">
        <f t="shared" si="17"/>
        <v>50400</v>
      </c>
    </row>
    <row r="37" spans="1:32" s="2" customFormat="1">
      <c r="A37" s="190" t="s">
        <v>746</v>
      </c>
      <c r="B37" s="189">
        <f>B21/B19</f>
        <v>17.606837606837608</v>
      </c>
      <c r="C37" s="189">
        <f>C21/C19</f>
        <v>17.930283224400871</v>
      </c>
      <c r="D37" s="189">
        <f>D21/D19</f>
        <v>18.129175946547885</v>
      </c>
      <c r="E37" s="189">
        <f>E21/E19</f>
        <v>18.295454545454547</v>
      </c>
      <c r="N37" s="189">
        <f>N21/N19</f>
        <v>10.648148148148149</v>
      </c>
      <c r="O37" s="189">
        <f>O21/O19</f>
        <v>10.852272727272727</v>
      </c>
      <c r="P37" s="189">
        <f>P21/P19</f>
        <v>10.968992248062015</v>
      </c>
      <c r="Q37" s="189">
        <f>Q21/Q19</f>
        <v>11.071428571428571</v>
      </c>
    </row>
    <row r="38" spans="1:32" s="2" customFormat="1">
      <c r="A38" s="188" t="s">
        <v>560</v>
      </c>
      <c r="B38" s="187">
        <v>375000</v>
      </c>
      <c r="C38" s="187">
        <v>375000</v>
      </c>
      <c r="D38" s="187">
        <v>375000</v>
      </c>
      <c r="E38" s="187">
        <v>375000</v>
      </c>
      <c r="N38" s="351">
        <f>N24</f>
        <v>350000</v>
      </c>
      <c r="O38" s="351">
        <f t="shared" ref="O38:Q38" si="18">O24</f>
        <v>350000</v>
      </c>
      <c r="P38" s="351">
        <f t="shared" si="18"/>
        <v>350000</v>
      </c>
      <c r="Q38" s="351">
        <f t="shared" si="18"/>
        <v>350001</v>
      </c>
    </row>
    <row r="39" spans="1:32" s="2" customFormat="1"/>
    <row r="40" spans="1:32" s="2" customFormat="1">
      <c r="A40" s="186" t="s">
        <v>814</v>
      </c>
    </row>
    <row r="41" spans="1:32">
      <c r="A41" s="185"/>
      <c r="B41" s="178">
        <v>2018</v>
      </c>
      <c r="C41" s="178">
        <v>2019</v>
      </c>
      <c r="D41" s="177">
        <v>2020</v>
      </c>
      <c r="E41" s="177">
        <v>2021</v>
      </c>
      <c r="J41" s="2"/>
      <c r="M41" s="2"/>
      <c r="N41" s="178">
        <v>2018</v>
      </c>
      <c r="O41" s="178">
        <v>2019</v>
      </c>
      <c r="P41" s="177">
        <v>2020</v>
      </c>
      <c r="Q41" s="177">
        <v>2021</v>
      </c>
      <c r="R41" s="171"/>
      <c r="V41" s="17"/>
      <c r="W41" s="17"/>
      <c r="Z41" s="2"/>
      <c r="AE41" s="17"/>
      <c r="AF41" s="17"/>
    </row>
    <row r="42" spans="1:32">
      <c r="A42" s="15" t="s">
        <v>697</v>
      </c>
      <c r="B42" s="16">
        <f>B36</f>
        <v>46800</v>
      </c>
      <c r="C42" s="16">
        <f t="shared" ref="C42:E42" si="19">C36</f>
        <v>45900</v>
      </c>
      <c r="D42" s="16">
        <f t="shared" si="19"/>
        <v>44900</v>
      </c>
      <c r="E42" s="16">
        <f t="shared" si="19"/>
        <v>44000</v>
      </c>
      <c r="J42" s="2"/>
      <c r="M42" s="2"/>
      <c r="N42" s="16">
        <f>N36</f>
        <v>54000</v>
      </c>
      <c r="O42" s="16">
        <f t="shared" ref="O42:Q42" si="20">O36</f>
        <v>52800</v>
      </c>
      <c r="P42" s="16">
        <f t="shared" si="20"/>
        <v>51600</v>
      </c>
      <c r="Q42" s="16">
        <f t="shared" si="20"/>
        <v>50400</v>
      </c>
      <c r="R42" s="171"/>
      <c r="V42" s="17"/>
      <c r="W42" s="17"/>
      <c r="Z42" s="2"/>
      <c r="AE42" s="17"/>
      <c r="AF42" s="17"/>
    </row>
    <row r="43" spans="1:32">
      <c r="A43" s="15" t="s">
        <v>815</v>
      </c>
      <c r="B43" s="352">
        <f>B38</f>
        <v>375000</v>
      </c>
      <c r="C43" s="352">
        <f t="shared" ref="C43:E43" si="21">C38</f>
        <v>375000</v>
      </c>
      <c r="D43" s="352">
        <f t="shared" si="21"/>
        <v>375000</v>
      </c>
      <c r="E43" s="352">
        <f t="shared" si="21"/>
        <v>375000</v>
      </c>
      <c r="J43" s="2"/>
      <c r="M43" s="2"/>
      <c r="N43" s="352">
        <f>N38</f>
        <v>350000</v>
      </c>
      <c r="O43" s="352">
        <f>O38</f>
        <v>350000</v>
      </c>
      <c r="P43" s="352">
        <f>P38</f>
        <v>350000</v>
      </c>
      <c r="Q43" s="352">
        <f>Q38</f>
        <v>350001</v>
      </c>
      <c r="R43" s="171"/>
      <c r="V43" s="17"/>
      <c r="W43" s="17"/>
      <c r="Z43" s="2"/>
      <c r="AE43" s="17"/>
      <c r="AF43" s="17"/>
    </row>
    <row r="44" spans="1:32">
      <c r="A44" s="15" t="s">
        <v>745</v>
      </c>
      <c r="B44" s="30">
        <f>B37</f>
        <v>17.606837606837608</v>
      </c>
      <c r="C44" s="30">
        <f>C37</f>
        <v>17.930283224400871</v>
      </c>
      <c r="D44" s="30">
        <f>D37</f>
        <v>18.129175946547885</v>
      </c>
      <c r="E44" s="30">
        <f>E37</f>
        <v>18.295454545454547</v>
      </c>
      <c r="J44" s="2"/>
      <c r="M44" s="2"/>
      <c r="N44" s="353">
        <f>N37</f>
        <v>10.648148148148149</v>
      </c>
      <c r="O44" s="353">
        <f>O37</f>
        <v>10.852272727272727</v>
      </c>
      <c r="P44" s="353">
        <f>P37</f>
        <v>10.968992248062015</v>
      </c>
      <c r="Q44" s="353">
        <f>Q37</f>
        <v>11.071428571428571</v>
      </c>
      <c r="R44" s="171"/>
      <c r="V44" s="17"/>
      <c r="W44" s="17"/>
      <c r="Z44" s="171"/>
      <c r="AE44" s="17"/>
      <c r="AF44" s="17"/>
    </row>
    <row r="45" spans="1:32">
      <c r="A45" s="15" t="s">
        <v>744</v>
      </c>
      <c r="B45" s="16">
        <f>B44*B42</f>
        <v>824000.00000000012</v>
      </c>
      <c r="C45" s="16">
        <f>C44*C42</f>
        <v>823000</v>
      </c>
      <c r="D45" s="16">
        <f>D44*D42</f>
        <v>814000</v>
      </c>
      <c r="E45" s="16">
        <f>E44*E42</f>
        <v>805000</v>
      </c>
      <c r="J45" s="2"/>
      <c r="M45" s="2"/>
      <c r="N45" s="16">
        <f>N44*N42</f>
        <v>575000</v>
      </c>
      <c r="O45" s="16">
        <f>O44*O42</f>
        <v>573000</v>
      </c>
      <c r="P45" s="16">
        <f>P44*P42</f>
        <v>566000</v>
      </c>
      <c r="Q45" s="16">
        <f>Q44*Q42</f>
        <v>558000</v>
      </c>
      <c r="R45" s="171"/>
      <c r="V45" s="17"/>
      <c r="W45" s="17"/>
      <c r="Z45" s="171"/>
      <c r="AE45" s="17"/>
      <c r="AF45" s="17"/>
    </row>
    <row r="46" spans="1:32">
      <c r="A46" s="181" t="s">
        <v>741</v>
      </c>
      <c r="B46" s="180">
        <f>B45</f>
        <v>824000.00000000012</v>
      </c>
      <c r="C46" s="180">
        <f>C45-(B46*C42/B42*D$32)</f>
        <v>459330.76923076913</v>
      </c>
      <c r="D46" s="180">
        <f>D45-(C46*D42/C42*D$32)-(B46*D42/B42*E$32)</f>
        <v>453694.99497234798</v>
      </c>
      <c r="E46" s="180">
        <f>E45-(D46*E42/D42*D$32)-(C46*E42/C42*E$32)-(B46*E42/B42*F$32)</f>
        <v>447143.10895149742</v>
      </c>
      <c r="H46" s="173"/>
      <c r="J46" s="2"/>
      <c r="M46" s="2"/>
      <c r="N46" s="180">
        <f>N45</f>
        <v>575000</v>
      </c>
      <c r="O46" s="180">
        <f>O45-(N46*O42/N42*D$32)</f>
        <v>320000</v>
      </c>
      <c r="P46" s="180">
        <f>P45-(O46*P42/O42*D$32)-(N46*P42/N42*E$32)</f>
        <v>315383.83838383842</v>
      </c>
      <c r="Q46" s="180">
        <f>Q45-(P46*Q42/P42*D$32)-(O46*Q42/O42*E$32)-(N46*Q42/N42*F$32)</f>
        <v>309986.89217758976</v>
      </c>
      <c r="R46" s="171"/>
      <c r="V46" s="17"/>
      <c r="W46" s="17"/>
      <c r="Z46" s="171"/>
      <c r="AE46" s="17"/>
      <c r="AF46" s="17"/>
    </row>
    <row r="47" spans="1:32" s="2" customFormat="1">
      <c r="A47" s="183"/>
      <c r="B47" s="182"/>
      <c r="C47" s="182"/>
      <c r="D47" s="182"/>
      <c r="E47" s="182"/>
      <c r="N47" s="182"/>
      <c r="O47" s="182"/>
      <c r="P47" s="182"/>
      <c r="Q47" s="182"/>
      <c r="R47" s="171"/>
      <c r="S47" s="17"/>
      <c r="T47" s="17"/>
      <c r="U47" s="17"/>
      <c r="V47" s="17"/>
      <c r="W47" s="17"/>
      <c r="X47" s="17"/>
      <c r="Y47" s="17"/>
      <c r="Z47" s="171"/>
    </row>
    <row r="48" spans="1:32">
      <c r="A48" s="183"/>
      <c r="B48" s="182"/>
      <c r="C48" s="182"/>
      <c r="D48" s="182"/>
      <c r="E48" s="182"/>
      <c r="J48" s="2"/>
      <c r="M48" s="2"/>
      <c r="N48" s="182"/>
      <c r="O48" s="182"/>
      <c r="P48" s="182"/>
      <c r="Q48" s="182"/>
      <c r="R48" s="171"/>
      <c r="V48" s="17"/>
      <c r="W48" s="17"/>
      <c r="Z48" s="171"/>
      <c r="AE48" s="17"/>
      <c r="AF48" s="17"/>
    </row>
    <row r="49" spans="1:32">
      <c r="A49" s="181"/>
      <c r="B49" s="180"/>
      <c r="C49" s="180"/>
      <c r="D49" s="180"/>
      <c r="E49" s="180"/>
      <c r="J49" s="2"/>
      <c r="M49" s="2"/>
      <c r="N49" s="180"/>
      <c r="O49" s="180"/>
      <c r="P49" s="180"/>
      <c r="Q49" s="180"/>
      <c r="R49" s="171"/>
      <c r="V49" s="17"/>
      <c r="W49" s="17"/>
      <c r="Z49" s="171"/>
      <c r="AE49" s="17"/>
      <c r="AF49" s="17"/>
    </row>
    <row r="50" spans="1:32">
      <c r="A50" s="175"/>
      <c r="B50" s="174"/>
      <c r="C50" s="174"/>
      <c r="D50" s="174"/>
      <c r="E50" s="174"/>
      <c r="J50" s="2"/>
      <c r="M50" s="2"/>
      <c r="N50" s="174"/>
      <c r="O50" s="174"/>
      <c r="P50" s="174"/>
      <c r="Q50" s="174"/>
      <c r="R50" s="171"/>
      <c r="V50" s="17"/>
      <c r="W50" s="17"/>
      <c r="Z50" s="171"/>
      <c r="AE50" s="17"/>
      <c r="AF50" s="17"/>
    </row>
    <row r="51" spans="1:32">
      <c r="B51" s="17"/>
      <c r="D51" s="172"/>
      <c r="E51" s="172"/>
      <c r="M51" s="2"/>
      <c r="N51" s="172"/>
      <c r="O51" s="172"/>
      <c r="P51" s="172"/>
      <c r="Q51" s="172"/>
      <c r="R51" s="171"/>
      <c r="V51" s="17"/>
      <c r="W51" s="17"/>
      <c r="Z51" s="171"/>
      <c r="AE51" s="17"/>
      <c r="AF51" s="17"/>
    </row>
    <row r="52" spans="1:32">
      <c r="A52" s="179" t="s">
        <v>739</v>
      </c>
      <c r="B52" s="178" t="s">
        <v>816</v>
      </c>
      <c r="C52" s="178" t="s">
        <v>817</v>
      </c>
      <c r="D52" s="177" t="s">
        <v>818</v>
      </c>
      <c r="E52" s="178" t="s">
        <v>819</v>
      </c>
      <c r="F52" s="177" t="s">
        <v>820</v>
      </c>
      <c r="G52" s="177" t="s">
        <v>821</v>
      </c>
      <c r="M52" s="179" t="s">
        <v>739</v>
      </c>
      <c r="N52" s="178" t="s">
        <v>816</v>
      </c>
      <c r="O52" s="178" t="s">
        <v>817</v>
      </c>
      <c r="P52" s="177" t="s">
        <v>818</v>
      </c>
      <c r="Q52" s="178" t="s">
        <v>819</v>
      </c>
      <c r="R52" s="177" t="s">
        <v>820</v>
      </c>
      <c r="S52" s="177" t="s">
        <v>821</v>
      </c>
      <c r="V52" s="17"/>
      <c r="W52" s="17"/>
      <c r="Z52" s="171"/>
      <c r="AE52" s="17"/>
      <c r="AF52" s="17"/>
    </row>
    <row r="53" spans="1:32">
      <c r="A53" s="176">
        <v>2018</v>
      </c>
      <c r="B53" s="16">
        <f>B45</f>
        <v>824000.00000000012</v>
      </c>
      <c r="C53" s="16">
        <f>$B53</f>
        <v>824000.00000000012</v>
      </c>
      <c r="D53" s="16">
        <f>$C53*D$32*D$33</f>
        <v>362304.8709703866</v>
      </c>
      <c r="E53" s="16">
        <f t="shared" ref="E53:G56" si="22">$C53*E$32*E$33</f>
        <v>157335.27451620335</v>
      </c>
      <c r="F53" s="16">
        <f t="shared" si="22"/>
        <v>69178.806228984715</v>
      </c>
      <c r="G53" s="16">
        <f t="shared" si="22"/>
        <v>30041.733746467315</v>
      </c>
      <c r="L53" s="173"/>
      <c r="M53" s="176">
        <v>2018</v>
      </c>
      <c r="N53" s="16">
        <f>N45</f>
        <v>575000</v>
      </c>
      <c r="O53" s="16">
        <f>$N53</f>
        <v>575000</v>
      </c>
      <c r="P53" s="16">
        <f>$O53*D$32*D$33</f>
        <v>252821.96699996633</v>
      </c>
      <c r="Q53" s="16">
        <f t="shared" ref="Q53:S56" si="23">$O53*E$32*E$33</f>
        <v>109790.99860050596</v>
      </c>
      <c r="R53" s="16">
        <f t="shared" si="23"/>
        <v>48274.045608818211</v>
      </c>
      <c r="S53" s="16">
        <f t="shared" si="23"/>
        <v>20963.588475993573</v>
      </c>
      <c r="V53" s="17"/>
      <c r="W53" s="17"/>
      <c r="Z53" s="171"/>
      <c r="AE53" s="17"/>
      <c r="AF53" s="17"/>
    </row>
    <row r="54" spans="1:32">
      <c r="A54" s="176">
        <v>2019</v>
      </c>
      <c r="B54" s="152">
        <f>C45</f>
        <v>823000</v>
      </c>
      <c r="C54" s="16">
        <f>B54-D53</f>
        <v>460695.1290296134</v>
      </c>
      <c r="D54" s="16">
        <f t="shared" ref="D54:D56" si="24">$C54*D$32*D$33</f>
        <v>202563.2151453394</v>
      </c>
      <c r="E54" s="16">
        <f t="shared" si="22"/>
        <v>87965.527420087325</v>
      </c>
      <c r="F54" s="16">
        <f t="shared" si="22"/>
        <v>38677.595948758164</v>
      </c>
      <c r="G54" s="16">
        <f t="shared" si="22"/>
        <v>16796.214083254912</v>
      </c>
      <c r="L54" s="173"/>
      <c r="M54" s="176">
        <v>2019</v>
      </c>
      <c r="N54" s="152">
        <f>O45</f>
        <v>573000</v>
      </c>
      <c r="O54" s="16">
        <f>N54-P53</f>
        <v>320178.0330000337</v>
      </c>
      <c r="P54" s="16">
        <f t="shared" ref="P54:P56" si="25">$O54*D$32*D$33</f>
        <v>140779.20016217159</v>
      </c>
      <c r="Q54" s="16">
        <f t="shared" si="23"/>
        <v>61135.071257425137</v>
      </c>
      <c r="R54" s="16">
        <f t="shared" si="23"/>
        <v>26880.502553017963</v>
      </c>
      <c r="S54" s="16">
        <f t="shared" si="23"/>
        <v>11673.18351802747</v>
      </c>
      <c r="V54" s="17"/>
      <c r="W54" s="17"/>
      <c r="Z54" s="171"/>
      <c r="AE54" s="17"/>
      <c r="AF54" s="17"/>
    </row>
    <row r="55" spans="1:32">
      <c r="A55" s="176">
        <v>2020</v>
      </c>
      <c r="B55" s="152">
        <f>D45</f>
        <v>814000</v>
      </c>
      <c r="C55" s="16">
        <f>B55-D54-E53</f>
        <v>454101.5103384573</v>
      </c>
      <c r="D55" s="16">
        <f t="shared" si="24"/>
        <v>199664.064454651</v>
      </c>
      <c r="E55" s="16">
        <f t="shared" si="22"/>
        <v>86706.536149664724</v>
      </c>
      <c r="F55" s="16">
        <f t="shared" si="22"/>
        <v>38124.029601933777</v>
      </c>
      <c r="G55" s="16">
        <f t="shared" si="22"/>
        <v>16555.821198369667</v>
      </c>
      <c r="L55" s="173"/>
      <c r="M55" s="176">
        <v>2020</v>
      </c>
      <c r="N55" s="152">
        <f>P45</f>
        <v>566000</v>
      </c>
      <c r="O55" s="16">
        <f>N55-P54-Q53</f>
        <v>315429.80123732239</v>
      </c>
      <c r="P55" s="16">
        <f t="shared" si="25"/>
        <v>138691.44834648393</v>
      </c>
      <c r="Q55" s="16">
        <f t="shared" si="23"/>
        <v>60228.439767312586</v>
      </c>
      <c r="R55" s="16">
        <f t="shared" si="23"/>
        <v>26481.865410975592</v>
      </c>
      <c r="S55" s="16">
        <f t="shared" si="23"/>
        <v>11500.070515136826</v>
      </c>
      <c r="V55" s="17"/>
      <c r="W55" s="17"/>
      <c r="Z55" s="171"/>
      <c r="AE55" s="17"/>
      <c r="AF55" s="17"/>
    </row>
    <row r="56" spans="1:32">
      <c r="A56" s="176">
        <v>2021</v>
      </c>
      <c r="B56" s="152">
        <f>E45</f>
        <v>805000</v>
      </c>
      <c r="C56" s="16">
        <f>B56-D55-E54-F53</f>
        <v>448191.60189627699</v>
      </c>
      <c r="D56" s="16">
        <f t="shared" si="24"/>
        <v>197065.53458136105</v>
      </c>
      <c r="E56" s="16">
        <f t="shared" si="22"/>
        <v>85578.093107048131</v>
      </c>
      <c r="F56" s="16">
        <f t="shared" si="22"/>
        <v>37627.864054661164</v>
      </c>
      <c r="G56" s="16">
        <f t="shared" si="22"/>
        <v>16340.355305304158</v>
      </c>
      <c r="L56" s="173"/>
      <c r="M56" s="176">
        <v>2021</v>
      </c>
      <c r="N56" s="152">
        <f>Q45</f>
        <v>558000</v>
      </c>
      <c r="O56" s="16">
        <f>N56-P55-Q54-R53</f>
        <v>309899.43478727271</v>
      </c>
      <c r="P56" s="16">
        <f t="shared" si="25"/>
        <v>136259.79943494973</v>
      </c>
      <c r="Q56" s="16">
        <f t="shared" si="23"/>
        <v>59172.466801786177</v>
      </c>
      <c r="R56" s="16">
        <f t="shared" si="23"/>
        <v>26017.564259248327</v>
      </c>
      <c r="S56" s="16">
        <f t="shared" si="23"/>
        <v>11298.442121431986</v>
      </c>
      <c r="V56" s="17"/>
      <c r="W56" s="17"/>
      <c r="Z56" s="171"/>
      <c r="AE56" s="17"/>
      <c r="AF56" s="17"/>
    </row>
    <row r="57" spans="1:32">
      <c r="A57" s="175" t="s">
        <v>738</v>
      </c>
      <c r="B57" s="174">
        <f>SUM(B53:B56)</f>
        <v>3266000</v>
      </c>
      <c r="C57" s="174">
        <f t="shared" ref="C57:G57" si="26">SUM(C53:C56)</f>
        <v>2186988.2412643479</v>
      </c>
      <c r="D57" s="174">
        <f t="shared" si="26"/>
        <v>961597.68515173811</v>
      </c>
      <c r="E57" s="174">
        <f t="shared" si="26"/>
        <v>417585.43119300355</v>
      </c>
      <c r="F57" s="174">
        <f t="shared" si="26"/>
        <v>183608.29583433783</v>
      </c>
      <c r="G57" s="174">
        <f t="shared" si="26"/>
        <v>79734.124333396045</v>
      </c>
      <c r="M57" s="175" t="s">
        <v>738</v>
      </c>
      <c r="N57" s="174">
        <f>SUM(N53:N56)</f>
        <v>2272000</v>
      </c>
      <c r="O57" s="174">
        <f t="shared" ref="O57:S57" si="27">SUM(O53:O56)</f>
        <v>1520507.2690246289</v>
      </c>
      <c r="P57" s="174">
        <f t="shared" si="27"/>
        <v>668552.41494357155</v>
      </c>
      <c r="Q57" s="174">
        <f t="shared" si="27"/>
        <v>290326.97642702988</v>
      </c>
      <c r="R57" s="174">
        <f t="shared" si="27"/>
        <v>127653.97783206007</v>
      </c>
      <c r="S57" s="174">
        <f t="shared" si="27"/>
        <v>55435.284630589857</v>
      </c>
      <c r="V57" s="17"/>
      <c r="W57" s="17"/>
      <c r="Z57" s="171"/>
      <c r="AE57" s="17"/>
      <c r="AF57" s="17"/>
    </row>
    <row r="58" spans="1:32">
      <c r="M58" s="2"/>
      <c r="N58" s="172"/>
      <c r="O58" s="172"/>
      <c r="P58" s="171"/>
      <c r="Q58" s="171"/>
      <c r="R58" s="171"/>
      <c r="V58" s="17"/>
      <c r="W58" s="17"/>
      <c r="Z58" s="171"/>
      <c r="AE58" s="17"/>
      <c r="AF58" s="17"/>
    </row>
    <row r="59" spans="1:32">
      <c r="M59" s="2"/>
      <c r="N59" s="172"/>
      <c r="O59" s="172"/>
      <c r="P59" s="171"/>
      <c r="Q59" s="171"/>
      <c r="R59" s="171"/>
      <c r="V59" s="17"/>
      <c r="W59" s="17"/>
      <c r="Z59" s="171"/>
      <c r="AE59" s="17"/>
      <c r="AF59" s="17"/>
    </row>
    <row r="60" spans="1:32" s="2" customFormat="1">
      <c r="A60" s="186" t="s">
        <v>822</v>
      </c>
      <c r="Z60" s="171"/>
    </row>
    <row r="61" spans="1:32">
      <c r="A61" s="185"/>
      <c r="B61" s="178">
        <v>2018</v>
      </c>
      <c r="C61" s="178">
        <v>2019</v>
      </c>
      <c r="D61" s="177">
        <v>2020</v>
      </c>
      <c r="E61" s="177">
        <v>2021</v>
      </c>
      <c r="J61" s="2"/>
      <c r="M61" s="2"/>
      <c r="N61" s="178">
        <v>2018</v>
      </c>
      <c r="O61" s="178">
        <v>2019</v>
      </c>
      <c r="P61" s="177">
        <v>2020</v>
      </c>
      <c r="Q61" s="177">
        <v>2021</v>
      </c>
      <c r="R61" s="2"/>
      <c r="S61" s="2"/>
      <c r="T61" s="2"/>
      <c r="U61" s="2"/>
      <c r="V61" s="2"/>
      <c r="W61" s="2"/>
      <c r="X61" s="2"/>
      <c r="Y61" s="2"/>
      <c r="Z61" s="171"/>
      <c r="AE61" s="17"/>
      <c r="AF61" s="17"/>
    </row>
    <row r="62" spans="1:32">
      <c r="A62" s="15" t="s">
        <v>697</v>
      </c>
      <c r="B62" s="16"/>
      <c r="C62" s="16"/>
      <c r="D62" s="16"/>
      <c r="E62" s="16"/>
      <c r="J62" s="2"/>
      <c r="M62" s="2"/>
      <c r="N62" s="16"/>
      <c r="O62" s="16"/>
      <c r="P62" s="16"/>
      <c r="Q62" s="16"/>
      <c r="R62" s="2"/>
      <c r="S62" s="2"/>
      <c r="T62" s="2"/>
      <c r="U62" s="2"/>
      <c r="V62" s="2"/>
      <c r="W62" s="2"/>
      <c r="X62" s="2"/>
      <c r="Y62" s="2"/>
      <c r="Z62" s="2"/>
      <c r="AE62" s="17"/>
      <c r="AF62" s="17"/>
    </row>
    <row r="63" spans="1:32">
      <c r="A63" s="15" t="s">
        <v>815</v>
      </c>
      <c r="B63" s="352"/>
      <c r="C63" s="352"/>
      <c r="D63" s="352"/>
      <c r="E63" s="352"/>
      <c r="J63" s="2"/>
      <c r="M63" s="2"/>
      <c r="N63" s="352"/>
      <c r="O63" s="352"/>
      <c r="P63" s="352"/>
      <c r="Q63" s="352"/>
      <c r="R63" s="2"/>
      <c r="S63" s="2"/>
      <c r="T63" s="2"/>
      <c r="U63" s="2"/>
      <c r="V63" s="2"/>
      <c r="W63" s="2"/>
      <c r="X63" s="2"/>
      <c r="Y63" s="2"/>
      <c r="Z63" s="2"/>
      <c r="AE63" s="17"/>
      <c r="AF63" s="17"/>
    </row>
    <row r="64" spans="1:32">
      <c r="A64" s="15" t="s">
        <v>745</v>
      </c>
      <c r="B64" s="184"/>
      <c r="C64" s="184"/>
      <c r="D64" s="184"/>
      <c r="E64" s="184"/>
      <c r="J64" s="2"/>
      <c r="M64" s="2"/>
      <c r="N64" s="184"/>
      <c r="O64" s="184"/>
      <c r="P64" s="184"/>
      <c r="Q64" s="184"/>
      <c r="R64" s="2"/>
      <c r="S64" s="2"/>
      <c r="T64" s="2"/>
      <c r="U64" s="2"/>
      <c r="V64" s="2"/>
      <c r="W64" s="2"/>
      <c r="X64" s="2"/>
      <c r="Y64" s="2"/>
      <c r="Z64" s="2"/>
      <c r="AE64" s="17"/>
      <c r="AF64" s="17"/>
    </row>
    <row r="65" spans="1:32">
      <c r="A65" s="15" t="s">
        <v>744</v>
      </c>
      <c r="B65" s="16"/>
      <c r="C65" s="16"/>
      <c r="D65" s="16"/>
      <c r="E65" s="16"/>
      <c r="J65" s="2"/>
      <c r="M65" s="2"/>
      <c r="N65" s="16"/>
      <c r="O65" s="16"/>
      <c r="P65" s="16"/>
      <c r="Q65" s="16"/>
      <c r="R65" s="2"/>
      <c r="S65" s="2"/>
      <c r="T65" s="2"/>
      <c r="U65" s="12"/>
      <c r="V65" s="12"/>
      <c r="W65" s="153"/>
      <c r="X65" s="2"/>
      <c r="Y65" s="2"/>
      <c r="Z65" s="2"/>
      <c r="AE65" s="17"/>
      <c r="AF65" s="17"/>
    </row>
    <row r="66" spans="1:32">
      <c r="A66" s="181" t="s">
        <v>741</v>
      </c>
      <c r="B66" s="180"/>
      <c r="C66" s="180"/>
      <c r="D66" s="180"/>
      <c r="E66" s="180"/>
      <c r="J66" s="2"/>
      <c r="M66" s="2"/>
      <c r="N66" s="180"/>
      <c r="O66" s="180"/>
      <c r="P66" s="180"/>
      <c r="Q66" s="180"/>
      <c r="R66" s="2"/>
      <c r="S66" s="2"/>
      <c r="T66" s="2"/>
      <c r="U66" s="12"/>
      <c r="V66" s="12"/>
      <c r="W66" s="153"/>
      <c r="X66" s="2"/>
      <c r="Y66" s="2"/>
      <c r="Z66" s="2"/>
      <c r="AE66" s="17"/>
      <c r="AF66" s="17"/>
    </row>
    <row r="67" spans="1:32" s="2" customFormat="1">
      <c r="A67" s="183" t="s">
        <v>743</v>
      </c>
      <c r="B67" s="182"/>
      <c r="C67" s="182"/>
      <c r="D67" s="182"/>
      <c r="E67" s="182"/>
      <c r="N67" s="182"/>
      <c r="O67" s="182"/>
      <c r="P67" s="182"/>
      <c r="Q67" s="182"/>
      <c r="U67" s="12"/>
      <c r="V67" s="12"/>
      <c r="W67" s="153"/>
    </row>
    <row r="68" spans="1:32">
      <c r="A68" s="183" t="s">
        <v>742</v>
      </c>
      <c r="B68" s="182"/>
      <c r="C68" s="182"/>
      <c r="D68" s="182"/>
      <c r="E68" s="182"/>
      <c r="J68" s="2"/>
      <c r="M68" s="2"/>
      <c r="N68" s="182"/>
      <c r="O68" s="182"/>
      <c r="P68" s="182"/>
      <c r="Q68" s="182"/>
      <c r="R68" s="2"/>
      <c r="S68" s="2"/>
      <c r="T68" s="2"/>
      <c r="U68" s="12"/>
      <c r="V68" s="12"/>
      <c r="W68" s="153"/>
      <c r="X68" s="2"/>
      <c r="Y68" s="2"/>
      <c r="Z68" s="2"/>
      <c r="AE68" s="17"/>
      <c r="AF68" s="17"/>
    </row>
    <row r="69" spans="1:32">
      <c r="A69" s="181" t="s">
        <v>741</v>
      </c>
      <c r="B69" s="180"/>
      <c r="C69" s="180"/>
      <c r="D69" s="180"/>
      <c r="E69" s="180"/>
      <c r="J69" s="2"/>
      <c r="M69" s="2"/>
      <c r="N69" s="180"/>
      <c r="O69" s="180"/>
      <c r="P69" s="180"/>
      <c r="Q69" s="180"/>
      <c r="R69" s="2"/>
      <c r="S69" s="2"/>
      <c r="T69" s="2"/>
      <c r="U69" s="12"/>
      <c r="V69" s="12"/>
      <c r="W69" s="153"/>
      <c r="X69" s="2"/>
      <c r="Y69" s="2"/>
      <c r="Z69" s="2"/>
      <c r="AE69" s="17"/>
      <c r="AF69" s="17"/>
    </row>
    <row r="70" spans="1:32">
      <c r="A70" s="175" t="s">
        <v>740</v>
      </c>
      <c r="B70" s="174"/>
      <c r="C70" s="174"/>
      <c r="D70" s="174"/>
      <c r="E70" s="174"/>
      <c r="J70" s="2"/>
      <c r="M70" s="2"/>
      <c r="N70" s="174"/>
      <c r="O70" s="174"/>
      <c r="P70" s="174"/>
      <c r="Q70" s="174"/>
      <c r="R70" s="2"/>
      <c r="S70" s="2"/>
      <c r="T70" s="2"/>
      <c r="U70" s="12"/>
      <c r="V70" s="12"/>
      <c r="W70" s="153"/>
      <c r="X70" s="2"/>
      <c r="Y70" s="2"/>
      <c r="Z70" s="2"/>
      <c r="AE70" s="17"/>
      <c r="AF70" s="17"/>
    </row>
    <row r="71" spans="1:32">
      <c r="D71" s="172"/>
      <c r="E71" s="172"/>
      <c r="M71" s="2"/>
      <c r="N71" s="172"/>
      <c r="O71" s="172"/>
      <c r="P71" s="172"/>
      <c r="Q71" s="172"/>
      <c r="R71" s="2"/>
      <c r="S71" s="2"/>
      <c r="T71" s="2"/>
      <c r="U71" s="12"/>
      <c r="V71" s="12"/>
      <c r="W71" s="153"/>
      <c r="X71" s="2"/>
      <c r="Y71" s="2"/>
      <c r="Z71" s="2"/>
      <c r="AE71" s="17"/>
      <c r="AF71" s="17"/>
    </row>
    <row r="72" spans="1:32">
      <c r="A72" s="179" t="s">
        <v>739</v>
      </c>
      <c r="B72" s="178" t="s">
        <v>816</v>
      </c>
      <c r="C72" s="178" t="s">
        <v>817</v>
      </c>
      <c r="D72" s="177" t="s">
        <v>818</v>
      </c>
      <c r="E72" s="178" t="s">
        <v>819</v>
      </c>
      <c r="F72" s="177" t="s">
        <v>820</v>
      </c>
      <c r="G72" s="177" t="s">
        <v>821</v>
      </c>
      <c r="M72" s="179" t="s">
        <v>739</v>
      </c>
      <c r="N72" s="178" t="s">
        <v>816</v>
      </c>
      <c r="O72" s="178" t="s">
        <v>817</v>
      </c>
      <c r="P72" s="177" t="s">
        <v>818</v>
      </c>
      <c r="Q72" s="178" t="s">
        <v>819</v>
      </c>
      <c r="R72" s="177" t="s">
        <v>820</v>
      </c>
      <c r="S72" s="177" t="s">
        <v>821</v>
      </c>
      <c r="T72" s="2"/>
      <c r="U72" s="12"/>
      <c r="V72" s="12"/>
      <c r="W72" s="153"/>
      <c r="X72" s="2"/>
      <c r="Y72" s="2"/>
      <c r="Z72" s="2"/>
      <c r="AE72" s="17"/>
      <c r="AF72" s="17"/>
    </row>
    <row r="73" spans="1:32">
      <c r="A73" s="176">
        <v>2018</v>
      </c>
      <c r="B73" s="16">
        <f>B65</f>
        <v>0</v>
      </c>
      <c r="C73" s="16">
        <f>$B73</f>
        <v>0</v>
      </c>
      <c r="D73" s="16">
        <f>$C73*D$32*D$33</f>
        <v>0</v>
      </c>
      <c r="E73" s="16">
        <f t="shared" ref="E73:G76" si="28">$C73*E$32*E$33</f>
        <v>0</v>
      </c>
      <c r="F73" s="16">
        <f t="shared" si="28"/>
        <v>0</v>
      </c>
      <c r="G73" s="16">
        <f t="shared" si="28"/>
        <v>0</v>
      </c>
      <c r="L73" s="173"/>
      <c r="M73" s="176">
        <v>2018</v>
      </c>
      <c r="N73" s="16">
        <f>N65</f>
        <v>0</v>
      </c>
      <c r="O73" s="16">
        <f>$N73</f>
        <v>0</v>
      </c>
      <c r="P73" s="16">
        <f>$O73*D$32*D$33</f>
        <v>0</v>
      </c>
      <c r="Q73" s="16">
        <f t="shared" ref="Q73:S76" si="29">$O73*E$32*E$33</f>
        <v>0</v>
      </c>
      <c r="R73" s="16">
        <f t="shared" si="29"/>
        <v>0</v>
      </c>
      <c r="S73" s="16">
        <f t="shared" si="29"/>
        <v>0</v>
      </c>
      <c r="T73" s="2"/>
      <c r="U73" s="12"/>
      <c r="V73" s="12"/>
      <c r="W73" s="153"/>
      <c r="X73" s="2"/>
      <c r="Y73" s="2"/>
      <c r="Z73" s="2"/>
      <c r="AE73" s="17"/>
      <c r="AF73" s="17"/>
    </row>
    <row r="74" spans="1:32">
      <c r="A74" s="176">
        <v>2019</v>
      </c>
      <c r="B74" s="152">
        <f>C65</f>
        <v>0</v>
      </c>
      <c r="C74" s="16">
        <f>B74-D73</f>
        <v>0</v>
      </c>
      <c r="D74" s="16">
        <f t="shared" ref="D74:D76" si="30">$C74*D$32*D$33</f>
        <v>0</v>
      </c>
      <c r="E74" s="16">
        <f t="shared" si="28"/>
        <v>0</v>
      </c>
      <c r="F74" s="16">
        <f t="shared" si="28"/>
        <v>0</v>
      </c>
      <c r="G74" s="16">
        <f t="shared" si="28"/>
        <v>0</v>
      </c>
      <c r="L74" s="173"/>
      <c r="M74" s="176">
        <v>2019</v>
      </c>
      <c r="N74" s="152">
        <f>O65</f>
        <v>0</v>
      </c>
      <c r="O74" s="16">
        <f>N74-P73</f>
        <v>0</v>
      </c>
      <c r="P74" s="16">
        <f t="shared" ref="P74:P76" si="31">$O74*D$32*D$33</f>
        <v>0</v>
      </c>
      <c r="Q74" s="16">
        <f t="shared" si="29"/>
        <v>0</v>
      </c>
      <c r="R74" s="16">
        <f t="shared" si="29"/>
        <v>0</v>
      </c>
      <c r="S74" s="16">
        <f t="shared" si="29"/>
        <v>0</v>
      </c>
      <c r="T74" s="2"/>
      <c r="U74" s="12"/>
      <c r="V74" s="12"/>
      <c r="W74" s="153"/>
      <c r="X74" s="2"/>
      <c r="Y74" s="2"/>
      <c r="Z74" s="2"/>
      <c r="AE74" s="17"/>
      <c r="AF74" s="17"/>
    </row>
    <row r="75" spans="1:32">
      <c r="A75" s="176">
        <v>2020</v>
      </c>
      <c r="B75" s="152">
        <f>D65</f>
        <v>0</v>
      </c>
      <c r="C75" s="16">
        <f>B75-D74-E73</f>
        <v>0</v>
      </c>
      <c r="D75" s="16">
        <f t="shared" si="30"/>
        <v>0</v>
      </c>
      <c r="E75" s="16">
        <f t="shared" si="28"/>
        <v>0</v>
      </c>
      <c r="F75" s="16">
        <f t="shared" si="28"/>
        <v>0</v>
      </c>
      <c r="G75" s="16">
        <f t="shared" si="28"/>
        <v>0</v>
      </c>
      <c r="L75" s="173"/>
      <c r="M75" s="176">
        <v>2020</v>
      </c>
      <c r="N75" s="152">
        <f>P65</f>
        <v>0</v>
      </c>
      <c r="O75" s="16">
        <f>N75-P74-Q73</f>
        <v>0</v>
      </c>
      <c r="P75" s="16">
        <f t="shared" si="31"/>
        <v>0</v>
      </c>
      <c r="Q75" s="16">
        <f t="shared" si="29"/>
        <v>0</v>
      </c>
      <c r="R75" s="16">
        <f t="shared" si="29"/>
        <v>0</v>
      </c>
      <c r="S75" s="16">
        <f t="shared" si="29"/>
        <v>0</v>
      </c>
      <c r="T75" s="2"/>
      <c r="U75" s="12"/>
      <c r="V75" s="12"/>
      <c r="W75" s="153"/>
      <c r="X75" s="2"/>
      <c r="Y75" s="2"/>
      <c r="Z75" s="2"/>
      <c r="AE75" s="17"/>
      <c r="AF75" s="17"/>
    </row>
    <row r="76" spans="1:32">
      <c r="A76" s="176">
        <v>2021</v>
      </c>
      <c r="B76" s="152">
        <f>E65</f>
        <v>0</v>
      </c>
      <c r="C76" s="16">
        <f>B76-D75-E74-F73</f>
        <v>0</v>
      </c>
      <c r="D76" s="16">
        <f t="shared" si="30"/>
        <v>0</v>
      </c>
      <c r="E76" s="16">
        <f t="shared" si="28"/>
        <v>0</v>
      </c>
      <c r="F76" s="16">
        <f t="shared" si="28"/>
        <v>0</v>
      </c>
      <c r="G76" s="16">
        <f t="shared" si="28"/>
        <v>0</v>
      </c>
      <c r="L76" s="173"/>
      <c r="M76" s="176">
        <v>2021</v>
      </c>
      <c r="N76" s="152">
        <f>Q65</f>
        <v>0</v>
      </c>
      <c r="O76" s="16">
        <f>N76-P75-Q74-R73</f>
        <v>0</v>
      </c>
      <c r="P76" s="16">
        <f t="shared" si="31"/>
        <v>0</v>
      </c>
      <c r="Q76" s="16">
        <f t="shared" si="29"/>
        <v>0</v>
      </c>
      <c r="R76" s="16">
        <f t="shared" si="29"/>
        <v>0</v>
      </c>
      <c r="S76" s="16">
        <f t="shared" si="29"/>
        <v>0</v>
      </c>
      <c r="T76" s="2"/>
      <c r="U76" s="12"/>
      <c r="V76" s="12"/>
      <c r="W76" s="153"/>
      <c r="X76" s="2"/>
      <c r="Y76" s="2"/>
      <c r="Z76" s="2"/>
      <c r="AE76" s="17"/>
      <c r="AF76" s="17"/>
    </row>
    <row r="77" spans="1:32">
      <c r="A77" s="175" t="s">
        <v>738</v>
      </c>
      <c r="B77" s="174">
        <f>SUM(B73:B76)</f>
        <v>0</v>
      </c>
      <c r="C77" s="174">
        <f t="shared" ref="C77:G77" si="32">SUM(C73:C76)</f>
        <v>0</v>
      </c>
      <c r="D77" s="174">
        <f t="shared" si="32"/>
        <v>0</v>
      </c>
      <c r="E77" s="174">
        <f t="shared" si="32"/>
        <v>0</v>
      </c>
      <c r="F77" s="174">
        <f t="shared" si="32"/>
        <v>0</v>
      </c>
      <c r="G77" s="174">
        <f t="shared" si="32"/>
        <v>0</v>
      </c>
      <c r="M77" s="175" t="s">
        <v>738</v>
      </c>
      <c r="N77" s="174">
        <f>SUM(N73:N76)</f>
        <v>0</v>
      </c>
      <c r="O77" s="174">
        <f t="shared" ref="O77:S77" si="33">SUM(O73:O76)</f>
        <v>0</v>
      </c>
      <c r="P77" s="174">
        <f t="shared" si="33"/>
        <v>0</v>
      </c>
      <c r="Q77" s="174">
        <f t="shared" si="33"/>
        <v>0</v>
      </c>
      <c r="R77" s="174">
        <f t="shared" si="33"/>
        <v>0</v>
      </c>
      <c r="S77" s="174">
        <f t="shared" si="33"/>
        <v>0</v>
      </c>
      <c r="T77" s="2"/>
      <c r="U77" s="12"/>
      <c r="V77" s="12"/>
      <c r="W77" s="153"/>
      <c r="X77" s="2"/>
      <c r="Y77" s="2"/>
      <c r="Z77" s="2"/>
      <c r="AE77" s="17"/>
      <c r="AF77" s="17"/>
    </row>
    <row r="78" spans="1:32">
      <c r="M78" s="2"/>
      <c r="N78" s="6"/>
      <c r="O78" s="2"/>
      <c r="P78" s="2"/>
      <c r="Q78" s="2"/>
      <c r="R78" s="2"/>
      <c r="S78" s="2"/>
      <c r="T78" s="2"/>
      <c r="U78" s="12"/>
      <c r="V78" s="12"/>
      <c r="W78" s="153"/>
      <c r="X78" s="2"/>
      <c r="Y78" s="2"/>
      <c r="Z78" s="2"/>
      <c r="AE78" s="17"/>
      <c r="AF78" s="17"/>
    </row>
    <row r="79" spans="1:32">
      <c r="A79" s="2"/>
      <c r="B79" s="2"/>
      <c r="C79" s="2"/>
      <c r="D79" s="2"/>
      <c r="E79" s="2"/>
      <c r="F79" s="2"/>
      <c r="G79" s="2"/>
      <c r="H79" s="2"/>
      <c r="I79" s="2"/>
      <c r="J79" s="2"/>
      <c r="M79" s="2"/>
      <c r="N79" s="6"/>
      <c r="O79" s="2"/>
      <c r="P79" s="2"/>
      <c r="Q79" s="2"/>
      <c r="R79" s="2"/>
      <c r="S79" s="2"/>
      <c r="T79" s="2"/>
      <c r="U79" s="12"/>
      <c r="V79" s="12"/>
      <c r="W79" s="153"/>
      <c r="X79" s="2"/>
      <c r="Y79" s="2"/>
      <c r="Z79" s="2"/>
      <c r="AE79" s="17"/>
      <c r="AF79" s="17"/>
    </row>
    <row r="80" spans="1:32" s="4" customFormat="1">
      <c r="A80" s="2"/>
      <c r="B80" s="341">
        <f>B53+B73</f>
        <v>824000.00000000012</v>
      </c>
      <c r="C80" s="341">
        <f t="shared" ref="C80:G80" si="34">C53+C73</f>
        <v>824000.00000000012</v>
      </c>
      <c r="D80" s="341">
        <f t="shared" si="34"/>
        <v>362304.8709703866</v>
      </c>
      <c r="E80" s="341">
        <f t="shared" si="34"/>
        <v>157335.27451620335</v>
      </c>
      <c r="F80" s="341">
        <f t="shared" si="34"/>
        <v>69178.806228984715</v>
      </c>
      <c r="G80" s="341">
        <f t="shared" si="34"/>
        <v>30041.733746467315</v>
      </c>
      <c r="H80" s="2"/>
      <c r="I80" s="2"/>
      <c r="J80" s="2"/>
      <c r="K80" s="17"/>
      <c r="L80" s="17"/>
      <c r="M80" s="341"/>
      <c r="N80" s="341">
        <f t="shared" ref="N80:S83" si="35">N53+N73</f>
        <v>575000</v>
      </c>
      <c r="O80" s="341">
        <f t="shared" si="35"/>
        <v>575000</v>
      </c>
      <c r="P80" s="341">
        <f t="shared" si="35"/>
        <v>252821.96699996633</v>
      </c>
      <c r="Q80" s="341">
        <f t="shared" si="35"/>
        <v>109790.99860050596</v>
      </c>
      <c r="R80" s="341">
        <f t="shared" si="35"/>
        <v>48274.045608818211</v>
      </c>
      <c r="S80" s="341">
        <f t="shared" si="35"/>
        <v>20963.588475993573</v>
      </c>
      <c r="T80" s="2"/>
      <c r="U80" s="12"/>
      <c r="V80" s="12"/>
      <c r="W80" s="153"/>
      <c r="X80" s="2"/>
      <c r="Y80" s="2"/>
      <c r="Z80" s="2"/>
    </row>
    <row r="81" spans="1:32" s="4" customFormat="1">
      <c r="A81" s="2"/>
      <c r="B81" s="341">
        <f t="shared" ref="B81:G83" si="36">B54+B74</f>
        <v>823000</v>
      </c>
      <c r="C81" s="341">
        <f t="shared" si="36"/>
        <v>460695.1290296134</v>
      </c>
      <c r="D81" s="341">
        <f t="shared" si="36"/>
        <v>202563.2151453394</v>
      </c>
      <c r="E81" s="341">
        <f t="shared" si="36"/>
        <v>87965.527420087325</v>
      </c>
      <c r="F81" s="341">
        <f t="shared" si="36"/>
        <v>38677.595948758164</v>
      </c>
      <c r="G81" s="341">
        <f t="shared" si="36"/>
        <v>16796.214083254912</v>
      </c>
      <c r="H81" s="2"/>
      <c r="I81" s="2"/>
      <c r="J81" s="2"/>
      <c r="K81" s="17"/>
      <c r="L81" s="173"/>
      <c r="M81" s="341"/>
      <c r="N81" s="341">
        <f t="shared" si="35"/>
        <v>573000</v>
      </c>
      <c r="O81" s="341">
        <f t="shared" si="35"/>
        <v>320178.0330000337</v>
      </c>
      <c r="P81" s="341">
        <f t="shared" si="35"/>
        <v>140779.20016217159</v>
      </c>
      <c r="Q81" s="341">
        <f t="shared" si="35"/>
        <v>61135.071257425137</v>
      </c>
      <c r="R81" s="341">
        <f t="shared" si="35"/>
        <v>26880.502553017963</v>
      </c>
      <c r="S81" s="341">
        <f t="shared" si="35"/>
        <v>11673.18351802747</v>
      </c>
      <c r="T81" s="172"/>
      <c r="U81" s="172"/>
      <c r="V81" s="17"/>
      <c r="W81" s="17"/>
      <c r="X81" s="17"/>
      <c r="Y81" s="171"/>
      <c r="Z81" s="2"/>
    </row>
    <row r="82" spans="1:32" s="4" customFormat="1">
      <c r="A82" s="341"/>
      <c r="B82" s="341">
        <f t="shared" si="36"/>
        <v>814000</v>
      </c>
      <c r="C82" s="341">
        <f t="shared" si="36"/>
        <v>454101.5103384573</v>
      </c>
      <c r="D82" s="341">
        <f t="shared" si="36"/>
        <v>199664.064454651</v>
      </c>
      <c r="E82" s="341">
        <f t="shared" si="36"/>
        <v>86706.536149664724</v>
      </c>
      <c r="F82" s="341">
        <f t="shared" si="36"/>
        <v>38124.029601933777</v>
      </c>
      <c r="G82" s="341">
        <f t="shared" si="36"/>
        <v>16555.821198369667</v>
      </c>
      <c r="H82" s="12"/>
      <c r="I82" s="12"/>
      <c r="J82" s="2"/>
      <c r="L82" s="173"/>
      <c r="M82" s="341"/>
      <c r="N82" s="341">
        <f t="shared" si="35"/>
        <v>566000</v>
      </c>
      <c r="O82" s="341">
        <f t="shared" si="35"/>
        <v>315429.80123732239</v>
      </c>
      <c r="P82" s="341">
        <f t="shared" si="35"/>
        <v>138691.44834648393</v>
      </c>
      <c r="Q82" s="341">
        <f t="shared" si="35"/>
        <v>60228.439767312586</v>
      </c>
      <c r="R82" s="341">
        <f t="shared" si="35"/>
        <v>26481.865410975592</v>
      </c>
      <c r="S82" s="341">
        <f t="shared" si="35"/>
        <v>11500.070515136826</v>
      </c>
      <c r="T82" s="172"/>
      <c r="U82" s="172"/>
      <c r="V82" s="17"/>
      <c r="W82" s="17"/>
      <c r="X82" s="17"/>
      <c r="Y82" s="171"/>
      <c r="Z82" s="2"/>
    </row>
    <row r="83" spans="1:32">
      <c r="A83" s="341"/>
      <c r="B83" s="341">
        <f t="shared" si="36"/>
        <v>805000</v>
      </c>
      <c r="C83" s="341">
        <f t="shared" si="36"/>
        <v>448191.60189627699</v>
      </c>
      <c r="D83" s="341">
        <f t="shared" si="36"/>
        <v>197065.53458136105</v>
      </c>
      <c r="E83" s="341">
        <f t="shared" si="36"/>
        <v>85578.093107048131</v>
      </c>
      <c r="F83" s="341">
        <f t="shared" si="36"/>
        <v>37627.864054661164</v>
      </c>
      <c r="G83" s="341">
        <f t="shared" si="36"/>
        <v>16340.355305304158</v>
      </c>
      <c r="H83" s="12"/>
      <c r="I83" s="12"/>
      <c r="L83" s="173"/>
      <c r="M83" s="341"/>
      <c r="N83" s="341">
        <f t="shared" si="35"/>
        <v>558000</v>
      </c>
      <c r="O83" s="341">
        <f t="shared" si="35"/>
        <v>309899.43478727271</v>
      </c>
      <c r="P83" s="341">
        <f t="shared" si="35"/>
        <v>136259.79943494973</v>
      </c>
      <c r="Q83" s="341">
        <f t="shared" si="35"/>
        <v>59172.466801786177</v>
      </c>
      <c r="R83" s="341">
        <f t="shared" si="35"/>
        <v>26017.564259248327</v>
      </c>
      <c r="S83" s="341">
        <f t="shared" si="35"/>
        <v>11298.442121431986</v>
      </c>
      <c r="T83" s="172"/>
      <c r="U83" s="172"/>
    </row>
    <row r="84" spans="1:32">
      <c r="A84" s="341"/>
      <c r="B84" s="341"/>
      <c r="C84" s="12"/>
      <c r="D84" s="12"/>
      <c r="E84" s="12"/>
      <c r="F84" s="12"/>
      <c r="G84" s="12"/>
      <c r="H84" s="12"/>
      <c r="I84" s="12"/>
      <c r="L84" s="173"/>
      <c r="N84" s="172"/>
      <c r="O84" s="172"/>
      <c r="P84" s="172"/>
      <c r="Q84" s="172"/>
      <c r="R84" s="172"/>
      <c r="S84" s="172"/>
      <c r="T84" s="172"/>
      <c r="U84" s="172"/>
    </row>
    <row r="85" spans="1:32">
      <c r="A85" s="341"/>
      <c r="B85" s="12"/>
      <c r="C85" s="12"/>
      <c r="D85" s="12"/>
      <c r="E85" s="12"/>
      <c r="F85" s="12"/>
      <c r="G85" s="12"/>
      <c r="H85" s="12"/>
      <c r="I85" s="12"/>
      <c r="L85" s="173"/>
    </row>
    <row r="86" spans="1:32">
      <c r="B86" s="12"/>
      <c r="C86" s="12"/>
      <c r="D86" s="12"/>
      <c r="E86" s="12"/>
      <c r="F86" s="12"/>
      <c r="G86" s="12"/>
      <c r="H86" s="12"/>
      <c r="I86" s="12"/>
      <c r="M86" s="17"/>
      <c r="N86" s="17"/>
      <c r="V86" s="17"/>
      <c r="W86" s="17"/>
      <c r="AE86" s="17"/>
      <c r="AF86" s="17"/>
    </row>
  </sheetData>
  <mergeCells count="6">
    <mergeCell ref="C30:G30"/>
    <mergeCell ref="B3:I3"/>
    <mergeCell ref="K3:R3"/>
    <mergeCell ref="T3:AA3"/>
    <mergeCell ref="AC3:AJ3"/>
    <mergeCell ref="N16:P16"/>
  </mergeCells>
  <pageMargins left="0.7" right="0.7" top="0.75" bottom="0.75" header="0.3" footer="0.3"/>
  <pageSetup scale="2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2"/>
  <sheetViews>
    <sheetView zoomScale="70" zoomScaleNormal="70" zoomScalePageLayoutView="70" workbookViewId="0"/>
  </sheetViews>
  <sheetFormatPr defaultColWidth="9.1796875" defaultRowHeight="14.5"/>
  <cols>
    <col min="1" max="1" width="48.453125" style="214" customWidth="1"/>
    <col min="2" max="3" width="19.54296875" style="214" customWidth="1"/>
    <col min="4" max="4" width="22.1796875" style="214" customWidth="1"/>
    <col min="5" max="5" width="25.54296875" style="214" customWidth="1"/>
    <col min="6" max="7" width="20" style="214" customWidth="1"/>
    <col min="8" max="8" width="20.81640625" style="214" customWidth="1"/>
    <col min="9" max="9" width="23.26953125" style="214" customWidth="1"/>
    <col min="10" max="10" width="20" style="214" customWidth="1"/>
    <col min="11" max="11" width="18.81640625" style="214" customWidth="1"/>
    <col min="12" max="12" width="21" style="214" customWidth="1"/>
    <col min="13" max="13" width="26.54296875" style="214" customWidth="1"/>
    <col min="14" max="14" width="20" style="214" customWidth="1"/>
    <col min="15" max="15" width="20.453125" style="214" customWidth="1"/>
    <col min="16" max="16" width="26.453125" style="214" customWidth="1"/>
    <col min="17" max="17" width="27.26953125" style="214" customWidth="1"/>
    <col min="18" max="20" width="22.26953125" style="214" customWidth="1"/>
    <col min="21" max="21" width="9.1796875" style="214" customWidth="1"/>
    <col min="22" max="16384" width="9.1796875" style="214"/>
  </cols>
  <sheetData>
    <row r="1" spans="1:20" ht="25.5" customHeight="1">
      <c r="A1" s="1" t="s">
        <v>761</v>
      </c>
      <c r="B1" s="1"/>
    </row>
    <row r="2" spans="1:20" ht="19.5" customHeight="1">
      <c r="A2" s="218" t="s">
        <v>1458</v>
      </c>
      <c r="B2" s="1"/>
    </row>
    <row r="3" spans="1:20" s="220" customFormat="1" ht="19.5" customHeight="1">
      <c r="A3" s="219" t="s">
        <v>43</v>
      </c>
      <c r="B3" s="220" t="s">
        <v>832</v>
      </c>
    </row>
    <row r="4" spans="1:20" s="220" customFormat="1" ht="34.5" customHeight="1">
      <c r="A4" s="221"/>
      <c r="B4" s="498" t="s">
        <v>87</v>
      </c>
      <c r="C4" s="498"/>
      <c r="D4" s="498"/>
      <c r="E4" s="498"/>
      <c r="F4" s="499" t="s">
        <v>88</v>
      </c>
      <c r="G4" s="499"/>
      <c r="H4" s="499"/>
      <c r="I4" s="499"/>
      <c r="J4" s="500" t="s">
        <v>89</v>
      </c>
      <c r="K4" s="500"/>
      <c r="L4" s="500"/>
      <c r="M4" s="500"/>
      <c r="N4" s="504" t="s">
        <v>90</v>
      </c>
      <c r="O4" s="504"/>
      <c r="P4" s="504"/>
      <c r="Q4" s="504"/>
      <c r="R4" s="501" t="s">
        <v>134</v>
      </c>
      <c r="S4" s="502"/>
      <c r="T4" s="503"/>
    </row>
    <row r="5" spans="1:20" s="231" customFormat="1" ht="42">
      <c r="A5" s="222"/>
      <c r="B5" s="223" t="s">
        <v>1448</v>
      </c>
      <c r="C5" s="224" t="s">
        <v>57</v>
      </c>
      <c r="D5" s="224" t="s">
        <v>58</v>
      </c>
      <c r="E5" s="224" t="s">
        <v>51</v>
      </c>
      <c r="F5" s="493" t="s">
        <v>1448</v>
      </c>
      <c r="G5" s="226" t="s">
        <v>57</v>
      </c>
      <c r="H5" s="226" t="s">
        <v>58</v>
      </c>
      <c r="I5" s="227" t="s">
        <v>51</v>
      </c>
      <c r="J5" s="223" t="s">
        <v>1448</v>
      </c>
      <c r="K5" s="228" t="s">
        <v>57</v>
      </c>
      <c r="L5" s="228" t="s">
        <v>58</v>
      </c>
      <c r="M5" s="228" t="s">
        <v>51</v>
      </c>
      <c r="N5" s="223" t="s">
        <v>1448</v>
      </c>
      <c r="O5" s="229" t="s">
        <v>57</v>
      </c>
      <c r="P5" s="229" t="s">
        <v>58</v>
      </c>
      <c r="Q5" s="229" t="s">
        <v>51</v>
      </c>
      <c r="R5" s="225" t="s">
        <v>1448</v>
      </c>
      <c r="S5" s="230" t="s">
        <v>57</v>
      </c>
      <c r="T5" s="230" t="s">
        <v>58</v>
      </c>
    </row>
    <row r="6" spans="1:20" s="231" customFormat="1" ht="24" customHeight="1">
      <c r="A6" s="232" t="s">
        <v>0</v>
      </c>
      <c r="B6" s="223">
        <v>2018</v>
      </c>
      <c r="C6" s="224">
        <v>2018</v>
      </c>
      <c r="D6" s="224">
        <v>2018</v>
      </c>
      <c r="E6" s="224">
        <v>2018</v>
      </c>
      <c r="F6" s="493">
        <v>2019</v>
      </c>
      <c r="G6" s="226">
        <v>2019</v>
      </c>
      <c r="H6" s="226">
        <v>2019</v>
      </c>
      <c r="I6" s="227">
        <v>2019</v>
      </c>
      <c r="J6" s="223">
        <v>2020</v>
      </c>
      <c r="K6" s="228">
        <v>2020</v>
      </c>
      <c r="L6" s="228">
        <v>2020</v>
      </c>
      <c r="M6" s="228">
        <v>2020</v>
      </c>
      <c r="N6" s="223">
        <v>2021</v>
      </c>
      <c r="O6" s="229">
        <v>2021</v>
      </c>
      <c r="P6" s="229">
        <v>2021</v>
      </c>
      <c r="Q6" s="229">
        <v>2021</v>
      </c>
      <c r="R6" s="225" t="s">
        <v>91</v>
      </c>
      <c r="S6" s="230" t="s">
        <v>91</v>
      </c>
      <c r="T6" s="230" t="s">
        <v>91</v>
      </c>
    </row>
    <row r="7" spans="1:20" s="242" customFormat="1" ht="22.5" customHeight="1">
      <c r="A7" s="233" t="s">
        <v>4</v>
      </c>
      <c r="B7" s="234" t="s">
        <v>5</v>
      </c>
      <c r="C7" s="235" t="s">
        <v>6</v>
      </c>
      <c r="D7" s="235" t="s">
        <v>45</v>
      </c>
      <c r="E7" s="235" t="s">
        <v>8</v>
      </c>
      <c r="F7" s="236" t="s">
        <v>9</v>
      </c>
      <c r="G7" s="237" t="s">
        <v>10</v>
      </c>
      <c r="H7" s="237" t="s">
        <v>46</v>
      </c>
      <c r="I7" s="238" t="s">
        <v>12</v>
      </c>
      <c r="J7" s="234" t="s">
        <v>14</v>
      </c>
      <c r="K7" s="239" t="s">
        <v>15</v>
      </c>
      <c r="L7" s="239" t="s">
        <v>47</v>
      </c>
      <c r="M7" s="239" t="s">
        <v>17</v>
      </c>
      <c r="N7" s="234" t="s">
        <v>18</v>
      </c>
      <c r="O7" s="240" t="s">
        <v>19</v>
      </c>
      <c r="P7" s="240" t="s">
        <v>48</v>
      </c>
      <c r="Q7" s="240" t="s">
        <v>26</v>
      </c>
      <c r="R7" s="236" t="s">
        <v>54</v>
      </c>
      <c r="S7" s="241" t="s">
        <v>55</v>
      </c>
      <c r="T7" s="241" t="s">
        <v>56</v>
      </c>
    </row>
    <row r="8" spans="1:20" s="246" customFormat="1" ht="14">
      <c r="A8" s="379" t="s">
        <v>698</v>
      </c>
      <c r="B8" s="494">
        <v>588750</v>
      </c>
      <c r="C8" s="380">
        <v>588750</v>
      </c>
      <c r="D8" s="381">
        <f>C8-B8</f>
        <v>0</v>
      </c>
      <c r="E8" s="379"/>
      <c r="F8" s="494">
        <v>333928.0330000337</v>
      </c>
      <c r="G8" s="380">
        <v>333928.0330000337</v>
      </c>
      <c r="H8" s="381">
        <f>G8-F8</f>
        <v>0</v>
      </c>
      <c r="I8" s="382"/>
      <c r="J8" s="494">
        <v>329179.80123732239</v>
      </c>
      <c r="K8" s="380">
        <f>SUMIF('Measure-Level Adjustments Tab'!$A$8:$A$500,$A8,'Measure-Level Adjustments Tab'!$BA$8:$BA$500)</f>
        <v>329179.80123732239</v>
      </c>
      <c r="L8" s="381">
        <f>K8-J8</f>
        <v>0</v>
      </c>
      <c r="M8" s="379"/>
      <c r="N8" s="494">
        <v>323649.43478727271</v>
      </c>
      <c r="O8" s="331">
        <f>SUMIF('Measure-Level Adjustments Tab'!$A$8:$A$500,$A8,'Measure-Level Adjustments Tab'!$BB$8:$BB$500)</f>
        <v>323649.43478727271</v>
      </c>
      <c r="P8" s="333">
        <f>O8-N8</f>
        <v>0</v>
      </c>
      <c r="Q8" s="250"/>
      <c r="R8" s="251">
        <f t="shared" ref="R8:R26" si="0">B8+F8+J8+N8</f>
        <v>1575507.2690246289</v>
      </c>
      <c r="S8" s="248">
        <f t="shared" ref="S8:S26" si="1">C8+G8+K8+O8</f>
        <v>1575507.2690246289</v>
      </c>
      <c r="T8" s="249">
        <f>S8-R8</f>
        <v>0</v>
      </c>
    </row>
    <row r="9" spans="1:20" s="246" customFormat="1" ht="14">
      <c r="A9" s="247" t="s">
        <v>690</v>
      </c>
      <c r="B9" s="331">
        <v>124049.70448509965</v>
      </c>
      <c r="C9" s="371">
        <v>124049.70448509965</v>
      </c>
      <c r="D9" s="332">
        <f t="shared" ref="D9:D26" si="2">C9-B9</f>
        <v>0</v>
      </c>
      <c r="E9" s="244"/>
      <c r="F9" s="331">
        <v>109590.13645128408</v>
      </c>
      <c r="G9" s="371">
        <v>109590.13645128408</v>
      </c>
      <c r="H9" s="333">
        <f t="shared" ref="H9:H26" si="3">G9-F9</f>
        <v>0</v>
      </c>
      <c r="I9" s="245"/>
      <c r="J9" s="391">
        <v>108024.5215188696</v>
      </c>
      <c r="K9" s="391">
        <f>SUMIF('Measure-Level Adjustments Tab'!$A$8:$A$500,$A9,'Measure-Level Adjustments Tab'!$BA$8:$BA$500)</f>
        <v>107740.33835784475</v>
      </c>
      <c r="L9" s="392">
        <f t="shared" ref="L9:L26" si="4">K9-J9</f>
        <v>-284.18316102484823</v>
      </c>
      <c r="M9" s="244" t="s">
        <v>1446</v>
      </c>
      <c r="N9" s="391">
        <v>109590.13645128408</v>
      </c>
      <c r="O9" s="331">
        <f>SUMIF('Measure-Level Adjustments Tab'!$A$8:$A$500,$A9,'Measure-Level Adjustments Tab'!$BB$8:$BB$500)</f>
        <v>109301.77796374282</v>
      </c>
      <c r="P9" s="333">
        <f t="shared" ref="P9:P26" si="5">O9-N9</f>
        <v>-288.35848754126346</v>
      </c>
      <c r="Q9" s="244" t="s">
        <v>1446</v>
      </c>
      <c r="R9" s="251">
        <f t="shared" si="0"/>
        <v>451254.49890653742</v>
      </c>
      <c r="S9" s="248">
        <f t="shared" si="1"/>
        <v>450681.95725797128</v>
      </c>
      <c r="T9" s="249">
        <f t="shared" ref="T9:T26" si="6">S9-R9</f>
        <v>-572.54164856614079</v>
      </c>
    </row>
    <row r="10" spans="1:20" s="246" customFormat="1" ht="14">
      <c r="A10" s="390" t="s">
        <v>700</v>
      </c>
      <c r="B10" s="391">
        <v>15256.397661747351</v>
      </c>
      <c r="C10" s="391">
        <v>15256.397661747351</v>
      </c>
      <c r="D10" s="392">
        <f t="shared" si="2"/>
        <v>0</v>
      </c>
      <c r="E10" s="393"/>
      <c r="F10" s="391">
        <v>13110.066770894953</v>
      </c>
      <c r="G10" s="391">
        <v>13110.066770894953</v>
      </c>
      <c r="H10" s="392">
        <f t="shared" si="3"/>
        <v>0</v>
      </c>
      <c r="I10" s="245"/>
      <c r="J10" s="391">
        <v>12118.998311138041</v>
      </c>
      <c r="K10" s="391">
        <f>SUMIF('Measure-Level Adjustments Tab'!$A$8:$A$500,$A10,'Measure-Level Adjustments Tab'!$BA$8:$BA$500)</f>
        <v>12118.998311138041</v>
      </c>
      <c r="L10" s="392">
        <f t="shared" si="4"/>
        <v>0</v>
      </c>
      <c r="M10" s="244"/>
      <c r="N10" s="391">
        <v>13110.066770894953</v>
      </c>
      <c r="O10" s="331">
        <f>SUMIF('Measure-Level Adjustments Tab'!$A$8:$A$500,$A10,'Measure-Level Adjustments Tab'!$BB$8:$BB$500)</f>
        <v>13110.066770894953</v>
      </c>
      <c r="P10" s="333">
        <f t="shared" si="5"/>
        <v>0</v>
      </c>
      <c r="Q10" s="244"/>
      <c r="R10" s="251">
        <f t="shared" si="0"/>
        <v>53595.529514675298</v>
      </c>
      <c r="S10" s="248">
        <f t="shared" si="1"/>
        <v>53595.529514675298</v>
      </c>
      <c r="T10" s="249">
        <f t="shared" si="6"/>
        <v>0</v>
      </c>
    </row>
    <row r="11" spans="1:20" s="246" customFormat="1" ht="14">
      <c r="A11" s="247" t="s">
        <v>703</v>
      </c>
      <c r="B11" s="331">
        <v>212166.76460108013</v>
      </c>
      <c r="C11" s="371">
        <v>212166.76460108013</v>
      </c>
      <c r="D11" s="332">
        <f t="shared" si="2"/>
        <v>0</v>
      </c>
      <c r="E11" s="244"/>
      <c r="F11" s="331">
        <v>207783.54478529995</v>
      </c>
      <c r="G11" s="331">
        <v>207783.54478529995</v>
      </c>
      <c r="H11" s="332">
        <f t="shared" si="3"/>
        <v>0</v>
      </c>
      <c r="I11" s="245"/>
      <c r="J11" s="331">
        <v>207783.54478529995</v>
      </c>
      <c r="K11" s="331">
        <f>SUMIF('Measure-Level Adjustments Tab'!$A$8:$A$500,$A11,'Measure-Level Adjustments Tab'!$BA$8:$BA$500)</f>
        <v>207783.54478529995</v>
      </c>
      <c r="L11" s="332">
        <f t="shared" si="4"/>
        <v>0</v>
      </c>
      <c r="M11" s="244"/>
      <c r="N11" s="331">
        <v>207783.54478529995</v>
      </c>
      <c r="O11" s="331">
        <f>SUMIF('Measure-Level Adjustments Tab'!$A$8:$A$500,$A11,'Measure-Level Adjustments Tab'!$BB$8:$BB$500)</f>
        <v>207783.54478529995</v>
      </c>
      <c r="P11" s="333">
        <f t="shared" si="5"/>
        <v>0</v>
      </c>
      <c r="Q11" s="244"/>
      <c r="R11" s="251">
        <f t="shared" si="0"/>
        <v>835517.39895697997</v>
      </c>
      <c r="S11" s="248">
        <f t="shared" si="1"/>
        <v>835517.39895697997</v>
      </c>
      <c r="T11" s="249">
        <f t="shared" si="6"/>
        <v>0</v>
      </c>
    </row>
    <row r="12" spans="1:20" s="246" customFormat="1" ht="14">
      <c r="A12" s="250" t="s">
        <v>721</v>
      </c>
      <c r="B12" s="331">
        <v>0</v>
      </c>
      <c r="C12" s="371">
        <v>0</v>
      </c>
      <c r="D12" s="333">
        <f t="shared" si="2"/>
        <v>0</v>
      </c>
      <c r="E12" s="377"/>
      <c r="F12" s="331">
        <v>0</v>
      </c>
      <c r="G12" s="371">
        <v>0</v>
      </c>
      <c r="H12" s="333">
        <f t="shared" si="3"/>
        <v>0</v>
      </c>
      <c r="I12" s="378"/>
      <c r="J12" s="331">
        <v>0</v>
      </c>
      <c r="K12" s="371">
        <f>SUMIF('Measure-Level Adjustments Tab'!$A$8:$A$500,$A12,'Measure-Level Adjustments Tab'!$BA$8:$BA$500)</f>
        <v>0</v>
      </c>
      <c r="L12" s="333">
        <f t="shared" si="4"/>
        <v>0</v>
      </c>
      <c r="M12" s="244" t="s">
        <v>1447</v>
      </c>
      <c r="N12" s="331">
        <v>0</v>
      </c>
      <c r="O12" s="331">
        <f>SUMIF('Measure-Level Adjustments Tab'!$A$8:$A$500,$A12,'Measure-Level Adjustments Tab'!$BB$8:$BB$500)</f>
        <v>0</v>
      </c>
      <c r="P12" s="333">
        <f t="shared" si="5"/>
        <v>0</v>
      </c>
      <c r="Q12" s="244" t="s">
        <v>1447</v>
      </c>
      <c r="R12" s="251">
        <f t="shared" si="0"/>
        <v>0</v>
      </c>
      <c r="S12" s="248">
        <f t="shared" si="1"/>
        <v>0</v>
      </c>
      <c r="T12" s="249">
        <f t="shared" si="6"/>
        <v>0</v>
      </c>
    </row>
    <row r="13" spans="1:20" s="246" customFormat="1" ht="14">
      <c r="A13" s="247" t="s">
        <v>722</v>
      </c>
      <c r="B13" s="331">
        <v>13772.45386668328</v>
      </c>
      <c r="C13" s="371">
        <v>13772.45386668328</v>
      </c>
      <c r="D13" s="332">
        <f t="shared" si="2"/>
        <v>0</v>
      </c>
      <c r="E13" s="244"/>
      <c r="F13" s="331">
        <v>13829.589875344025</v>
      </c>
      <c r="G13" s="331">
        <v>13829.589875344025</v>
      </c>
      <c r="H13" s="332">
        <f t="shared" si="3"/>
        <v>0</v>
      </c>
      <c r="I13" s="245"/>
      <c r="J13" s="331">
        <v>13829.589875344025</v>
      </c>
      <c r="K13" s="331">
        <f>SUMIF('Measure-Level Adjustments Tab'!$A$8:$A$500,$A13,'Measure-Level Adjustments Tab'!$BA$8:$BA$500)</f>
        <v>14064.148226688143</v>
      </c>
      <c r="L13" s="332">
        <f t="shared" si="4"/>
        <v>234.55835134411791</v>
      </c>
      <c r="M13" s="244" t="s">
        <v>1447</v>
      </c>
      <c r="N13" s="331">
        <v>13829.589875344025</v>
      </c>
      <c r="O13" s="331">
        <f>SUMIF('Measure-Level Adjustments Tab'!$A$8:$A$500,$A13,'Measure-Level Adjustments Tab'!$BB$8:$BB$500)</f>
        <v>14064.148226688143</v>
      </c>
      <c r="P13" s="333">
        <f t="shared" si="5"/>
        <v>234.55835134411791</v>
      </c>
      <c r="Q13" s="244" t="s">
        <v>1447</v>
      </c>
      <c r="R13" s="251">
        <f t="shared" si="0"/>
        <v>55261.223492715355</v>
      </c>
      <c r="S13" s="248">
        <f t="shared" si="1"/>
        <v>55730.340195403587</v>
      </c>
      <c r="T13" s="249">
        <f t="shared" si="6"/>
        <v>469.11670268823218</v>
      </c>
    </row>
    <row r="14" spans="1:20" s="246" customFormat="1" ht="14">
      <c r="A14" s="247" t="s">
        <v>705</v>
      </c>
      <c r="B14" s="331">
        <v>2808</v>
      </c>
      <c r="C14" s="371">
        <v>2808</v>
      </c>
      <c r="D14" s="332">
        <f t="shared" si="2"/>
        <v>0</v>
      </c>
      <c r="E14" s="244"/>
      <c r="F14" s="331">
        <v>2808</v>
      </c>
      <c r="G14" s="331">
        <v>2808</v>
      </c>
      <c r="H14" s="332">
        <f t="shared" si="3"/>
        <v>0</v>
      </c>
      <c r="I14" s="245"/>
      <c r="J14" s="391">
        <v>936</v>
      </c>
      <c r="K14" s="331">
        <f>SUMIF('Measure-Level Adjustments Tab'!$A$8:$A$500,$A14,'Measure-Level Adjustments Tab'!$BA$8:$BA$500)</f>
        <v>936</v>
      </c>
      <c r="L14" s="332">
        <f t="shared" si="4"/>
        <v>0</v>
      </c>
      <c r="M14" s="244"/>
      <c r="N14" s="331">
        <v>2808</v>
      </c>
      <c r="O14" s="331">
        <f>SUMIF('Measure-Level Adjustments Tab'!$A$8:$A$500,$A14,'Measure-Level Adjustments Tab'!$BB$8:$BB$500)</f>
        <v>2808</v>
      </c>
      <c r="P14" s="333">
        <f t="shared" si="5"/>
        <v>0</v>
      </c>
      <c r="Q14" s="244"/>
      <c r="R14" s="251">
        <f t="shared" si="0"/>
        <v>9360</v>
      </c>
      <c r="S14" s="248">
        <f t="shared" si="1"/>
        <v>9360</v>
      </c>
      <c r="T14" s="249">
        <f t="shared" si="6"/>
        <v>0</v>
      </c>
    </row>
    <row r="15" spans="1:20" s="246" customFormat="1" ht="14">
      <c r="A15" s="250" t="s">
        <v>708</v>
      </c>
      <c r="B15" s="331">
        <v>298117.07478440087</v>
      </c>
      <c r="C15" s="371">
        <v>298117.07478440087</v>
      </c>
      <c r="D15" s="333">
        <f t="shared" si="2"/>
        <v>0</v>
      </c>
      <c r="E15" s="377"/>
      <c r="F15" s="331">
        <v>298117.07478440087</v>
      </c>
      <c r="G15" s="331">
        <v>298117.07478440087</v>
      </c>
      <c r="H15" s="333">
        <f t="shared" si="3"/>
        <v>0</v>
      </c>
      <c r="I15" s="378"/>
      <c r="J15" s="331">
        <v>226105.0747844009</v>
      </c>
      <c r="K15" s="331">
        <f>SUMIF('Measure-Level Adjustments Tab'!$A$8:$A$500,$A15,'Measure-Level Adjustments Tab'!$BA$8:$BA$500)</f>
        <v>226103.71830529053</v>
      </c>
      <c r="L15" s="333">
        <f t="shared" si="4"/>
        <v>-1.3564791103708558</v>
      </c>
      <c r="M15" s="377" t="s">
        <v>1444</v>
      </c>
      <c r="N15" s="331">
        <v>298117.07478440087</v>
      </c>
      <c r="O15" s="331">
        <f>SUMIF('Measure-Level Adjustments Tab'!$A$8:$A$500,$A15,'Measure-Level Adjustments Tab'!$BB$8:$BB$500)</f>
        <v>298115.71830529056</v>
      </c>
      <c r="P15" s="333">
        <f t="shared" si="5"/>
        <v>-1.3564791103126481</v>
      </c>
      <c r="Q15" s="377" t="s">
        <v>1444</v>
      </c>
      <c r="R15" s="251">
        <f t="shared" si="0"/>
        <v>1120456.2991376035</v>
      </c>
      <c r="S15" s="248">
        <f t="shared" si="1"/>
        <v>1120453.5861793829</v>
      </c>
      <c r="T15" s="249">
        <f t="shared" si="6"/>
        <v>-2.7129582206252962</v>
      </c>
    </row>
    <row r="16" spans="1:20" s="246" customFormat="1" ht="14">
      <c r="A16" s="250" t="s">
        <v>709</v>
      </c>
      <c r="B16" s="331">
        <v>7274.4683522822315</v>
      </c>
      <c r="C16" s="371">
        <v>7274.4683522822315</v>
      </c>
      <c r="D16" s="333">
        <f t="shared" si="2"/>
        <v>0</v>
      </c>
      <c r="E16" s="377"/>
      <c r="F16" s="331">
        <v>7274.4683522822315</v>
      </c>
      <c r="G16" s="331">
        <v>7274.4683522822315</v>
      </c>
      <c r="H16" s="333">
        <f t="shared" si="3"/>
        <v>0</v>
      </c>
      <c r="I16" s="378"/>
      <c r="J16" s="331">
        <v>7274.4683522822315</v>
      </c>
      <c r="K16" s="331">
        <f>SUMIF('Measure-Level Adjustments Tab'!$A$8:$A$500,$A16,'Measure-Level Adjustments Tab'!$BA$8:$BA$500)</f>
        <v>8127.7323717446325</v>
      </c>
      <c r="L16" s="333">
        <f t="shared" si="4"/>
        <v>853.26401946240094</v>
      </c>
      <c r="M16" s="377" t="s">
        <v>1444</v>
      </c>
      <c r="N16" s="331">
        <v>7274.4683522822315</v>
      </c>
      <c r="O16" s="331">
        <f>SUMIF('Measure-Level Adjustments Tab'!$A$8:$A$500,$A16,'Measure-Level Adjustments Tab'!$BB$8:$BB$500)</f>
        <v>8127.7323717446325</v>
      </c>
      <c r="P16" s="333">
        <f t="shared" si="5"/>
        <v>853.26401946240094</v>
      </c>
      <c r="Q16" s="377" t="s">
        <v>1444</v>
      </c>
      <c r="R16" s="251">
        <f t="shared" si="0"/>
        <v>29097.873409128926</v>
      </c>
      <c r="S16" s="248">
        <f t="shared" si="1"/>
        <v>30804.40144805373</v>
      </c>
      <c r="T16" s="249">
        <f t="shared" si="6"/>
        <v>1706.5280389248037</v>
      </c>
    </row>
    <row r="17" spans="1:20" s="246" customFormat="1" ht="14">
      <c r="A17" s="250" t="s">
        <v>711</v>
      </c>
      <c r="B17" s="331">
        <v>521482.87233481859</v>
      </c>
      <c r="C17" s="371">
        <v>521482.87233481859</v>
      </c>
      <c r="D17" s="333">
        <f t="shared" si="2"/>
        <v>0</v>
      </c>
      <c r="E17" s="377"/>
      <c r="F17" s="331">
        <v>521482.87233481859</v>
      </c>
      <c r="G17" s="331">
        <v>521482.87233481859</v>
      </c>
      <c r="H17" s="333">
        <f t="shared" si="3"/>
        <v>0</v>
      </c>
      <c r="I17" s="378"/>
      <c r="J17" s="331">
        <v>455587.87233481859</v>
      </c>
      <c r="K17" s="331">
        <f>SUMIF('Measure-Level Adjustments Tab'!$A$8:$A$500,$A17,'Measure-Level Adjustments Tab'!$BA$8:$BA$500)</f>
        <v>456299.0164588709</v>
      </c>
      <c r="L17" s="333">
        <f t="shared" si="4"/>
        <v>711.14412405231269</v>
      </c>
      <c r="M17" s="244" t="s">
        <v>1445</v>
      </c>
      <c r="N17" s="331">
        <v>521482.87233481859</v>
      </c>
      <c r="O17" s="331">
        <f>SUMIF('Measure-Level Adjustments Tab'!$A$8:$A$500,$A17,'Measure-Level Adjustments Tab'!$BB$8:$BB$500)</f>
        <v>522194.0164588709</v>
      </c>
      <c r="P17" s="333">
        <f t="shared" si="5"/>
        <v>711.14412405231269</v>
      </c>
      <c r="Q17" s="244" t="s">
        <v>1445</v>
      </c>
      <c r="R17" s="251">
        <f t="shared" si="0"/>
        <v>2020036.4893392744</v>
      </c>
      <c r="S17" s="248">
        <f t="shared" si="1"/>
        <v>2021458.7775873789</v>
      </c>
      <c r="T17" s="249">
        <f t="shared" si="6"/>
        <v>1422.288248104509</v>
      </c>
    </row>
    <row r="18" spans="1:20" s="246" customFormat="1" ht="14">
      <c r="A18" s="250" t="s">
        <v>712</v>
      </c>
      <c r="B18" s="331">
        <v>38221.072399205528</v>
      </c>
      <c r="C18" s="371">
        <v>38221.072399205528</v>
      </c>
      <c r="D18" s="333">
        <f t="shared" si="2"/>
        <v>0</v>
      </c>
      <c r="E18" s="377"/>
      <c r="F18" s="331">
        <v>38221.072399205528</v>
      </c>
      <c r="G18" s="331">
        <v>38221.072399205528</v>
      </c>
      <c r="H18" s="333">
        <f t="shared" si="3"/>
        <v>0</v>
      </c>
      <c r="I18" s="378"/>
      <c r="J18" s="331">
        <v>34357.072399205528</v>
      </c>
      <c r="K18" s="331">
        <f>SUMIF('Measure-Level Adjustments Tab'!$A$8:$A$500,$A18,'Measure-Level Adjustments Tab'!$BA$8:$BA$500)</f>
        <v>34084.045153805535</v>
      </c>
      <c r="L18" s="333">
        <f t="shared" si="4"/>
        <v>-273.02724539999326</v>
      </c>
      <c r="M18" s="244" t="s">
        <v>1445</v>
      </c>
      <c r="N18" s="331">
        <v>38221.072399205528</v>
      </c>
      <c r="O18" s="331">
        <f>SUMIF('Measure-Level Adjustments Tab'!$A$8:$A$500,$A18,'Measure-Level Adjustments Tab'!$BB$8:$BB$500)</f>
        <v>37948.045153805535</v>
      </c>
      <c r="P18" s="333">
        <f t="shared" si="5"/>
        <v>-273.02724539999326</v>
      </c>
      <c r="Q18" s="244" t="s">
        <v>1445</v>
      </c>
      <c r="R18" s="251">
        <f t="shared" si="0"/>
        <v>149020.28959682211</v>
      </c>
      <c r="S18" s="248">
        <f t="shared" si="1"/>
        <v>148474.23510602213</v>
      </c>
      <c r="T18" s="249">
        <f t="shared" si="6"/>
        <v>-546.05449079998652</v>
      </c>
    </row>
    <row r="19" spans="1:20" s="246" customFormat="1" ht="14">
      <c r="A19" s="250" t="s">
        <v>792</v>
      </c>
      <c r="B19" s="331">
        <v>31883.730906921573</v>
      </c>
      <c r="C19" s="371">
        <v>31883.730906921573</v>
      </c>
      <c r="D19" s="333">
        <f t="shared" ref="D19" si="7">C19-B19</f>
        <v>0</v>
      </c>
      <c r="E19" s="377"/>
      <c r="F19" s="331">
        <v>31811.899565235646</v>
      </c>
      <c r="G19" s="331">
        <v>31811.899565235646</v>
      </c>
      <c r="H19" s="333">
        <f t="shared" ref="H19" si="8">G19-F19</f>
        <v>0</v>
      </c>
      <c r="I19" s="378"/>
      <c r="J19" s="331">
        <v>31811.899565235646</v>
      </c>
      <c r="K19" s="331">
        <f>SUMIF('Measure-Level Adjustments Tab'!$A$8:$A$500,$A19,'Measure-Level Adjustments Tab'!$BA$8:$BA$500)</f>
        <v>31945.300628366655</v>
      </c>
      <c r="L19" s="333">
        <f t="shared" ref="L19" si="9">K19-J19</f>
        <v>133.40106313100841</v>
      </c>
      <c r="M19" s="244" t="s">
        <v>1445</v>
      </c>
      <c r="N19" s="331">
        <v>31811.899565235646</v>
      </c>
      <c r="O19" s="331">
        <f>SUMIF('Measure-Level Adjustments Tab'!$A$8:$A$500,$A19,'Measure-Level Adjustments Tab'!$BB$8:$BB$500)</f>
        <v>31945.300628366655</v>
      </c>
      <c r="P19" s="333">
        <f t="shared" ref="P19" si="10">O19-N19</f>
        <v>133.40106313100841</v>
      </c>
      <c r="Q19" s="244" t="s">
        <v>1445</v>
      </c>
      <c r="R19" s="251">
        <f t="shared" si="0"/>
        <v>127319.42960262852</v>
      </c>
      <c r="S19" s="248">
        <f t="shared" si="1"/>
        <v>127586.23172889053</v>
      </c>
      <c r="T19" s="249">
        <f t="shared" ref="T19" si="11">S19-R19</f>
        <v>266.80212626201683</v>
      </c>
    </row>
    <row r="20" spans="1:20" s="246" customFormat="1" ht="14">
      <c r="A20" s="250" t="s">
        <v>725</v>
      </c>
      <c r="B20" s="331">
        <v>55107.477255090314</v>
      </c>
      <c r="C20" s="371">
        <v>55107.477255090314</v>
      </c>
      <c r="D20" s="333">
        <f t="shared" si="2"/>
        <v>0</v>
      </c>
      <c r="E20" s="377"/>
      <c r="F20" s="331">
        <v>55107.477255090314</v>
      </c>
      <c r="G20" s="331">
        <v>55107.477255090314</v>
      </c>
      <c r="H20" s="333">
        <f t="shared" si="3"/>
        <v>0</v>
      </c>
      <c r="I20" s="378"/>
      <c r="J20" s="331">
        <v>55107.477255090314</v>
      </c>
      <c r="K20" s="331">
        <f>SUMIF('Measure-Level Adjustments Tab'!$A$8:$A$500,$A20,'Measure-Level Adjustments Tab'!$BA$8:$BA$500)</f>
        <v>55938.225633677721</v>
      </c>
      <c r="L20" s="333">
        <f t="shared" si="4"/>
        <v>830.74837858740648</v>
      </c>
      <c r="M20" s="377" t="s">
        <v>1444</v>
      </c>
      <c r="N20" s="331">
        <v>55107.477255090314</v>
      </c>
      <c r="O20" s="331">
        <f>SUMIF('Measure-Level Adjustments Tab'!$A$8:$A$500,$A20,'Measure-Level Adjustments Tab'!$BB$8:$BB$500)</f>
        <v>55938.225633677721</v>
      </c>
      <c r="P20" s="333">
        <f t="shared" si="5"/>
        <v>830.74837858740648</v>
      </c>
      <c r="Q20" s="377" t="s">
        <v>1444</v>
      </c>
      <c r="R20" s="251">
        <f t="shared" si="0"/>
        <v>220429.90902036126</v>
      </c>
      <c r="S20" s="248">
        <f t="shared" si="1"/>
        <v>222091.4057775361</v>
      </c>
      <c r="T20" s="249">
        <f t="shared" si="6"/>
        <v>1661.4967571748421</v>
      </c>
    </row>
    <row r="21" spans="1:20" s="246" customFormat="1" ht="14">
      <c r="A21" s="250" t="s">
        <v>728</v>
      </c>
      <c r="B21" s="331">
        <v>206449.4571176194</v>
      </c>
      <c r="C21" s="371">
        <v>206449.4571176194</v>
      </c>
      <c r="D21" s="333">
        <f t="shared" si="2"/>
        <v>0</v>
      </c>
      <c r="E21" s="377"/>
      <c r="F21" s="331">
        <v>206449.4571176194</v>
      </c>
      <c r="G21" s="331">
        <v>206449.4571176194</v>
      </c>
      <c r="H21" s="333">
        <f t="shared" si="3"/>
        <v>0</v>
      </c>
      <c r="I21" s="378"/>
      <c r="J21" s="331">
        <v>206449.4571176194</v>
      </c>
      <c r="K21" s="331">
        <f>SUMIF('Measure-Level Adjustments Tab'!$A$8:$A$500,$A21,'Measure-Level Adjustments Tab'!$BA$8:$BA$500)</f>
        <v>207432.35662981452</v>
      </c>
      <c r="L21" s="333">
        <f t="shared" si="4"/>
        <v>982.89951219511568</v>
      </c>
      <c r="M21" s="244" t="s">
        <v>1445</v>
      </c>
      <c r="N21" s="331">
        <v>206449.4571176194</v>
      </c>
      <c r="O21" s="331">
        <f>SUMIF('Measure-Level Adjustments Tab'!$A$8:$A$500,$A21,'Measure-Level Adjustments Tab'!$BB$8:$BB$500)</f>
        <v>207432.35662981452</v>
      </c>
      <c r="P21" s="333">
        <f t="shared" si="5"/>
        <v>982.89951219511568</v>
      </c>
      <c r="Q21" s="244" t="s">
        <v>1445</v>
      </c>
      <c r="R21" s="251">
        <f t="shared" si="0"/>
        <v>825797.8284704776</v>
      </c>
      <c r="S21" s="248">
        <f t="shared" si="1"/>
        <v>827763.62749486777</v>
      </c>
      <c r="T21" s="249">
        <f t="shared" si="6"/>
        <v>1965.7990243901731</v>
      </c>
    </row>
    <row r="22" spans="1:20" s="246" customFormat="1" ht="14">
      <c r="A22" s="250" t="s">
        <v>713</v>
      </c>
      <c r="B22" s="331">
        <v>0</v>
      </c>
      <c r="C22" s="371">
        <v>0</v>
      </c>
      <c r="D22" s="333">
        <f t="shared" si="2"/>
        <v>0</v>
      </c>
      <c r="E22" s="377"/>
      <c r="F22" s="331">
        <v>0</v>
      </c>
      <c r="G22" s="331">
        <v>0</v>
      </c>
      <c r="H22" s="333">
        <f t="shared" si="3"/>
        <v>0</v>
      </c>
      <c r="I22" s="378"/>
      <c r="J22" s="331">
        <v>0</v>
      </c>
      <c r="K22" s="331">
        <f>SUMIF('Measure-Level Adjustments Tab'!$A$8:$A$500,$A22,'Measure-Level Adjustments Tab'!$BA$8:$BA$500)</f>
        <v>0</v>
      </c>
      <c r="L22" s="333">
        <f t="shared" si="4"/>
        <v>0</v>
      </c>
      <c r="M22" s="377"/>
      <c r="N22" s="331">
        <v>0</v>
      </c>
      <c r="O22" s="331">
        <f>SUMIF('Measure-Level Adjustments Tab'!$A$8:$A$500,$A22,'Measure-Level Adjustments Tab'!$BB$8:$BB$500)</f>
        <v>0</v>
      </c>
      <c r="P22" s="333">
        <f t="shared" si="5"/>
        <v>0</v>
      </c>
      <c r="Q22" s="377"/>
      <c r="R22" s="251">
        <f t="shared" si="0"/>
        <v>0</v>
      </c>
      <c r="S22" s="248">
        <f t="shared" si="1"/>
        <v>0</v>
      </c>
      <c r="T22" s="249">
        <f t="shared" si="6"/>
        <v>0</v>
      </c>
    </row>
    <row r="23" spans="1:20" s="246" customFormat="1" ht="14">
      <c r="A23" s="250" t="s">
        <v>714</v>
      </c>
      <c r="B23" s="331">
        <v>38110.28884723784</v>
      </c>
      <c r="C23" s="371">
        <v>38110.28884723784</v>
      </c>
      <c r="D23" s="333">
        <f t="shared" si="2"/>
        <v>0</v>
      </c>
      <c r="E23" s="377"/>
      <c r="F23" s="331">
        <v>36412.323375221873</v>
      </c>
      <c r="G23" s="331">
        <v>36412.323375221873</v>
      </c>
      <c r="H23" s="333">
        <f t="shared" si="3"/>
        <v>0</v>
      </c>
      <c r="I23" s="378"/>
      <c r="J23" s="331">
        <v>36412.323375221873</v>
      </c>
      <c r="K23" s="331">
        <f>SUMIF('Measure-Level Adjustments Tab'!$A$8:$A$500,$A23,'Measure-Level Adjustments Tab'!$BA$8:$BA$500)</f>
        <v>37601.657778490917</v>
      </c>
      <c r="L23" s="333">
        <f t="shared" si="4"/>
        <v>1189.3344032690438</v>
      </c>
      <c r="M23" s="244" t="s">
        <v>1455</v>
      </c>
      <c r="N23" s="331">
        <v>36412.323375221873</v>
      </c>
      <c r="O23" s="331">
        <f>SUMIF('Measure-Level Adjustments Tab'!$A$8:$A$500,$A23,'Measure-Level Adjustments Tab'!$BB$8:$BB$500)</f>
        <v>37601.657778490917</v>
      </c>
      <c r="P23" s="333">
        <f t="shared" si="5"/>
        <v>1189.3344032690438</v>
      </c>
      <c r="Q23" s="244" t="s">
        <v>1455</v>
      </c>
      <c r="R23" s="251">
        <f t="shared" si="0"/>
        <v>147347.25897290345</v>
      </c>
      <c r="S23" s="248">
        <f t="shared" si="1"/>
        <v>149725.92777944155</v>
      </c>
      <c r="T23" s="249">
        <f t="shared" si="6"/>
        <v>2378.6688065381022</v>
      </c>
    </row>
    <row r="24" spans="1:20" s="246" customFormat="1" ht="14">
      <c r="A24" s="247" t="s">
        <v>715</v>
      </c>
      <c r="B24" s="331">
        <v>43090.278088259787</v>
      </c>
      <c r="C24" s="371">
        <v>43090.278088259787</v>
      </c>
      <c r="D24" s="332">
        <f t="shared" si="2"/>
        <v>0</v>
      </c>
      <c r="E24" s="244"/>
      <c r="F24" s="331">
        <v>42248.579699690221</v>
      </c>
      <c r="G24" s="331">
        <v>42248.579699690221</v>
      </c>
      <c r="H24" s="332">
        <f t="shared" si="3"/>
        <v>0</v>
      </c>
      <c r="I24" s="245"/>
      <c r="J24" s="331">
        <v>42248.579699690221</v>
      </c>
      <c r="K24" s="331">
        <f>SUMIF('Measure-Level Adjustments Tab'!$A$8:$A$500,$A24,'Measure-Level Adjustments Tab'!$BA$8:$BA$500)</f>
        <v>42248.579699690221</v>
      </c>
      <c r="L24" s="332">
        <f t="shared" si="4"/>
        <v>0</v>
      </c>
      <c r="M24" s="244"/>
      <c r="N24" s="331">
        <v>42248.579699690221</v>
      </c>
      <c r="O24" s="331">
        <f>SUMIF('Measure-Level Adjustments Tab'!$A$8:$A$500,$A24,'Measure-Level Adjustments Tab'!$BB$8:$BB$500)</f>
        <v>42248.579699690221</v>
      </c>
      <c r="P24" s="333">
        <f t="shared" si="5"/>
        <v>0</v>
      </c>
      <c r="Q24" s="244"/>
      <c r="R24" s="251">
        <f t="shared" si="0"/>
        <v>169836.01718733046</v>
      </c>
      <c r="S24" s="248">
        <f t="shared" si="1"/>
        <v>169836.01718733046</v>
      </c>
      <c r="T24" s="249">
        <f t="shared" si="6"/>
        <v>0</v>
      </c>
    </row>
    <row r="25" spans="1:20" s="246" customFormat="1" ht="14">
      <c r="A25" s="247" t="s">
        <v>716</v>
      </c>
      <c r="B25" s="331">
        <v>0</v>
      </c>
      <c r="C25" s="371">
        <v>0</v>
      </c>
      <c r="D25" s="332">
        <f t="shared" si="2"/>
        <v>0</v>
      </c>
      <c r="E25" s="244"/>
      <c r="F25" s="331">
        <v>0</v>
      </c>
      <c r="G25" s="331">
        <v>0</v>
      </c>
      <c r="H25" s="332">
        <f t="shared" si="3"/>
        <v>0</v>
      </c>
      <c r="I25" s="245"/>
      <c r="J25" s="331">
        <v>0</v>
      </c>
      <c r="K25" s="331">
        <f>SUMIF('Measure-Level Adjustments Tab'!$A$8:$A$500,$A25,'Measure-Level Adjustments Tab'!$BA$8:$BA$500)</f>
        <v>0</v>
      </c>
      <c r="L25" s="332">
        <f t="shared" si="4"/>
        <v>0</v>
      </c>
      <c r="M25" s="244"/>
      <c r="N25" s="331">
        <v>0</v>
      </c>
      <c r="O25" s="331">
        <f>SUMIF('Measure-Level Adjustments Tab'!$A$8:$A$500,$A25,'Measure-Level Adjustments Tab'!$BB$8:$BB$500)</f>
        <v>0</v>
      </c>
      <c r="P25" s="333">
        <f t="shared" si="5"/>
        <v>0</v>
      </c>
      <c r="Q25" s="244"/>
      <c r="R25" s="251">
        <f t="shared" si="0"/>
        <v>0</v>
      </c>
      <c r="S25" s="248">
        <f t="shared" si="1"/>
        <v>0</v>
      </c>
      <c r="T25" s="249">
        <f t="shared" si="6"/>
        <v>0</v>
      </c>
    </row>
    <row r="26" spans="1:20" s="246" customFormat="1" thickBot="1">
      <c r="A26" s="247" t="s">
        <v>717</v>
      </c>
      <c r="B26" s="331">
        <v>0</v>
      </c>
      <c r="C26" s="371">
        <v>0</v>
      </c>
      <c r="D26" s="332">
        <f t="shared" si="2"/>
        <v>0</v>
      </c>
      <c r="E26" s="244"/>
      <c r="F26" s="331">
        <v>0</v>
      </c>
      <c r="G26" s="331">
        <v>0</v>
      </c>
      <c r="H26" s="332">
        <f t="shared" si="3"/>
        <v>0</v>
      </c>
      <c r="I26" s="245"/>
      <c r="J26" s="331">
        <v>0</v>
      </c>
      <c r="K26" s="331">
        <f>SUMIF('Measure-Level Adjustments Tab'!$A$8:$A$500,$A26,'Measure-Level Adjustments Tab'!$BA$8:$BA$500)</f>
        <v>0</v>
      </c>
      <c r="L26" s="332">
        <f t="shared" si="4"/>
        <v>0</v>
      </c>
      <c r="M26" s="244"/>
      <c r="N26" s="331">
        <v>0</v>
      </c>
      <c r="O26" s="331">
        <f>SUMIF('Measure-Level Adjustments Tab'!$A$8:$A$500,$A26,'Measure-Level Adjustments Tab'!$BB$8:$BB$500)</f>
        <v>0</v>
      </c>
      <c r="P26" s="333">
        <f t="shared" si="5"/>
        <v>0</v>
      </c>
      <c r="Q26" s="244"/>
      <c r="R26" s="251">
        <f t="shared" si="0"/>
        <v>0</v>
      </c>
      <c r="S26" s="248">
        <f t="shared" si="1"/>
        <v>0</v>
      </c>
      <c r="T26" s="249">
        <f t="shared" si="6"/>
        <v>0</v>
      </c>
    </row>
    <row r="27" spans="1:20" s="252" customFormat="1" ht="34.5" customHeight="1" thickTop="1">
      <c r="A27" s="253" t="s">
        <v>41</v>
      </c>
      <c r="B27" s="254">
        <f>SUM(B8:B26)</f>
        <v>2196540.0407004468</v>
      </c>
      <c r="C27" s="255">
        <f>SUM(C8:C26)</f>
        <v>2196540.0407004468</v>
      </c>
      <c r="D27" s="256">
        <f t="shared" ref="D27" si="12">SUM(D8:D26)</f>
        <v>0</v>
      </c>
      <c r="E27" s="257"/>
      <c r="F27" s="254">
        <f t="shared" ref="F27:G27" si="13">SUM(F8:F26)</f>
        <v>1918174.5957664214</v>
      </c>
      <c r="G27" s="258">
        <f t="shared" si="13"/>
        <v>1918174.5957664214</v>
      </c>
      <c r="H27" s="256">
        <f t="shared" ref="H27:T27" si="14">SUM(H8:H26)</f>
        <v>0</v>
      </c>
      <c r="I27" s="257"/>
      <c r="J27" s="254">
        <f t="shared" si="14"/>
        <v>1767226.6806115387</v>
      </c>
      <c r="K27" s="259">
        <f t="shared" si="14"/>
        <v>1771603.4635780447</v>
      </c>
      <c r="L27" s="256">
        <f t="shared" si="14"/>
        <v>4376.7829665061936</v>
      </c>
      <c r="M27" s="257"/>
      <c r="N27" s="254">
        <f t="shared" si="14"/>
        <v>1907895.9975536605</v>
      </c>
      <c r="O27" s="260">
        <f t="shared" si="14"/>
        <v>1912268.6051936501</v>
      </c>
      <c r="P27" s="256">
        <f t="shared" si="14"/>
        <v>4372.6076399898366</v>
      </c>
      <c r="Q27" s="257"/>
      <c r="R27" s="254">
        <f t="shared" si="14"/>
        <v>7789837.3146320684</v>
      </c>
      <c r="S27" s="261">
        <f t="shared" si="14"/>
        <v>7798586.7052385639</v>
      </c>
      <c r="T27" s="256">
        <f t="shared" si="14"/>
        <v>8749.3906064959265</v>
      </c>
    </row>
    <row r="28" spans="1:20" ht="18.75" customHeight="1">
      <c r="A28" s="1"/>
    </row>
    <row r="29" spans="1:20">
      <c r="A29" s="375"/>
      <c r="B29" s="376"/>
      <c r="F29" s="376"/>
      <c r="J29" s="376"/>
      <c r="N29" s="376"/>
    </row>
    <row r="30" spans="1:20">
      <c r="O30" s="376"/>
      <c r="P30" s="376"/>
      <c r="Q30" s="376"/>
    </row>
    <row r="31" spans="1:20">
      <c r="A31" s="375"/>
      <c r="B31" s="376"/>
      <c r="C31" s="376"/>
      <c r="D31" s="376"/>
      <c r="E31" s="376"/>
      <c r="F31" s="376"/>
      <c r="G31" s="376"/>
      <c r="H31" s="376"/>
      <c r="I31" s="376"/>
      <c r="J31" s="376"/>
      <c r="K31" s="376"/>
      <c r="L31" s="376"/>
      <c r="M31" s="376"/>
      <c r="N31" s="376"/>
      <c r="O31" s="376"/>
      <c r="P31" s="376"/>
      <c r="Q31" s="376"/>
    </row>
    <row r="32" spans="1:20" hidden="1">
      <c r="A32" s="375" t="s">
        <v>829</v>
      </c>
      <c r="B32" s="376">
        <f>SUM(B22,B23,B24,B25,B26)</f>
        <v>81200.566935497627</v>
      </c>
      <c r="C32" s="376"/>
      <c r="D32" s="376"/>
      <c r="E32" s="376"/>
      <c r="F32" s="376">
        <f>SUM(F22,F23,F24,F25,F26)</f>
        <v>78660.903074912087</v>
      </c>
      <c r="G32" s="376"/>
      <c r="H32" s="376"/>
      <c r="I32" s="376"/>
      <c r="J32" s="376">
        <f>SUM(J22,J23,J24,J25,J26)</f>
        <v>78660.903074912087</v>
      </c>
      <c r="K32" s="376"/>
      <c r="L32" s="376"/>
      <c r="M32" s="376"/>
      <c r="N32" s="376">
        <f>SUM(N22,N23,N24,N25,N26)</f>
        <v>78660.903074912087</v>
      </c>
    </row>
    <row r="33" spans="1:14" hidden="1"/>
    <row r="34" spans="1:14" hidden="1">
      <c r="A34" s="214" t="s">
        <v>831</v>
      </c>
      <c r="B34" s="376">
        <f>SUM(B35:E37)</f>
        <v>956803.32061461033</v>
      </c>
      <c r="F34" s="376">
        <f>SUM(F35:I37)</f>
        <v>681049.37088285678</v>
      </c>
      <c r="J34" s="376">
        <f>SUM(J35:M37)</f>
        <v>671872.45572797407</v>
      </c>
      <c r="N34" s="376">
        <f>SUM(N35:Q37)</f>
        <v>670770.77267009567</v>
      </c>
    </row>
    <row r="35" spans="1:14" hidden="1">
      <c r="A35" s="389" t="s">
        <v>828</v>
      </c>
      <c r="B35" s="376">
        <f>B8</f>
        <v>588750</v>
      </c>
      <c r="F35" s="376">
        <f>F8</f>
        <v>333928.0330000337</v>
      </c>
      <c r="J35" s="376">
        <f>J8</f>
        <v>329179.80123732239</v>
      </c>
      <c r="N35" s="384">
        <f>N8</f>
        <v>323649.43478727271</v>
      </c>
    </row>
    <row r="36" spans="1:14" hidden="1">
      <c r="A36" s="385" t="s">
        <v>823</v>
      </c>
      <c r="B36" s="376">
        <f>SUM(B9,B11)</f>
        <v>336216.46908617974</v>
      </c>
      <c r="F36" s="376">
        <f>SUM(F9,F11)</f>
        <v>317373.68123658403</v>
      </c>
      <c r="J36" s="376">
        <f>SUM(J9,J11)</f>
        <v>315808.06630416954</v>
      </c>
      <c r="N36" s="384">
        <f>SUM(N9,N11)</f>
        <v>317373.68123658403</v>
      </c>
    </row>
    <row r="37" spans="1:14" hidden="1">
      <c r="A37" s="385" t="s">
        <v>824</v>
      </c>
      <c r="B37" s="376">
        <f>SUM(B10,B12,B13,B14)</f>
        <v>31836.85152843063</v>
      </c>
      <c r="F37" s="376">
        <f>SUM(F10,F12,F13,F14)</f>
        <v>29747.656646238978</v>
      </c>
      <c r="J37" s="376">
        <f>SUM(J10,J12,J13,J14)</f>
        <v>26884.588186482066</v>
      </c>
      <c r="N37" s="384">
        <f>SUM(N10,N12,N13,N14)</f>
        <v>29747.656646238978</v>
      </c>
    </row>
    <row r="38" spans="1:14" hidden="1">
      <c r="N38" s="383"/>
    </row>
    <row r="39" spans="1:14" hidden="1">
      <c r="A39" s="214" t="s">
        <v>830</v>
      </c>
      <c r="B39" s="376">
        <f>SUM(B40:B42)</f>
        <v>1158536.1531503387</v>
      </c>
      <c r="C39" s="376" t="e">
        <f>SUM(#REF!)</f>
        <v>#REF!</v>
      </c>
      <c r="D39" s="376" t="e">
        <f>SUM(#REF!)</f>
        <v>#REF!</v>
      </c>
      <c r="E39" s="376">
        <f>SUM(A40:A42)</f>
        <v>0</v>
      </c>
      <c r="F39" s="376">
        <f>SUM(F40:F42)</f>
        <v>1158464.3218086525</v>
      </c>
      <c r="G39" s="376">
        <f>SUM(C40:C42)</f>
        <v>0</v>
      </c>
      <c r="H39" s="376">
        <f>SUM(D40:D42)</f>
        <v>0</v>
      </c>
      <c r="I39" s="376">
        <f>SUM(E40:E42)</f>
        <v>0</v>
      </c>
      <c r="J39" s="376">
        <f>SUM(J40:J42)</f>
        <v>1016693.3218086526</v>
      </c>
      <c r="K39" s="376">
        <f>SUM(G40:G42)</f>
        <v>0</v>
      </c>
      <c r="L39" s="376">
        <f>SUM(H40:H42)</f>
        <v>0</v>
      </c>
      <c r="M39" s="376">
        <f>SUM(I40:I42)</f>
        <v>0</v>
      </c>
      <c r="N39" s="384">
        <f>SUM(N40:N42)</f>
        <v>1158464.3218086525</v>
      </c>
    </row>
    <row r="40" spans="1:14" hidden="1">
      <c r="A40" s="386" t="s">
        <v>825</v>
      </c>
      <c r="B40" s="384">
        <f>SUM(B15,B17)</f>
        <v>819599.94711921946</v>
      </c>
      <c r="C40" s="383"/>
      <c r="D40" s="383"/>
      <c r="E40" s="383"/>
      <c r="F40" s="384">
        <f>SUM(F15,F17)</f>
        <v>819599.94711921946</v>
      </c>
      <c r="G40" s="383"/>
      <c r="H40" s="383"/>
      <c r="I40" s="383"/>
      <c r="J40" s="384">
        <f>SUM(J15,J17)</f>
        <v>681692.94711921946</v>
      </c>
      <c r="K40" s="383"/>
      <c r="L40" s="383"/>
      <c r="M40" s="383"/>
      <c r="N40" s="384">
        <f>SUM(N15,N17)</f>
        <v>819599.94711921946</v>
      </c>
    </row>
    <row r="41" spans="1:14" hidden="1">
      <c r="A41" s="387" t="s">
        <v>826</v>
      </c>
      <c r="B41" s="376">
        <f>SUM(B16,B18,B19)</f>
        <v>77379.271658409329</v>
      </c>
      <c r="F41" s="376">
        <f>SUM(F16,F18,F19)</f>
        <v>77307.440316723398</v>
      </c>
      <c r="J41" s="376">
        <f>SUM(J16,J18,J19)</f>
        <v>73443.440316723398</v>
      </c>
      <c r="N41" s="384">
        <f>SUM(N16,N18,N19)</f>
        <v>77307.440316723398</v>
      </c>
    </row>
    <row r="42" spans="1:14" hidden="1">
      <c r="A42" s="388" t="s">
        <v>827</v>
      </c>
      <c r="B42" s="384">
        <f>SUM(B20:B21)</f>
        <v>261556.93437270971</v>
      </c>
      <c r="C42" s="383"/>
      <c r="D42" s="383"/>
      <c r="E42" s="383"/>
      <c r="F42" s="384">
        <f>SUM(F20:F21)</f>
        <v>261556.93437270971</v>
      </c>
      <c r="G42" s="383"/>
      <c r="H42" s="383"/>
      <c r="I42" s="383"/>
      <c r="J42" s="384">
        <f>SUM(J20:J21)</f>
        <v>261556.93437270971</v>
      </c>
      <c r="K42" s="383"/>
      <c r="L42" s="383"/>
      <c r="M42" s="383"/>
      <c r="N42" s="384">
        <f>SUM(N20:N21)</f>
        <v>261556.93437270971</v>
      </c>
    </row>
  </sheetData>
  <mergeCells count="5">
    <mergeCell ref="B4:E4"/>
    <mergeCell ref="F4:I4"/>
    <mergeCell ref="J4:M4"/>
    <mergeCell ref="R4:T4"/>
    <mergeCell ref="N4:Q4"/>
  </mergeCells>
  <printOptions headings="1" gridLines="1"/>
  <pageMargins left="0.5" right="0.5" top="0.5" bottom="0.5" header="0.3" footer="0.3"/>
  <pageSetup scale="31"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zoomScale="70" zoomScaleNormal="70" zoomScaleSheetLayoutView="70" zoomScalePageLayoutView="60" workbookViewId="0">
      <pane ySplit="6" topLeftCell="A7" activePane="bottomLeft" state="frozen"/>
      <selection pane="bottomLeft"/>
    </sheetView>
  </sheetViews>
  <sheetFormatPr defaultColWidth="9.1796875" defaultRowHeight="14"/>
  <cols>
    <col min="1" max="1" width="37.1796875" style="1" customWidth="1"/>
    <col min="2" max="2" width="62.81640625" style="1" bestFit="1" customWidth="1"/>
    <col min="3" max="3" width="14.1796875" style="1" customWidth="1"/>
    <col min="4" max="6" width="12.7265625" style="1" customWidth="1"/>
    <col min="7" max="11" width="11.453125" style="1" customWidth="1"/>
    <col min="12" max="13" width="14.81640625" style="1" customWidth="1"/>
    <col min="14" max="17" width="10.81640625" style="1" customWidth="1"/>
    <col min="18" max="21" width="12.54296875" style="1" customWidth="1"/>
    <col min="22" max="26" width="18.7265625" style="1" customWidth="1"/>
    <col min="27" max="28" width="22.453125" style="1" customWidth="1"/>
    <col min="29" max="29" width="15.1796875" style="1" customWidth="1"/>
    <col min="30" max="30" width="26.7265625" style="1" customWidth="1"/>
    <col min="31" max="32" width="19.7265625" style="1" customWidth="1"/>
    <col min="33" max="34" width="25.7265625" style="1" customWidth="1"/>
    <col min="35" max="35" width="20.26953125" style="1" customWidth="1"/>
    <col min="36" max="36" width="30" style="1" customWidth="1"/>
    <col min="37" max="38" width="18.453125" style="1" customWidth="1"/>
    <col min="39" max="40" width="26.81640625" style="1" customWidth="1"/>
    <col min="41" max="41" width="13.54296875" style="1" customWidth="1"/>
    <col min="42" max="42" width="31.81640625" style="1" customWidth="1"/>
    <col min="43" max="44" width="18.1796875" style="1" customWidth="1"/>
    <col min="45" max="48" width="21.7265625" style="1" customWidth="1"/>
    <col min="49" max="50" width="19.54296875" style="1" customWidth="1"/>
    <col min="51" max="51" width="42" style="1" bestFit="1" customWidth="1"/>
    <col min="52" max="52" width="40.81640625" style="1" bestFit="1" customWidth="1"/>
    <col min="53" max="53" width="41.453125" style="1" bestFit="1" customWidth="1"/>
    <col min="54" max="54" width="41.54296875" style="1" bestFit="1" customWidth="1"/>
    <col min="55" max="55" width="37.453125" style="1" bestFit="1" customWidth="1"/>
    <col min="56" max="56" width="80.81640625" style="1" customWidth="1"/>
    <col min="57" max="57" width="95.453125" style="1" customWidth="1"/>
    <col min="58" max="58" width="18.54296875" style="1" customWidth="1"/>
    <col min="59" max="16384" width="9.1796875" style="1"/>
  </cols>
  <sheetData>
    <row r="1" spans="1:58" ht="14.5">
      <c r="A1" s="1" t="s">
        <v>762</v>
      </c>
    </row>
    <row r="2" spans="1:58" ht="14.5">
      <c r="A2" s="218" t="s">
        <v>1458</v>
      </c>
      <c r="AY2" s="262"/>
    </row>
    <row r="3" spans="1:58" s="220" customFormat="1">
      <c r="A3" s="219" t="s">
        <v>43</v>
      </c>
      <c r="B3" s="220" t="s">
        <v>832</v>
      </c>
      <c r="V3" s="466">
        <f>V8/V428</f>
        <v>0.2617753327258448</v>
      </c>
      <c r="W3" s="466">
        <f>W9/W428</f>
        <v>0.1648941920748804</v>
      </c>
      <c r="X3" s="466">
        <f>X10/X428</f>
        <v>0.17617848624596044</v>
      </c>
      <c r="Y3" s="466">
        <f>Y11/Y428</f>
        <v>0.16044998495695456</v>
      </c>
      <c r="Z3" s="466"/>
    </row>
    <row r="4" spans="1:58" s="246" customFormat="1">
      <c r="A4" s="263"/>
      <c r="B4" s="264"/>
      <c r="C4" s="264"/>
      <c r="D4" s="264"/>
      <c r="E4" s="467"/>
      <c r="F4" s="459"/>
      <c r="G4" s="508" t="s">
        <v>20</v>
      </c>
      <c r="H4" s="509"/>
      <c r="I4" s="509"/>
      <c r="J4" s="509"/>
      <c r="K4" s="516"/>
      <c r="L4" s="508" t="s">
        <v>13</v>
      </c>
      <c r="M4" s="509"/>
      <c r="N4" s="509"/>
      <c r="O4" s="509"/>
      <c r="P4" s="509"/>
      <c r="Q4" s="516"/>
      <c r="R4" s="508" t="s">
        <v>13</v>
      </c>
      <c r="S4" s="509"/>
      <c r="T4" s="509"/>
      <c r="U4" s="509"/>
      <c r="V4" s="509"/>
      <c r="W4" s="509"/>
      <c r="X4" s="509"/>
      <c r="Y4" s="509"/>
      <c r="Z4" s="516"/>
      <c r="AA4" s="525" t="s">
        <v>132</v>
      </c>
      <c r="AB4" s="526"/>
      <c r="AC4" s="526"/>
      <c r="AD4" s="526"/>
      <c r="AE4" s="526"/>
      <c r="AF4" s="527"/>
      <c r="AG4" s="520" t="s">
        <v>131</v>
      </c>
      <c r="AH4" s="499"/>
      <c r="AI4" s="499"/>
      <c r="AJ4" s="499"/>
      <c r="AK4" s="499"/>
      <c r="AL4" s="521"/>
      <c r="AM4" s="522" t="s">
        <v>128</v>
      </c>
      <c r="AN4" s="523"/>
      <c r="AO4" s="523"/>
      <c r="AP4" s="523"/>
      <c r="AQ4" s="523"/>
      <c r="AR4" s="524"/>
      <c r="AS4" s="505" t="s">
        <v>126</v>
      </c>
      <c r="AT4" s="506"/>
      <c r="AU4" s="506"/>
      <c r="AV4" s="506"/>
      <c r="AW4" s="506"/>
      <c r="AX4" s="507"/>
      <c r="AY4" s="510" t="s">
        <v>21</v>
      </c>
      <c r="AZ4" s="511"/>
      <c r="BA4" s="511"/>
      <c r="BB4" s="511"/>
      <c r="BC4" s="512"/>
      <c r="BD4" s="508" t="s">
        <v>40</v>
      </c>
      <c r="BE4" s="509"/>
      <c r="BF4" s="265"/>
    </row>
    <row r="5" spans="1:58" s="231" customFormat="1" ht="87">
      <c r="A5" s="266"/>
      <c r="B5" s="267"/>
      <c r="C5" s="267"/>
      <c r="D5" s="267"/>
      <c r="E5" s="468"/>
      <c r="F5" s="460">
        <f>IF(V5&gt;0,'Unit Savings Calculations'!I1,0)</f>
        <v>0</v>
      </c>
      <c r="G5" s="517" t="s">
        <v>50</v>
      </c>
      <c r="H5" s="518"/>
      <c r="I5" s="518"/>
      <c r="J5" s="518"/>
      <c r="K5" s="519"/>
      <c r="L5" s="508" t="s">
        <v>61</v>
      </c>
      <c r="M5" s="509"/>
      <c r="N5" s="509"/>
      <c r="O5" s="509"/>
      <c r="P5" s="509"/>
      <c r="Q5" s="516"/>
      <c r="R5" s="517" t="s">
        <v>135</v>
      </c>
      <c r="S5" s="518"/>
      <c r="T5" s="518"/>
      <c r="U5" s="519"/>
      <c r="V5" s="508" t="s">
        <v>62</v>
      </c>
      <c r="W5" s="509"/>
      <c r="X5" s="509"/>
      <c r="Y5" s="509"/>
      <c r="Z5" s="516"/>
      <c r="AA5" s="525" t="s">
        <v>92</v>
      </c>
      <c r="AB5" s="526"/>
      <c r="AC5" s="526"/>
      <c r="AD5" s="527"/>
      <c r="AE5" s="224" t="s">
        <v>57</v>
      </c>
      <c r="AF5" s="224" t="s">
        <v>58</v>
      </c>
      <c r="AG5" s="520" t="s">
        <v>101</v>
      </c>
      <c r="AH5" s="499"/>
      <c r="AI5" s="499"/>
      <c r="AJ5" s="521"/>
      <c r="AK5" s="226" t="s">
        <v>57</v>
      </c>
      <c r="AL5" s="226" t="s">
        <v>58</v>
      </c>
      <c r="AM5" s="522" t="s">
        <v>109</v>
      </c>
      <c r="AN5" s="523"/>
      <c r="AO5" s="523"/>
      <c r="AP5" s="524"/>
      <c r="AQ5" s="228" t="s">
        <v>57</v>
      </c>
      <c r="AR5" s="228" t="s">
        <v>58</v>
      </c>
      <c r="AS5" s="505" t="s">
        <v>117</v>
      </c>
      <c r="AT5" s="506"/>
      <c r="AU5" s="506"/>
      <c r="AV5" s="507"/>
      <c r="AW5" s="229" t="s">
        <v>57</v>
      </c>
      <c r="AX5" s="229" t="s">
        <v>58</v>
      </c>
      <c r="AY5" s="513"/>
      <c r="AZ5" s="514"/>
      <c r="BA5" s="514"/>
      <c r="BB5" s="514"/>
      <c r="BC5" s="515"/>
      <c r="BD5" s="268" t="s">
        <v>763</v>
      </c>
      <c r="BE5" s="269" t="s">
        <v>53</v>
      </c>
      <c r="BF5" s="270"/>
    </row>
    <row r="6" spans="1:58" s="231" customFormat="1" ht="98">
      <c r="A6" s="243" t="s">
        <v>0</v>
      </c>
      <c r="B6" s="243" t="s">
        <v>1</v>
      </c>
      <c r="C6" s="271" t="s">
        <v>52</v>
      </c>
      <c r="D6" s="271" t="s">
        <v>23</v>
      </c>
      <c r="E6" s="271" t="s">
        <v>1065</v>
      </c>
      <c r="F6" s="271" t="s">
        <v>1066</v>
      </c>
      <c r="G6" s="272" t="s">
        <v>2</v>
      </c>
      <c r="H6" s="273" t="s">
        <v>93</v>
      </c>
      <c r="I6" s="273" t="s">
        <v>102</v>
      </c>
      <c r="J6" s="273" t="s">
        <v>110</v>
      </c>
      <c r="K6" s="273" t="s">
        <v>118</v>
      </c>
      <c r="L6" s="274" t="s">
        <v>59</v>
      </c>
      <c r="M6" s="274" t="s">
        <v>29</v>
      </c>
      <c r="N6" s="274" t="s">
        <v>94</v>
      </c>
      <c r="O6" s="274" t="s">
        <v>103</v>
      </c>
      <c r="P6" s="274" t="s">
        <v>111</v>
      </c>
      <c r="Q6" s="274" t="s">
        <v>119</v>
      </c>
      <c r="R6" s="273" t="s">
        <v>136</v>
      </c>
      <c r="S6" s="273" t="s">
        <v>137</v>
      </c>
      <c r="T6" s="273" t="s">
        <v>138</v>
      </c>
      <c r="U6" s="273" t="s">
        <v>139</v>
      </c>
      <c r="V6" s="274" t="s">
        <v>95</v>
      </c>
      <c r="W6" s="274" t="s">
        <v>104</v>
      </c>
      <c r="X6" s="274" t="s">
        <v>112</v>
      </c>
      <c r="Y6" s="274" t="s">
        <v>120</v>
      </c>
      <c r="Z6" s="274" t="s">
        <v>133</v>
      </c>
      <c r="AA6" s="275" t="s">
        <v>96</v>
      </c>
      <c r="AB6" s="275" t="s">
        <v>29</v>
      </c>
      <c r="AC6" s="275" t="s">
        <v>97</v>
      </c>
      <c r="AD6" s="275" t="s">
        <v>3</v>
      </c>
      <c r="AE6" s="275" t="s">
        <v>98</v>
      </c>
      <c r="AF6" s="275" t="s">
        <v>99</v>
      </c>
      <c r="AG6" s="276" t="s">
        <v>130</v>
      </c>
      <c r="AH6" s="276" t="s">
        <v>29</v>
      </c>
      <c r="AI6" s="276" t="s">
        <v>105</v>
      </c>
      <c r="AJ6" s="276" t="s">
        <v>3</v>
      </c>
      <c r="AK6" s="276" t="s">
        <v>106</v>
      </c>
      <c r="AL6" s="276" t="s">
        <v>107</v>
      </c>
      <c r="AM6" s="277" t="s">
        <v>129</v>
      </c>
      <c r="AN6" s="277" t="s">
        <v>29</v>
      </c>
      <c r="AO6" s="277" t="s">
        <v>113</v>
      </c>
      <c r="AP6" s="277" t="s">
        <v>3</v>
      </c>
      <c r="AQ6" s="277" t="s">
        <v>114</v>
      </c>
      <c r="AR6" s="277" t="s">
        <v>115</v>
      </c>
      <c r="AS6" s="278" t="s">
        <v>127</v>
      </c>
      <c r="AT6" s="278" t="s">
        <v>29</v>
      </c>
      <c r="AU6" s="278" t="s">
        <v>121</v>
      </c>
      <c r="AV6" s="278" t="s">
        <v>3</v>
      </c>
      <c r="AW6" s="278" t="s">
        <v>122</v>
      </c>
      <c r="AX6" s="278" t="s">
        <v>123</v>
      </c>
      <c r="AY6" s="224" t="s">
        <v>100</v>
      </c>
      <c r="AZ6" s="226" t="s">
        <v>108</v>
      </c>
      <c r="BA6" s="228" t="s">
        <v>116</v>
      </c>
      <c r="BB6" s="229" t="s">
        <v>124</v>
      </c>
      <c r="BC6" s="279" t="s">
        <v>125</v>
      </c>
      <c r="BD6" s="273" t="s">
        <v>44</v>
      </c>
      <c r="BE6" s="280" t="s">
        <v>42</v>
      </c>
      <c r="BF6" s="270"/>
    </row>
    <row r="7" spans="1:58" s="294" customFormat="1">
      <c r="A7" s="281" t="s">
        <v>4</v>
      </c>
      <c r="B7" s="281" t="s">
        <v>5</v>
      </c>
      <c r="C7" s="281" t="s">
        <v>6</v>
      </c>
      <c r="D7" s="281" t="s">
        <v>7</v>
      </c>
      <c r="E7" s="281"/>
      <c r="F7" s="281"/>
      <c r="G7" s="282" t="s">
        <v>8</v>
      </c>
      <c r="H7" s="282" t="s">
        <v>9</v>
      </c>
      <c r="I7" s="282" t="s">
        <v>10</v>
      </c>
      <c r="J7" s="282" t="s">
        <v>11</v>
      </c>
      <c r="K7" s="282" t="s">
        <v>12</v>
      </c>
      <c r="L7" s="283" t="s">
        <v>14</v>
      </c>
      <c r="M7" s="283" t="s">
        <v>15</v>
      </c>
      <c r="N7" s="283" t="s">
        <v>16</v>
      </c>
      <c r="O7" s="283" t="s">
        <v>17</v>
      </c>
      <c r="P7" s="283" t="s">
        <v>18</v>
      </c>
      <c r="Q7" s="283" t="s">
        <v>19</v>
      </c>
      <c r="R7" s="282" t="s">
        <v>24</v>
      </c>
      <c r="S7" s="282" t="s">
        <v>26</v>
      </c>
      <c r="T7" s="282" t="s">
        <v>63</v>
      </c>
      <c r="U7" s="282" t="s">
        <v>64</v>
      </c>
      <c r="V7" s="283" t="s">
        <v>65</v>
      </c>
      <c r="W7" s="283" t="s">
        <v>66</v>
      </c>
      <c r="X7" s="283" t="s">
        <v>67</v>
      </c>
      <c r="Y7" s="283" t="s">
        <v>68</v>
      </c>
      <c r="Z7" s="283" t="s">
        <v>69</v>
      </c>
      <c r="AA7" s="284" t="s">
        <v>30</v>
      </c>
      <c r="AB7" s="284" t="s">
        <v>70</v>
      </c>
      <c r="AC7" s="284" t="s">
        <v>71</v>
      </c>
      <c r="AD7" s="284" t="s">
        <v>72</v>
      </c>
      <c r="AE7" s="284" t="s">
        <v>73</v>
      </c>
      <c r="AF7" s="284" t="s">
        <v>75</v>
      </c>
      <c r="AG7" s="285" t="s">
        <v>25</v>
      </c>
      <c r="AH7" s="285" t="s">
        <v>27</v>
      </c>
      <c r="AI7" s="285" t="s">
        <v>31</v>
      </c>
      <c r="AJ7" s="285" t="s">
        <v>32</v>
      </c>
      <c r="AK7" s="285" t="s">
        <v>77</v>
      </c>
      <c r="AL7" s="285" t="s">
        <v>78</v>
      </c>
      <c r="AM7" s="286" t="s">
        <v>28</v>
      </c>
      <c r="AN7" s="286" t="s">
        <v>33</v>
      </c>
      <c r="AO7" s="286" t="s">
        <v>34</v>
      </c>
      <c r="AP7" s="286" t="s">
        <v>22</v>
      </c>
      <c r="AQ7" s="286" t="s">
        <v>79</v>
      </c>
      <c r="AR7" s="287" t="s">
        <v>80</v>
      </c>
      <c r="AS7" s="288" t="s">
        <v>35</v>
      </c>
      <c r="AT7" s="288" t="s">
        <v>36</v>
      </c>
      <c r="AU7" s="288" t="s">
        <v>37</v>
      </c>
      <c r="AV7" s="288" t="s">
        <v>38</v>
      </c>
      <c r="AW7" s="288" t="s">
        <v>81</v>
      </c>
      <c r="AX7" s="289" t="s">
        <v>82</v>
      </c>
      <c r="AY7" s="284" t="s">
        <v>83</v>
      </c>
      <c r="AZ7" s="285" t="s">
        <v>84</v>
      </c>
      <c r="BA7" s="286" t="s">
        <v>85</v>
      </c>
      <c r="BB7" s="288" t="s">
        <v>86</v>
      </c>
      <c r="BC7" s="290" t="s">
        <v>76</v>
      </c>
      <c r="BD7" s="291" t="s">
        <v>39</v>
      </c>
      <c r="BE7" s="292" t="s">
        <v>74</v>
      </c>
      <c r="BF7" s="293"/>
    </row>
    <row r="8" spans="1:58" s="220" customFormat="1" ht="15.75" customHeight="1">
      <c r="A8" s="295" t="str">
        <f>'Unit Savings Calculations'!C4</f>
        <v>Res - Outreach &amp; Education</v>
      </c>
      <c r="B8" s="295" t="str">
        <f>'Unit Savings Calculations'!D4</f>
        <v>Behavior 2018 1st Year</v>
      </c>
      <c r="C8" s="296">
        <f>IF(D8="Custom",0,1)</f>
        <v>1</v>
      </c>
      <c r="D8" s="295" t="str">
        <f>'Unit Savings Calculations'!T4</f>
        <v>6.1.1</v>
      </c>
      <c r="E8" s="460">
        <f>INDEX('Unit Savings Calculations'!$H$4:$H$421,MATCH('Measure-Level Adjustments Tab'!$A8&amp;"_"&amp;'Measure-Level Adjustments Tab'!$B8,'Unit Savings Calculations'!$A$4:$A$421,0))</f>
        <v>1</v>
      </c>
      <c r="F8" s="460">
        <f>INDEX('Unit Savings Calculations'!$I$4:$I$421,MATCH('Measure-Level Adjustments Tab'!$A8&amp;"_"&amp;'Measure-Level Adjustments Tab'!$B8,'Unit Savings Calculations'!$A$4:$A$421,0))</f>
        <v>1</v>
      </c>
      <c r="G8" s="295" t="str">
        <f>'Unit Savings Calculations'!E4</f>
        <v>each</v>
      </c>
      <c r="H8" s="297">
        <f>'Unit Savings Calculations'!$F4*'Unit Savings Calculations'!J4</f>
        <v>54000</v>
      </c>
      <c r="I8" s="297">
        <f>'Unit Savings Calculations'!$F4*'Unit Savings Calculations'!K4</f>
        <v>0</v>
      </c>
      <c r="J8" s="297">
        <f>'Unit Savings Calculations'!$F4*'Unit Savings Calculations'!L4</f>
        <v>0</v>
      </c>
      <c r="K8" s="297">
        <f>'Unit Savings Calculations'!$F4*'Unit Savings Calculations'!M4</f>
        <v>0</v>
      </c>
      <c r="L8" s="295" t="str">
        <f>'Unit Savings Calculations'!U4</f>
        <v>CC-BEH-BEHP-V02-16061</v>
      </c>
      <c r="M8" s="405" t="str">
        <f>'Unit Savings Calculations'!R4</f>
        <v>Exhibit 1.5A_R North Shore EEPS_Adjustable_Savings_Goal_Template.xlsx, Behavioral Tab</v>
      </c>
      <c r="N8" s="298">
        <v>10.648148148148149</v>
      </c>
      <c r="O8" s="298">
        <v>0</v>
      </c>
      <c r="P8" s="298">
        <v>0</v>
      </c>
      <c r="Q8" s="298">
        <v>0</v>
      </c>
      <c r="R8" s="299">
        <f>'Unit Savings Calculations'!$G4</f>
        <v>1</v>
      </c>
      <c r="S8" s="299">
        <f>'Unit Savings Calculations'!$G4</f>
        <v>1</v>
      </c>
      <c r="T8" s="299">
        <f>'Unit Savings Calculations'!$G4</f>
        <v>1</v>
      </c>
      <c r="U8" s="299">
        <f>'Unit Savings Calculations'!$G4</f>
        <v>1</v>
      </c>
      <c r="V8" s="300">
        <f>H8*N8*R8</f>
        <v>575000</v>
      </c>
      <c r="W8" s="300">
        <f t="shared" ref="W8" si="0">I8*O8*S8</f>
        <v>0</v>
      </c>
      <c r="X8" s="300">
        <f t="shared" ref="X8:Y8" si="1">J8*P8*T8</f>
        <v>0</v>
      </c>
      <c r="Y8" s="300">
        <f t="shared" si="1"/>
        <v>0</v>
      </c>
      <c r="Z8" s="300">
        <f>V8+W8+X8+Y8</f>
        <v>575000</v>
      </c>
      <c r="AA8" s="295"/>
      <c r="AB8" s="295"/>
      <c r="AC8" s="298">
        <f>'Unit Savings Calculations'!N4</f>
        <v>10.648148148148149</v>
      </c>
      <c r="AD8" s="295"/>
      <c r="AE8" s="300">
        <f>H8*AC8*R8</f>
        <v>575000</v>
      </c>
      <c r="AF8" s="297">
        <f>AE8-V8</f>
        <v>0</v>
      </c>
      <c r="AG8" s="295"/>
      <c r="AH8" s="295">
        <f>AB8</f>
        <v>0</v>
      </c>
      <c r="AI8" s="298">
        <f>'Unit Savings Calculations'!O4</f>
        <v>0</v>
      </c>
      <c r="AJ8" s="405" t="s">
        <v>879</v>
      </c>
      <c r="AK8" s="300">
        <f>I8*AI8*S8</f>
        <v>0</v>
      </c>
      <c r="AL8" s="297">
        <f>AK8-W8</f>
        <v>0</v>
      </c>
      <c r="AM8" s="295"/>
      <c r="AN8" s="295"/>
      <c r="AO8" s="298">
        <f>'Unit Savings Calculations'!P4</f>
        <v>0</v>
      </c>
      <c r="AP8" s="405" t="s">
        <v>764</v>
      </c>
      <c r="AQ8" s="300">
        <f>J8*AO8*T8</f>
        <v>0</v>
      </c>
      <c r="AR8" s="297">
        <f>AQ8-X8</f>
        <v>0</v>
      </c>
      <c r="AS8" s="295"/>
      <c r="AT8" s="295"/>
      <c r="AU8" s="298">
        <f>'Unit Savings Calculations'!Q4</f>
        <v>0</v>
      </c>
      <c r="AV8" s="405" t="str">
        <f>AP8</f>
        <v>n/a</v>
      </c>
      <c r="AW8" s="300">
        <f>K8*AU8*U8</f>
        <v>0</v>
      </c>
      <c r="AX8" s="297">
        <f>AW8-Y8</f>
        <v>0</v>
      </c>
      <c r="AY8" s="300">
        <f>IF(C8=1,AE8,V8)</f>
        <v>575000</v>
      </c>
      <c r="AZ8" s="300">
        <f>IF(C8=1,AK8,W8)</f>
        <v>0</v>
      </c>
      <c r="BA8" s="300">
        <f>IF(C8=1,AQ8,X8)</f>
        <v>0</v>
      </c>
      <c r="BB8" s="300">
        <f>IF(C8=1,AW8,Y8)</f>
        <v>0</v>
      </c>
      <c r="BC8" s="301">
        <f>AY8+AZ8+BA8+BB8</f>
        <v>575000</v>
      </c>
      <c r="BD8" s="295" t="s">
        <v>764</v>
      </c>
      <c r="BE8" s="302" t="str">
        <f>M8</f>
        <v>Exhibit 1.5A_R North Shore EEPS_Adjustable_Savings_Goal_Template.xlsx, Behavioral Tab</v>
      </c>
      <c r="BF8" s="303"/>
    </row>
    <row r="9" spans="1:58" s="220" customFormat="1" ht="15.75" customHeight="1">
      <c r="A9" s="295" t="str">
        <f>'Unit Savings Calculations'!C5</f>
        <v>Res - Outreach &amp; Education</v>
      </c>
      <c r="B9" s="295" t="str">
        <f>'Unit Savings Calculations'!D5</f>
        <v>Behavior 2019 1st Year</v>
      </c>
      <c r="C9" s="296">
        <f>IF(D9="Custom",0,1)</f>
        <v>1</v>
      </c>
      <c r="D9" s="295" t="str">
        <f>'Unit Savings Calculations'!T5</f>
        <v>6.1.1</v>
      </c>
      <c r="E9" s="460">
        <f>INDEX('Unit Savings Calculations'!$H$4:$H$421,MATCH('Measure-Level Adjustments Tab'!$A9&amp;"_"&amp;'Measure-Level Adjustments Tab'!$B9,'Unit Savings Calculations'!$A$4:$A$421,0))</f>
        <v>1</v>
      </c>
      <c r="F9" s="460">
        <f>INDEX('Unit Savings Calculations'!$I$4:$I$421,MATCH('Measure-Level Adjustments Tab'!A9&amp;"_"&amp;'Measure-Level Adjustments Tab'!B9,'Unit Savings Calculations'!$A$4:$A$421,0))</f>
        <v>1</v>
      </c>
      <c r="G9" s="295" t="str">
        <f>'Unit Savings Calculations'!E5</f>
        <v>each</v>
      </c>
      <c r="H9" s="297">
        <f>'Unit Savings Calculations'!$F5*'Unit Savings Calculations'!J5</f>
        <v>0</v>
      </c>
      <c r="I9" s="297">
        <f>'Unit Savings Calculations'!$F5*'Unit Savings Calculations'!K5</f>
        <v>52800</v>
      </c>
      <c r="J9" s="297">
        <f>'Unit Savings Calculations'!$F5*'Unit Savings Calculations'!L5</f>
        <v>0</v>
      </c>
      <c r="K9" s="297">
        <f>'Unit Savings Calculations'!$F5*'Unit Savings Calculations'!M5</f>
        <v>0</v>
      </c>
      <c r="L9" s="295" t="str">
        <f>'Unit Savings Calculations'!U5</f>
        <v>CC-BEH-BEHP-V02-16061</v>
      </c>
      <c r="M9" s="405" t="str">
        <f>'Unit Savings Calculations'!R5</f>
        <v>Exhibit 1.5A_R North Shore EEPS_Adjustable_Savings_Goal_Template.xlsx, Behavioral Tab</v>
      </c>
      <c r="N9" s="298">
        <v>0</v>
      </c>
      <c r="O9" s="298">
        <v>6.0639778977279111</v>
      </c>
      <c r="P9" s="298">
        <v>0</v>
      </c>
      <c r="Q9" s="298">
        <v>0</v>
      </c>
      <c r="R9" s="299">
        <f>'Unit Savings Calculations'!$G5</f>
        <v>1</v>
      </c>
      <c r="S9" s="299">
        <f>'Unit Savings Calculations'!$G5</f>
        <v>1</v>
      </c>
      <c r="T9" s="299">
        <f>'Unit Savings Calculations'!$G5</f>
        <v>1</v>
      </c>
      <c r="U9" s="299">
        <f>'Unit Savings Calculations'!$G5</f>
        <v>1</v>
      </c>
      <c r="V9" s="300">
        <f t="shared" ref="V9" si="2">H9*N9*R9</f>
        <v>0</v>
      </c>
      <c r="W9" s="300">
        <f t="shared" ref="W9" si="3">I9*O9*S9</f>
        <v>320178.0330000337</v>
      </c>
      <c r="X9" s="300">
        <f t="shared" ref="X9" si="4">J9*P9*T9</f>
        <v>0</v>
      </c>
      <c r="Y9" s="300">
        <f t="shared" ref="Y9" si="5">K9*Q9*U9</f>
        <v>0</v>
      </c>
      <c r="Z9" s="300">
        <f t="shared" ref="Z9" si="6">V9+W9+X9+Y9</f>
        <v>320178.0330000337</v>
      </c>
      <c r="AA9" s="295"/>
      <c r="AB9" s="295"/>
      <c r="AC9" s="298">
        <f>'Unit Savings Calculations'!N5</f>
        <v>0</v>
      </c>
      <c r="AD9" s="295"/>
      <c r="AE9" s="300">
        <f t="shared" ref="AE9:AE72" si="7">H9*AC9*R9</f>
        <v>0</v>
      </c>
      <c r="AF9" s="297">
        <f t="shared" ref="AF9:AF72" si="8">AE9-V9</f>
        <v>0</v>
      </c>
      <c r="AG9" s="295"/>
      <c r="AH9" s="295">
        <f t="shared" ref="AH9:AH72" si="9">AB9</f>
        <v>0</v>
      </c>
      <c r="AI9" s="298">
        <f>'Unit Savings Calculations'!O5</f>
        <v>6.0639778977279111</v>
      </c>
      <c r="AJ9" s="405" t="s">
        <v>879</v>
      </c>
      <c r="AK9" s="300">
        <f t="shared" ref="AK9:AK72" si="10">I9*AI9*S9</f>
        <v>320178.0330000337</v>
      </c>
      <c r="AL9" s="297">
        <f t="shared" ref="AL9:AL72" si="11">AK9-W9</f>
        <v>0</v>
      </c>
      <c r="AM9" s="295"/>
      <c r="AN9" s="295"/>
      <c r="AO9" s="298">
        <f>'Unit Savings Calculations'!P5</f>
        <v>0</v>
      </c>
      <c r="AP9" s="405" t="s">
        <v>764</v>
      </c>
      <c r="AQ9" s="300">
        <f t="shared" ref="AQ9:AQ72" si="12">J9*AO9*T9</f>
        <v>0</v>
      </c>
      <c r="AR9" s="297">
        <f t="shared" ref="AR9:AR72" si="13">AQ9-X9</f>
        <v>0</v>
      </c>
      <c r="AS9" s="295"/>
      <c r="AT9" s="295"/>
      <c r="AU9" s="298">
        <f>'Unit Savings Calculations'!Q5</f>
        <v>0</v>
      </c>
      <c r="AV9" s="405" t="str">
        <f t="shared" ref="AV9:AV72" si="14">AP9</f>
        <v>n/a</v>
      </c>
      <c r="AW9" s="300">
        <f t="shared" ref="AW9:AW72" si="15">K9*AU9*U9</f>
        <v>0</v>
      </c>
      <c r="AX9" s="297">
        <f t="shared" ref="AX9:AX72" si="16">AW9-Y9</f>
        <v>0</v>
      </c>
      <c r="AY9" s="300">
        <f t="shared" ref="AY9:AY72" si="17">IF(C9=1,AE9,V9)</f>
        <v>0</v>
      </c>
      <c r="AZ9" s="300">
        <f t="shared" ref="AZ9:AZ72" si="18">IF(C9=1,AK9,W9)</f>
        <v>320178.0330000337</v>
      </c>
      <c r="BA9" s="300">
        <f t="shared" ref="BA9:BA72" si="19">IF(C9=1,AQ9,X9)</f>
        <v>0</v>
      </c>
      <c r="BB9" s="300">
        <f t="shared" ref="BB9:BB72" si="20">IF(C9=1,AW9,Y9)</f>
        <v>0</v>
      </c>
      <c r="BC9" s="301">
        <f t="shared" ref="BC9:BC72" si="21">AY9+AZ9+BA9+BB9</f>
        <v>320178.0330000337</v>
      </c>
      <c r="BD9" s="295" t="s">
        <v>764</v>
      </c>
      <c r="BE9" s="302" t="str">
        <f t="shared" ref="BE9:BE72" si="22">M9</f>
        <v>Exhibit 1.5A_R North Shore EEPS_Adjustable_Savings_Goal_Template.xlsx, Behavioral Tab</v>
      </c>
      <c r="BF9" s="303"/>
    </row>
    <row r="10" spans="1:58" s="220" customFormat="1" ht="15.75" customHeight="1">
      <c r="A10" s="295" t="str">
        <f>'Unit Savings Calculations'!C6</f>
        <v>Res - Outreach &amp; Education</v>
      </c>
      <c r="B10" s="295" t="str">
        <f>'Unit Savings Calculations'!D6</f>
        <v>Behavior 2020 1st Year</v>
      </c>
      <c r="C10" s="296">
        <f t="shared" ref="C10:C73" si="23">IF(D10="Custom",0,1)</f>
        <v>1</v>
      </c>
      <c r="D10" s="295" t="str">
        <f>'Unit Savings Calculations'!T6</f>
        <v>6.1.1</v>
      </c>
      <c r="E10" s="460">
        <f>INDEX('Unit Savings Calculations'!$H$4:$H$421,MATCH('Measure-Level Adjustments Tab'!$A10&amp;"_"&amp;'Measure-Level Adjustments Tab'!$B10,'Unit Savings Calculations'!$A$4:$A$421,0))</f>
        <v>1</v>
      </c>
      <c r="F10" s="460">
        <f>INDEX('Unit Savings Calculations'!$I$4:$I$421,MATCH('Measure-Level Adjustments Tab'!A10&amp;"_"&amp;'Measure-Level Adjustments Tab'!B10,'Unit Savings Calculations'!$A$4:$A$421,0))</f>
        <v>1</v>
      </c>
      <c r="G10" s="295" t="str">
        <f>'Unit Savings Calculations'!E6</f>
        <v>each</v>
      </c>
      <c r="H10" s="297">
        <f>'Unit Savings Calculations'!$F6*'Unit Savings Calculations'!J6</f>
        <v>0</v>
      </c>
      <c r="I10" s="297">
        <f>'Unit Savings Calculations'!$F6*'Unit Savings Calculations'!K6</f>
        <v>0</v>
      </c>
      <c r="J10" s="297">
        <f>'Unit Savings Calculations'!$F6*'Unit Savings Calculations'!L6</f>
        <v>51600</v>
      </c>
      <c r="K10" s="297">
        <f>'Unit Savings Calculations'!$F6*'Unit Savings Calculations'!M6</f>
        <v>0</v>
      </c>
      <c r="L10" s="295" t="str">
        <f>'Unit Savings Calculations'!U6</f>
        <v>CC-BEH-BEHP-V02-16061</v>
      </c>
      <c r="M10" s="405" t="str">
        <f>'Unit Savings Calculations'!R6</f>
        <v>Exhibit 1.5A_R North Shore EEPS_Adjustable_Savings_Goal_Template.xlsx, Behavioral Tab</v>
      </c>
      <c r="N10" s="298">
        <v>0</v>
      </c>
      <c r="O10" s="298">
        <v>0</v>
      </c>
      <c r="P10" s="298">
        <v>6.1129806441341552</v>
      </c>
      <c r="Q10" s="298">
        <v>0</v>
      </c>
      <c r="R10" s="299">
        <f>'Unit Savings Calculations'!$G6</f>
        <v>1</v>
      </c>
      <c r="S10" s="299">
        <f>'Unit Savings Calculations'!$G6</f>
        <v>1</v>
      </c>
      <c r="T10" s="299">
        <f>'Unit Savings Calculations'!$G6</f>
        <v>1</v>
      </c>
      <c r="U10" s="299">
        <f>'Unit Savings Calculations'!$G6</f>
        <v>1</v>
      </c>
      <c r="V10" s="300">
        <f t="shared" ref="V10:V11" si="24">H10*N10*R10</f>
        <v>0</v>
      </c>
      <c r="W10" s="300">
        <f t="shared" ref="W10:W11" si="25">I10*O10*S10</f>
        <v>0</v>
      </c>
      <c r="X10" s="300">
        <f t="shared" ref="X10:X11" si="26">J10*P10*T10</f>
        <v>315429.80123732239</v>
      </c>
      <c r="Y10" s="300">
        <f t="shared" ref="Y10:Y11" si="27">K10*Q10*U10</f>
        <v>0</v>
      </c>
      <c r="Z10" s="300">
        <f t="shared" ref="Z10:Z11" si="28">V10+W10+X10+Y10</f>
        <v>315429.80123732239</v>
      </c>
      <c r="AA10" s="295"/>
      <c r="AB10" s="295"/>
      <c r="AC10" s="298">
        <f>'Unit Savings Calculations'!N6</f>
        <v>0</v>
      </c>
      <c r="AD10" s="295"/>
      <c r="AE10" s="300">
        <f t="shared" si="7"/>
        <v>0</v>
      </c>
      <c r="AF10" s="297">
        <f t="shared" si="8"/>
        <v>0</v>
      </c>
      <c r="AG10" s="295"/>
      <c r="AH10" s="295">
        <f t="shared" si="9"/>
        <v>0</v>
      </c>
      <c r="AI10" s="298">
        <f>'Unit Savings Calculations'!O6</f>
        <v>0</v>
      </c>
      <c r="AJ10" s="405" t="s">
        <v>879</v>
      </c>
      <c r="AK10" s="300">
        <f t="shared" si="10"/>
        <v>0</v>
      </c>
      <c r="AL10" s="297">
        <f t="shared" si="11"/>
        <v>0</v>
      </c>
      <c r="AM10" s="295"/>
      <c r="AN10" s="295"/>
      <c r="AO10" s="298">
        <f>'Unit Savings Calculations'!P6</f>
        <v>6.1129806441341552</v>
      </c>
      <c r="AP10" s="405" t="s">
        <v>764</v>
      </c>
      <c r="AQ10" s="300">
        <f t="shared" si="12"/>
        <v>315429.80123732239</v>
      </c>
      <c r="AR10" s="297">
        <f t="shared" si="13"/>
        <v>0</v>
      </c>
      <c r="AS10" s="295"/>
      <c r="AT10" s="295"/>
      <c r="AU10" s="298">
        <f>'Unit Savings Calculations'!Q6</f>
        <v>0</v>
      </c>
      <c r="AV10" s="405" t="str">
        <f t="shared" si="14"/>
        <v>n/a</v>
      </c>
      <c r="AW10" s="300">
        <f t="shared" si="15"/>
        <v>0</v>
      </c>
      <c r="AX10" s="297">
        <f t="shared" si="16"/>
        <v>0</v>
      </c>
      <c r="AY10" s="300">
        <f t="shared" si="17"/>
        <v>0</v>
      </c>
      <c r="AZ10" s="300">
        <f t="shared" si="18"/>
        <v>0</v>
      </c>
      <c r="BA10" s="300">
        <f t="shared" si="19"/>
        <v>315429.80123732239</v>
      </c>
      <c r="BB10" s="300">
        <f t="shared" si="20"/>
        <v>0</v>
      </c>
      <c r="BC10" s="301">
        <f t="shared" si="21"/>
        <v>315429.80123732239</v>
      </c>
      <c r="BD10" s="295" t="s">
        <v>764</v>
      </c>
      <c r="BE10" s="302" t="str">
        <f t="shared" si="22"/>
        <v>Exhibit 1.5A_R North Shore EEPS_Adjustable_Savings_Goal_Template.xlsx, Behavioral Tab</v>
      </c>
      <c r="BF10" s="303"/>
    </row>
    <row r="11" spans="1:58" s="220" customFormat="1" ht="15.75" customHeight="1">
      <c r="A11" s="295" t="str">
        <f>'Unit Savings Calculations'!C7</f>
        <v>Res - Outreach &amp; Education</v>
      </c>
      <c r="B11" s="295" t="str">
        <f>'Unit Savings Calculations'!D7</f>
        <v>Behavior 2021 1st Year</v>
      </c>
      <c r="C11" s="296">
        <f t="shared" si="23"/>
        <v>1</v>
      </c>
      <c r="D11" s="295" t="str">
        <f>'Unit Savings Calculations'!T7</f>
        <v>6.1.1</v>
      </c>
      <c r="E11" s="460">
        <f>INDEX('Unit Savings Calculations'!$H$4:$H$421,MATCH('Measure-Level Adjustments Tab'!$A11&amp;"_"&amp;'Measure-Level Adjustments Tab'!$B11,'Unit Savings Calculations'!$A$4:$A$421,0))</f>
        <v>1</v>
      </c>
      <c r="F11" s="460">
        <f>INDEX('Unit Savings Calculations'!$I$4:$I$421,MATCH('Measure-Level Adjustments Tab'!A11&amp;"_"&amp;'Measure-Level Adjustments Tab'!B11,'Unit Savings Calculations'!$A$4:$A$421,0))</f>
        <v>1</v>
      </c>
      <c r="G11" s="295" t="str">
        <f>'Unit Savings Calculations'!E7</f>
        <v>each</v>
      </c>
      <c r="H11" s="297">
        <f>'Unit Savings Calculations'!$F7*'Unit Savings Calculations'!J7</f>
        <v>0</v>
      </c>
      <c r="I11" s="297">
        <f>'Unit Savings Calculations'!$F7*'Unit Savings Calculations'!K7</f>
        <v>0</v>
      </c>
      <c r="J11" s="297">
        <f>'Unit Savings Calculations'!$F7*'Unit Savings Calculations'!L7</f>
        <v>0</v>
      </c>
      <c r="K11" s="297">
        <f>'Unit Savings Calculations'!$F7*'Unit Savings Calculations'!M7</f>
        <v>50400</v>
      </c>
      <c r="L11" s="295" t="str">
        <f>'Unit Savings Calculations'!U7</f>
        <v>CC-BEH-BEHP-V02-16061</v>
      </c>
      <c r="M11" s="405" t="str">
        <f>'Unit Savings Calculations'!R7</f>
        <v>Exhibit 1.5A_R North Shore EEPS_Adjustable_Savings_Goal_Template.xlsx, Behavioral Tab</v>
      </c>
      <c r="N11" s="298">
        <v>0</v>
      </c>
      <c r="O11" s="298">
        <v>0</v>
      </c>
      <c r="P11" s="298">
        <v>0</v>
      </c>
      <c r="Q11" s="298">
        <v>6.1487983092712835</v>
      </c>
      <c r="R11" s="299">
        <f>'Unit Savings Calculations'!$G7</f>
        <v>1</v>
      </c>
      <c r="S11" s="299">
        <f>'Unit Savings Calculations'!$G7</f>
        <v>1</v>
      </c>
      <c r="T11" s="299">
        <f>'Unit Savings Calculations'!$G7</f>
        <v>1</v>
      </c>
      <c r="U11" s="299">
        <f>'Unit Savings Calculations'!$G7</f>
        <v>1</v>
      </c>
      <c r="V11" s="300">
        <f t="shared" si="24"/>
        <v>0</v>
      </c>
      <c r="W11" s="300">
        <f t="shared" si="25"/>
        <v>0</v>
      </c>
      <c r="X11" s="300">
        <f t="shared" si="26"/>
        <v>0</v>
      </c>
      <c r="Y11" s="300">
        <f t="shared" si="27"/>
        <v>309899.43478727271</v>
      </c>
      <c r="Z11" s="300">
        <f t="shared" si="28"/>
        <v>309899.43478727271</v>
      </c>
      <c r="AA11" s="295"/>
      <c r="AB11" s="295"/>
      <c r="AC11" s="298">
        <f>'Unit Savings Calculations'!N7</f>
        <v>0</v>
      </c>
      <c r="AD11" s="295"/>
      <c r="AE11" s="300">
        <f t="shared" si="7"/>
        <v>0</v>
      </c>
      <c r="AF11" s="297">
        <f t="shared" si="8"/>
        <v>0</v>
      </c>
      <c r="AG11" s="295"/>
      <c r="AH11" s="295">
        <f t="shared" si="9"/>
        <v>0</v>
      </c>
      <c r="AI11" s="298">
        <f>'Unit Savings Calculations'!O7</f>
        <v>0</v>
      </c>
      <c r="AJ11" s="405" t="s">
        <v>879</v>
      </c>
      <c r="AK11" s="300">
        <f t="shared" si="10"/>
        <v>0</v>
      </c>
      <c r="AL11" s="297">
        <f t="shared" si="11"/>
        <v>0</v>
      </c>
      <c r="AM11" s="295"/>
      <c r="AN11" s="295"/>
      <c r="AO11" s="298">
        <f>'Unit Savings Calculations'!P7</f>
        <v>0</v>
      </c>
      <c r="AP11" s="405" t="s">
        <v>764</v>
      </c>
      <c r="AQ11" s="300">
        <f t="shared" si="12"/>
        <v>0</v>
      </c>
      <c r="AR11" s="297">
        <f t="shared" si="13"/>
        <v>0</v>
      </c>
      <c r="AS11" s="295"/>
      <c r="AT11" s="295"/>
      <c r="AU11" s="298">
        <f>'Unit Savings Calculations'!Q7</f>
        <v>6.1487983092712835</v>
      </c>
      <c r="AV11" s="405" t="str">
        <f t="shared" si="14"/>
        <v>n/a</v>
      </c>
      <c r="AW11" s="300">
        <f t="shared" si="15"/>
        <v>309899.43478727271</v>
      </c>
      <c r="AX11" s="297">
        <f t="shared" si="16"/>
        <v>0</v>
      </c>
      <c r="AY11" s="300">
        <f t="shared" si="17"/>
        <v>0</v>
      </c>
      <c r="AZ11" s="300">
        <f t="shared" si="18"/>
        <v>0</v>
      </c>
      <c r="BA11" s="300">
        <f t="shared" si="19"/>
        <v>0</v>
      </c>
      <c r="BB11" s="300">
        <f t="shared" si="20"/>
        <v>309899.43478727271</v>
      </c>
      <c r="BC11" s="301">
        <f t="shared" si="21"/>
        <v>309899.43478727271</v>
      </c>
      <c r="BD11" s="295" t="s">
        <v>764</v>
      </c>
      <c r="BE11" s="302" t="str">
        <f t="shared" si="22"/>
        <v>Exhibit 1.5A_R North Shore EEPS_Adjustable_Savings_Goal_Template.xlsx, Behavioral Tab</v>
      </c>
      <c r="BF11" s="303"/>
    </row>
    <row r="12" spans="1:58" ht="15.75" customHeight="1">
      <c r="A12" s="295" t="str">
        <f>'Unit Savings Calculations'!C8</f>
        <v>Res - Outreach &amp; Education</v>
      </c>
      <c r="B12" s="295" t="str">
        <f>'Unit Savings Calculations'!D8</f>
        <v>Behavior 2018 Y1 Persistence</v>
      </c>
      <c r="C12" s="296">
        <f t="shared" ref="C12:C28" si="29">IF(D12="Custom",0,1)</f>
        <v>1</v>
      </c>
      <c r="D12" s="295" t="str">
        <f>'Unit Savings Calculations'!T8</f>
        <v>6.1.1</v>
      </c>
      <c r="E12" s="460">
        <f>INDEX('Unit Savings Calculations'!$H$4:$H$421,MATCH('Measure-Level Adjustments Tab'!$A12&amp;"_"&amp;'Measure-Level Adjustments Tab'!$B12,'Unit Savings Calculations'!$A$4:$A$421,0))</f>
        <v>0</v>
      </c>
      <c r="F12" s="460">
        <f>INDEX('Unit Savings Calculations'!$I$4:$I$421,MATCH('Measure-Level Adjustments Tab'!A12&amp;"_"&amp;'Measure-Level Adjustments Tab'!B12,'Unit Savings Calculations'!$A$4:$A$421,0))</f>
        <v>0</v>
      </c>
      <c r="G12" s="295" t="str">
        <f>'Unit Savings Calculations'!E8</f>
        <v>each</v>
      </c>
      <c r="H12" s="297">
        <v>0</v>
      </c>
      <c r="I12" s="297">
        <v>0</v>
      </c>
      <c r="J12" s="297">
        <v>0</v>
      </c>
      <c r="K12" s="297">
        <f>'Unit Savings Calculations'!$F8*'Unit Savings Calculations'!M8</f>
        <v>0</v>
      </c>
      <c r="L12" s="295" t="str">
        <f>'Unit Savings Calculations'!U8</f>
        <v>CC-BEH-BEHP-V02-16061</v>
      </c>
      <c r="M12" s="405" t="str">
        <f>'Unit Savings Calculations'!R8</f>
        <v>Exhibit 1.5A_R North Shore EEPS_Adjustable_Savings_Goal_Template.xlsx, Behavioral Tab</v>
      </c>
      <c r="N12" s="298">
        <v>0</v>
      </c>
      <c r="O12" s="298">
        <v>0</v>
      </c>
      <c r="P12" s="298">
        <v>0</v>
      </c>
      <c r="Q12" s="298">
        <v>0</v>
      </c>
      <c r="R12" s="299">
        <f>'Unit Savings Calculations'!$G8</f>
        <v>1</v>
      </c>
      <c r="S12" s="299">
        <f>'Unit Savings Calculations'!$G8</f>
        <v>1</v>
      </c>
      <c r="T12" s="299">
        <f>'Unit Savings Calculations'!$G8</f>
        <v>1</v>
      </c>
      <c r="U12" s="299">
        <f>'Unit Savings Calculations'!$G8</f>
        <v>1</v>
      </c>
      <c r="V12" s="300">
        <f t="shared" ref="V12:V28" si="30">H12*N12*R12</f>
        <v>0</v>
      </c>
      <c r="W12" s="300">
        <f t="shared" ref="W12:W28" si="31">I12*O12*S12</f>
        <v>0</v>
      </c>
      <c r="X12" s="300">
        <f t="shared" ref="X12:X28" si="32">J12*P12*T12</f>
        <v>0</v>
      </c>
      <c r="Y12" s="300">
        <f t="shared" ref="Y12:Y28" si="33">K12*Q12*U12</f>
        <v>0</v>
      </c>
      <c r="Z12" s="300">
        <f t="shared" ref="Z12:Z28" si="34">V12+W12+X12+Y12</f>
        <v>0</v>
      </c>
      <c r="AA12" s="295"/>
      <c r="AB12" s="295"/>
      <c r="AC12" s="298">
        <f>'Unit Savings Calculations'!N8</f>
        <v>4.681888277777154</v>
      </c>
      <c r="AD12" s="295"/>
      <c r="AE12" s="300">
        <f t="shared" ref="AE12:AE28" si="35">H12*AC12*R12</f>
        <v>0</v>
      </c>
      <c r="AF12" s="297">
        <f t="shared" ref="AF12:AF28" si="36">AE12-V12</f>
        <v>0</v>
      </c>
      <c r="AG12" s="295"/>
      <c r="AH12" s="295">
        <f t="shared" ref="AH12:AH28" si="37">AB12</f>
        <v>0</v>
      </c>
      <c r="AI12" s="298">
        <f>'Unit Savings Calculations'!O8</f>
        <v>0</v>
      </c>
      <c r="AJ12" s="405" t="s">
        <v>879</v>
      </c>
      <c r="AK12" s="300">
        <f t="shared" ref="AK12:AK28" si="38">I12*AI12*S12</f>
        <v>0</v>
      </c>
      <c r="AL12" s="297">
        <f t="shared" ref="AL12:AL28" si="39">AK12-W12</f>
        <v>0</v>
      </c>
      <c r="AM12" s="295"/>
      <c r="AN12" s="295"/>
      <c r="AO12" s="298">
        <f>'Unit Savings Calculations'!P8</f>
        <v>0</v>
      </c>
      <c r="AP12" s="405" t="s">
        <v>764</v>
      </c>
      <c r="AQ12" s="300">
        <f t="shared" ref="AQ12:AQ28" si="40">J12*AO12*T12</f>
        <v>0</v>
      </c>
      <c r="AR12" s="297">
        <f t="shared" ref="AR12:AR28" si="41">AQ12-X12</f>
        <v>0</v>
      </c>
      <c r="AS12" s="295"/>
      <c r="AT12" s="295"/>
      <c r="AU12" s="298">
        <f>'Unit Savings Calculations'!Q8</f>
        <v>0</v>
      </c>
      <c r="AV12" s="405" t="str">
        <f t="shared" si="14"/>
        <v>n/a</v>
      </c>
      <c r="AW12" s="300">
        <f t="shared" ref="AW12:AW28" si="42">K12*AU12*U12</f>
        <v>0</v>
      </c>
      <c r="AX12" s="297">
        <f t="shared" ref="AX12:AX28" si="43">AW12-Y12</f>
        <v>0</v>
      </c>
      <c r="AY12" s="300">
        <f t="shared" si="17"/>
        <v>0</v>
      </c>
      <c r="AZ12" s="300">
        <f t="shared" si="18"/>
        <v>0</v>
      </c>
      <c r="BA12" s="300">
        <f t="shared" si="19"/>
        <v>0</v>
      </c>
      <c r="BB12" s="300">
        <f t="shared" si="20"/>
        <v>0</v>
      </c>
      <c r="BC12" s="301">
        <f t="shared" si="21"/>
        <v>0</v>
      </c>
      <c r="BD12" s="295" t="s">
        <v>764</v>
      </c>
      <c r="BE12" s="302" t="str">
        <f t="shared" si="22"/>
        <v>Exhibit 1.5A_R North Shore EEPS_Adjustable_Savings_Goal_Template.xlsx, Behavioral Tab</v>
      </c>
      <c r="BF12" s="304"/>
    </row>
    <row r="13" spans="1:58" ht="15.75" customHeight="1">
      <c r="A13" s="295" t="str">
        <f>'Unit Savings Calculations'!C9</f>
        <v>Res - Outreach &amp; Education</v>
      </c>
      <c r="B13" s="295" t="str">
        <f>'Unit Savings Calculations'!D9</f>
        <v>Behavior 2018 Y2 Persistence</v>
      </c>
      <c r="C13" s="296">
        <f t="shared" si="29"/>
        <v>1</v>
      </c>
      <c r="D13" s="295" t="str">
        <f>'Unit Savings Calculations'!T9</f>
        <v>6.1.1</v>
      </c>
      <c r="E13" s="460">
        <f>INDEX('Unit Savings Calculations'!$H$4:$H$421,MATCH('Measure-Level Adjustments Tab'!$A13&amp;"_"&amp;'Measure-Level Adjustments Tab'!$B13,'Unit Savings Calculations'!$A$4:$A$421,0))</f>
        <v>0</v>
      </c>
      <c r="F13" s="460">
        <f>INDEX('Unit Savings Calculations'!$I$4:$I$421,MATCH('Measure-Level Adjustments Tab'!A13&amp;"_"&amp;'Measure-Level Adjustments Tab'!B13,'Unit Savings Calculations'!$A$4:$A$421,0))</f>
        <v>0</v>
      </c>
      <c r="G13" s="295" t="str">
        <f>'Unit Savings Calculations'!E9</f>
        <v>each</v>
      </c>
      <c r="H13" s="297">
        <v>0</v>
      </c>
      <c r="I13" s="297">
        <v>0</v>
      </c>
      <c r="J13" s="297">
        <v>0</v>
      </c>
      <c r="K13" s="297">
        <f>'Unit Savings Calculations'!$F9*'Unit Savings Calculations'!M9</f>
        <v>0</v>
      </c>
      <c r="L13" s="295" t="str">
        <f>'Unit Savings Calculations'!U9</f>
        <v>CC-BEH-BEHP-V02-16061</v>
      </c>
      <c r="M13" s="405" t="str">
        <f>'Unit Savings Calculations'!R9</f>
        <v>Exhibit 1.5A_R North Shore EEPS_Adjustable_Savings_Goal_Template.xlsx, Behavioral Tab</v>
      </c>
      <c r="N13" s="298">
        <v>0</v>
      </c>
      <c r="O13" s="298">
        <v>0</v>
      </c>
      <c r="P13" s="298">
        <v>0</v>
      </c>
      <c r="Q13" s="298">
        <v>0</v>
      </c>
      <c r="R13" s="299">
        <f>'Unit Savings Calculations'!$G9</f>
        <v>1</v>
      </c>
      <c r="S13" s="299">
        <f>'Unit Savings Calculations'!$G9</f>
        <v>1</v>
      </c>
      <c r="T13" s="299">
        <f>'Unit Savings Calculations'!$G9</f>
        <v>1</v>
      </c>
      <c r="U13" s="299">
        <f>'Unit Savings Calculations'!$G9</f>
        <v>1</v>
      </c>
      <c r="V13" s="300">
        <f t="shared" si="30"/>
        <v>0</v>
      </c>
      <c r="W13" s="300">
        <f t="shared" si="31"/>
        <v>0</v>
      </c>
      <c r="X13" s="300">
        <f t="shared" si="32"/>
        <v>0</v>
      </c>
      <c r="Y13" s="300">
        <f t="shared" si="33"/>
        <v>0</v>
      </c>
      <c r="Z13" s="300">
        <f t="shared" si="34"/>
        <v>0</v>
      </c>
      <c r="AA13" s="295"/>
      <c r="AB13" s="295"/>
      <c r="AC13" s="298">
        <f>'Unit Savings Calculations'!N9</f>
        <v>2.0331666407501103</v>
      </c>
      <c r="AD13" s="295"/>
      <c r="AE13" s="300">
        <f t="shared" si="35"/>
        <v>0</v>
      </c>
      <c r="AF13" s="297">
        <f t="shared" si="36"/>
        <v>0</v>
      </c>
      <c r="AG13" s="295"/>
      <c r="AH13" s="295">
        <f t="shared" si="37"/>
        <v>0</v>
      </c>
      <c r="AI13" s="298">
        <f>'Unit Savings Calculations'!O9</f>
        <v>0</v>
      </c>
      <c r="AJ13" s="405" t="s">
        <v>879</v>
      </c>
      <c r="AK13" s="300">
        <f t="shared" si="38"/>
        <v>0</v>
      </c>
      <c r="AL13" s="297">
        <f t="shared" si="39"/>
        <v>0</v>
      </c>
      <c r="AM13" s="295"/>
      <c r="AN13" s="295"/>
      <c r="AO13" s="298">
        <f>'Unit Savings Calculations'!P9</f>
        <v>0</v>
      </c>
      <c r="AP13" s="405" t="s">
        <v>764</v>
      </c>
      <c r="AQ13" s="300">
        <f t="shared" si="40"/>
        <v>0</v>
      </c>
      <c r="AR13" s="297">
        <f t="shared" si="41"/>
        <v>0</v>
      </c>
      <c r="AS13" s="295"/>
      <c r="AT13" s="295"/>
      <c r="AU13" s="298">
        <f>'Unit Savings Calculations'!Q9</f>
        <v>0</v>
      </c>
      <c r="AV13" s="405" t="str">
        <f t="shared" si="14"/>
        <v>n/a</v>
      </c>
      <c r="AW13" s="300">
        <f t="shared" si="42"/>
        <v>0</v>
      </c>
      <c r="AX13" s="297">
        <f t="shared" si="43"/>
        <v>0</v>
      </c>
      <c r="AY13" s="300">
        <f t="shared" si="17"/>
        <v>0</v>
      </c>
      <c r="AZ13" s="300">
        <f t="shared" si="18"/>
        <v>0</v>
      </c>
      <c r="BA13" s="300">
        <f t="shared" si="19"/>
        <v>0</v>
      </c>
      <c r="BB13" s="300">
        <f t="shared" si="20"/>
        <v>0</v>
      </c>
      <c r="BC13" s="301">
        <f t="shared" si="21"/>
        <v>0</v>
      </c>
      <c r="BD13" s="295" t="s">
        <v>764</v>
      </c>
      <c r="BE13" s="302" t="str">
        <f t="shared" si="22"/>
        <v>Exhibit 1.5A_R North Shore EEPS_Adjustable_Savings_Goal_Template.xlsx, Behavioral Tab</v>
      </c>
      <c r="BF13" s="304"/>
    </row>
    <row r="14" spans="1:58" ht="15.75" customHeight="1">
      <c r="A14" s="295" t="str">
        <f>'Unit Savings Calculations'!C10</f>
        <v>Res - Outreach &amp; Education</v>
      </c>
      <c r="B14" s="295" t="str">
        <f>'Unit Savings Calculations'!D10</f>
        <v>Behavior 2018 Y3 Persistence</v>
      </c>
      <c r="C14" s="296">
        <f t="shared" si="29"/>
        <v>1</v>
      </c>
      <c r="D14" s="295" t="str">
        <f>'Unit Savings Calculations'!T10</f>
        <v>6.1.1</v>
      </c>
      <c r="E14" s="460">
        <f>INDEX('Unit Savings Calculations'!$H$4:$H$421,MATCH('Measure-Level Adjustments Tab'!$A14&amp;"_"&amp;'Measure-Level Adjustments Tab'!$B14,'Unit Savings Calculations'!$A$4:$A$421,0))</f>
        <v>0</v>
      </c>
      <c r="F14" s="460">
        <f>INDEX('Unit Savings Calculations'!$I$4:$I$421,MATCH('Measure-Level Adjustments Tab'!A14&amp;"_"&amp;'Measure-Level Adjustments Tab'!B14,'Unit Savings Calculations'!$A$4:$A$421,0))</f>
        <v>0</v>
      </c>
      <c r="G14" s="295" t="str">
        <f>'Unit Savings Calculations'!E10</f>
        <v>each</v>
      </c>
      <c r="H14" s="297">
        <v>0</v>
      </c>
      <c r="I14" s="297">
        <v>0</v>
      </c>
      <c r="J14" s="297">
        <v>0</v>
      </c>
      <c r="K14" s="297">
        <f>'Unit Savings Calculations'!$F10*'Unit Savings Calculations'!M10</f>
        <v>0</v>
      </c>
      <c r="L14" s="295" t="str">
        <f>'Unit Savings Calculations'!U10</f>
        <v>CC-BEH-BEHP-V02-16061</v>
      </c>
      <c r="M14" s="405" t="str">
        <f>'Unit Savings Calculations'!R10</f>
        <v>Exhibit 1.5A_R North Shore EEPS_Adjustable_Savings_Goal_Template.xlsx, Behavioral Tab</v>
      </c>
      <c r="N14" s="298">
        <v>0</v>
      </c>
      <c r="O14" s="298">
        <v>0</v>
      </c>
      <c r="P14" s="298">
        <v>0</v>
      </c>
      <c r="Q14" s="298">
        <v>0</v>
      </c>
      <c r="R14" s="299">
        <f>'Unit Savings Calculations'!$G10</f>
        <v>1</v>
      </c>
      <c r="S14" s="299">
        <f>'Unit Savings Calculations'!$G10</f>
        <v>1</v>
      </c>
      <c r="T14" s="299">
        <f>'Unit Savings Calculations'!$G10</f>
        <v>1</v>
      </c>
      <c r="U14" s="299">
        <f>'Unit Savings Calculations'!$G10</f>
        <v>1</v>
      </c>
      <c r="V14" s="300">
        <f t="shared" si="30"/>
        <v>0</v>
      </c>
      <c r="W14" s="300">
        <f t="shared" si="31"/>
        <v>0</v>
      </c>
      <c r="X14" s="300">
        <f t="shared" si="32"/>
        <v>0</v>
      </c>
      <c r="Y14" s="300">
        <f t="shared" si="33"/>
        <v>0</v>
      </c>
      <c r="Z14" s="300">
        <f t="shared" si="34"/>
        <v>0</v>
      </c>
      <c r="AA14" s="295"/>
      <c r="AB14" s="295"/>
      <c r="AC14" s="298">
        <f>'Unit Savings Calculations'!N10</f>
        <v>0.89396380757070759</v>
      </c>
      <c r="AD14" s="295"/>
      <c r="AE14" s="300">
        <f t="shared" si="35"/>
        <v>0</v>
      </c>
      <c r="AF14" s="297">
        <f t="shared" si="36"/>
        <v>0</v>
      </c>
      <c r="AG14" s="295"/>
      <c r="AH14" s="295">
        <f t="shared" si="37"/>
        <v>0</v>
      </c>
      <c r="AI14" s="298">
        <f>'Unit Savings Calculations'!O10</f>
        <v>0</v>
      </c>
      <c r="AJ14" s="405" t="s">
        <v>879</v>
      </c>
      <c r="AK14" s="300">
        <f t="shared" si="38"/>
        <v>0</v>
      </c>
      <c r="AL14" s="297">
        <f t="shared" si="39"/>
        <v>0</v>
      </c>
      <c r="AM14" s="295"/>
      <c r="AN14" s="295"/>
      <c r="AO14" s="298">
        <f>'Unit Savings Calculations'!P10</f>
        <v>0</v>
      </c>
      <c r="AP14" s="405" t="s">
        <v>764</v>
      </c>
      <c r="AQ14" s="300">
        <f t="shared" si="40"/>
        <v>0</v>
      </c>
      <c r="AR14" s="297">
        <f t="shared" si="41"/>
        <v>0</v>
      </c>
      <c r="AS14" s="295"/>
      <c r="AT14" s="295"/>
      <c r="AU14" s="298">
        <f>'Unit Savings Calculations'!Q10</f>
        <v>0</v>
      </c>
      <c r="AV14" s="405" t="str">
        <f t="shared" si="14"/>
        <v>n/a</v>
      </c>
      <c r="AW14" s="300">
        <f t="shared" si="42"/>
        <v>0</v>
      </c>
      <c r="AX14" s="297">
        <f t="shared" si="43"/>
        <v>0</v>
      </c>
      <c r="AY14" s="300">
        <f t="shared" si="17"/>
        <v>0</v>
      </c>
      <c r="AZ14" s="300">
        <f t="shared" si="18"/>
        <v>0</v>
      </c>
      <c r="BA14" s="300">
        <f t="shared" si="19"/>
        <v>0</v>
      </c>
      <c r="BB14" s="300">
        <f t="shared" si="20"/>
        <v>0</v>
      </c>
      <c r="BC14" s="301">
        <f t="shared" si="21"/>
        <v>0</v>
      </c>
      <c r="BD14" s="295" t="s">
        <v>764</v>
      </c>
      <c r="BE14" s="302" t="str">
        <f t="shared" si="22"/>
        <v>Exhibit 1.5A_R North Shore EEPS_Adjustable_Savings_Goal_Template.xlsx, Behavioral Tab</v>
      </c>
      <c r="BF14" s="304"/>
    </row>
    <row r="15" spans="1:58" ht="15.75" customHeight="1">
      <c r="A15" s="295" t="str">
        <f>'Unit Savings Calculations'!C11</f>
        <v>Res - Outreach &amp; Education</v>
      </c>
      <c r="B15" s="295" t="str">
        <f>'Unit Savings Calculations'!D11</f>
        <v>Behavior 2018 Y4 Persistence</v>
      </c>
      <c r="C15" s="296">
        <f t="shared" si="29"/>
        <v>1</v>
      </c>
      <c r="D15" s="295" t="str">
        <f>'Unit Savings Calculations'!T11</f>
        <v>6.1.1</v>
      </c>
      <c r="E15" s="460">
        <f>INDEX('Unit Savings Calculations'!$H$4:$H$421,MATCH('Measure-Level Adjustments Tab'!$A15&amp;"_"&amp;'Measure-Level Adjustments Tab'!$B15,'Unit Savings Calculations'!$A$4:$A$421,0))</f>
        <v>0</v>
      </c>
      <c r="F15" s="460">
        <f>INDEX('Unit Savings Calculations'!$I$4:$I$421,MATCH('Measure-Level Adjustments Tab'!A15&amp;"_"&amp;'Measure-Level Adjustments Tab'!B15,'Unit Savings Calculations'!$A$4:$A$421,0))</f>
        <v>0</v>
      </c>
      <c r="G15" s="295" t="str">
        <f>'Unit Savings Calculations'!E11</f>
        <v>each</v>
      </c>
      <c r="H15" s="297">
        <v>0</v>
      </c>
      <c r="I15" s="297">
        <v>0</v>
      </c>
      <c r="J15" s="297">
        <v>0</v>
      </c>
      <c r="K15" s="297">
        <f>'Unit Savings Calculations'!$F11*'Unit Savings Calculations'!M11</f>
        <v>0</v>
      </c>
      <c r="L15" s="295" t="str">
        <f>'Unit Savings Calculations'!U11</f>
        <v>CC-BEH-BEHP-V02-16061</v>
      </c>
      <c r="M15" s="405" t="str">
        <f>'Unit Savings Calculations'!R11</f>
        <v>Exhibit 1.5A_R North Shore EEPS_Adjustable_Savings_Goal_Template.xlsx, Behavioral Tab</v>
      </c>
      <c r="N15" s="298">
        <v>0</v>
      </c>
      <c r="O15" s="298">
        <v>0</v>
      </c>
      <c r="P15" s="298">
        <v>0</v>
      </c>
      <c r="Q15" s="298">
        <v>0</v>
      </c>
      <c r="R15" s="299">
        <f>'Unit Savings Calculations'!$G11</f>
        <v>1</v>
      </c>
      <c r="S15" s="299">
        <f>'Unit Savings Calculations'!$G11</f>
        <v>1</v>
      </c>
      <c r="T15" s="299">
        <f>'Unit Savings Calculations'!$G11</f>
        <v>1</v>
      </c>
      <c r="U15" s="299">
        <f>'Unit Savings Calculations'!$G11</f>
        <v>1</v>
      </c>
      <c r="V15" s="300">
        <f t="shared" si="30"/>
        <v>0</v>
      </c>
      <c r="W15" s="300">
        <f t="shared" si="31"/>
        <v>0</v>
      </c>
      <c r="X15" s="300">
        <f t="shared" si="32"/>
        <v>0</v>
      </c>
      <c r="Y15" s="300">
        <f t="shared" si="33"/>
        <v>0</v>
      </c>
      <c r="Z15" s="300">
        <f t="shared" si="34"/>
        <v>0</v>
      </c>
      <c r="AA15" s="295"/>
      <c r="AB15" s="295"/>
      <c r="AC15" s="298">
        <f>'Unit Savings Calculations'!N11</f>
        <v>0.38821460140728836</v>
      </c>
      <c r="AD15" s="295"/>
      <c r="AE15" s="300">
        <f t="shared" si="35"/>
        <v>0</v>
      </c>
      <c r="AF15" s="297">
        <f t="shared" si="36"/>
        <v>0</v>
      </c>
      <c r="AG15" s="295"/>
      <c r="AH15" s="295">
        <f t="shared" si="37"/>
        <v>0</v>
      </c>
      <c r="AI15" s="298">
        <f>'Unit Savings Calculations'!O11</f>
        <v>0</v>
      </c>
      <c r="AJ15" s="405" t="s">
        <v>879</v>
      </c>
      <c r="AK15" s="300">
        <f t="shared" si="38"/>
        <v>0</v>
      </c>
      <c r="AL15" s="297">
        <f t="shared" si="39"/>
        <v>0</v>
      </c>
      <c r="AM15" s="295"/>
      <c r="AN15" s="295"/>
      <c r="AO15" s="298">
        <f>'Unit Savings Calculations'!P11</f>
        <v>0</v>
      </c>
      <c r="AP15" s="405" t="s">
        <v>764</v>
      </c>
      <c r="AQ15" s="300">
        <f t="shared" si="40"/>
        <v>0</v>
      </c>
      <c r="AR15" s="297">
        <f t="shared" si="41"/>
        <v>0</v>
      </c>
      <c r="AS15" s="295"/>
      <c r="AT15" s="295"/>
      <c r="AU15" s="298">
        <f>'Unit Savings Calculations'!Q11</f>
        <v>0</v>
      </c>
      <c r="AV15" s="405" t="str">
        <f t="shared" si="14"/>
        <v>n/a</v>
      </c>
      <c r="AW15" s="300">
        <f t="shared" si="42"/>
        <v>0</v>
      </c>
      <c r="AX15" s="297">
        <f t="shared" si="43"/>
        <v>0</v>
      </c>
      <c r="AY15" s="300">
        <f t="shared" si="17"/>
        <v>0</v>
      </c>
      <c r="AZ15" s="300">
        <f t="shared" si="18"/>
        <v>0</v>
      </c>
      <c r="BA15" s="300">
        <f t="shared" si="19"/>
        <v>0</v>
      </c>
      <c r="BB15" s="300">
        <f t="shared" si="20"/>
        <v>0</v>
      </c>
      <c r="BC15" s="301">
        <f t="shared" si="21"/>
        <v>0</v>
      </c>
      <c r="BD15" s="295" t="s">
        <v>764</v>
      </c>
      <c r="BE15" s="302" t="str">
        <f t="shared" si="22"/>
        <v>Exhibit 1.5A_R North Shore EEPS_Adjustable_Savings_Goal_Template.xlsx, Behavioral Tab</v>
      </c>
      <c r="BF15" s="304"/>
    </row>
    <row r="16" spans="1:58" ht="15.75" customHeight="1">
      <c r="A16" s="295" t="str">
        <f>'Unit Savings Calculations'!C12</f>
        <v>Res - Outreach &amp; Education</v>
      </c>
      <c r="B16" s="295" t="str">
        <f>'Unit Savings Calculations'!D12</f>
        <v>Behavior 2019 Y1 Persistence</v>
      </c>
      <c r="C16" s="296">
        <f t="shared" si="29"/>
        <v>1</v>
      </c>
      <c r="D16" s="295" t="str">
        <f>'Unit Savings Calculations'!T12</f>
        <v>6.1.1</v>
      </c>
      <c r="E16" s="460">
        <f>INDEX('Unit Savings Calculations'!$H$4:$H$421,MATCH('Measure-Level Adjustments Tab'!$A16&amp;"_"&amp;'Measure-Level Adjustments Tab'!$B16,'Unit Savings Calculations'!$A$4:$A$421,0))</f>
        <v>0</v>
      </c>
      <c r="F16" s="460">
        <f>INDEX('Unit Savings Calculations'!$I$4:$I$421,MATCH('Measure-Level Adjustments Tab'!A16&amp;"_"&amp;'Measure-Level Adjustments Tab'!B16,'Unit Savings Calculations'!$A$4:$A$421,0))</f>
        <v>0</v>
      </c>
      <c r="G16" s="295" t="str">
        <f>'Unit Savings Calculations'!E12</f>
        <v>each</v>
      </c>
      <c r="H16" s="297">
        <v>0</v>
      </c>
      <c r="I16" s="297">
        <v>0</v>
      </c>
      <c r="J16" s="297">
        <v>0</v>
      </c>
      <c r="K16" s="297">
        <f>'Unit Savings Calculations'!$F12*'Unit Savings Calculations'!M12</f>
        <v>0</v>
      </c>
      <c r="L16" s="295" t="str">
        <f>'Unit Savings Calculations'!U12</f>
        <v>CC-BEH-BEHP-V02-16061</v>
      </c>
      <c r="M16" s="405" t="str">
        <f>'Unit Savings Calculations'!R12</f>
        <v>Exhibit 1.5A_R North Shore EEPS_Adjustable_Savings_Goal_Template.xlsx, Behavioral Tab</v>
      </c>
      <c r="N16" s="298">
        <v>0</v>
      </c>
      <c r="O16" s="298">
        <v>0</v>
      </c>
      <c r="P16" s="298">
        <v>0</v>
      </c>
      <c r="Q16" s="298">
        <v>0</v>
      </c>
      <c r="R16" s="299">
        <f>'Unit Savings Calculations'!$G12</f>
        <v>1</v>
      </c>
      <c r="S16" s="299">
        <f>'Unit Savings Calculations'!$G12</f>
        <v>1</v>
      </c>
      <c r="T16" s="299">
        <f>'Unit Savings Calculations'!$G12</f>
        <v>1</v>
      </c>
      <c r="U16" s="299">
        <f>'Unit Savings Calculations'!$G12</f>
        <v>1</v>
      </c>
      <c r="V16" s="300">
        <f t="shared" si="30"/>
        <v>0</v>
      </c>
      <c r="W16" s="300">
        <f t="shared" si="31"/>
        <v>0</v>
      </c>
      <c r="X16" s="300">
        <f t="shared" si="32"/>
        <v>0</v>
      </c>
      <c r="Y16" s="300">
        <f t="shared" si="33"/>
        <v>0</v>
      </c>
      <c r="Z16" s="300">
        <f t="shared" si="34"/>
        <v>0</v>
      </c>
      <c r="AA16" s="295"/>
      <c r="AB16" s="295"/>
      <c r="AC16" s="298">
        <f>'Unit Savings Calculations'!N12</f>
        <v>0</v>
      </c>
      <c r="AD16" s="295"/>
      <c r="AE16" s="300">
        <f t="shared" si="35"/>
        <v>0</v>
      </c>
      <c r="AF16" s="297">
        <f t="shared" si="36"/>
        <v>0</v>
      </c>
      <c r="AG16" s="295"/>
      <c r="AH16" s="295">
        <f t="shared" si="37"/>
        <v>0</v>
      </c>
      <c r="AI16" s="298">
        <f>'Unit Savings Calculations'!O12</f>
        <v>2.6662727303441587</v>
      </c>
      <c r="AJ16" s="405" t="s">
        <v>879</v>
      </c>
      <c r="AK16" s="300">
        <f t="shared" si="38"/>
        <v>0</v>
      </c>
      <c r="AL16" s="297">
        <f t="shared" si="39"/>
        <v>0</v>
      </c>
      <c r="AM16" s="295"/>
      <c r="AN16" s="295"/>
      <c r="AO16" s="298">
        <f>'Unit Savings Calculations'!P12</f>
        <v>0</v>
      </c>
      <c r="AP16" s="405" t="s">
        <v>764</v>
      </c>
      <c r="AQ16" s="300">
        <f t="shared" si="40"/>
        <v>0</v>
      </c>
      <c r="AR16" s="297">
        <f t="shared" si="41"/>
        <v>0</v>
      </c>
      <c r="AS16" s="295"/>
      <c r="AT16" s="295"/>
      <c r="AU16" s="298">
        <f>'Unit Savings Calculations'!Q12</f>
        <v>0</v>
      </c>
      <c r="AV16" s="405" t="str">
        <f t="shared" si="14"/>
        <v>n/a</v>
      </c>
      <c r="AW16" s="300">
        <f t="shared" si="42"/>
        <v>0</v>
      </c>
      <c r="AX16" s="297">
        <f t="shared" si="43"/>
        <v>0</v>
      </c>
      <c r="AY16" s="300">
        <f t="shared" si="17"/>
        <v>0</v>
      </c>
      <c r="AZ16" s="300">
        <f t="shared" si="18"/>
        <v>0</v>
      </c>
      <c r="BA16" s="300">
        <f t="shared" si="19"/>
        <v>0</v>
      </c>
      <c r="BB16" s="300">
        <f t="shared" si="20"/>
        <v>0</v>
      </c>
      <c r="BC16" s="301">
        <f t="shared" si="21"/>
        <v>0</v>
      </c>
      <c r="BD16" s="295" t="s">
        <v>764</v>
      </c>
      <c r="BE16" s="302" t="str">
        <f t="shared" si="22"/>
        <v>Exhibit 1.5A_R North Shore EEPS_Adjustable_Savings_Goal_Template.xlsx, Behavioral Tab</v>
      </c>
      <c r="BF16" s="304"/>
    </row>
    <row r="17" spans="1:58" ht="15.75" customHeight="1">
      <c r="A17" s="295" t="str">
        <f>'Unit Savings Calculations'!C13</f>
        <v>Res - Outreach &amp; Education</v>
      </c>
      <c r="B17" s="295" t="str">
        <f>'Unit Savings Calculations'!D13</f>
        <v>Behavior 2019 Y2 Persistence</v>
      </c>
      <c r="C17" s="296">
        <f t="shared" si="29"/>
        <v>1</v>
      </c>
      <c r="D17" s="295" t="str">
        <f>'Unit Savings Calculations'!T13</f>
        <v>6.1.1</v>
      </c>
      <c r="E17" s="460">
        <f>INDEX('Unit Savings Calculations'!$H$4:$H$421,MATCH('Measure-Level Adjustments Tab'!$A17&amp;"_"&amp;'Measure-Level Adjustments Tab'!$B17,'Unit Savings Calculations'!$A$4:$A$421,0))</f>
        <v>0</v>
      </c>
      <c r="F17" s="460">
        <f>INDEX('Unit Savings Calculations'!$I$4:$I$421,MATCH('Measure-Level Adjustments Tab'!A17&amp;"_"&amp;'Measure-Level Adjustments Tab'!B17,'Unit Savings Calculations'!$A$4:$A$421,0))</f>
        <v>0</v>
      </c>
      <c r="G17" s="295" t="str">
        <f>'Unit Savings Calculations'!E13</f>
        <v>each</v>
      </c>
      <c r="H17" s="297">
        <v>0</v>
      </c>
      <c r="I17" s="297">
        <v>0</v>
      </c>
      <c r="J17" s="297">
        <v>0</v>
      </c>
      <c r="K17" s="297">
        <f>'Unit Savings Calculations'!$F13*'Unit Savings Calculations'!M13</f>
        <v>0</v>
      </c>
      <c r="L17" s="295" t="str">
        <f>'Unit Savings Calculations'!U13</f>
        <v>CC-BEH-BEHP-V02-16061</v>
      </c>
      <c r="M17" s="405" t="str">
        <f>'Unit Savings Calculations'!R13</f>
        <v>Exhibit 1.5A_R North Shore EEPS_Adjustable_Savings_Goal_Template.xlsx, Behavioral Tab</v>
      </c>
      <c r="N17" s="298">
        <v>0</v>
      </c>
      <c r="O17" s="298">
        <v>0</v>
      </c>
      <c r="P17" s="298">
        <v>0</v>
      </c>
      <c r="Q17" s="298">
        <v>0</v>
      </c>
      <c r="R17" s="299">
        <f>'Unit Savings Calculations'!$G13</f>
        <v>1</v>
      </c>
      <c r="S17" s="299">
        <f>'Unit Savings Calculations'!$G13</f>
        <v>1</v>
      </c>
      <c r="T17" s="299">
        <f>'Unit Savings Calculations'!$G13</f>
        <v>1</v>
      </c>
      <c r="U17" s="299">
        <f>'Unit Savings Calculations'!$G13</f>
        <v>1</v>
      </c>
      <c r="V17" s="300">
        <f t="shared" si="30"/>
        <v>0</v>
      </c>
      <c r="W17" s="300">
        <f t="shared" si="31"/>
        <v>0</v>
      </c>
      <c r="X17" s="300">
        <f t="shared" si="32"/>
        <v>0</v>
      </c>
      <c r="Y17" s="300">
        <f t="shared" si="33"/>
        <v>0</v>
      </c>
      <c r="Z17" s="300">
        <f t="shared" si="34"/>
        <v>0</v>
      </c>
      <c r="AA17" s="295"/>
      <c r="AB17" s="295"/>
      <c r="AC17" s="298">
        <f>'Unit Savings Calculations'!N13</f>
        <v>0</v>
      </c>
      <c r="AD17" s="295"/>
      <c r="AE17" s="300">
        <f t="shared" si="35"/>
        <v>0</v>
      </c>
      <c r="AF17" s="297">
        <f t="shared" si="36"/>
        <v>0</v>
      </c>
      <c r="AG17" s="295"/>
      <c r="AH17" s="295">
        <f t="shared" si="37"/>
        <v>0</v>
      </c>
      <c r="AI17" s="298">
        <f>'Unit Savings Calculations'!O13</f>
        <v>1.1578611980572944</v>
      </c>
      <c r="AJ17" s="405" t="s">
        <v>879</v>
      </c>
      <c r="AK17" s="300">
        <f t="shared" si="38"/>
        <v>0</v>
      </c>
      <c r="AL17" s="297">
        <f t="shared" si="39"/>
        <v>0</v>
      </c>
      <c r="AM17" s="295"/>
      <c r="AN17" s="295"/>
      <c r="AO17" s="298">
        <f>'Unit Savings Calculations'!P13</f>
        <v>0</v>
      </c>
      <c r="AP17" s="405" t="s">
        <v>764</v>
      </c>
      <c r="AQ17" s="300">
        <f t="shared" si="40"/>
        <v>0</v>
      </c>
      <c r="AR17" s="297">
        <f t="shared" si="41"/>
        <v>0</v>
      </c>
      <c r="AS17" s="295"/>
      <c r="AT17" s="295"/>
      <c r="AU17" s="298">
        <f>'Unit Savings Calculations'!Q13</f>
        <v>0</v>
      </c>
      <c r="AV17" s="405" t="str">
        <f t="shared" si="14"/>
        <v>n/a</v>
      </c>
      <c r="AW17" s="300">
        <f t="shared" si="42"/>
        <v>0</v>
      </c>
      <c r="AX17" s="297">
        <f t="shared" si="43"/>
        <v>0</v>
      </c>
      <c r="AY17" s="300">
        <f t="shared" si="17"/>
        <v>0</v>
      </c>
      <c r="AZ17" s="300">
        <f t="shared" si="18"/>
        <v>0</v>
      </c>
      <c r="BA17" s="300">
        <f t="shared" si="19"/>
        <v>0</v>
      </c>
      <c r="BB17" s="300">
        <f t="shared" si="20"/>
        <v>0</v>
      </c>
      <c r="BC17" s="301">
        <f t="shared" si="21"/>
        <v>0</v>
      </c>
      <c r="BD17" s="295" t="s">
        <v>764</v>
      </c>
      <c r="BE17" s="302" t="str">
        <f t="shared" si="22"/>
        <v>Exhibit 1.5A_R North Shore EEPS_Adjustable_Savings_Goal_Template.xlsx, Behavioral Tab</v>
      </c>
      <c r="BF17" s="304"/>
    </row>
    <row r="18" spans="1:58" ht="15.75" customHeight="1">
      <c r="A18" s="295" t="str">
        <f>'Unit Savings Calculations'!C14</f>
        <v>Res - Outreach &amp; Education</v>
      </c>
      <c r="B18" s="295" t="str">
        <f>'Unit Savings Calculations'!D14</f>
        <v>Behavior 2019 Y3 Persistence</v>
      </c>
      <c r="C18" s="296">
        <f t="shared" si="29"/>
        <v>1</v>
      </c>
      <c r="D18" s="295" t="str">
        <f>'Unit Savings Calculations'!T14</f>
        <v>6.1.1</v>
      </c>
      <c r="E18" s="460">
        <f>INDEX('Unit Savings Calculations'!$H$4:$H$421,MATCH('Measure-Level Adjustments Tab'!$A18&amp;"_"&amp;'Measure-Level Adjustments Tab'!$B18,'Unit Savings Calculations'!$A$4:$A$421,0))</f>
        <v>0</v>
      </c>
      <c r="F18" s="460">
        <f>INDEX('Unit Savings Calculations'!$I$4:$I$421,MATCH('Measure-Level Adjustments Tab'!A18&amp;"_"&amp;'Measure-Level Adjustments Tab'!B18,'Unit Savings Calculations'!$A$4:$A$421,0))</f>
        <v>0</v>
      </c>
      <c r="G18" s="295" t="str">
        <f>'Unit Savings Calculations'!E14</f>
        <v>each</v>
      </c>
      <c r="H18" s="297">
        <v>0</v>
      </c>
      <c r="I18" s="297">
        <v>0</v>
      </c>
      <c r="J18" s="297">
        <v>0</v>
      </c>
      <c r="K18" s="297">
        <f>'Unit Savings Calculations'!$F14*'Unit Savings Calculations'!M14</f>
        <v>0</v>
      </c>
      <c r="L18" s="295" t="str">
        <f>'Unit Savings Calculations'!U14</f>
        <v>CC-BEH-BEHP-V02-16061</v>
      </c>
      <c r="M18" s="405" t="str">
        <f>'Unit Savings Calculations'!R14</f>
        <v>Exhibit 1.5A_R North Shore EEPS_Adjustable_Savings_Goal_Template.xlsx, Behavioral Tab</v>
      </c>
      <c r="N18" s="298">
        <v>0</v>
      </c>
      <c r="O18" s="298">
        <v>0</v>
      </c>
      <c r="P18" s="298">
        <v>0</v>
      </c>
      <c r="Q18" s="298">
        <v>0</v>
      </c>
      <c r="R18" s="299">
        <f>'Unit Savings Calculations'!$G14</f>
        <v>1</v>
      </c>
      <c r="S18" s="299">
        <f>'Unit Savings Calculations'!$G14</f>
        <v>1</v>
      </c>
      <c r="T18" s="299">
        <f>'Unit Savings Calculations'!$G14</f>
        <v>1</v>
      </c>
      <c r="U18" s="299">
        <f>'Unit Savings Calculations'!$G14</f>
        <v>1</v>
      </c>
      <c r="V18" s="300">
        <f t="shared" si="30"/>
        <v>0</v>
      </c>
      <c r="W18" s="300">
        <f t="shared" si="31"/>
        <v>0</v>
      </c>
      <c r="X18" s="300">
        <f t="shared" si="32"/>
        <v>0</v>
      </c>
      <c r="Y18" s="300">
        <f t="shared" si="33"/>
        <v>0</v>
      </c>
      <c r="Z18" s="300">
        <f t="shared" si="34"/>
        <v>0</v>
      </c>
      <c r="AA18" s="295"/>
      <c r="AB18" s="295"/>
      <c r="AC18" s="298">
        <f>'Unit Savings Calculations'!N14</f>
        <v>0</v>
      </c>
      <c r="AD18" s="295"/>
      <c r="AE18" s="300">
        <f t="shared" si="35"/>
        <v>0</v>
      </c>
      <c r="AF18" s="297">
        <f t="shared" si="36"/>
        <v>0</v>
      </c>
      <c r="AG18" s="295"/>
      <c r="AH18" s="295">
        <f t="shared" si="37"/>
        <v>0</v>
      </c>
      <c r="AI18" s="298">
        <f>'Unit Savings Calculations'!O14</f>
        <v>0.50910042714049175</v>
      </c>
      <c r="AJ18" s="405" t="s">
        <v>879</v>
      </c>
      <c r="AK18" s="300">
        <f t="shared" si="38"/>
        <v>0</v>
      </c>
      <c r="AL18" s="297">
        <f t="shared" si="39"/>
        <v>0</v>
      </c>
      <c r="AM18" s="295"/>
      <c r="AN18" s="295"/>
      <c r="AO18" s="298">
        <f>'Unit Savings Calculations'!P14</f>
        <v>0</v>
      </c>
      <c r="AP18" s="405" t="s">
        <v>764</v>
      </c>
      <c r="AQ18" s="300">
        <f t="shared" si="40"/>
        <v>0</v>
      </c>
      <c r="AR18" s="297">
        <f t="shared" si="41"/>
        <v>0</v>
      </c>
      <c r="AS18" s="295"/>
      <c r="AT18" s="295"/>
      <c r="AU18" s="298">
        <f>'Unit Savings Calculations'!Q14</f>
        <v>0</v>
      </c>
      <c r="AV18" s="405" t="str">
        <f t="shared" si="14"/>
        <v>n/a</v>
      </c>
      <c r="AW18" s="300">
        <f t="shared" si="42"/>
        <v>0</v>
      </c>
      <c r="AX18" s="297">
        <f t="shared" si="43"/>
        <v>0</v>
      </c>
      <c r="AY18" s="300">
        <f t="shared" si="17"/>
        <v>0</v>
      </c>
      <c r="AZ18" s="300">
        <f t="shared" si="18"/>
        <v>0</v>
      </c>
      <c r="BA18" s="300">
        <f t="shared" si="19"/>
        <v>0</v>
      </c>
      <c r="BB18" s="300">
        <f t="shared" si="20"/>
        <v>0</v>
      </c>
      <c r="BC18" s="301">
        <f t="shared" si="21"/>
        <v>0</v>
      </c>
      <c r="BD18" s="295" t="s">
        <v>764</v>
      </c>
      <c r="BE18" s="302" t="str">
        <f t="shared" si="22"/>
        <v>Exhibit 1.5A_R North Shore EEPS_Adjustable_Savings_Goal_Template.xlsx, Behavioral Tab</v>
      </c>
      <c r="BF18" s="304"/>
    </row>
    <row r="19" spans="1:58" ht="15.75" customHeight="1">
      <c r="A19" s="295" t="str">
        <f>'Unit Savings Calculations'!C15</f>
        <v>Res - Outreach &amp; Education</v>
      </c>
      <c r="B19" s="295" t="str">
        <f>'Unit Savings Calculations'!D15</f>
        <v>Behavior 2019 Y4 Persistence</v>
      </c>
      <c r="C19" s="296">
        <f t="shared" si="29"/>
        <v>1</v>
      </c>
      <c r="D19" s="295" t="str">
        <f>'Unit Savings Calculations'!T15</f>
        <v>6.1.1</v>
      </c>
      <c r="E19" s="460">
        <f>INDEX('Unit Savings Calculations'!$H$4:$H$421,MATCH('Measure-Level Adjustments Tab'!$A19&amp;"_"&amp;'Measure-Level Adjustments Tab'!$B19,'Unit Savings Calculations'!$A$4:$A$421,0))</f>
        <v>0</v>
      </c>
      <c r="F19" s="460">
        <f>INDEX('Unit Savings Calculations'!$I$4:$I$421,MATCH('Measure-Level Adjustments Tab'!A19&amp;"_"&amp;'Measure-Level Adjustments Tab'!B19,'Unit Savings Calculations'!$A$4:$A$421,0))</f>
        <v>0</v>
      </c>
      <c r="G19" s="295" t="str">
        <f>'Unit Savings Calculations'!E15</f>
        <v>each</v>
      </c>
      <c r="H19" s="297">
        <v>0</v>
      </c>
      <c r="I19" s="297">
        <v>0</v>
      </c>
      <c r="J19" s="297">
        <v>0</v>
      </c>
      <c r="K19" s="297">
        <f>'Unit Savings Calculations'!$F15*'Unit Savings Calculations'!M15</f>
        <v>0</v>
      </c>
      <c r="L19" s="295" t="str">
        <f>'Unit Savings Calculations'!U15</f>
        <v>CC-BEH-BEHP-V02-16061</v>
      </c>
      <c r="M19" s="405" t="str">
        <f>'Unit Savings Calculations'!R15</f>
        <v>Exhibit 1.5A_R North Shore EEPS_Adjustable_Savings_Goal_Template.xlsx, Behavioral Tab</v>
      </c>
      <c r="N19" s="298">
        <v>0</v>
      </c>
      <c r="O19" s="298">
        <v>0</v>
      </c>
      <c r="P19" s="298">
        <v>0</v>
      </c>
      <c r="Q19" s="298">
        <v>0</v>
      </c>
      <c r="R19" s="299">
        <f>'Unit Savings Calculations'!$G15</f>
        <v>1</v>
      </c>
      <c r="S19" s="299">
        <f>'Unit Savings Calculations'!$G15</f>
        <v>1</v>
      </c>
      <c r="T19" s="299">
        <f>'Unit Savings Calculations'!$G15</f>
        <v>1</v>
      </c>
      <c r="U19" s="299">
        <f>'Unit Savings Calculations'!$G15</f>
        <v>1</v>
      </c>
      <c r="V19" s="300">
        <f t="shared" si="30"/>
        <v>0</v>
      </c>
      <c r="W19" s="300">
        <f t="shared" si="31"/>
        <v>0</v>
      </c>
      <c r="X19" s="300">
        <f t="shared" si="32"/>
        <v>0</v>
      </c>
      <c r="Y19" s="300">
        <f t="shared" si="33"/>
        <v>0</v>
      </c>
      <c r="Z19" s="300">
        <f t="shared" si="34"/>
        <v>0</v>
      </c>
      <c r="AA19" s="295"/>
      <c r="AB19" s="295"/>
      <c r="AC19" s="298">
        <f>'Unit Savings Calculations'!N15</f>
        <v>0</v>
      </c>
      <c r="AD19" s="295"/>
      <c r="AE19" s="300">
        <f t="shared" si="35"/>
        <v>0</v>
      </c>
      <c r="AF19" s="297">
        <f t="shared" si="36"/>
        <v>0</v>
      </c>
      <c r="AG19" s="295"/>
      <c r="AH19" s="295">
        <f t="shared" si="37"/>
        <v>0</v>
      </c>
      <c r="AI19" s="298">
        <f>'Unit Savings Calculations'!O15</f>
        <v>0.22108302117476269</v>
      </c>
      <c r="AJ19" s="405" t="s">
        <v>879</v>
      </c>
      <c r="AK19" s="300">
        <f t="shared" si="38"/>
        <v>0</v>
      </c>
      <c r="AL19" s="297">
        <f t="shared" si="39"/>
        <v>0</v>
      </c>
      <c r="AM19" s="295"/>
      <c r="AN19" s="295"/>
      <c r="AO19" s="298">
        <f>'Unit Savings Calculations'!P15</f>
        <v>0</v>
      </c>
      <c r="AP19" s="405" t="s">
        <v>764</v>
      </c>
      <c r="AQ19" s="300">
        <f t="shared" si="40"/>
        <v>0</v>
      </c>
      <c r="AR19" s="297">
        <f t="shared" si="41"/>
        <v>0</v>
      </c>
      <c r="AS19" s="295"/>
      <c r="AT19" s="295"/>
      <c r="AU19" s="298">
        <f>'Unit Savings Calculations'!Q15</f>
        <v>0</v>
      </c>
      <c r="AV19" s="405" t="str">
        <f t="shared" si="14"/>
        <v>n/a</v>
      </c>
      <c r="AW19" s="300">
        <f t="shared" si="42"/>
        <v>0</v>
      </c>
      <c r="AX19" s="297">
        <f t="shared" si="43"/>
        <v>0</v>
      </c>
      <c r="AY19" s="300">
        <f t="shared" si="17"/>
        <v>0</v>
      </c>
      <c r="AZ19" s="300">
        <f t="shared" si="18"/>
        <v>0</v>
      </c>
      <c r="BA19" s="300">
        <f t="shared" si="19"/>
        <v>0</v>
      </c>
      <c r="BB19" s="300">
        <f t="shared" si="20"/>
        <v>0</v>
      </c>
      <c r="BC19" s="301">
        <f t="shared" si="21"/>
        <v>0</v>
      </c>
      <c r="BD19" s="295" t="s">
        <v>764</v>
      </c>
      <c r="BE19" s="302" t="str">
        <f t="shared" si="22"/>
        <v>Exhibit 1.5A_R North Shore EEPS_Adjustable_Savings_Goal_Template.xlsx, Behavioral Tab</v>
      </c>
      <c r="BF19" s="304"/>
    </row>
    <row r="20" spans="1:58" ht="15.75" customHeight="1">
      <c r="A20" s="295" t="str">
        <f>'Unit Savings Calculations'!C16</f>
        <v>Res - Outreach &amp; Education</v>
      </c>
      <c r="B20" s="295" t="str">
        <f>'Unit Savings Calculations'!D16</f>
        <v>Behavior 2020 Y1 Persistence</v>
      </c>
      <c r="C20" s="296">
        <f t="shared" si="29"/>
        <v>1</v>
      </c>
      <c r="D20" s="295" t="str">
        <f>'Unit Savings Calculations'!T16</f>
        <v>6.1.1</v>
      </c>
      <c r="E20" s="460">
        <f>INDEX('Unit Savings Calculations'!$H$4:$H$421,MATCH('Measure-Level Adjustments Tab'!$A20&amp;"_"&amp;'Measure-Level Adjustments Tab'!$B20,'Unit Savings Calculations'!$A$4:$A$421,0))</f>
        <v>0</v>
      </c>
      <c r="F20" s="460">
        <f>INDEX('Unit Savings Calculations'!$I$4:$I$421,MATCH('Measure-Level Adjustments Tab'!A20&amp;"_"&amp;'Measure-Level Adjustments Tab'!B20,'Unit Savings Calculations'!$A$4:$A$421,0))</f>
        <v>0</v>
      </c>
      <c r="G20" s="295" t="str">
        <f>'Unit Savings Calculations'!E16</f>
        <v>each</v>
      </c>
      <c r="H20" s="297">
        <v>0</v>
      </c>
      <c r="I20" s="297">
        <v>0</v>
      </c>
      <c r="J20" s="297">
        <v>0</v>
      </c>
      <c r="K20" s="297">
        <f>'Unit Savings Calculations'!$F16*'Unit Savings Calculations'!M16</f>
        <v>0</v>
      </c>
      <c r="L20" s="295" t="str">
        <f>'Unit Savings Calculations'!U16</f>
        <v>CC-BEH-BEHP-V02-16061</v>
      </c>
      <c r="M20" s="405" t="str">
        <f>'Unit Savings Calculations'!R16</f>
        <v>Exhibit 1.5A_R North Shore EEPS_Adjustable_Savings_Goal_Template.xlsx, Behavioral Tab</v>
      </c>
      <c r="N20" s="298">
        <v>0</v>
      </c>
      <c r="O20" s="298">
        <v>0</v>
      </c>
      <c r="P20" s="298">
        <v>0</v>
      </c>
      <c r="Q20" s="298">
        <v>0</v>
      </c>
      <c r="R20" s="299">
        <f>'Unit Savings Calculations'!$G16</f>
        <v>1</v>
      </c>
      <c r="S20" s="299">
        <f>'Unit Savings Calculations'!$G16</f>
        <v>1</v>
      </c>
      <c r="T20" s="299">
        <f>'Unit Savings Calculations'!$G16</f>
        <v>1</v>
      </c>
      <c r="U20" s="299">
        <f>'Unit Savings Calculations'!$G16</f>
        <v>1</v>
      </c>
      <c r="V20" s="300">
        <f t="shared" si="30"/>
        <v>0</v>
      </c>
      <c r="W20" s="300">
        <f t="shared" si="31"/>
        <v>0</v>
      </c>
      <c r="X20" s="300">
        <f t="shared" si="32"/>
        <v>0</v>
      </c>
      <c r="Y20" s="300">
        <f t="shared" si="33"/>
        <v>0</v>
      </c>
      <c r="Z20" s="300">
        <f t="shared" si="34"/>
        <v>0</v>
      </c>
      <c r="AA20" s="295"/>
      <c r="AB20" s="295"/>
      <c r="AC20" s="298">
        <f>'Unit Savings Calculations'!N16</f>
        <v>0</v>
      </c>
      <c r="AD20" s="295"/>
      <c r="AE20" s="300">
        <f t="shared" si="35"/>
        <v>0</v>
      </c>
      <c r="AF20" s="297">
        <f t="shared" si="36"/>
        <v>0</v>
      </c>
      <c r="AG20" s="295"/>
      <c r="AH20" s="295">
        <f t="shared" si="37"/>
        <v>0</v>
      </c>
      <c r="AI20" s="298">
        <f>'Unit Savings Calculations'!O16</f>
        <v>0</v>
      </c>
      <c r="AJ20" s="405" t="s">
        <v>879</v>
      </c>
      <c r="AK20" s="300">
        <f t="shared" si="38"/>
        <v>0</v>
      </c>
      <c r="AL20" s="297">
        <f t="shared" si="39"/>
        <v>0</v>
      </c>
      <c r="AM20" s="295"/>
      <c r="AN20" s="295"/>
      <c r="AO20" s="298">
        <f>'Unit Savings Calculations'!P16</f>
        <v>2.6878187664047273</v>
      </c>
      <c r="AP20" s="405" t="s">
        <v>764</v>
      </c>
      <c r="AQ20" s="300">
        <f t="shared" si="40"/>
        <v>0</v>
      </c>
      <c r="AR20" s="297">
        <f t="shared" si="41"/>
        <v>0</v>
      </c>
      <c r="AS20" s="295"/>
      <c r="AT20" s="295"/>
      <c r="AU20" s="298">
        <f>'Unit Savings Calculations'!Q16</f>
        <v>0</v>
      </c>
      <c r="AV20" s="405" t="str">
        <f t="shared" si="14"/>
        <v>n/a</v>
      </c>
      <c r="AW20" s="300">
        <f t="shared" si="42"/>
        <v>0</v>
      </c>
      <c r="AX20" s="297">
        <f t="shared" si="43"/>
        <v>0</v>
      </c>
      <c r="AY20" s="300">
        <f t="shared" si="17"/>
        <v>0</v>
      </c>
      <c r="AZ20" s="300">
        <f t="shared" si="18"/>
        <v>0</v>
      </c>
      <c r="BA20" s="300">
        <f t="shared" si="19"/>
        <v>0</v>
      </c>
      <c r="BB20" s="300">
        <f t="shared" si="20"/>
        <v>0</v>
      </c>
      <c r="BC20" s="301">
        <f t="shared" si="21"/>
        <v>0</v>
      </c>
      <c r="BD20" s="295" t="s">
        <v>764</v>
      </c>
      <c r="BE20" s="302" t="str">
        <f t="shared" si="22"/>
        <v>Exhibit 1.5A_R North Shore EEPS_Adjustable_Savings_Goal_Template.xlsx, Behavioral Tab</v>
      </c>
      <c r="BF20" s="304"/>
    </row>
    <row r="21" spans="1:58" ht="15.75" customHeight="1">
      <c r="A21" s="295" t="str">
        <f>'Unit Savings Calculations'!C17</f>
        <v>Res - Outreach &amp; Education</v>
      </c>
      <c r="B21" s="295" t="str">
        <f>'Unit Savings Calculations'!D17</f>
        <v>Behavior 2020 Y2 Persistence</v>
      </c>
      <c r="C21" s="296">
        <f t="shared" si="29"/>
        <v>1</v>
      </c>
      <c r="D21" s="295" t="str">
        <f>'Unit Savings Calculations'!T17</f>
        <v>6.1.1</v>
      </c>
      <c r="E21" s="460">
        <f>INDEX('Unit Savings Calculations'!$H$4:$H$421,MATCH('Measure-Level Adjustments Tab'!$A21&amp;"_"&amp;'Measure-Level Adjustments Tab'!$B21,'Unit Savings Calculations'!$A$4:$A$421,0))</f>
        <v>0</v>
      </c>
      <c r="F21" s="460">
        <f>INDEX('Unit Savings Calculations'!$I$4:$I$421,MATCH('Measure-Level Adjustments Tab'!A21&amp;"_"&amp;'Measure-Level Adjustments Tab'!B21,'Unit Savings Calculations'!$A$4:$A$421,0))</f>
        <v>0</v>
      </c>
      <c r="G21" s="295" t="str">
        <f>'Unit Savings Calculations'!E17</f>
        <v>each</v>
      </c>
      <c r="H21" s="297">
        <v>0</v>
      </c>
      <c r="I21" s="297">
        <v>0</v>
      </c>
      <c r="J21" s="297">
        <v>0</v>
      </c>
      <c r="K21" s="297">
        <f>'Unit Savings Calculations'!$F17*'Unit Savings Calculations'!M17</f>
        <v>0</v>
      </c>
      <c r="L21" s="295" t="str">
        <f>'Unit Savings Calculations'!U17</f>
        <v>CC-BEH-BEHP-V02-16061</v>
      </c>
      <c r="M21" s="405" t="str">
        <f>'Unit Savings Calculations'!R17</f>
        <v>Exhibit 1.5A_R North Shore EEPS_Adjustable_Savings_Goal_Template.xlsx, Behavioral Tab</v>
      </c>
      <c r="N21" s="298">
        <v>0</v>
      </c>
      <c r="O21" s="298">
        <v>0</v>
      </c>
      <c r="P21" s="298">
        <v>0</v>
      </c>
      <c r="Q21" s="298">
        <v>0</v>
      </c>
      <c r="R21" s="299">
        <f>'Unit Savings Calculations'!$G17</f>
        <v>1</v>
      </c>
      <c r="S21" s="299">
        <f>'Unit Savings Calculations'!$G17</f>
        <v>1</v>
      </c>
      <c r="T21" s="299">
        <f>'Unit Savings Calculations'!$G17</f>
        <v>1</v>
      </c>
      <c r="U21" s="299">
        <f>'Unit Savings Calculations'!$G17</f>
        <v>1</v>
      </c>
      <c r="V21" s="300">
        <f t="shared" si="30"/>
        <v>0</v>
      </c>
      <c r="W21" s="300">
        <f t="shared" si="31"/>
        <v>0</v>
      </c>
      <c r="X21" s="300">
        <f t="shared" si="32"/>
        <v>0</v>
      </c>
      <c r="Y21" s="300">
        <f t="shared" si="33"/>
        <v>0</v>
      </c>
      <c r="Z21" s="300">
        <f t="shared" si="34"/>
        <v>0</v>
      </c>
      <c r="AA21" s="295"/>
      <c r="AB21" s="295"/>
      <c r="AC21" s="298">
        <f>'Unit Savings Calculations'!N17</f>
        <v>0</v>
      </c>
      <c r="AD21" s="295"/>
      <c r="AE21" s="300">
        <f t="shared" si="35"/>
        <v>0</v>
      </c>
      <c r="AF21" s="297">
        <f t="shared" si="36"/>
        <v>0</v>
      </c>
      <c r="AG21" s="295"/>
      <c r="AH21" s="295">
        <f t="shared" si="37"/>
        <v>0</v>
      </c>
      <c r="AI21" s="298">
        <f>'Unit Savings Calculations'!O17</f>
        <v>0</v>
      </c>
      <c r="AJ21" s="405" t="s">
        <v>879</v>
      </c>
      <c r="AK21" s="300">
        <f t="shared" si="38"/>
        <v>0</v>
      </c>
      <c r="AL21" s="297">
        <f t="shared" si="39"/>
        <v>0</v>
      </c>
      <c r="AM21" s="295"/>
      <c r="AN21" s="295"/>
      <c r="AO21" s="298">
        <f>'Unit Savings Calculations'!P17</f>
        <v>1.1672178249479184</v>
      </c>
      <c r="AP21" s="405" t="s">
        <v>764</v>
      </c>
      <c r="AQ21" s="300">
        <f t="shared" si="40"/>
        <v>0</v>
      </c>
      <c r="AR21" s="297">
        <f t="shared" si="41"/>
        <v>0</v>
      </c>
      <c r="AS21" s="295"/>
      <c r="AT21" s="295"/>
      <c r="AU21" s="298">
        <f>'Unit Savings Calculations'!Q17</f>
        <v>0</v>
      </c>
      <c r="AV21" s="405" t="str">
        <f t="shared" si="14"/>
        <v>n/a</v>
      </c>
      <c r="AW21" s="300">
        <f t="shared" si="42"/>
        <v>0</v>
      </c>
      <c r="AX21" s="297">
        <f t="shared" si="43"/>
        <v>0</v>
      </c>
      <c r="AY21" s="300">
        <f t="shared" si="17"/>
        <v>0</v>
      </c>
      <c r="AZ21" s="300">
        <f t="shared" si="18"/>
        <v>0</v>
      </c>
      <c r="BA21" s="300">
        <f t="shared" si="19"/>
        <v>0</v>
      </c>
      <c r="BB21" s="300">
        <f t="shared" si="20"/>
        <v>0</v>
      </c>
      <c r="BC21" s="301">
        <f t="shared" si="21"/>
        <v>0</v>
      </c>
      <c r="BD21" s="295" t="s">
        <v>764</v>
      </c>
      <c r="BE21" s="302" t="str">
        <f t="shared" si="22"/>
        <v>Exhibit 1.5A_R North Shore EEPS_Adjustable_Savings_Goal_Template.xlsx, Behavioral Tab</v>
      </c>
      <c r="BF21" s="304"/>
    </row>
    <row r="22" spans="1:58" ht="15.75" customHeight="1">
      <c r="A22" s="295" t="str">
        <f>'Unit Savings Calculations'!C18</f>
        <v>Res - Outreach &amp; Education</v>
      </c>
      <c r="B22" s="295" t="str">
        <f>'Unit Savings Calculations'!D18</f>
        <v>Behavior 2020 Y3 Persistence</v>
      </c>
      <c r="C22" s="296">
        <f t="shared" si="29"/>
        <v>1</v>
      </c>
      <c r="D22" s="295" t="str">
        <f>'Unit Savings Calculations'!T18</f>
        <v>6.1.1</v>
      </c>
      <c r="E22" s="460">
        <f>INDEX('Unit Savings Calculations'!$H$4:$H$421,MATCH('Measure-Level Adjustments Tab'!$A22&amp;"_"&amp;'Measure-Level Adjustments Tab'!$B22,'Unit Savings Calculations'!$A$4:$A$421,0))</f>
        <v>0</v>
      </c>
      <c r="F22" s="460">
        <f>INDEX('Unit Savings Calculations'!$I$4:$I$421,MATCH('Measure-Level Adjustments Tab'!A22&amp;"_"&amp;'Measure-Level Adjustments Tab'!B22,'Unit Savings Calculations'!$A$4:$A$421,0))</f>
        <v>0</v>
      </c>
      <c r="G22" s="295" t="str">
        <f>'Unit Savings Calculations'!E18</f>
        <v>each</v>
      </c>
      <c r="H22" s="297">
        <v>0</v>
      </c>
      <c r="I22" s="297">
        <v>0</v>
      </c>
      <c r="J22" s="297">
        <v>0</v>
      </c>
      <c r="K22" s="297">
        <f>'Unit Savings Calculations'!$F18*'Unit Savings Calculations'!M18</f>
        <v>0</v>
      </c>
      <c r="L22" s="295" t="str">
        <f>'Unit Savings Calculations'!U18</f>
        <v>CC-BEH-BEHP-V02-16061</v>
      </c>
      <c r="M22" s="405" t="str">
        <f>'Unit Savings Calculations'!R18</f>
        <v>Exhibit 1.5A_R North Shore EEPS_Adjustable_Savings_Goal_Template.xlsx, Behavioral Tab</v>
      </c>
      <c r="N22" s="298">
        <v>0</v>
      </c>
      <c r="O22" s="298">
        <v>0</v>
      </c>
      <c r="P22" s="298">
        <v>0</v>
      </c>
      <c r="Q22" s="298">
        <v>0</v>
      </c>
      <c r="R22" s="299">
        <f>'Unit Savings Calculations'!$G18</f>
        <v>1</v>
      </c>
      <c r="S22" s="299">
        <f>'Unit Savings Calculations'!$G18</f>
        <v>1</v>
      </c>
      <c r="T22" s="299">
        <f>'Unit Savings Calculations'!$G18</f>
        <v>1</v>
      </c>
      <c r="U22" s="299">
        <f>'Unit Savings Calculations'!$G18</f>
        <v>1</v>
      </c>
      <c r="V22" s="300">
        <f t="shared" si="30"/>
        <v>0</v>
      </c>
      <c r="W22" s="300">
        <f t="shared" si="31"/>
        <v>0</v>
      </c>
      <c r="X22" s="300">
        <f t="shared" si="32"/>
        <v>0</v>
      </c>
      <c r="Y22" s="300">
        <f t="shared" si="33"/>
        <v>0</v>
      </c>
      <c r="Z22" s="300">
        <f t="shared" si="34"/>
        <v>0</v>
      </c>
      <c r="AA22" s="295"/>
      <c r="AB22" s="295"/>
      <c r="AC22" s="298">
        <f>'Unit Savings Calculations'!N18</f>
        <v>0</v>
      </c>
      <c r="AD22" s="295"/>
      <c r="AE22" s="300">
        <f t="shared" si="35"/>
        <v>0</v>
      </c>
      <c r="AF22" s="297">
        <f t="shared" si="36"/>
        <v>0</v>
      </c>
      <c r="AG22" s="295"/>
      <c r="AH22" s="295">
        <f t="shared" si="37"/>
        <v>0</v>
      </c>
      <c r="AI22" s="298">
        <f>'Unit Savings Calculations'!O18</f>
        <v>0</v>
      </c>
      <c r="AJ22" s="405" t="s">
        <v>879</v>
      </c>
      <c r="AK22" s="300">
        <f t="shared" si="38"/>
        <v>0</v>
      </c>
      <c r="AL22" s="297">
        <f t="shared" si="39"/>
        <v>0</v>
      </c>
      <c r="AM22" s="295"/>
      <c r="AN22" s="295"/>
      <c r="AO22" s="298">
        <f>'Unit Savings Calculations'!P18</f>
        <v>0.51321444594913934</v>
      </c>
      <c r="AP22" s="405" t="s">
        <v>764</v>
      </c>
      <c r="AQ22" s="300">
        <f t="shared" si="40"/>
        <v>0</v>
      </c>
      <c r="AR22" s="297">
        <f t="shared" si="41"/>
        <v>0</v>
      </c>
      <c r="AS22" s="295"/>
      <c r="AT22" s="295"/>
      <c r="AU22" s="298">
        <f>'Unit Savings Calculations'!Q18</f>
        <v>0</v>
      </c>
      <c r="AV22" s="405" t="str">
        <f t="shared" si="14"/>
        <v>n/a</v>
      </c>
      <c r="AW22" s="300">
        <f t="shared" si="42"/>
        <v>0</v>
      </c>
      <c r="AX22" s="297">
        <f t="shared" si="43"/>
        <v>0</v>
      </c>
      <c r="AY22" s="300">
        <f t="shared" si="17"/>
        <v>0</v>
      </c>
      <c r="AZ22" s="300">
        <f t="shared" si="18"/>
        <v>0</v>
      </c>
      <c r="BA22" s="300">
        <f t="shared" si="19"/>
        <v>0</v>
      </c>
      <c r="BB22" s="300">
        <f t="shared" si="20"/>
        <v>0</v>
      </c>
      <c r="BC22" s="301">
        <f t="shared" si="21"/>
        <v>0</v>
      </c>
      <c r="BD22" s="295" t="s">
        <v>764</v>
      </c>
      <c r="BE22" s="302" t="str">
        <f t="shared" si="22"/>
        <v>Exhibit 1.5A_R North Shore EEPS_Adjustable_Savings_Goal_Template.xlsx, Behavioral Tab</v>
      </c>
      <c r="BF22" s="304"/>
    </row>
    <row r="23" spans="1:58" ht="15.75" customHeight="1">
      <c r="A23" s="295" t="str">
        <f>'Unit Savings Calculations'!C19</f>
        <v>Res - Outreach &amp; Education</v>
      </c>
      <c r="B23" s="295" t="str">
        <f>'Unit Savings Calculations'!D19</f>
        <v>Behavior 2020 Y4 Persistence</v>
      </c>
      <c r="C23" s="296">
        <f t="shared" si="29"/>
        <v>1</v>
      </c>
      <c r="D23" s="295" t="str">
        <f>'Unit Savings Calculations'!T19</f>
        <v>6.1.1</v>
      </c>
      <c r="E23" s="460">
        <f>INDEX('Unit Savings Calculations'!$H$4:$H$421,MATCH('Measure-Level Adjustments Tab'!$A23&amp;"_"&amp;'Measure-Level Adjustments Tab'!$B23,'Unit Savings Calculations'!$A$4:$A$421,0))</f>
        <v>0</v>
      </c>
      <c r="F23" s="460">
        <f>INDEX('Unit Savings Calculations'!$I$4:$I$421,MATCH('Measure-Level Adjustments Tab'!A23&amp;"_"&amp;'Measure-Level Adjustments Tab'!B23,'Unit Savings Calculations'!$A$4:$A$421,0))</f>
        <v>0</v>
      </c>
      <c r="G23" s="295" t="str">
        <f>'Unit Savings Calculations'!E19</f>
        <v>each</v>
      </c>
      <c r="H23" s="297">
        <v>0</v>
      </c>
      <c r="I23" s="297">
        <v>0</v>
      </c>
      <c r="J23" s="297">
        <v>0</v>
      </c>
      <c r="K23" s="297">
        <f>'Unit Savings Calculations'!$F19*'Unit Savings Calculations'!M19</f>
        <v>0</v>
      </c>
      <c r="L23" s="295" t="str">
        <f>'Unit Savings Calculations'!U19</f>
        <v>CC-BEH-BEHP-V02-16061</v>
      </c>
      <c r="M23" s="405" t="str">
        <f>'Unit Savings Calculations'!R19</f>
        <v>Exhibit 1.5A_R North Shore EEPS_Adjustable_Savings_Goal_Template.xlsx, Behavioral Tab</v>
      </c>
      <c r="N23" s="298">
        <v>0</v>
      </c>
      <c r="O23" s="298">
        <v>0</v>
      </c>
      <c r="P23" s="298">
        <v>0</v>
      </c>
      <c r="Q23" s="298">
        <v>0</v>
      </c>
      <c r="R23" s="299">
        <f>'Unit Savings Calculations'!$G19</f>
        <v>1</v>
      </c>
      <c r="S23" s="299">
        <f>'Unit Savings Calculations'!$G19</f>
        <v>1</v>
      </c>
      <c r="T23" s="299">
        <f>'Unit Savings Calculations'!$G19</f>
        <v>1</v>
      </c>
      <c r="U23" s="299">
        <f>'Unit Savings Calculations'!$G19</f>
        <v>1</v>
      </c>
      <c r="V23" s="300">
        <f t="shared" si="30"/>
        <v>0</v>
      </c>
      <c r="W23" s="300">
        <f t="shared" si="31"/>
        <v>0</v>
      </c>
      <c r="X23" s="300">
        <f t="shared" si="32"/>
        <v>0</v>
      </c>
      <c r="Y23" s="300">
        <f t="shared" si="33"/>
        <v>0</v>
      </c>
      <c r="Z23" s="300">
        <f t="shared" si="34"/>
        <v>0</v>
      </c>
      <c r="AA23" s="295"/>
      <c r="AB23" s="295"/>
      <c r="AC23" s="298">
        <f>'Unit Savings Calculations'!N19</f>
        <v>0</v>
      </c>
      <c r="AD23" s="295"/>
      <c r="AE23" s="300">
        <f t="shared" si="35"/>
        <v>0</v>
      </c>
      <c r="AF23" s="297">
        <f t="shared" si="36"/>
        <v>0</v>
      </c>
      <c r="AG23" s="295"/>
      <c r="AH23" s="295">
        <f t="shared" si="37"/>
        <v>0</v>
      </c>
      <c r="AI23" s="298">
        <f>'Unit Savings Calculations'!O19</f>
        <v>0</v>
      </c>
      <c r="AJ23" s="405" t="s">
        <v>879</v>
      </c>
      <c r="AK23" s="300">
        <f t="shared" si="38"/>
        <v>0</v>
      </c>
      <c r="AL23" s="297">
        <f t="shared" si="39"/>
        <v>0</v>
      </c>
      <c r="AM23" s="295"/>
      <c r="AN23" s="295"/>
      <c r="AO23" s="298">
        <f>'Unit Savings Calculations'!P19</f>
        <v>0.22286958362668266</v>
      </c>
      <c r="AP23" s="405" t="s">
        <v>764</v>
      </c>
      <c r="AQ23" s="300">
        <f t="shared" si="40"/>
        <v>0</v>
      </c>
      <c r="AR23" s="297">
        <f t="shared" si="41"/>
        <v>0</v>
      </c>
      <c r="AS23" s="295"/>
      <c r="AT23" s="295"/>
      <c r="AU23" s="298">
        <f>'Unit Savings Calculations'!Q19</f>
        <v>0</v>
      </c>
      <c r="AV23" s="405" t="str">
        <f t="shared" si="14"/>
        <v>n/a</v>
      </c>
      <c r="AW23" s="300">
        <f t="shared" si="42"/>
        <v>0</v>
      </c>
      <c r="AX23" s="297">
        <f t="shared" si="43"/>
        <v>0</v>
      </c>
      <c r="AY23" s="300">
        <f t="shared" si="17"/>
        <v>0</v>
      </c>
      <c r="AZ23" s="300">
        <f t="shared" si="18"/>
        <v>0</v>
      </c>
      <c r="BA23" s="300">
        <f t="shared" si="19"/>
        <v>0</v>
      </c>
      <c r="BB23" s="300">
        <f t="shared" si="20"/>
        <v>0</v>
      </c>
      <c r="BC23" s="301">
        <f t="shared" si="21"/>
        <v>0</v>
      </c>
      <c r="BD23" s="295" t="s">
        <v>764</v>
      </c>
      <c r="BE23" s="302" t="str">
        <f t="shared" si="22"/>
        <v>Exhibit 1.5A_R North Shore EEPS_Adjustable_Savings_Goal_Template.xlsx, Behavioral Tab</v>
      </c>
      <c r="BF23" s="304"/>
    </row>
    <row r="24" spans="1:58" ht="15.75" customHeight="1">
      <c r="A24" s="295" t="str">
        <f>'Unit Savings Calculations'!C20</f>
        <v>Res - Outreach &amp; Education</v>
      </c>
      <c r="B24" s="295" t="str">
        <f>'Unit Savings Calculations'!D20</f>
        <v>Behavior 2021 Y1 Persistence</v>
      </c>
      <c r="C24" s="296">
        <f t="shared" si="29"/>
        <v>1</v>
      </c>
      <c r="D24" s="295" t="str">
        <f>'Unit Savings Calculations'!T20</f>
        <v>6.1.1</v>
      </c>
      <c r="E24" s="460">
        <f>INDEX('Unit Savings Calculations'!$H$4:$H$421,MATCH('Measure-Level Adjustments Tab'!$A24&amp;"_"&amp;'Measure-Level Adjustments Tab'!$B24,'Unit Savings Calculations'!$A$4:$A$421,0))</f>
        <v>0</v>
      </c>
      <c r="F24" s="460">
        <f>INDEX('Unit Savings Calculations'!$I$4:$I$421,MATCH('Measure-Level Adjustments Tab'!A24&amp;"_"&amp;'Measure-Level Adjustments Tab'!B24,'Unit Savings Calculations'!$A$4:$A$421,0))</f>
        <v>0</v>
      </c>
      <c r="G24" s="295" t="str">
        <f>'Unit Savings Calculations'!E20</f>
        <v>each</v>
      </c>
      <c r="H24" s="297">
        <v>0</v>
      </c>
      <c r="I24" s="297">
        <v>0</v>
      </c>
      <c r="J24" s="297">
        <v>0</v>
      </c>
      <c r="K24" s="297">
        <v>0</v>
      </c>
      <c r="L24" s="295" t="str">
        <f>'Unit Savings Calculations'!U20</f>
        <v>CC-BEH-BEHP-V02-16061</v>
      </c>
      <c r="M24" s="405" t="str">
        <f>'Unit Savings Calculations'!R20</f>
        <v>Exhibit 1.5A_R North Shore EEPS_Adjustable_Savings_Goal_Template.xlsx, Behavioral Tab</v>
      </c>
      <c r="N24" s="298">
        <v>0</v>
      </c>
      <c r="O24" s="298">
        <v>0</v>
      </c>
      <c r="P24" s="298">
        <v>0</v>
      </c>
      <c r="Q24" s="298">
        <v>0</v>
      </c>
      <c r="R24" s="299">
        <f>'Unit Savings Calculations'!$G20</f>
        <v>1</v>
      </c>
      <c r="S24" s="299">
        <f>'Unit Savings Calculations'!$G20</f>
        <v>1</v>
      </c>
      <c r="T24" s="299">
        <f>'Unit Savings Calculations'!$G20</f>
        <v>1</v>
      </c>
      <c r="U24" s="299">
        <f>'Unit Savings Calculations'!$G20</f>
        <v>1</v>
      </c>
      <c r="V24" s="300">
        <f t="shared" si="30"/>
        <v>0</v>
      </c>
      <c r="W24" s="300">
        <f t="shared" si="31"/>
        <v>0</v>
      </c>
      <c r="X24" s="300">
        <f t="shared" si="32"/>
        <v>0</v>
      </c>
      <c r="Y24" s="300">
        <f t="shared" si="33"/>
        <v>0</v>
      </c>
      <c r="Z24" s="300">
        <f t="shared" si="34"/>
        <v>0</v>
      </c>
      <c r="AA24" s="295"/>
      <c r="AB24" s="295"/>
      <c r="AC24" s="298">
        <f>'Unit Savings Calculations'!N20</f>
        <v>0</v>
      </c>
      <c r="AD24" s="295"/>
      <c r="AE24" s="300">
        <f t="shared" si="35"/>
        <v>0</v>
      </c>
      <c r="AF24" s="297">
        <f t="shared" si="36"/>
        <v>0</v>
      </c>
      <c r="AG24" s="295"/>
      <c r="AH24" s="295">
        <f t="shared" si="37"/>
        <v>0</v>
      </c>
      <c r="AI24" s="298">
        <f>'Unit Savings Calculations'!O20</f>
        <v>0</v>
      </c>
      <c r="AJ24" s="405" t="s">
        <v>879</v>
      </c>
      <c r="AK24" s="300">
        <f t="shared" si="38"/>
        <v>0</v>
      </c>
      <c r="AL24" s="297">
        <f t="shared" si="39"/>
        <v>0</v>
      </c>
      <c r="AM24" s="295"/>
      <c r="AN24" s="295"/>
      <c r="AO24" s="298">
        <f>'Unit Savings Calculations'!P20</f>
        <v>0</v>
      </c>
      <c r="AP24" s="405" t="s">
        <v>764</v>
      </c>
      <c r="AQ24" s="300">
        <f t="shared" si="40"/>
        <v>0</v>
      </c>
      <c r="AR24" s="297">
        <f t="shared" si="41"/>
        <v>0</v>
      </c>
      <c r="AS24" s="295"/>
      <c r="AT24" s="295"/>
      <c r="AU24" s="298">
        <f>'Unit Savings Calculations'!Q20</f>
        <v>2.7035674491061457</v>
      </c>
      <c r="AV24" s="405" t="str">
        <f t="shared" si="14"/>
        <v>n/a</v>
      </c>
      <c r="AW24" s="300">
        <f t="shared" si="42"/>
        <v>0</v>
      </c>
      <c r="AX24" s="297">
        <f t="shared" si="43"/>
        <v>0</v>
      </c>
      <c r="AY24" s="300">
        <f t="shared" si="17"/>
        <v>0</v>
      </c>
      <c r="AZ24" s="300">
        <f t="shared" si="18"/>
        <v>0</v>
      </c>
      <c r="BA24" s="300">
        <f t="shared" si="19"/>
        <v>0</v>
      </c>
      <c r="BB24" s="300">
        <f t="shared" si="20"/>
        <v>0</v>
      </c>
      <c r="BC24" s="301">
        <f t="shared" si="21"/>
        <v>0</v>
      </c>
      <c r="BD24" s="295" t="s">
        <v>764</v>
      </c>
      <c r="BE24" s="302" t="str">
        <f t="shared" si="22"/>
        <v>Exhibit 1.5A_R North Shore EEPS_Adjustable_Savings_Goal_Template.xlsx, Behavioral Tab</v>
      </c>
      <c r="BF24" s="304"/>
    </row>
    <row r="25" spans="1:58" ht="15.75" customHeight="1">
      <c r="A25" s="295" t="str">
        <f>'Unit Savings Calculations'!C21</f>
        <v>Res - Outreach &amp; Education</v>
      </c>
      <c r="B25" s="295" t="str">
        <f>'Unit Savings Calculations'!D21</f>
        <v>Behavior 2021 Y2 Persistence</v>
      </c>
      <c r="C25" s="296">
        <f t="shared" si="29"/>
        <v>1</v>
      </c>
      <c r="D25" s="295" t="str">
        <f>'Unit Savings Calculations'!T21</f>
        <v>6.1.1</v>
      </c>
      <c r="E25" s="460">
        <f>INDEX('Unit Savings Calculations'!$H$4:$H$421,MATCH('Measure-Level Adjustments Tab'!$A25&amp;"_"&amp;'Measure-Level Adjustments Tab'!$B25,'Unit Savings Calculations'!$A$4:$A$421,0))</f>
        <v>0</v>
      </c>
      <c r="F25" s="460">
        <f>INDEX('Unit Savings Calculations'!$I$4:$I$421,MATCH('Measure-Level Adjustments Tab'!A25&amp;"_"&amp;'Measure-Level Adjustments Tab'!B25,'Unit Savings Calculations'!$A$4:$A$421,0))</f>
        <v>0</v>
      </c>
      <c r="G25" s="295" t="str">
        <f>'Unit Savings Calculations'!E21</f>
        <v>each</v>
      </c>
      <c r="H25" s="297">
        <v>0</v>
      </c>
      <c r="I25" s="297">
        <v>0</v>
      </c>
      <c r="J25" s="297">
        <v>0</v>
      </c>
      <c r="K25" s="297">
        <v>0</v>
      </c>
      <c r="L25" s="295" t="str">
        <f>'Unit Savings Calculations'!U21</f>
        <v>CC-BEH-BEHP-V02-16061</v>
      </c>
      <c r="M25" s="405" t="str">
        <f>'Unit Savings Calculations'!R21</f>
        <v>Exhibit 1.5A_R North Shore EEPS_Adjustable_Savings_Goal_Template.xlsx, Behavioral Tab</v>
      </c>
      <c r="N25" s="298">
        <v>0</v>
      </c>
      <c r="O25" s="298">
        <v>0</v>
      </c>
      <c r="P25" s="298">
        <v>0</v>
      </c>
      <c r="Q25" s="298">
        <v>0</v>
      </c>
      <c r="R25" s="299">
        <f>'Unit Savings Calculations'!$G21</f>
        <v>1</v>
      </c>
      <c r="S25" s="299">
        <f>'Unit Savings Calculations'!$G21</f>
        <v>1</v>
      </c>
      <c r="T25" s="299">
        <f>'Unit Savings Calculations'!$G21</f>
        <v>1</v>
      </c>
      <c r="U25" s="299">
        <f>'Unit Savings Calculations'!$G21</f>
        <v>1</v>
      </c>
      <c r="V25" s="300">
        <f t="shared" si="30"/>
        <v>0</v>
      </c>
      <c r="W25" s="300">
        <f t="shared" si="31"/>
        <v>0</v>
      </c>
      <c r="X25" s="300">
        <f t="shared" si="32"/>
        <v>0</v>
      </c>
      <c r="Y25" s="300">
        <f t="shared" si="33"/>
        <v>0</v>
      </c>
      <c r="Z25" s="300">
        <f t="shared" si="34"/>
        <v>0</v>
      </c>
      <c r="AA25" s="295"/>
      <c r="AB25" s="295"/>
      <c r="AC25" s="298">
        <f>'Unit Savings Calculations'!N21</f>
        <v>0</v>
      </c>
      <c r="AD25" s="295"/>
      <c r="AE25" s="300">
        <f t="shared" si="35"/>
        <v>0</v>
      </c>
      <c r="AF25" s="297">
        <f t="shared" si="36"/>
        <v>0</v>
      </c>
      <c r="AG25" s="295"/>
      <c r="AH25" s="295">
        <f t="shared" si="37"/>
        <v>0</v>
      </c>
      <c r="AI25" s="298">
        <f>'Unit Savings Calculations'!O21</f>
        <v>0</v>
      </c>
      <c r="AJ25" s="405" t="s">
        <v>879</v>
      </c>
      <c r="AK25" s="300">
        <f t="shared" si="38"/>
        <v>0</v>
      </c>
      <c r="AL25" s="297">
        <f t="shared" si="39"/>
        <v>0</v>
      </c>
      <c r="AM25" s="295"/>
      <c r="AN25" s="295"/>
      <c r="AO25" s="298">
        <f>'Unit Savings Calculations'!P21</f>
        <v>0</v>
      </c>
      <c r="AP25" s="405" t="s">
        <v>764</v>
      </c>
      <c r="AQ25" s="300">
        <f t="shared" si="40"/>
        <v>0</v>
      </c>
      <c r="AR25" s="297">
        <f t="shared" si="41"/>
        <v>0</v>
      </c>
      <c r="AS25" s="295"/>
      <c r="AT25" s="295"/>
      <c r="AU25" s="298">
        <f>'Unit Savings Calculations'!Q21</f>
        <v>1.1740568809878209</v>
      </c>
      <c r="AV25" s="405" t="str">
        <f t="shared" si="14"/>
        <v>n/a</v>
      </c>
      <c r="AW25" s="300">
        <f t="shared" si="42"/>
        <v>0</v>
      </c>
      <c r="AX25" s="297">
        <f t="shared" si="43"/>
        <v>0</v>
      </c>
      <c r="AY25" s="300">
        <f t="shared" si="17"/>
        <v>0</v>
      </c>
      <c r="AZ25" s="300">
        <f t="shared" si="18"/>
        <v>0</v>
      </c>
      <c r="BA25" s="300">
        <f t="shared" si="19"/>
        <v>0</v>
      </c>
      <c r="BB25" s="300">
        <f t="shared" si="20"/>
        <v>0</v>
      </c>
      <c r="BC25" s="301">
        <f t="shared" si="21"/>
        <v>0</v>
      </c>
      <c r="BD25" s="295" t="s">
        <v>764</v>
      </c>
      <c r="BE25" s="302" t="str">
        <f t="shared" si="22"/>
        <v>Exhibit 1.5A_R North Shore EEPS_Adjustable_Savings_Goal_Template.xlsx, Behavioral Tab</v>
      </c>
      <c r="BF25" s="304"/>
    </row>
    <row r="26" spans="1:58" ht="15.75" customHeight="1">
      <c r="A26" s="295" t="str">
        <f>'Unit Savings Calculations'!C22</f>
        <v>Res - Outreach &amp; Education</v>
      </c>
      <c r="B26" s="295" t="str">
        <f>'Unit Savings Calculations'!D22</f>
        <v>Behavior 2021 Y3 Persistence</v>
      </c>
      <c r="C26" s="296">
        <f t="shared" si="29"/>
        <v>1</v>
      </c>
      <c r="D26" s="295" t="str">
        <f>'Unit Savings Calculations'!T22</f>
        <v>6.1.1</v>
      </c>
      <c r="E26" s="460">
        <f>INDEX('Unit Savings Calculations'!$H$4:$H$421,MATCH('Measure-Level Adjustments Tab'!$A26&amp;"_"&amp;'Measure-Level Adjustments Tab'!$B26,'Unit Savings Calculations'!$A$4:$A$421,0))</f>
        <v>0</v>
      </c>
      <c r="F26" s="460">
        <f>INDEX('Unit Savings Calculations'!$I$4:$I$421,MATCH('Measure-Level Adjustments Tab'!A26&amp;"_"&amp;'Measure-Level Adjustments Tab'!B26,'Unit Savings Calculations'!$A$4:$A$421,0))</f>
        <v>0</v>
      </c>
      <c r="G26" s="295" t="str">
        <f>'Unit Savings Calculations'!E22</f>
        <v>each</v>
      </c>
      <c r="H26" s="297">
        <v>0</v>
      </c>
      <c r="I26" s="297">
        <v>0</v>
      </c>
      <c r="J26" s="297">
        <v>0</v>
      </c>
      <c r="K26" s="297">
        <v>0</v>
      </c>
      <c r="L26" s="295" t="str">
        <f>'Unit Savings Calculations'!U22</f>
        <v>CC-BEH-BEHP-V02-16061</v>
      </c>
      <c r="M26" s="405" t="str">
        <f>'Unit Savings Calculations'!R22</f>
        <v>Exhibit 1.5A_R North Shore EEPS_Adjustable_Savings_Goal_Template.xlsx, Behavioral Tab</v>
      </c>
      <c r="N26" s="298">
        <v>0</v>
      </c>
      <c r="O26" s="298">
        <v>0</v>
      </c>
      <c r="P26" s="298">
        <v>0</v>
      </c>
      <c r="Q26" s="298">
        <v>0</v>
      </c>
      <c r="R26" s="299">
        <f>'Unit Savings Calculations'!$G22</f>
        <v>1</v>
      </c>
      <c r="S26" s="299">
        <f>'Unit Savings Calculations'!$G22</f>
        <v>1</v>
      </c>
      <c r="T26" s="299">
        <f>'Unit Savings Calculations'!$G22</f>
        <v>1</v>
      </c>
      <c r="U26" s="299">
        <f>'Unit Savings Calculations'!$G22</f>
        <v>1</v>
      </c>
      <c r="V26" s="300">
        <f t="shared" si="30"/>
        <v>0</v>
      </c>
      <c r="W26" s="300">
        <f t="shared" si="31"/>
        <v>0</v>
      </c>
      <c r="X26" s="300">
        <f t="shared" si="32"/>
        <v>0</v>
      </c>
      <c r="Y26" s="300">
        <f t="shared" si="33"/>
        <v>0</v>
      </c>
      <c r="Z26" s="300">
        <f t="shared" si="34"/>
        <v>0</v>
      </c>
      <c r="AA26" s="295"/>
      <c r="AB26" s="295"/>
      <c r="AC26" s="298">
        <f>'Unit Savings Calculations'!N22</f>
        <v>0</v>
      </c>
      <c r="AD26" s="295"/>
      <c r="AE26" s="300">
        <f t="shared" si="35"/>
        <v>0</v>
      </c>
      <c r="AF26" s="297">
        <f t="shared" si="36"/>
        <v>0</v>
      </c>
      <c r="AG26" s="295"/>
      <c r="AH26" s="295">
        <f t="shared" si="37"/>
        <v>0</v>
      </c>
      <c r="AI26" s="298">
        <f>'Unit Savings Calculations'!O22</f>
        <v>0</v>
      </c>
      <c r="AJ26" s="405" t="s">
        <v>879</v>
      </c>
      <c r="AK26" s="300">
        <f t="shared" si="38"/>
        <v>0</v>
      </c>
      <c r="AL26" s="297">
        <f t="shared" si="39"/>
        <v>0</v>
      </c>
      <c r="AM26" s="295"/>
      <c r="AN26" s="295"/>
      <c r="AO26" s="298">
        <f>'Unit Savings Calculations'!P22</f>
        <v>0</v>
      </c>
      <c r="AP26" s="405" t="s">
        <v>764</v>
      </c>
      <c r="AQ26" s="300">
        <f t="shared" si="40"/>
        <v>0</v>
      </c>
      <c r="AR26" s="297">
        <f t="shared" si="41"/>
        <v>0</v>
      </c>
      <c r="AS26" s="295"/>
      <c r="AT26" s="295"/>
      <c r="AU26" s="298">
        <f>'Unit Savings Calculations'!Q22</f>
        <v>0.51622151308032393</v>
      </c>
      <c r="AV26" s="405" t="str">
        <f t="shared" si="14"/>
        <v>n/a</v>
      </c>
      <c r="AW26" s="300">
        <f t="shared" si="42"/>
        <v>0</v>
      </c>
      <c r="AX26" s="297">
        <f t="shared" si="43"/>
        <v>0</v>
      </c>
      <c r="AY26" s="300">
        <f t="shared" si="17"/>
        <v>0</v>
      </c>
      <c r="AZ26" s="300">
        <f t="shared" si="18"/>
        <v>0</v>
      </c>
      <c r="BA26" s="300">
        <f t="shared" si="19"/>
        <v>0</v>
      </c>
      <c r="BB26" s="300">
        <f t="shared" si="20"/>
        <v>0</v>
      </c>
      <c r="BC26" s="301">
        <f t="shared" si="21"/>
        <v>0</v>
      </c>
      <c r="BD26" s="295" t="s">
        <v>764</v>
      </c>
      <c r="BE26" s="302" t="str">
        <f t="shared" si="22"/>
        <v>Exhibit 1.5A_R North Shore EEPS_Adjustable_Savings_Goal_Template.xlsx, Behavioral Tab</v>
      </c>
      <c r="BF26" s="304"/>
    </row>
    <row r="27" spans="1:58" ht="15.75" customHeight="1">
      <c r="A27" s="295" t="str">
        <f>'Unit Savings Calculations'!C23</f>
        <v>Res - Outreach &amp; Education</v>
      </c>
      <c r="B27" s="295" t="str">
        <f>'Unit Savings Calculations'!D23</f>
        <v>Behavior 2021 Y4 Persistence</v>
      </c>
      <c r="C27" s="296">
        <f t="shared" si="29"/>
        <v>1</v>
      </c>
      <c r="D27" s="295" t="str">
        <f>'Unit Savings Calculations'!T23</f>
        <v>6.1.1</v>
      </c>
      <c r="E27" s="460">
        <f>INDEX('Unit Savings Calculations'!$H$4:$H$421,MATCH('Measure-Level Adjustments Tab'!$A27&amp;"_"&amp;'Measure-Level Adjustments Tab'!$B27,'Unit Savings Calculations'!$A$4:$A$421,0))</f>
        <v>0</v>
      </c>
      <c r="F27" s="460">
        <f>INDEX('Unit Savings Calculations'!$I$4:$I$421,MATCH('Measure-Level Adjustments Tab'!A27&amp;"_"&amp;'Measure-Level Adjustments Tab'!B27,'Unit Savings Calculations'!$A$4:$A$421,0))</f>
        <v>0</v>
      </c>
      <c r="G27" s="295" t="str">
        <f>'Unit Savings Calculations'!E23</f>
        <v>each</v>
      </c>
      <c r="H27" s="297">
        <v>0</v>
      </c>
      <c r="I27" s="297">
        <v>0</v>
      </c>
      <c r="J27" s="297">
        <v>0</v>
      </c>
      <c r="K27" s="297">
        <v>0</v>
      </c>
      <c r="L27" s="295" t="str">
        <f>'Unit Savings Calculations'!U23</f>
        <v>CC-BEH-BEHP-V02-16061</v>
      </c>
      <c r="M27" s="405" t="str">
        <f>'Unit Savings Calculations'!R23</f>
        <v>Exhibit 1.5A_R North Shore EEPS_Adjustable_Savings_Goal_Template.xlsx, Behavioral Tab</v>
      </c>
      <c r="N27" s="298">
        <v>0</v>
      </c>
      <c r="O27" s="298">
        <v>0</v>
      </c>
      <c r="P27" s="298">
        <v>0</v>
      </c>
      <c r="Q27" s="298">
        <v>0</v>
      </c>
      <c r="R27" s="299">
        <f>'Unit Savings Calculations'!$G23</f>
        <v>1</v>
      </c>
      <c r="S27" s="299">
        <f>'Unit Savings Calculations'!$G23</f>
        <v>1</v>
      </c>
      <c r="T27" s="299">
        <f>'Unit Savings Calculations'!$G23</f>
        <v>1</v>
      </c>
      <c r="U27" s="299">
        <f>'Unit Savings Calculations'!$G23</f>
        <v>1</v>
      </c>
      <c r="V27" s="300">
        <f t="shared" si="30"/>
        <v>0</v>
      </c>
      <c r="W27" s="300">
        <f t="shared" si="31"/>
        <v>0</v>
      </c>
      <c r="X27" s="300">
        <f t="shared" si="32"/>
        <v>0</v>
      </c>
      <c r="Y27" s="300">
        <f t="shared" si="33"/>
        <v>0</v>
      </c>
      <c r="Z27" s="300">
        <f t="shared" si="34"/>
        <v>0</v>
      </c>
      <c r="AA27" s="295"/>
      <c r="AB27" s="295"/>
      <c r="AC27" s="298">
        <f>'Unit Savings Calculations'!N23</f>
        <v>0</v>
      </c>
      <c r="AD27" s="295"/>
      <c r="AE27" s="300">
        <f t="shared" si="35"/>
        <v>0</v>
      </c>
      <c r="AF27" s="297">
        <f t="shared" si="36"/>
        <v>0</v>
      </c>
      <c r="AG27" s="295"/>
      <c r="AH27" s="295">
        <f t="shared" si="37"/>
        <v>0</v>
      </c>
      <c r="AI27" s="298">
        <f>'Unit Savings Calculations'!O23</f>
        <v>0</v>
      </c>
      <c r="AJ27" s="405" t="s">
        <v>879</v>
      </c>
      <c r="AK27" s="300">
        <f t="shared" si="38"/>
        <v>0</v>
      </c>
      <c r="AL27" s="297">
        <f t="shared" si="39"/>
        <v>0</v>
      </c>
      <c r="AM27" s="295"/>
      <c r="AN27" s="295"/>
      <c r="AO27" s="298">
        <f>'Unit Savings Calculations'!P23</f>
        <v>0</v>
      </c>
      <c r="AP27" s="405" t="s">
        <v>764</v>
      </c>
      <c r="AQ27" s="300">
        <f t="shared" si="40"/>
        <v>0</v>
      </c>
      <c r="AR27" s="297">
        <f t="shared" si="41"/>
        <v>0</v>
      </c>
      <c r="AS27" s="295"/>
      <c r="AT27" s="295"/>
      <c r="AU27" s="298">
        <f>'Unit Savings Calculations'!Q23</f>
        <v>0.22417543891730132</v>
      </c>
      <c r="AV27" s="405" t="str">
        <f t="shared" si="14"/>
        <v>n/a</v>
      </c>
      <c r="AW27" s="300">
        <f t="shared" si="42"/>
        <v>0</v>
      </c>
      <c r="AX27" s="297">
        <f t="shared" si="43"/>
        <v>0</v>
      </c>
      <c r="AY27" s="300">
        <f t="shared" si="17"/>
        <v>0</v>
      </c>
      <c r="AZ27" s="300">
        <f t="shared" si="18"/>
        <v>0</v>
      </c>
      <c r="BA27" s="300">
        <f t="shared" si="19"/>
        <v>0</v>
      </c>
      <c r="BB27" s="300">
        <f t="shared" si="20"/>
        <v>0</v>
      </c>
      <c r="BC27" s="301">
        <f t="shared" si="21"/>
        <v>0</v>
      </c>
      <c r="BD27" s="295" t="s">
        <v>764</v>
      </c>
      <c r="BE27" s="302" t="str">
        <f t="shared" si="22"/>
        <v>Exhibit 1.5A_R North Shore EEPS_Adjustable_Savings_Goal_Template.xlsx, Behavioral Tab</v>
      </c>
      <c r="BF27" s="304"/>
    </row>
    <row r="28" spans="1:58" ht="15.75" customHeight="1">
      <c r="A28" s="295" t="str">
        <f>'Unit Savings Calculations'!C24</f>
        <v>Res - Outreach &amp; Education</v>
      </c>
      <c r="B28" s="295" t="str">
        <f>'Unit Savings Calculations'!D24</f>
        <v>Energy Education</v>
      </c>
      <c r="C28" s="296">
        <f t="shared" si="29"/>
        <v>0</v>
      </c>
      <c r="D28" s="295" t="str">
        <f>'Unit Savings Calculations'!T24</f>
        <v>Custom</v>
      </c>
      <c r="E28" s="460">
        <f>INDEX('Unit Savings Calculations'!$H$4:$H$421,MATCH('Measure-Level Adjustments Tab'!$A28&amp;"_"&amp;'Measure-Level Adjustments Tab'!$B28,'Unit Savings Calculations'!$A$4:$A$421,0))</f>
        <v>4</v>
      </c>
      <c r="F28" s="460">
        <f>INDEX('Unit Savings Calculations'!$I$4:$I$421,MATCH('Measure-Level Adjustments Tab'!A28&amp;"_"&amp;'Measure-Level Adjustments Tab'!B28,'Unit Savings Calculations'!$A$4:$A$421,0))</f>
        <v>4</v>
      </c>
      <c r="G28" s="295" t="str">
        <f>'Unit Savings Calculations'!E24</f>
        <v>each</v>
      </c>
      <c r="H28" s="297">
        <f>'Unit Savings Calculations'!$F24*'Unit Savings Calculations'!J24</f>
        <v>1375</v>
      </c>
      <c r="I28" s="297">
        <f>'Unit Savings Calculations'!$F24*'Unit Savings Calculations'!K24</f>
        <v>1375</v>
      </c>
      <c r="J28" s="297">
        <f>'Unit Savings Calculations'!$F24*'Unit Savings Calculations'!L24</f>
        <v>1375</v>
      </c>
      <c r="K28" s="297">
        <f>'Unit Savings Calculations'!$F24*'Unit Savings Calculations'!M24</f>
        <v>1375</v>
      </c>
      <c r="L28" s="295" t="str">
        <f>'Unit Savings Calculations'!U24</f>
        <v>Custom</v>
      </c>
      <c r="M28" s="405" t="str">
        <f>'Unit Savings Calculations'!R24</f>
        <v>Custom</v>
      </c>
      <c r="N28" s="298">
        <v>10</v>
      </c>
      <c r="O28" s="298">
        <v>10</v>
      </c>
      <c r="P28" s="298">
        <v>10</v>
      </c>
      <c r="Q28" s="298">
        <v>10</v>
      </c>
      <c r="R28" s="299">
        <f>'Unit Savings Calculations'!$G24</f>
        <v>1</v>
      </c>
      <c r="S28" s="299">
        <f>'Unit Savings Calculations'!$G24</f>
        <v>1</v>
      </c>
      <c r="T28" s="299">
        <f>'Unit Savings Calculations'!$G24</f>
        <v>1</v>
      </c>
      <c r="U28" s="299">
        <f>'Unit Savings Calculations'!$G24</f>
        <v>1</v>
      </c>
      <c r="V28" s="300">
        <f t="shared" si="30"/>
        <v>13750</v>
      </c>
      <c r="W28" s="300">
        <f t="shared" si="31"/>
        <v>13750</v>
      </c>
      <c r="X28" s="300">
        <f t="shared" si="32"/>
        <v>13750</v>
      </c>
      <c r="Y28" s="300">
        <f t="shared" si="33"/>
        <v>13750</v>
      </c>
      <c r="Z28" s="300">
        <f t="shared" si="34"/>
        <v>55000</v>
      </c>
      <c r="AA28" s="406"/>
      <c r="AB28" s="406"/>
      <c r="AC28" s="409">
        <f>'Unit Savings Calculations'!N24</f>
        <v>10</v>
      </c>
      <c r="AD28" s="406"/>
      <c r="AE28" s="407">
        <f t="shared" si="35"/>
        <v>13750</v>
      </c>
      <c r="AF28" s="408">
        <f t="shared" si="36"/>
        <v>0</v>
      </c>
      <c r="AG28" s="406"/>
      <c r="AH28" s="406">
        <f t="shared" si="37"/>
        <v>0</v>
      </c>
      <c r="AI28" s="409">
        <f>'Unit Savings Calculations'!O24</f>
        <v>10</v>
      </c>
      <c r="AJ28" s="457" t="s">
        <v>879</v>
      </c>
      <c r="AK28" s="407">
        <f t="shared" si="38"/>
        <v>13750</v>
      </c>
      <c r="AL28" s="408">
        <f t="shared" si="39"/>
        <v>0</v>
      </c>
      <c r="AM28" s="406"/>
      <c r="AN28" s="406"/>
      <c r="AO28" s="409">
        <f>'Unit Savings Calculations'!P24</f>
        <v>10</v>
      </c>
      <c r="AP28" s="457" t="s">
        <v>764</v>
      </c>
      <c r="AQ28" s="407">
        <f t="shared" si="40"/>
        <v>13750</v>
      </c>
      <c r="AR28" s="408">
        <f t="shared" si="41"/>
        <v>0</v>
      </c>
      <c r="AS28" s="406"/>
      <c r="AT28" s="406"/>
      <c r="AU28" s="409">
        <f>'Unit Savings Calculations'!Q24</f>
        <v>10</v>
      </c>
      <c r="AV28" s="457" t="str">
        <f t="shared" si="14"/>
        <v>n/a</v>
      </c>
      <c r="AW28" s="407">
        <f t="shared" si="42"/>
        <v>13750</v>
      </c>
      <c r="AX28" s="408">
        <f t="shared" si="43"/>
        <v>0</v>
      </c>
      <c r="AY28" s="300">
        <f t="shared" si="17"/>
        <v>13750</v>
      </c>
      <c r="AZ28" s="300">
        <f t="shared" si="18"/>
        <v>13750</v>
      </c>
      <c r="BA28" s="300">
        <f t="shared" si="19"/>
        <v>13750</v>
      </c>
      <c r="BB28" s="300">
        <f t="shared" si="20"/>
        <v>13750</v>
      </c>
      <c r="BC28" s="301">
        <f t="shared" si="21"/>
        <v>55000</v>
      </c>
      <c r="BD28" s="295" t="s">
        <v>764</v>
      </c>
      <c r="BE28" s="302" t="str">
        <f t="shared" si="22"/>
        <v>Custom</v>
      </c>
      <c r="BF28" s="304"/>
    </row>
    <row r="29" spans="1:58" ht="15.75" customHeight="1">
      <c r="A29" s="295" t="str">
        <f>'Unit Savings Calculations'!C25</f>
        <v>Res - SF Assessments</v>
      </c>
      <c r="B29" s="295" t="str">
        <f>'Unit Savings Calculations'!D25</f>
        <v>Bathroom Aerator</v>
      </c>
      <c r="C29" s="296">
        <f t="shared" si="23"/>
        <v>1</v>
      </c>
      <c r="D29" s="295" t="str">
        <f>'Unit Savings Calculations'!T25</f>
        <v>5.4.4</v>
      </c>
      <c r="E29" s="460">
        <f>INDEX('Unit Savings Calculations'!$H$4:$H$421,MATCH('Measure-Level Adjustments Tab'!$A29&amp;"_"&amp;'Measure-Level Adjustments Tab'!$B29,'Unit Savings Calculations'!$A$4:$A$421,0))</f>
        <v>9</v>
      </c>
      <c r="F29" s="460">
        <f>INDEX('Unit Savings Calculations'!$I$4:$I$421,MATCH('Measure-Level Adjustments Tab'!A29&amp;"_"&amp;'Measure-Level Adjustments Tab'!B29,'Unit Savings Calculations'!$A$4:$A$421,0))</f>
        <v>10</v>
      </c>
      <c r="G29" s="295" t="str">
        <f>'Unit Savings Calculations'!E25</f>
        <v>each</v>
      </c>
      <c r="H29" s="297">
        <f>'Unit Savings Calculations'!$F25*'Unit Savings Calculations'!J25</f>
        <v>3920</v>
      </c>
      <c r="I29" s="297">
        <f>'Unit Savings Calculations'!$F25*'Unit Savings Calculations'!K25</f>
        <v>3920</v>
      </c>
      <c r="J29" s="297">
        <f>'Unit Savings Calculations'!$F25*'Unit Savings Calculations'!L25</f>
        <v>3864</v>
      </c>
      <c r="K29" s="297">
        <f>'Unit Savings Calculations'!$F25*'Unit Savings Calculations'!M25</f>
        <v>3920</v>
      </c>
      <c r="L29" s="295" t="str">
        <f>'Unit Savings Calculations'!U25</f>
        <v>RS-HWE-LFFA-V06-180101</v>
      </c>
      <c r="M29" s="405" t="str">
        <f>'Unit Savings Calculations'!R25</f>
        <v>Exhibit 1.5A_R North Shore EEPS_Adjustable_Savings_Goal_Template.xlsx, Unit Savings Calculations Tab</v>
      </c>
      <c r="N29" s="298">
        <v>0.69292055940766484</v>
      </c>
      <c r="O29" s="298">
        <v>0.69292055940766484</v>
      </c>
      <c r="P29" s="298">
        <v>0.69292055940766484</v>
      </c>
      <c r="Q29" s="298">
        <v>0.69292055940766484</v>
      </c>
      <c r="R29" s="299">
        <f>'Unit Savings Calculations'!$G25</f>
        <v>0.96</v>
      </c>
      <c r="S29" s="299">
        <f>'Unit Savings Calculations'!$G25</f>
        <v>0.96</v>
      </c>
      <c r="T29" s="299">
        <f>'Unit Savings Calculations'!$G25</f>
        <v>0.96</v>
      </c>
      <c r="U29" s="299">
        <f>'Unit Savings Calculations'!$G25</f>
        <v>0.96</v>
      </c>
      <c r="V29" s="300">
        <f t="shared" ref="V29:V92" si="44">H29*N29*R29</f>
        <v>2607.5986491629242</v>
      </c>
      <c r="W29" s="300">
        <f t="shared" ref="W29:W92" si="45">I29*O29*S29</f>
        <v>2607.5986491629242</v>
      </c>
      <c r="X29" s="300">
        <f t="shared" ref="X29:X92" si="46">J29*P29*T29</f>
        <v>2570.3472398891681</v>
      </c>
      <c r="Y29" s="300">
        <f t="shared" ref="Y29:Y92" si="47">K29*Q29*U29</f>
        <v>2607.5986491629242</v>
      </c>
      <c r="Z29" s="300">
        <f t="shared" ref="Z29:Z92" si="48">V29+W29+X29+Y29</f>
        <v>10393.14318737794</v>
      </c>
      <c r="AA29" s="295"/>
      <c r="AB29" s="295"/>
      <c r="AC29" s="298">
        <f>'Unit Savings Calculations'!N25</f>
        <v>0.90849584455671673</v>
      </c>
      <c r="AD29" s="295"/>
      <c r="AE29" s="300">
        <f t="shared" si="7"/>
        <v>3418.8515622358364</v>
      </c>
      <c r="AF29" s="297">
        <f t="shared" si="8"/>
        <v>811.25291307291218</v>
      </c>
      <c r="AG29" s="295"/>
      <c r="AH29" s="295">
        <f t="shared" si="9"/>
        <v>0</v>
      </c>
      <c r="AI29" s="298">
        <f>'Unit Savings Calculations'!O25</f>
        <v>0.90849584455671673</v>
      </c>
      <c r="AJ29" s="405" t="s">
        <v>1017</v>
      </c>
      <c r="AK29" s="300">
        <f t="shared" si="10"/>
        <v>3418.8515622358364</v>
      </c>
      <c r="AL29" s="297">
        <f t="shared" si="11"/>
        <v>811.25291307291218</v>
      </c>
      <c r="AM29" s="295"/>
      <c r="AN29" s="295"/>
      <c r="AO29" s="298">
        <f>'Unit Savings Calculations'!P25</f>
        <v>0.90849584455671673</v>
      </c>
      <c r="AP29" s="405" t="s">
        <v>764</v>
      </c>
      <c r="AQ29" s="300">
        <f t="shared" si="12"/>
        <v>3370.0108256324675</v>
      </c>
      <c r="AR29" s="297">
        <f t="shared" si="13"/>
        <v>799.66358574329934</v>
      </c>
      <c r="AS29" s="295"/>
      <c r="AT29" s="295"/>
      <c r="AU29" s="298">
        <f>'Unit Savings Calculations'!Q25</f>
        <v>0.90849584455671673</v>
      </c>
      <c r="AV29" s="405" t="str">
        <f t="shared" si="14"/>
        <v>n/a</v>
      </c>
      <c r="AW29" s="300">
        <f t="shared" si="15"/>
        <v>3418.8515622358364</v>
      </c>
      <c r="AX29" s="297">
        <f t="shared" si="16"/>
        <v>811.25291307291218</v>
      </c>
      <c r="AY29" s="300">
        <f t="shared" si="17"/>
        <v>3418.8515622358364</v>
      </c>
      <c r="AZ29" s="300">
        <f t="shared" si="18"/>
        <v>3418.8515622358364</v>
      </c>
      <c r="BA29" s="300">
        <f t="shared" si="19"/>
        <v>3370.0108256324675</v>
      </c>
      <c r="BB29" s="300">
        <f t="shared" si="20"/>
        <v>3418.8515622358364</v>
      </c>
      <c r="BC29" s="301">
        <f t="shared" si="21"/>
        <v>13626.565512339977</v>
      </c>
      <c r="BD29" s="295" t="s">
        <v>764</v>
      </c>
      <c r="BE29" s="302" t="str">
        <f t="shared" si="22"/>
        <v>Exhibit 1.5A_R North Shore EEPS_Adjustable_Savings_Goal_Template.xlsx, Unit Savings Calculations Tab</v>
      </c>
      <c r="BF29" s="304"/>
    </row>
    <row r="30" spans="1:58" ht="15.75" customHeight="1">
      <c r="A30" s="295" t="str">
        <f>'Unit Savings Calculations'!C26</f>
        <v>Res - SF Assessments</v>
      </c>
      <c r="B30" s="295" t="str">
        <f>'Unit Savings Calculations'!D26</f>
        <v>Kitchen Aerator</v>
      </c>
      <c r="C30" s="296">
        <f t="shared" si="23"/>
        <v>1</v>
      </c>
      <c r="D30" s="295" t="str">
        <f>'Unit Savings Calculations'!T26</f>
        <v>5.4.4</v>
      </c>
      <c r="E30" s="460">
        <f>INDEX('Unit Savings Calculations'!$H$4:$H$421,MATCH('Measure-Level Adjustments Tab'!$A30&amp;"_"&amp;'Measure-Level Adjustments Tab'!$B30,'Unit Savings Calculations'!$A$4:$A$421,0))</f>
        <v>9</v>
      </c>
      <c r="F30" s="460">
        <f>INDEX('Unit Savings Calculations'!$I$4:$I$421,MATCH('Measure-Level Adjustments Tab'!A30&amp;"_"&amp;'Measure-Level Adjustments Tab'!B30,'Unit Savings Calculations'!$A$4:$A$421,0))</f>
        <v>10</v>
      </c>
      <c r="G30" s="295" t="str">
        <f>'Unit Savings Calculations'!E26</f>
        <v>each</v>
      </c>
      <c r="H30" s="297">
        <f>'Unit Savings Calculations'!$F26*'Unit Savings Calculations'!J26</f>
        <v>823</v>
      </c>
      <c r="I30" s="297">
        <f>'Unit Savings Calculations'!$F26*'Unit Savings Calculations'!K26</f>
        <v>823</v>
      </c>
      <c r="J30" s="297">
        <f>'Unit Savings Calculations'!$F26*'Unit Savings Calculations'!L26</f>
        <v>811</v>
      </c>
      <c r="K30" s="297">
        <f>'Unit Savings Calculations'!$F26*'Unit Savings Calculations'!M26</f>
        <v>823</v>
      </c>
      <c r="L30" s="295" t="str">
        <f>'Unit Savings Calculations'!U26</f>
        <v>RS-HWE-LFFA-V06-180101</v>
      </c>
      <c r="M30" s="405" t="str">
        <f>'Unit Savings Calculations'!R26</f>
        <v>Exhibit 1.5A_R North Shore EEPS_Adjustable_Savings_Goal_Template.xlsx, Unit Savings Calculations Tab</v>
      </c>
      <c r="N30" s="298">
        <v>5.6045414594076925</v>
      </c>
      <c r="O30" s="298">
        <v>5.6045414594076925</v>
      </c>
      <c r="P30" s="298">
        <v>5.6045414594076925</v>
      </c>
      <c r="Q30" s="298">
        <v>5.6045414594076925</v>
      </c>
      <c r="R30" s="299">
        <f>'Unit Savings Calculations'!$G26</f>
        <v>0.96</v>
      </c>
      <c r="S30" s="299">
        <f>'Unit Savings Calculations'!$G26</f>
        <v>0.96</v>
      </c>
      <c r="T30" s="299">
        <f>'Unit Savings Calculations'!$G26</f>
        <v>0.96</v>
      </c>
      <c r="U30" s="299">
        <f>'Unit Savings Calculations'!$G26</f>
        <v>0.96</v>
      </c>
      <c r="V30" s="300">
        <f t="shared" si="44"/>
        <v>4428.0361162488289</v>
      </c>
      <c r="W30" s="300">
        <f t="shared" si="45"/>
        <v>4428.0361162488289</v>
      </c>
      <c r="X30" s="300">
        <f t="shared" si="46"/>
        <v>4363.4717986364531</v>
      </c>
      <c r="Y30" s="300">
        <f t="shared" si="47"/>
        <v>4428.0361162488289</v>
      </c>
      <c r="Z30" s="300">
        <f t="shared" si="48"/>
        <v>17647.580147382942</v>
      </c>
      <c r="AA30" s="295"/>
      <c r="AB30" s="295"/>
      <c r="AC30" s="298">
        <f>'Unit Savings Calculations'!N26</f>
        <v>8.5936302377584592</v>
      </c>
      <c r="AD30" s="295"/>
      <c r="AE30" s="300">
        <f t="shared" si="7"/>
        <v>6789.6553782482033</v>
      </c>
      <c r="AF30" s="297">
        <f t="shared" si="8"/>
        <v>2361.6192619993744</v>
      </c>
      <c r="AG30" s="295"/>
      <c r="AH30" s="295">
        <f t="shared" si="9"/>
        <v>0</v>
      </c>
      <c r="AI30" s="298">
        <f>'Unit Savings Calculations'!O26</f>
        <v>8.5936302377584592</v>
      </c>
      <c r="AJ30" s="405" t="s">
        <v>1017</v>
      </c>
      <c r="AK30" s="300">
        <f t="shared" si="10"/>
        <v>6789.6553782482033</v>
      </c>
      <c r="AL30" s="297">
        <f t="shared" si="11"/>
        <v>2361.6192619993744</v>
      </c>
      <c r="AM30" s="295"/>
      <c r="AN30" s="295"/>
      <c r="AO30" s="298">
        <f>'Unit Savings Calculations'!P26</f>
        <v>8.5936302377584592</v>
      </c>
      <c r="AP30" s="405" t="s">
        <v>764</v>
      </c>
      <c r="AQ30" s="300">
        <f t="shared" si="12"/>
        <v>6690.6567579092252</v>
      </c>
      <c r="AR30" s="297">
        <f t="shared" si="13"/>
        <v>2327.1849592727722</v>
      </c>
      <c r="AS30" s="295"/>
      <c r="AT30" s="295"/>
      <c r="AU30" s="298">
        <f>'Unit Savings Calculations'!Q26</f>
        <v>8.5936302377584592</v>
      </c>
      <c r="AV30" s="405" t="str">
        <f t="shared" si="14"/>
        <v>n/a</v>
      </c>
      <c r="AW30" s="300">
        <f t="shared" si="15"/>
        <v>6789.6553782482033</v>
      </c>
      <c r="AX30" s="297">
        <f t="shared" si="16"/>
        <v>2361.6192619993744</v>
      </c>
      <c r="AY30" s="300">
        <f t="shared" si="17"/>
        <v>6789.6553782482033</v>
      </c>
      <c r="AZ30" s="300">
        <f t="shared" si="18"/>
        <v>6789.6553782482033</v>
      </c>
      <c r="BA30" s="300">
        <f t="shared" si="19"/>
        <v>6690.6567579092252</v>
      </c>
      <c r="BB30" s="300">
        <f t="shared" si="20"/>
        <v>6789.6553782482033</v>
      </c>
      <c r="BC30" s="301">
        <f t="shared" si="21"/>
        <v>27059.622892653835</v>
      </c>
      <c r="BD30" s="295" t="s">
        <v>764</v>
      </c>
      <c r="BE30" s="302" t="str">
        <f t="shared" si="22"/>
        <v>Exhibit 1.5A_R North Shore EEPS_Adjustable_Savings_Goal_Template.xlsx, Unit Savings Calculations Tab</v>
      </c>
      <c r="BF30" s="304"/>
    </row>
    <row r="31" spans="1:58" ht="15.75" customHeight="1">
      <c r="A31" s="295" t="str">
        <f>'Unit Savings Calculations'!C27</f>
        <v>Res - SF Assessments</v>
      </c>
      <c r="B31" s="295" t="str">
        <f>'Unit Savings Calculations'!D27</f>
        <v>Showerhead</v>
      </c>
      <c r="C31" s="296">
        <f t="shared" si="23"/>
        <v>1</v>
      </c>
      <c r="D31" s="295" t="str">
        <f>'Unit Savings Calculations'!T27</f>
        <v>5.4.5</v>
      </c>
      <c r="E31" s="460">
        <f>INDEX('Unit Savings Calculations'!$H$4:$H$421,MATCH('Measure-Level Adjustments Tab'!$A31&amp;"_"&amp;'Measure-Level Adjustments Tab'!$B31,'Unit Savings Calculations'!$A$4:$A$421,0))</f>
        <v>10</v>
      </c>
      <c r="F31" s="460">
        <f>INDEX('Unit Savings Calculations'!$I$4:$I$421,MATCH('Measure-Level Adjustments Tab'!A31&amp;"_"&amp;'Measure-Level Adjustments Tab'!B31,'Unit Savings Calculations'!$A$4:$A$421,0))</f>
        <v>10</v>
      </c>
      <c r="G31" s="295" t="str">
        <f>'Unit Savings Calculations'!E27</f>
        <v>each</v>
      </c>
      <c r="H31" s="297">
        <f>'Unit Savings Calculations'!$F27*'Unit Savings Calculations'!J27</f>
        <v>3315</v>
      </c>
      <c r="I31" s="297">
        <f>'Unit Savings Calculations'!$F27*'Unit Savings Calculations'!K27</f>
        <v>3315</v>
      </c>
      <c r="J31" s="297">
        <f>'Unit Savings Calculations'!$F27*'Unit Savings Calculations'!L27</f>
        <v>3267</v>
      </c>
      <c r="K31" s="297">
        <f>'Unit Savings Calculations'!$F27*'Unit Savings Calculations'!M27</f>
        <v>3315</v>
      </c>
      <c r="L31" s="295" t="str">
        <f>'Unit Savings Calculations'!U27</f>
        <v>RS-HWE-LFSH-V05-180101</v>
      </c>
      <c r="M31" s="405" t="str">
        <f>'Unit Savings Calculations'!R27</f>
        <v>Exhibit 1.5A_R North Shore EEPS_Adjustable_Savings_Goal_Template.xlsx, Unit Savings Calculations Tab</v>
      </c>
      <c r="N31" s="298">
        <v>14.03971173442217</v>
      </c>
      <c r="O31" s="298">
        <v>14.03971173442217</v>
      </c>
      <c r="P31" s="298">
        <v>14.03971173442217</v>
      </c>
      <c r="Q31" s="298">
        <v>14.03971173442217</v>
      </c>
      <c r="R31" s="299">
        <f>'Unit Savings Calculations'!$G27</f>
        <v>0.96</v>
      </c>
      <c r="S31" s="299">
        <f>'Unit Savings Calculations'!$G27</f>
        <v>0.96</v>
      </c>
      <c r="T31" s="299">
        <f>'Unit Savings Calculations'!$G27</f>
        <v>0.96</v>
      </c>
      <c r="U31" s="299">
        <f>'Unit Savings Calculations'!$G27</f>
        <v>0.96</v>
      </c>
      <c r="V31" s="300">
        <f t="shared" si="44"/>
        <v>44679.978623625109</v>
      </c>
      <c r="W31" s="300">
        <f t="shared" si="45"/>
        <v>44679.978623625109</v>
      </c>
      <c r="X31" s="300">
        <f t="shared" si="46"/>
        <v>44033.028706902936</v>
      </c>
      <c r="Y31" s="300">
        <f t="shared" si="47"/>
        <v>44679.978623625109</v>
      </c>
      <c r="Z31" s="300">
        <f t="shared" si="48"/>
        <v>178072.96457777824</v>
      </c>
      <c r="AA31" s="295"/>
      <c r="AB31" s="295"/>
      <c r="AC31" s="298">
        <f>'Unit Savings Calculations'!N27</f>
        <v>8.7892072937103034</v>
      </c>
      <c r="AD31" s="295"/>
      <c r="AE31" s="300">
        <f t="shared" si="7"/>
        <v>27970.773291503669</v>
      </c>
      <c r="AF31" s="297">
        <f t="shared" si="8"/>
        <v>-16709.205332121441</v>
      </c>
      <c r="AG31" s="295"/>
      <c r="AH31" s="295">
        <f t="shared" si="9"/>
        <v>0</v>
      </c>
      <c r="AI31" s="298">
        <f>'Unit Savings Calculations'!O27</f>
        <v>8.7892072937103034</v>
      </c>
      <c r="AJ31" s="405" t="s">
        <v>1017</v>
      </c>
      <c r="AK31" s="300">
        <f t="shared" si="10"/>
        <v>27970.773291503669</v>
      </c>
      <c r="AL31" s="297">
        <f t="shared" si="11"/>
        <v>-16709.205332121441</v>
      </c>
      <c r="AM31" s="295"/>
      <c r="AN31" s="295"/>
      <c r="AO31" s="298">
        <f>'Unit Savings Calculations'!P27</f>
        <v>8.7892072937103034</v>
      </c>
      <c r="AP31" s="405" t="s">
        <v>1441</v>
      </c>
      <c r="AQ31" s="300">
        <f t="shared" si="12"/>
        <v>27565.7666194095</v>
      </c>
      <c r="AR31" s="297">
        <f t="shared" si="13"/>
        <v>-16467.262087493436</v>
      </c>
      <c r="AS31" s="295"/>
      <c r="AT31" s="295"/>
      <c r="AU31" s="298">
        <f>'Unit Savings Calculations'!Q27</f>
        <v>8.7892072937103034</v>
      </c>
      <c r="AV31" s="405" t="str">
        <f t="shared" si="14"/>
        <v>Updated SF ISR</v>
      </c>
      <c r="AW31" s="300">
        <f t="shared" si="15"/>
        <v>27970.773291503669</v>
      </c>
      <c r="AX31" s="297">
        <f t="shared" si="16"/>
        <v>-16709.205332121441</v>
      </c>
      <c r="AY31" s="300">
        <f t="shared" si="17"/>
        <v>27970.773291503669</v>
      </c>
      <c r="AZ31" s="300">
        <f t="shared" si="18"/>
        <v>27970.773291503669</v>
      </c>
      <c r="BA31" s="300">
        <f t="shared" si="19"/>
        <v>27565.7666194095</v>
      </c>
      <c r="BB31" s="300">
        <f t="shared" si="20"/>
        <v>27970.773291503669</v>
      </c>
      <c r="BC31" s="301">
        <f t="shared" si="21"/>
        <v>111478.08649392051</v>
      </c>
      <c r="BD31" s="295" t="s">
        <v>764</v>
      </c>
      <c r="BE31" s="302" t="str">
        <f t="shared" si="22"/>
        <v>Exhibit 1.5A_R North Shore EEPS_Adjustable_Savings_Goal_Template.xlsx, Unit Savings Calculations Tab</v>
      </c>
      <c r="BF31" s="304"/>
    </row>
    <row r="32" spans="1:58" ht="15.75" customHeight="1">
      <c r="A32" s="295" t="str">
        <f>'Unit Savings Calculations'!C28</f>
        <v>Res - SF Assessments</v>
      </c>
      <c r="B32" s="295" t="str">
        <f>'Unit Savings Calculations'!D28</f>
        <v>Pipe Insulation (DHW)</v>
      </c>
      <c r="C32" s="296">
        <f t="shared" si="23"/>
        <v>1</v>
      </c>
      <c r="D32" s="295" t="str">
        <f>'Unit Savings Calculations'!T28</f>
        <v>5.4.1</v>
      </c>
      <c r="E32" s="460">
        <f>INDEX('Unit Savings Calculations'!$H$4:$H$421,MATCH('Measure-Level Adjustments Tab'!$A32&amp;"_"&amp;'Measure-Level Adjustments Tab'!$B32,'Unit Savings Calculations'!$A$4:$A$421,0))</f>
        <v>15</v>
      </c>
      <c r="F32" s="460">
        <f>INDEX('Unit Savings Calculations'!$I$4:$I$421,MATCH('Measure-Level Adjustments Tab'!A32&amp;"_"&amp;'Measure-Level Adjustments Tab'!B32,'Unit Savings Calculations'!$A$4:$A$421,0))</f>
        <v>15</v>
      </c>
      <c r="G32" s="295" t="str">
        <f>'Unit Savings Calculations'!E28</f>
        <v>ft</v>
      </c>
      <c r="H32" s="297">
        <f>'Unit Savings Calculations'!$F28*'Unit Savings Calculations'!J28</f>
        <v>5715</v>
      </c>
      <c r="I32" s="297">
        <f>'Unit Savings Calculations'!$F28*'Unit Savings Calculations'!K28</f>
        <v>5715</v>
      </c>
      <c r="J32" s="297">
        <f>'Unit Savings Calculations'!$F28*'Unit Savings Calculations'!L28</f>
        <v>5631</v>
      </c>
      <c r="K32" s="297">
        <f>'Unit Savings Calculations'!$F28*'Unit Savings Calculations'!M28</f>
        <v>5715</v>
      </c>
      <c r="L32" s="295" t="str">
        <f>'Unit Savings Calculations'!U28</f>
        <v>RS-HVC-PINS-V02-150601</v>
      </c>
      <c r="M32" s="405" t="str">
        <f>'Unit Savings Calculations'!R28</f>
        <v>Exhibit 1.5A_R North Shore EEPS_Adjustable_Savings_Goal_Template.xlsx, Unit Savings Calculations Tab</v>
      </c>
      <c r="N32" s="298">
        <v>0.99123230769230763</v>
      </c>
      <c r="O32" s="298">
        <v>0.99123230769230763</v>
      </c>
      <c r="P32" s="298">
        <v>0.99123230769230763</v>
      </c>
      <c r="Q32" s="298">
        <v>0.99123230769230763</v>
      </c>
      <c r="R32" s="299">
        <f>'Unit Savings Calculations'!$G28</f>
        <v>0.96</v>
      </c>
      <c r="S32" s="299">
        <f>'Unit Savings Calculations'!$G28</f>
        <v>0.96</v>
      </c>
      <c r="T32" s="299">
        <f>'Unit Savings Calculations'!$G28</f>
        <v>0.96</v>
      </c>
      <c r="U32" s="299">
        <f>'Unit Savings Calculations'!$G28</f>
        <v>0.96</v>
      </c>
      <c r="V32" s="300">
        <f t="shared" si="44"/>
        <v>5438.2969329230764</v>
      </c>
      <c r="W32" s="300">
        <f t="shared" si="45"/>
        <v>5438.2969329230764</v>
      </c>
      <c r="X32" s="300">
        <f t="shared" si="46"/>
        <v>5358.3639596307685</v>
      </c>
      <c r="Y32" s="300">
        <f t="shared" si="47"/>
        <v>5438.2969329230764</v>
      </c>
      <c r="Z32" s="300">
        <f t="shared" si="48"/>
        <v>21673.254758399999</v>
      </c>
      <c r="AA32" s="295"/>
      <c r="AB32" s="295"/>
      <c r="AC32" s="298">
        <f>'Unit Savings Calculations'!N28</f>
        <v>0.77039653846153844</v>
      </c>
      <c r="AD32" s="295"/>
      <c r="AE32" s="300">
        <f t="shared" si="7"/>
        <v>4226.7035686153849</v>
      </c>
      <c r="AF32" s="297">
        <f t="shared" si="8"/>
        <v>-1211.5933643076914</v>
      </c>
      <c r="AG32" s="295"/>
      <c r="AH32" s="295">
        <f t="shared" si="9"/>
        <v>0</v>
      </c>
      <c r="AI32" s="298">
        <f>'Unit Savings Calculations'!O28</f>
        <v>0.77039653846153844</v>
      </c>
      <c r="AJ32" s="405" t="s">
        <v>1012</v>
      </c>
      <c r="AK32" s="300">
        <f t="shared" si="10"/>
        <v>4226.7035686153849</v>
      </c>
      <c r="AL32" s="297">
        <f t="shared" si="11"/>
        <v>-1211.5933643076914</v>
      </c>
      <c r="AM32" s="295"/>
      <c r="AN32" s="295"/>
      <c r="AO32" s="298">
        <f>'Unit Savings Calculations'!P28</f>
        <v>0.77039653846153844</v>
      </c>
      <c r="AP32" s="405" t="s">
        <v>764</v>
      </c>
      <c r="AQ32" s="300">
        <f t="shared" si="12"/>
        <v>4164.5787917538464</v>
      </c>
      <c r="AR32" s="297">
        <f t="shared" si="13"/>
        <v>-1193.7851678769221</v>
      </c>
      <c r="AS32" s="295"/>
      <c r="AT32" s="295"/>
      <c r="AU32" s="298">
        <f>'Unit Savings Calculations'!Q28</f>
        <v>0.77039653846153844</v>
      </c>
      <c r="AV32" s="405" t="str">
        <f t="shared" si="14"/>
        <v>n/a</v>
      </c>
      <c r="AW32" s="300">
        <f t="shared" si="15"/>
        <v>4226.7035686153849</v>
      </c>
      <c r="AX32" s="297">
        <f t="shared" si="16"/>
        <v>-1211.5933643076914</v>
      </c>
      <c r="AY32" s="300">
        <f t="shared" si="17"/>
        <v>4226.7035686153849</v>
      </c>
      <c r="AZ32" s="300">
        <f t="shared" si="18"/>
        <v>4226.7035686153849</v>
      </c>
      <c r="BA32" s="300">
        <f t="shared" si="19"/>
        <v>4164.5787917538464</v>
      </c>
      <c r="BB32" s="300">
        <f t="shared" si="20"/>
        <v>4226.7035686153849</v>
      </c>
      <c r="BC32" s="301">
        <f t="shared" si="21"/>
        <v>16844.689497600004</v>
      </c>
      <c r="BD32" s="295" t="s">
        <v>764</v>
      </c>
      <c r="BE32" s="302" t="str">
        <f t="shared" si="22"/>
        <v>Exhibit 1.5A_R North Shore EEPS_Adjustable_Savings_Goal_Template.xlsx, Unit Savings Calculations Tab</v>
      </c>
      <c r="BF32" s="304"/>
    </row>
    <row r="33" spans="1:58" ht="15.75" customHeight="1">
      <c r="A33" s="295" t="str">
        <f>'Unit Savings Calculations'!C29</f>
        <v>Res - SF Assessments</v>
      </c>
      <c r="B33" s="295" t="str">
        <f>'Unit Savings Calculations'!D29</f>
        <v>Pipe Insulation (Boiler)</v>
      </c>
      <c r="C33" s="296">
        <f t="shared" si="23"/>
        <v>1</v>
      </c>
      <c r="D33" s="295" t="str">
        <f>'Unit Savings Calculations'!T29</f>
        <v>5.3.2</v>
      </c>
      <c r="E33" s="460">
        <f>INDEX('Unit Savings Calculations'!$H$4:$H$421,MATCH('Measure-Level Adjustments Tab'!$A33&amp;"_"&amp;'Measure-Level Adjustments Tab'!$B33,'Unit Savings Calculations'!$A$4:$A$421,0))</f>
        <v>15</v>
      </c>
      <c r="F33" s="460">
        <f>INDEX('Unit Savings Calculations'!$I$4:$I$421,MATCH('Measure-Level Adjustments Tab'!A33&amp;"_"&amp;'Measure-Level Adjustments Tab'!B33,'Unit Savings Calculations'!$A$4:$A$421,0))</f>
        <v>15</v>
      </c>
      <c r="G33" s="295" t="str">
        <f>'Unit Savings Calculations'!E29</f>
        <v>ft</v>
      </c>
      <c r="H33" s="297">
        <f>'Unit Savings Calculations'!$F29*'Unit Savings Calculations'!J29</f>
        <v>72</v>
      </c>
      <c r="I33" s="297">
        <f>'Unit Savings Calculations'!$F29*'Unit Savings Calculations'!K29</f>
        <v>72</v>
      </c>
      <c r="J33" s="297">
        <f>'Unit Savings Calculations'!$F29*'Unit Savings Calculations'!L29</f>
        <v>72</v>
      </c>
      <c r="K33" s="297">
        <f>'Unit Savings Calculations'!$F29*'Unit Savings Calculations'!M29</f>
        <v>72</v>
      </c>
      <c r="L33" s="295" t="str">
        <f>'Unit Savings Calculations'!U29</f>
        <v>RS-HVC-PINS-V02-160601</v>
      </c>
      <c r="M33" s="405" t="str">
        <f>'Unit Savings Calculations'!R29</f>
        <v>Exhibit 1.5A_R North Shore EEPS_Adjustable_Savings_Goal_Template.xlsx, Unit Savings Calculations Tab</v>
      </c>
      <c r="N33" s="298">
        <v>0.41554055468341189</v>
      </c>
      <c r="O33" s="298">
        <v>0.41554055468341189</v>
      </c>
      <c r="P33" s="298">
        <v>0.41554055468341189</v>
      </c>
      <c r="Q33" s="298">
        <v>0.41554055468341189</v>
      </c>
      <c r="R33" s="299">
        <f>'Unit Savings Calculations'!$G29</f>
        <v>0.96</v>
      </c>
      <c r="S33" s="299">
        <f>'Unit Savings Calculations'!$G29</f>
        <v>0.96</v>
      </c>
      <c r="T33" s="299">
        <f>'Unit Savings Calculations'!$G29</f>
        <v>0.96</v>
      </c>
      <c r="U33" s="299">
        <f>'Unit Savings Calculations'!$G29</f>
        <v>0.96</v>
      </c>
      <c r="V33" s="300">
        <f t="shared" si="44"/>
        <v>28.722163139717431</v>
      </c>
      <c r="W33" s="300">
        <f t="shared" si="45"/>
        <v>28.722163139717431</v>
      </c>
      <c r="X33" s="300">
        <f t="shared" si="46"/>
        <v>28.722163139717431</v>
      </c>
      <c r="Y33" s="300">
        <f t="shared" si="47"/>
        <v>28.722163139717431</v>
      </c>
      <c r="Z33" s="300">
        <f t="shared" si="48"/>
        <v>114.88865255886972</v>
      </c>
      <c r="AA33" s="295"/>
      <c r="AB33" s="295"/>
      <c r="AC33" s="298">
        <f>'Unit Savings Calculations'!N29</f>
        <v>0.41554055468341189</v>
      </c>
      <c r="AD33" s="295"/>
      <c r="AE33" s="300">
        <f t="shared" si="7"/>
        <v>28.722163139717431</v>
      </c>
      <c r="AF33" s="297">
        <f t="shared" si="8"/>
        <v>0</v>
      </c>
      <c r="AG33" s="295"/>
      <c r="AH33" s="295">
        <f t="shared" si="9"/>
        <v>0</v>
      </c>
      <c r="AI33" s="298">
        <f>'Unit Savings Calculations'!O29</f>
        <v>0.41554055468341189</v>
      </c>
      <c r="AJ33" s="405" t="s">
        <v>879</v>
      </c>
      <c r="AK33" s="300">
        <f t="shared" si="10"/>
        <v>28.722163139717431</v>
      </c>
      <c r="AL33" s="297">
        <f t="shared" si="11"/>
        <v>0</v>
      </c>
      <c r="AM33" s="295"/>
      <c r="AN33" s="295"/>
      <c r="AO33" s="298">
        <f>'Unit Savings Calculations'!P29</f>
        <v>0.41554055468341189</v>
      </c>
      <c r="AP33" s="405" t="s">
        <v>764</v>
      </c>
      <c r="AQ33" s="300">
        <f t="shared" si="12"/>
        <v>28.722163139717431</v>
      </c>
      <c r="AR33" s="297">
        <f t="shared" si="13"/>
        <v>0</v>
      </c>
      <c r="AS33" s="295"/>
      <c r="AT33" s="295"/>
      <c r="AU33" s="298">
        <f>'Unit Savings Calculations'!Q29</f>
        <v>0.41554055468341189</v>
      </c>
      <c r="AV33" s="405" t="str">
        <f t="shared" si="14"/>
        <v>n/a</v>
      </c>
      <c r="AW33" s="300">
        <f t="shared" si="15"/>
        <v>28.722163139717431</v>
      </c>
      <c r="AX33" s="297">
        <f t="shared" si="16"/>
        <v>0</v>
      </c>
      <c r="AY33" s="300">
        <f t="shared" si="17"/>
        <v>28.722163139717431</v>
      </c>
      <c r="AZ33" s="300">
        <f t="shared" si="18"/>
        <v>28.722163139717431</v>
      </c>
      <c r="BA33" s="300">
        <f t="shared" si="19"/>
        <v>28.722163139717431</v>
      </c>
      <c r="BB33" s="300">
        <f t="shared" si="20"/>
        <v>28.722163139717431</v>
      </c>
      <c r="BC33" s="301">
        <f t="shared" si="21"/>
        <v>114.88865255886972</v>
      </c>
      <c r="BD33" s="295" t="s">
        <v>764</v>
      </c>
      <c r="BE33" s="302" t="str">
        <f t="shared" si="22"/>
        <v>Exhibit 1.5A_R North Shore EEPS_Adjustable_Savings_Goal_Template.xlsx, Unit Savings Calculations Tab</v>
      </c>
      <c r="BF33" s="304"/>
    </row>
    <row r="34" spans="1:58" ht="15.75" customHeight="1">
      <c r="A34" s="295" t="str">
        <f>'Unit Savings Calculations'!C30</f>
        <v>Res - SF Assessments</v>
      </c>
      <c r="B34" s="295" t="str">
        <f>'Unit Savings Calculations'!D30</f>
        <v>Programmable Thermostat - Furnace</v>
      </c>
      <c r="C34" s="296">
        <f t="shared" si="23"/>
        <v>1</v>
      </c>
      <c r="D34" s="295" t="str">
        <f>'Unit Savings Calculations'!T30</f>
        <v>5.3.11</v>
      </c>
      <c r="E34" s="460">
        <f>INDEX('Unit Savings Calculations'!$H$4:$H$421,MATCH('Measure-Level Adjustments Tab'!$A34&amp;"_"&amp;'Measure-Level Adjustments Tab'!$B34,'Unit Savings Calculations'!$A$4:$A$421,0))</f>
        <v>5</v>
      </c>
      <c r="F34" s="460">
        <f>INDEX('Unit Savings Calculations'!$I$4:$I$421,MATCH('Measure-Level Adjustments Tab'!A34&amp;"_"&amp;'Measure-Level Adjustments Tab'!B34,'Unit Savings Calculations'!$A$4:$A$421,0))</f>
        <v>8</v>
      </c>
      <c r="G34" s="295" t="str">
        <f>'Unit Savings Calculations'!E30</f>
        <v>each</v>
      </c>
      <c r="H34" s="297">
        <f>'Unit Savings Calculations'!$F30*'Unit Savings Calculations'!J30</f>
        <v>484</v>
      </c>
      <c r="I34" s="297">
        <f>'Unit Savings Calculations'!$F30*'Unit Savings Calculations'!K30</f>
        <v>484</v>
      </c>
      <c r="J34" s="297">
        <f>'Unit Savings Calculations'!$F30*'Unit Savings Calculations'!L30</f>
        <v>477</v>
      </c>
      <c r="K34" s="297">
        <f>'Unit Savings Calculations'!$F30*'Unit Savings Calculations'!M30</f>
        <v>484</v>
      </c>
      <c r="L34" s="295" t="str">
        <f>'Unit Savings Calculations'!U30</f>
        <v>RS-HVC-PROG-V04-180101</v>
      </c>
      <c r="M34" s="405" t="str">
        <f>'Unit Savings Calculations'!R30</f>
        <v>Exhibit 1.5A_R North Shore EEPS_Adjustable_Savings_Goal_Template.xlsx, Unit Savings Calculations Tab</v>
      </c>
      <c r="N34" s="298">
        <v>62.31</v>
      </c>
      <c r="O34" s="298">
        <v>62.31</v>
      </c>
      <c r="P34" s="298">
        <v>62.31</v>
      </c>
      <c r="Q34" s="298">
        <v>62.31</v>
      </c>
      <c r="R34" s="299">
        <f>'Unit Savings Calculations'!$G30</f>
        <v>0.96</v>
      </c>
      <c r="S34" s="299">
        <f>'Unit Savings Calculations'!$G30</f>
        <v>0.96</v>
      </c>
      <c r="T34" s="299">
        <f>'Unit Savings Calculations'!$G30</f>
        <v>0.96</v>
      </c>
      <c r="U34" s="299">
        <f>'Unit Savings Calculations'!$G30</f>
        <v>0.96</v>
      </c>
      <c r="V34" s="300">
        <f t="shared" si="44"/>
        <v>28951.718400000002</v>
      </c>
      <c r="W34" s="300">
        <f t="shared" si="45"/>
        <v>28951.718400000002</v>
      </c>
      <c r="X34" s="300">
        <f t="shared" si="46"/>
        <v>28532.995200000001</v>
      </c>
      <c r="Y34" s="300">
        <f t="shared" si="47"/>
        <v>28951.718400000002</v>
      </c>
      <c r="Z34" s="300">
        <f t="shared" si="48"/>
        <v>115388.1504</v>
      </c>
      <c r="AA34" s="295"/>
      <c r="AB34" s="295"/>
      <c r="AC34" s="298">
        <f>'Unit Savings Calculations'!N30</f>
        <v>62.31</v>
      </c>
      <c r="AD34" s="295"/>
      <c r="AE34" s="300">
        <f t="shared" si="7"/>
        <v>28951.718400000002</v>
      </c>
      <c r="AF34" s="297">
        <f t="shared" si="8"/>
        <v>0</v>
      </c>
      <c r="AG34" s="295"/>
      <c r="AH34" s="295">
        <f t="shared" si="9"/>
        <v>0</v>
      </c>
      <c r="AI34" s="298">
        <f>'Unit Savings Calculations'!O30</f>
        <v>62.31</v>
      </c>
      <c r="AJ34" s="405" t="s">
        <v>879</v>
      </c>
      <c r="AK34" s="300">
        <f t="shared" si="10"/>
        <v>28951.718400000002</v>
      </c>
      <c r="AL34" s="297">
        <f t="shared" si="11"/>
        <v>0</v>
      </c>
      <c r="AM34" s="295"/>
      <c r="AN34" s="295"/>
      <c r="AO34" s="298">
        <f>'Unit Savings Calculations'!P30</f>
        <v>62.31</v>
      </c>
      <c r="AP34" s="405" t="s">
        <v>764</v>
      </c>
      <c r="AQ34" s="300">
        <f t="shared" si="12"/>
        <v>28532.995200000001</v>
      </c>
      <c r="AR34" s="297">
        <f t="shared" si="13"/>
        <v>0</v>
      </c>
      <c r="AS34" s="295"/>
      <c r="AT34" s="295"/>
      <c r="AU34" s="298">
        <f>'Unit Savings Calculations'!Q30</f>
        <v>62.31</v>
      </c>
      <c r="AV34" s="405" t="str">
        <f t="shared" si="14"/>
        <v>n/a</v>
      </c>
      <c r="AW34" s="300">
        <f t="shared" si="15"/>
        <v>28951.718400000002</v>
      </c>
      <c r="AX34" s="297">
        <f t="shared" si="16"/>
        <v>0</v>
      </c>
      <c r="AY34" s="300">
        <f t="shared" si="17"/>
        <v>28951.718400000002</v>
      </c>
      <c r="AZ34" s="300">
        <f t="shared" si="18"/>
        <v>28951.718400000002</v>
      </c>
      <c r="BA34" s="300">
        <f t="shared" si="19"/>
        <v>28532.995200000001</v>
      </c>
      <c r="BB34" s="300">
        <f t="shared" si="20"/>
        <v>28951.718400000002</v>
      </c>
      <c r="BC34" s="301">
        <f t="shared" si="21"/>
        <v>115388.1504</v>
      </c>
      <c r="BD34" s="295" t="s">
        <v>764</v>
      </c>
      <c r="BE34" s="302" t="str">
        <f t="shared" si="22"/>
        <v>Exhibit 1.5A_R North Shore EEPS_Adjustable_Savings_Goal_Template.xlsx, Unit Savings Calculations Tab</v>
      </c>
      <c r="BF34" s="304"/>
    </row>
    <row r="35" spans="1:58" ht="15.75" customHeight="1">
      <c r="A35" s="295" t="str">
        <f>'Unit Savings Calculations'!C31</f>
        <v>Res - SF Assessments</v>
      </c>
      <c r="B35" s="295" t="str">
        <f>'Unit Savings Calculations'!D31</f>
        <v>Programmable Thermostat - Boiler</v>
      </c>
      <c r="C35" s="296">
        <f t="shared" si="23"/>
        <v>1</v>
      </c>
      <c r="D35" s="295" t="str">
        <f>'Unit Savings Calculations'!T31</f>
        <v>5.3.11</v>
      </c>
      <c r="E35" s="460">
        <f>INDEX('Unit Savings Calculations'!$H$4:$H$421,MATCH('Measure-Level Adjustments Tab'!$A35&amp;"_"&amp;'Measure-Level Adjustments Tab'!$B35,'Unit Savings Calculations'!$A$4:$A$421,0))</f>
        <v>5</v>
      </c>
      <c r="F35" s="460">
        <f>INDEX('Unit Savings Calculations'!$I$4:$I$421,MATCH('Measure-Level Adjustments Tab'!A35&amp;"_"&amp;'Measure-Level Adjustments Tab'!B35,'Unit Savings Calculations'!$A$4:$A$421,0))</f>
        <v>8</v>
      </c>
      <c r="G35" s="295" t="str">
        <f>'Unit Savings Calculations'!E31</f>
        <v>each</v>
      </c>
      <c r="H35" s="297">
        <f>'Unit Savings Calculations'!$F31*'Unit Savings Calculations'!J31</f>
        <v>0</v>
      </c>
      <c r="I35" s="297">
        <f>'Unit Savings Calculations'!$F31*'Unit Savings Calculations'!K31</f>
        <v>0</v>
      </c>
      <c r="J35" s="297">
        <f>'Unit Savings Calculations'!$F31*'Unit Savings Calculations'!L31</f>
        <v>0</v>
      </c>
      <c r="K35" s="297">
        <f>'Unit Savings Calculations'!$F31*'Unit Savings Calculations'!M31</f>
        <v>0</v>
      </c>
      <c r="L35" s="295" t="str">
        <f>'Unit Savings Calculations'!U31</f>
        <v>RS-HVC-PROG-V04-180101</v>
      </c>
      <c r="M35" s="405" t="str">
        <f>'Unit Savings Calculations'!R31</f>
        <v>Exhibit 1.5A_R North Shore EEPS_Adjustable_Savings_Goal_Template.xlsx, Unit Savings Calculations Tab</v>
      </c>
      <c r="N35" s="298">
        <v>75.516000000000005</v>
      </c>
      <c r="O35" s="298">
        <v>75.516000000000005</v>
      </c>
      <c r="P35" s="298">
        <v>75.516000000000005</v>
      </c>
      <c r="Q35" s="298">
        <v>75.516000000000005</v>
      </c>
      <c r="R35" s="299">
        <f>'Unit Savings Calculations'!$G31</f>
        <v>0.96</v>
      </c>
      <c r="S35" s="299">
        <f>'Unit Savings Calculations'!$G31</f>
        <v>0.96</v>
      </c>
      <c r="T35" s="299">
        <f>'Unit Savings Calculations'!$G31</f>
        <v>0.96</v>
      </c>
      <c r="U35" s="299">
        <f>'Unit Savings Calculations'!$G31</f>
        <v>0.96</v>
      </c>
      <c r="V35" s="300">
        <f t="shared" si="44"/>
        <v>0</v>
      </c>
      <c r="W35" s="300">
        <f t="shared" si="45"/>
        <v>0</v>
      </c>
      <c r="X35" s="300">
        <f t="shared" si="46"/>
        <v>0</v>
      </c>
      <c r="Y35" s="300">
        <f t="shared" si="47"/>
        <v>0</v>
      </c>
      <c r="Z35" s="300">
        <f t="shared" si="48"/>
        <v>0</v>
      </c>
      <c r="AA35" s="295"/>
      <c r="AB35" s="295"/>
      <c r="AC35" s="298">
        <f>'Unit Savings Calculations'!N31</f>
        <v>75.516000000000005</v>
      </c>
      <c r="AD35" s="295"/>
      <c r="AE35" s="300">
        <f t="shared" si="7"/>
        <v>0</v>
      </c>
      <c r="AF35" s="297">
        <f t="shared" si="8"/>
        <v>0</v>
      </c>
      <c r="AG35" s="295"/>
      <c r="AH35" s="295">
        <f t="shared" si="9"/>
        <v>0</v>
      </c>
      <c r="AI35" s="298">
        <f>'Unit Savings Calculations'!O31</f>
        <v>75.516000000000005</v>
      </c>
      <c r="AJ35" s="405" t="s">
        <v>879</v>
      </c>
      <c r="AK35" s="300">
        <f t="shared" si="10"/>
        <v>0</v>
      </c>
      <c r="AL35" s="297">
        <f t="shared" si="11"/>
        <v>0</v>
      </c>
      <c r="AM35" s="295"/>
      <c r="AN35" s="295"/>
      <c r="AO35" s="298">
        <f>'Unit Savings Calculations'!P31</f>
        <v>75.516000000000005</v>
      </c>
      <c r="AP35" s="405" t="s">
        <v>764</v>
      </c>
      <c r="AQ35" s="300">
        <f t="shared" si="12"/>
        <v>0</v>
      </c>
      <c r="AR35" s="297">
        <f t="shared" si="13"/>
        <v>0</v>
      </c>
      <c r="AS35" s="295"/>
      <c r="AT35" s="295"/>
      <c r="AU35" s="298">
        <f>'Unit Savings Calculations'!Q31</f>
        <v>75.516000000000005</v>
      </c>
      <c r="AV35" s="405" t="str">
        <f t="shared" si="14"/>
        <v>n/a</v>
      </c>
      <c r="AW35" s="300">
        <f t="shared" si="15"/>
        <v>0</v>
      </c>
      <c r="AX35" s="297">
        <f t="shared" si="16"/>
        <v>0</v>
      </c>
      <c r="AY35" s="300">
        <f t="shared" si="17"/>
        <v>0</v>
      </c>
      <c r="AZ35" s="300">
        <f t="shared" si="18"/>
        <v>0</v>
      </c>
      <c r="BA35" s="300">
        <f t="shared" si="19"/>
        <v>0</v>
      </c>
      <c r="BB35" s="300">
        <f t="shared" si="20"/>
        <v>0</v>
      </c>
      <c r="BC35" s="301">
        <f t="shared" si="21"/>
        <v>0</v>
      </c>
      <c r="BD35" s="295" t="s">
        <v>764</v>
      </c>
      <c r="BE35" s="302" t="str">
        <f t="shared" si="22"/>
        <v>Exhibit 1.5A_R North Shore EEPS_Adjustable_Savings_Goal_Template.xlsx, Unit Savings Calculations Tab</v>
      </c>
      <c r="BF35" s="304"/>
    </row>
    <row r="36" spans="1:58" ht="15.75" customHeight="1">
      <c r="A36" s="295" t="str">
        <f>'Unit Savings Calculations'!C32</f>
        <v>Res - SF Assessments</v>
      </c>
      <c r="B36" s="295" t="str">
        <f>'Unit Savings Calculations'!D32</f>
        <v>Advanced Thermostat - Furnace (Replace Manual)</v>
      </c>
      <c r="C36" s="296">
        <f t="shared" si="23"/>
        <v>1</v>
      </c>
      <c r="D36" s="295" t="str">
        <f>'Unit Savings Calculations'!T32</f>
        <v>5.3.16</v>
      </c>
      <c r="E36" s="460">
        <f>INDEX('Unit Savings Calculations'!$H$4:$H$421,MATCH('Measure-Level Adjustments Tab'!$A36&amp;"_"&amp;'Measure-Level Adjustments Tab'!$B36,'Unit Savings Calculations'!$A$4:$A$421,0))</f>
        <v>10</v>
      </c>
      <c r="F36" s="460">
        <f>INDEX('Unit Savings Calculations'!$I$4:$I$421,MATCH('Measure-Level Adjustments Tab'!A36&amp;"_"&amp;'Measure-Level Adjustments Tab'!B36,'Unit Savings Calculations'!$A$4:$A$421,0))</f>
        <v>11</v>
      </c>
      <c r="G36" s="295" t="str">
        <f>'Unit Savings Calculations'!E32</f>
        <v>each</v>
      </c>
      <c r="H36" s="297">
        <f>'Unit Savings Calculations'!$F32*'Unit Savings Calculations'!J32</f>
        <v>12</v>
      </c>
      <c r="I36" s="297">
        <f>'Unit Savings Calculations'!$F32*'Unit Savings Calculations'!K32</f>
        <v>12</v>
      </c>
      <c r="J36" s="297">
        <f>'Unit Savings Calculations'!$F32*'Unit Savings Calculations'!L32</f>
        <v>12</v>
      </c>
      <c r="K36" s="297">
        <f>'Unit Savings Calculations'!$F32*'Unit Savings Calculations'!M32</f>
        <v>12</v>
      </c>
      <c r="L36" s="295" t="str">
        <f>'Unit Savings Calculations'!U32</f>
        <v>RS-HVC-ADTH-V02-180101</v>
      </c>
      <c r="M36" s="405" t="str">
        <f>'Unit Savings Calculations'!R32</f>
        <v>Exhibit 1.5A_R North Shore EEPS_Adjustable_Savings_Goal_Template.xlsx, Unit Savings Calculations Tab</v>
      </c>
      <c r="N36" s="298">
        <v>88.44</v>
      </c>
      <c r="O36" s="298">
        <v>88.44</v>
      </c>
      <c r="P36" s="298">
        <v>88.44</v>
      </c>
      <c r="Q36" s="298">
        <v>88.44</v>
      </c>
      <c r="R36" s="299">
        <f>'Unit Savings Calculations'!$G32</f>
        <v>1</v>
      </c>
      <c r="S36" s="299">
        <f>'Unit Savings Calculations'!$G32</f>
        <v>1</v>
      </c>
      <c r="T36" s="299">
        <f>'Unit Savings Calculations'!$G32</f>
        <v>1</v>
      </c>
      <c r="U36" s="299">
        <f>'Unit Savings Calculations'!$G32</f>
        <v>1</v>
      </c>
      <c r="V36" s="300">
        <f t="shared" si="44"/>
        <v>1061.28</v>
      </c>
      <c r="W36" s="300">
        <f t="shared" si="45"/>
        <v>1061.28</v>
      </c>
      <c r="X36" s="300">
        <f t="shared" si="46"/>
        <v>1061.28</v>
      </c>
      <c r="Y36" s="300">
        <f t="shared" si="47"/>
        <v>1061.28</v>
      </c>
      <c r="Z36" s="300">
        <f t="shared" si="48"/>
        <v>4245.12</v>
      </c>
      <c r="AA36" s="295"/>
      <c r="AB36" s="295"/>
      <c r="AC36" s="298">
        <f>'Unit Savings Calculations'!N32</f>
        <v>88.44</v>
      </c>
      <c r="AD36" s="295"/>
      <c r="AE36" s="300">
        <f t="shared" si="7"/>
        <v>1061.28</v>
      </c>
      <c r="AF36" s="297">
        <f t="shared" si="8"/>
        <v>0</v>
      </c>
      <c r="AG36" s="295"/>
      <c r="AH36" s="295">
        <f t="shared" si="9"/>
        <v>0</v>
      </c>
      <c r="AI36" s="298">
        <f>'Unit Savings Calculations'!O32</f>
        <v>88.44</v>
      </c>
      <c r="AJ36" s="405" t="s">
        <v>879</v>
      </c>
      <c r="AK36" s="300">
        <f t="shared" si="10"/>
        <v>1061.28</v>
      </c>
      <c r="AL36" s="297">
        <f t="shared" si="11"/>
        <v>0</v>
      </c>
      <c r="AM36" s="295"/>
      <c r="AN36" s="295"/>
      <c r="AO36" s="298">
        <f>'Unit Savings Calculations'!P32</f>
        <v>88.44</v>
      </c>
      <c r="AP36" s="405" t="s">
        <v>764</v>
      </c>
      <c r="AQ36" s="300">
        <f t="shared" si="12"/>
        <v>1061.28</v>
      </c>
      <c r="AR36" s="297">
        <f t="shared" si="13"/>
        <v>0</v>
      </c>
      <c r="AS36" s="295"/>
      <c r="AT36" s="295"/>
      <c r="AU36" s="298">
        <f>'Unit Savings Calculations'!Q32</f>
        <v>88.44</v>
      </c>
      <c r="AV36" s="405" t="str">
        <f t="shared" si="14"/>
        <v>n/a</v>
      </c>
      <c r="AW36" s="300">
        <f t="shared" si="15"/>
        <v>1061.28</v>
      </c>
      <c r="AX36" s="297">
        <f t="shared" si="16"/>
        <v>0</v>
      </c>
      <c r="AY36" s="300">
        <f t="shared" si="17"/>
        <v>1061.28</v>
      </c>
      <c r="AZ36" s="300">
        <f t="shared" si="18"/>
        <v>1061.28</v>
      </c>
      <c r="BA36" s="300">
        <f t="shared" si="19"/>
        <v>1061.28</v>
      </c>
      <c r="BB36" s="300">
        <f t="shared" si="20"/>
        <v>1061.28</v>
      </c>
      <c r="BC36" s="301">
        <f t="shared" si="21"/>
        <v>4245.12</v>
      </c>
      <c r="BD36" s="295" t="s">
        <v>764</v>
      </c>
      <c r="BE36" s="302" t="str">
        <f t="shared" si="22"/>
        <v>Exhibit 1.5A_R North Shore EEPS_Adjustable_Savings_Goal_Template.xlsx, Unit Savings Calculations Tab</v>
      </c>
      <c r="BF36" s="304"/>
    </row>
    <row r="37" spans="1:58" ht="15.75" customHeight="1">
      <c r="A37" s="295" t="str">
        <f>'Unit Savings Calculations'!C33</f>
        <v>Res - SF Assessments</v>
      </c>
      <c r="B37" s="295" t="str">
        <f>'Unit Savings Calculations'!D33</f>
        <v>Advanced Thermostat - Boiler (Replace Manual)</v>
      </c>
      <c r="C37" s="296">
        <f t="shared" si="23"/>
        <v>1</v>
      </c>
      <c r="D37" s="295" t="str">
        <f>'Unit Savings Calculations'!T33</f>
        <v>5.3.16</v>
      </c>
      <c r="E37" s="460">
        <f>INDEX('Unit Savings Calculations'!$H$4:$H$421,MATCH('Measure-Level Adjustments Tab'!$A37&amp;"_"&amp;'Measure-Level Adjustments Tab'!$B37,'Unit Savings Calculations'!$A$4:$A$421,0))</f>
        <v>10</v>
      </c>
      <c r="F37" s="460">
        <f>INDEX('Unit Savings Calculations'!$I$4:$I$421,MATCH('Measure-Level Adjustments Tab'!A37&amp;"_"&amp;'Measure-Level Adjustments Tab'!B37,'Unit Savings Calculations'!$A$4:$A$421,0))</f>
        <v>11</v>
      </c>
      <c r="G37" s="295" t="str">
        <f>'Unit Savings Calculations'!E33</f>
        <v>each</v>
      </c>
      <c r="H37" s="297">
        <f>'Unit Savings Calculations'!$F33*'Unit Savings Calculations'!J33</f>
        <v>0</v>
      </c>
      <c r="I37" s="297">
        <f>'Unit Savings Calculations'!$F33*'Unit Savings Calculations'!K33</f>
        <v>0</v>
      </c>
      <c r="J37" s="297">
        <f>'Unit Savings Calculations'!$F33*'Unit Savings Calculations'!L33</f>
        <v>0</v>
      </c>
      <c r="K37" s="297">
        <f>'Unit Savings Calculations'!$F33*'Unit Savings Calculations'!M33</f>
        <v>0</v>
      </c>
      <c r="L37" s="295" t="str">
        <f>'Unit Savings Calculations'!U33</f>
        <v>RS-HVC-ADTH-V02-180101</v>
      </c>
      <c r="M37" s="405" t="str">
        <f>'Unit Savings Calculations'!R33</f>
        <v>Exhibit 1.5A_R North Shore EEPS_Adjustable_Savings_Goal_Template.xlsx, Unit Savings Calculations Tab</v>
      </c>
      <c r="N37" s="298">
        <v>107.184</v>
      </c>
      <c r="O37" s="298">
        <v>107.184</v>
      </c>
      <c r="P37" s="298">
        <v>107.184</v>
      </c>
      <c r="Q37" s="298">
        <v>107.184</v>
      </c>
      <c r="R37" s="299">
        <f>'Unit Savings Calculations'!$G33</f>
        <v>1</v>
      </c>
      <c r="S37" s="299">
        <f>'Unit Savings Calculations'!$G33</f>
        <v>1</v>
      </c>
      <c r="T37" s="299">
        <f>'Unit Savings Calculations'!$G33</f>
        <v>1</v>
      </c>
      <c r="U37" s="299">
        <f>'Unit Savings Calculations'!$G33</f>
        <v>1</v>
      </c>
      <c r="V37" s="300">
        <f t="shared" si="44"/>
        <v>0</v>
      </c>
      <c r="W37" s="300">
        <f t="shared" si="45"/>
        <v>0</v>
      </c>
      <c r="X37" s="300">
        <f t="shared" si="46"/>
        <v>0</v>
      </c>
      <c r="Y37" s="300">
        <f t="shared" si="47"/>
        <v>0</v>
      </c>
      <c r="Z37" s="300">
        <f t="shared" si="48"/>
        <v>0</v>
      </c>
      <c r="AA37" s="295"/>
      <c r="AB37" s="295"/>
      <c r="AC37" s="298">
        <f>'Unit Savings Calculations'!N33</f>
        <v>107.184</v>
      </c>
      <c r="AD37" s="295"/>
      <c r="AE37" s="300">
        <f t="shared" si="7"/>
        <v>0</v>
      </c>
      <c r="AF37" s="297">
        <f t="shared" si="8"/>
        <v>0</v>
      </c>
      <c r="AG37" s="295"/>
      <c r="AH37" s="295">
        <f t="shared" si="9"/>
        <v>0</v>
      </c>
      <c r="AI37" s="298">
        <f>'Unit Savings Calculations'!O33</f>
        <v>107.184</v>
      </c>
      <c r="AJ37" s="405" t="s">
        <v>879</v>
      </c>
      <c r="AK37" s="300">
        <f t="shared" si="10"/>
        <v>0</v>
      </c>
      <c r="AL37" s="297">
        <f t="shared" si="11"/>
        <v>0</v>
      </c>
      <c r="AM37" s="295"/>
      <c r="AN37" s="295"/>
      <c r="AO37" s="298">
        <f>'Unit Savings Calculations'!P33</f>
        <v>107.184</v>
      </c>
      <c r="AP37" s="405" t="s">
        <v>764</v>
      </c>
      <c r="AQ37" s="300">
        <f t="shared" si="12"/>
        <v>0</v>
      </c>
      <c r="AR37" s="297">
        <f t="shared" si="13"/>
        <v>0</v>
      </c>
      <c r="AS37" s="295"/>
      <c r="AT37" s="295"/>
      <c r="AU37" s="298">
        <f>'Unit Savings Calculations'!Q33</f>
        <v>107.184</v>
      </c>
      <c r="AV37" s="405" t="str">
        <f t="shared" si="14"/>
        <v>n/a</v>
      </c>
      <c r="AW37" s="300">
        <f t="shared" si="15"/>
        <v>0</v>
      </c>
      <c r="AX37" s="297">
        <f t="shared" si="16"/>
        <v>0</v>
      </c>
      <c r="AY37" s="300">
        <f t="shared" si="17"/>
        <v>0</v>
      </c>
      <c r="AZ37" s="300">
        <f t="shared" si="18"/>
        <v>0</v>
      </c>
      <c r="BA37" s="300">
        <f t="shared" si="19"/>
        <v>0</v>
      </c>
      <c r="BB37" s="300">
        <f t="shared" si="20"/>
        <v>0</v>
      </c>
      <c r="BC37" s="301">
        <f t="shared" si="21"/>
        <v>0</v>
      </c>
      <c r="BD37" s="295" t="s">
        <v>764</v>
      </c>
      <c r="BE37" s="302" t="str">
        <f t="shared" si="22"/>
        <v>Exhibit 1.5A_R North Shore EEPS_Adjustable_Savings_Goal_Template.xlsx, Unit Savings Calculations Tab</v>
      </c>
      <c r="BF37" s="304"/>
    </row>
    <row r="38" spans="1:58" ht="15.75" customHeight="1">
      <c r="A38" s="295" t="str">
        <f>'Unit Savings Calculations'!C34</f>
        <v>Res - SF Assessments</v>
      </c>
      <c r="B38" s="295" t="str">
        <f>'Unit Savings Calculations'!D34</f>
        <v>Advanced Thermostat - Furnace (Replace Programmable)</v>
      </c>
      <c r="C38" s="296">
        <f t="shared" si="23"/>
        <v>1</v>
      </c>
      <c r="D38" s="295" t="str">
        <f>'Unit Savings Calculations'!T34</f>
        <v>5.3.16</v>
      </c>
      <c r="E38" s="460">
        <f>INDEX('Unit Savings Calculations'!$H$4:$H$421,MATCH('Measure-Level Adjustments Tab'!$A38&amp;"_"&amp;'Measure-Level Adjustments Tab'!$B38,'Unit Savings Calculations'!$A$4:$A$421,0))</f>
        <v>10</v>
      </c>
      <c r="F38" s="460">
        <f>INDEX('Unit Savings Calculations'!$I$4:$I$421,MATCH('Measure-Level Adjustments Tab'!A38&amp;"_"&amp;'Measure-Level Adjustments Tab'!B38,'Unit Savings Calculations'!$A$4:$A$421,0))</f>
        <v>11</v>
      </c>
      <c r="G38" s="295" t="str">
        <f>'Unit Savings Calculations'!E34</f>
        <v>each</v>
      </c>
      <c r="H38" s="297">
        <f>'Unit Savings Calculations'!$F34*'Unit Savings Calculations'!J34</f>
        <v>218</v>
      </c>
      <c r="I38" s="297">
        <f>'Unit Savings Calculations'!$F34*'Unit Savings Calculations'!K34</f>
        <v>218</v>
      </c>
      <c r="J38" s="297">
        <f>'Unit Savings Calculations'!$F34*'Unit Savings Calculations'!L34</f>
        <v>215</v>
      </c>
      <c r="K38" s="297">
        <f>'Unit Savings Calculations'!$F34*'Unit Savings Calculations'!M34</f>
        <v>218</v>
      </c>
      <c r="L38" s="295" t="str">
        <f>'Unit Savings Calculations'!U34</f>
        <v>RS-HVC-ADTH-V02-180101</v>
      </c>
      <c r="M38" s="405" t="str">
        <f>'Unit Savings Calculations'!R34</f>
        <v>Exhibit 1.5A_R North Shore EEPS_Adjustable_Savings_Goal_Template.xlsx, Unit Savings Calculations Tab</v>
      </c>
      <c r="N38" s="298">
        <v>56.28</v>
      </c>
      <c r="O38" s="298">
        <v>56.28</v>
      </c>
      <c r="P38" s="298">
        <v>56.28</v>
      </c>
      <c r="Q38" s="298">
        <v>56.28</v>
      </c>
      <c r="R38" s="299">
        <f>'Unit Savings Calculations'!$G34</f>
        <v>1</v>
      </c>
      <c r="S38" s="299">
        <f>'Unit Savings Calculations'!$G34</f>
        <v>1</v>
      </c>
      <c r="T38" s="299">
        <f>'Unit Savings Calculations'!$G34</f>
        <v>1</v>
      </c>
      <c r="U38" s="299">
        <f>'Unit Savings Calculations'!$G34</f>
        <v>1</v>
      </c>
      <c r="V38" s="300">
        <f t="shared" si="44"/>
        <v>12269.04</v>
      </c>
      <c r="W38" s="300">
        <f t="shared" si="45"/>
        <v>12269.04</v>
      </c>
      <c r="X38" s="300">
        <f t="shared" si="46"/>
        <v>12100.2</v>
      </c>
      <c r="Y38" s="300">
        <f t="shared" si="47"/>
        <v>12269.04</v>
      </c>
      <c r="Z38" s="300">
        <f t="shared" si="48"/>
        <v>48907.32</v>
      </c>
      <c r="AA38" s="295"/>
      <c r="AB38" s="295"/>
      <c r="AC38" s="298">
        <f>'Unit Savings Calculations'!N34</f>
        <v>56.28</v>
      </c>
      <c r="AD38" s="295"/>
      <c r="AE38" s="300">
        <f t="shared" si="7"/>
        <v>12269.04</v>
      </c>
      <c r="AF38" s="297">
        <f t="shared" si="8"/>
        <v>0</v>
      </c>
      <c r="AG38" s="295"/>
      <c r="AH38" s="295">
        <f t="shared" si="9"/>
        <v>0</v>
      </c>
      <c r="AI38" s="298">
        <f>'Unit Savings Calculations'!O34</f>
        <v>56.28</v>
      </c>
      <c r="AJ38" s="405" t="s">
        <v>879</v>
      </c>
      <c r="AK38" s="300">
        <f t="shared" si="10"/>
        <v>12269.04</v>
      </c>
      <c r="AL38" s="297">
        <f t="shared" si="11"/>
        <v>0</v>
      </c>
      <c r="AM38" s="295"/>
      <c r="AN38" s="295"/>
      <c r="AO38" s="298">
        <f>'Unit Savings Calculations'!P34</f>
        <v>56.28</v>
      </c>
      <c r="AP38" s="405" t="s">
        <v>764</v>
      </c>
      <c r="AQ38" s="300">
        <f t="shared" si="12"/>
        <v>12100.2</v>
      </c>
      <c r="AR38" s="297">
        <f t="shared" si="13"/>
        <v>0</v>
      </c>
      <c r="AS38" s="295"/>
      <c r="AT38" s="295"/>
      <c r="AU38" s="298">
        <f>'Unit Savings Calculations'!Q34</f>
        <v>56.28</v>
      </c>
      <c r="AV38" s="405" t="str">
        <f t="shared" si="14"/>
        <v>n/a</v>
      </c>
      <c r="AW38" s="300">
        <f t="shared" si="15"/>
        <v>12269.04</v>
      </c>
      <c r="AX38" s="297">
        <f t="shared" si="16"/>
        <v>0</v>
      </c>
      <c r="AY38" s="300">
        <f t="shared" si="17"/>
        <v>12269.04</v>
      </c>
      <c r="AZ38" s="300">
        <f t="shared" si="18"/>
        <v>12269.04</v>
      </c>
      <c r="BA38" s="300">
        <f t="shared" si="19"/>
        <v>12100.2</v>
      </c>
      <c r="BB38" s="300">
        <f t="shared" si="20"/>
        <v>12269.04</v>
      </c>
      <c r="BC38" s="301">
        <f t="shared" si="21"/>
        <v>48907.32</v>
      </c>
      <c r="BD38" s="295" t="s">
        <v>764</v>
      </c>
      <c r="BE38" s="302" t="str">
        <f t="shared" si="22"/>
        <v>Exhibit 1.5A_R North Shore EEPS_Adjustable_Savings_Goal_Template.xlsx, Unit Savings Calculations Tab</v>
      </c>
      <c r="BF38" s="304"/>
    </row>
    <row r="39" spans="1:58" ht="15.75" customHeight="1">
      <c r="A39" s="295" t="str">
        <f>'Unit Savings Calculations'!C35</f>
        <v>Res - SF Assessments</v>
      </c>
      <c r="B39" s="295" t="str">
        <f>'Unit Savings Calculations'!D35</f>
        <v>Advanced Thermostat - Boiler (Replace Programmable)</v>
      </c>
      <c r="C39" s="296">
        <f t="shared" si="23"/>
        <v>1</v>
      </c>
      <c r="D39" s="295" t="str">
        <f>'Unit Savings Calculations'!T35</f>
        <v>5.3.16</v>
      </c>
      <c r="E39" s="460">
        <f>INDEX('Unit Savings Calculations'!$H$4:$H$421,MATCH('Measure-Level Adjustments Tab'!$A39&amp;"_"&amp;'Measure-Level Adjustments Tab'!$B39,'Unit Savings Calculations'!$A$4:$A$421,0))</f>
        <v>10</v>
      </c>
      <c r="F39" s="460">
        <f>INDEX('Unit Savings Calculations'!$I$4:$I$421,MATCH('Measure-Level Adjustments Tab'!A39&amp;"_"&amp;'Measure-Level Adjustments Tab'!B39,'Unit Savings Calculations'!$A$4:$A$421,0))</f>
        <v>11</v>
      </c>
      <c r="G39" s="295" t="str">
        <f>'Unit Savings Calculations'!E35</f>
        <v>each</v>
      </c>
      <c r="H39" s="297">
        <f>'Unit Savings Calculations'!$F35*'Unit Savings Calculations'!J35</f>
        <v>0</v>
      </c>
      <c r="I39" s="297">
        <f>'Unit Savings Calculations'!$F35*'Unit Savings Calculations'!K35</f>
        <v>0</v>
      </c>
      <c r="J39" s="297">
        <f>'Unit Savings Calculations'!$F35*'Unit Savings Calculations'!L35</f>
        <v>0</v>
      </c>
      <c r="K39" s="297">
        <f>'Unit Savings Calculations'!$F35*'Unit Savings Calculations'!M35</f>
        <v>0</v>
      </c>
      <c r="L39" s="295" t="str">
        <f>'Unit Savings Calculations'!U35</f>
        <v>RS-HVC-ADTH-V02-180101</v>
      </c>
      <c r="M39" s="405" t="str">
        <f>'Unit Savings Calculations'!R35</f>
        <v>Exhibit 1.5A_R North Shore EEPS_Adjustable_Savings_Goal_Template.xlsx, Unit Savings Calculations Tab</v>
      </c>
      <c r="N39" s="298">
        <v>68.207999999999998</v>
      </c>
      <c r="O39" s="298">
        <v>68.207999999999998</v>
      </c>
      <c r="P39" s="298">
        <v>68.207999999999998</v>
      </c>
      <c r="Q39" s="298">
        <v>68.207999999999998</v>
      </c>
      <c r="R39" s="299">
        <f>'Unit Savings Calculations'!$G35</f>
        <v>1</v>
      </c>
      <c r="S39" s="299">
        <f>'Unit Savings Calculations'!$G35</f>
        <v>1</v>
      </c>
      <c r="T39" s="299">
        <f>'Unit Savings Calculations'!$G35</f>
        <v>1</v>
      </c>
      <c r="U39" s="299">
        <f>'Unit Savings Calculations'!$G35</f>
        <v>1</v>
      </c>
      <c r="V39" s="300">
        <f t="shared" si="44"/>
        <v>0</v>
      </c>
      <c r="W39" s="300">
        <f t="shared" si="45"/>
        <v>0</v>
      </c>
      <c r="X39" s="300">
        <f t="shared" si="46"/>
        <v>0</v>
      </c>
      <c r="Y39" s="300">
        <f t="shared" si="47"/>
        <v>0</v>
      </c>
      <c r="Z39" s="300">
        <f t="shared" si="48"/>
        <v>0</v>
      </c>
      <c r="AA39" s="295"/>
      <c r="AB39" s="295"/>
      <c r="AC39" s="298">
        <f>'Unit Savings Calculations'!N35</f>
        <v>68.207999999999998</v>
      </c>
      <c r="AD39" s="295"/>
      <c r="AE39" s="300">
        <f t="shared" si="7"/>
        <v>0</v>
      </c>
      <c r="AF39" s="297">
        <f t="shared" si="8"/>
        <v>0</v>
      </c>
      <c r="AG39" s="295"/>
      <c r="AH39" s="295">
        <f t="shared" si="9"/>
        <v>0</v>
      </c>
      <c r="AI39" s="298">
        <f>'Unit Savings Calculations'!O35</f>
        <v>68.207999999999998</v>
      </c>
      <c r="AJ39" s="405" t="s">
        <v>879</v>
      </c>
      <c r="AK39" s="300">
        <f t="shared" si="10"/>
        <v>0</v>
      </c>
      <c r="AL39" s="297">
        <f t="shared" si="11"/>
        <v>0</v>
      </c>
      <c r="AM39" s="295"/>
      <c r="AN39" s="295"/>
      <c r="AO39" s="298">
        <f>'Unit Savings Calculations'!P35</f>
        <v>68.207999999999998</v>
      </c>
      <c r="AP39" s="405" t="s">
        <v>764</v>
      </c>
      <c r="AQ39" s="300">
        <f t="shared" si="12"/>
        <v>0</v>
      </c>
      <c r="AR39" s="297">
        <f t="shared" si="13"/>
        <v>0</v>
      </c>
      <c r="AS39" s="295"/>
      <c r="AT39" s="295"/>
      <c r="AU39" s="298">
        <f>'Unit Savings Calculations'!Q35</f>
        <v>68.207999999999998</v>
      </c>
      <c r="AV39" s="405" t="str">
        <f t="shared" si="14"/>
        <v>n/a</v>
      </c>
      <c r="AW39" s="300">
        <f t="shared" si="15"/>
        <v>0</v>
      </c>
      <c r="AX39" s="297">
        <f t="shared" si="16"/>
        <v>0</v>
      </c>
      <c r="AY39" s="300">
        <f t="shared" si="17"/>
        <v>0</v>
      </c>
      <c r="AZ39" s="300">
        <f t="shared" si="18"/>
        <v>0</v>
      </c>
      <c r="BA39" s="300">
        <f t="shared" si="19"/>
        <v>0</v>
      </c>
      <c r="BB39" s="300">
        <f t="shared" si="20"/>
        <v>0</v>
      </c>
      <c r="BC39" s="301">
        <f t="shared" si="21"/>
        <v>0</v>
      </c>
      <c r="BD39" s="295" t="s">
        <v>764</v>
      </c>
      <c r="BE39" s="302" t="str">
        <f t="shared" si="22"/>
        <v>Exhibit 1.5A_R North Shore EEPS_Adjustable_Savings_Goal_Template.xlsx, Unit Savings Calculations Tab</v>
      </c>
      <c r="BF39" s="304"/>
    </row>
    <row r="40" spans="1:58" ht="15.75" customHeight="1">
      <c r="A40" s="295" t="str">
        <f>'Unit Savings Calculations'!C36</f>
        <v>Res - SF Assessments</v>
      </c>
      <c r="B40" s="295" t="str">
        <f>'Unit Savings Calculations'!D36</f>
        <v>Thermostat - Reprogram</v>
      </c>
      <c r="C40" s="296">
        <f t="shared" si="23"/>
        <v>1</v>
      </c>
      <c r="D40" s="295" t="str">
        <f>'Unit Savings Calculations'!T36</f>
        <v>5.3.11</v>
      </c>
      <c r="E40" s="460">
        <f>INDEX('Unit Savings Calculations'!$H$4:$H$421,MATCH('Measure-Level Adjustments Tab'!$A40&amp;"_"&amp;'Measure-Level Adjustments Tab'!$B40,'Unit Savings Calculations'!$A$4:$A$421,0))</f>
        <v>2</v>
      </c>
      <c r="F40" s="460">
        <f>INDEX('Unit Savings Calculations'!$I$4:$I$421,MATCH('Measure-Level Adjustments Tab'!A40&amp;"_"&amp;'Measure-Level Adjustments Tab'!B40,'Unit Savings Calculations'!$A$4:$A$421,0))</f>
        <v>2</v>
      </c>
      <c r="G40" s="295" t="str">
        <f>'Unit Savings Calculations'!E36</f>
        <v>each</v>
      </c>
      <c r="H40" s="297">
        <f>'Unit Savings Calculations'!$F36*'Unit Savings Calculations'!J36</f>
        <v>411</v>
      </c>
      <c r="I40" s="297">
        <f>'Unit Savings Calculations'!$F36*'Unit Savings Calculations'!K36</f>
        <v>411</v>
      </c>
      <c r="J40" s="297">
        <f>'Unit Savings Calculations'!$F36*'Unit Savings Calculations'!L36</f>
        <v>405</v>
      </c>
      <c r="K40" s="297">
        <f>'Unit Savings Calculations'!$F36*'Unit Savings Calculations'!M36</f>
        <v>411</v>
      </c>
      <c r="L40" s="295" t="str">
        <f>'Unit Savings Calculations'!U36</f>
        <v>RS-HVC-PROG-V04-180101</v>
      </c>
      <c r="M40" s="405" t="str">
        <f>'Unit Savings Calculations'!R36</f>
        <v>Exhibit 1.5A_R North Shore EEPS_Adjustable_Savings_Goal_Template.xlsx, Unit Savings Calculations Tab</v>
      </c>
      <c r="N40" s="298">
        <v>62.31</v>
      </c>
      <c r="O40" s="298">
        <v>62.31</v>
      </c>
      <c r="P40" s="298">
        <v>62.31</v>
      </c>
      <c r="Q40" s="298">
        <v>62.31</v>
      </c>
      <c r="R40" s="299">
        <f>'Unit Savings Calculations'!$G36</f>
        <v>0.96</v>
      </c>
      <c r="S40" s="299">
        <f>'Unit Savings Calculations'!$G36</f>
        <v>0.96</v>
      </c>
      <c r="T40" s="299">
        <f>'Unit Savings Calculations'!$G36</f>
        <v>0.96</v>
      </c>
      <c r="U40" s="299">
        <f>'Unit Savings Calculations'!$G36</f>
        <v>0.96</v>
      </c>
      <c r="V40" s="300">
        <f t="shared" si="44"/>
        <v>24585.033599999999</v>
      </c>
      <c r="W40" s="300">
        <f t="shared" si="45"/>
        <v>24585.033599999999</v>
      </c>
      <c r="X40" s="300">
        <f t="shared" si="46"/>
        <v>24226.127999999997</v>
      </c>
      <c r="Y40" s="300">
        <f t="shared" si="47"/>
        <v>24585.033599999999</v>
      </c>
      <c r="Z40" s="300">
        <f t="shared" si="48"/>
        <v>97981.228799999983</v>
      </c>
      <c r="AA40" s="295"/>
      <c r="AB40" s="295"/>
      <c r="AC40" s="298">
        <f>'Unit Savings Calculations'!N36</f>
        <v>62.31</v>
      </c>
      <c r="AD40" s="295"/>
      <c r="AE40" s="300">
        <f t="shared" si="7"/>
        <v>24585.033599999999</v>
      </c>
      <c r="AF40" s="297">
        <f t="shared" si="8"/>
        <v>0</v>
      </c>
      <c r="AG40" s="295"/>
      <c r="AH40" s="295">
        <f t="shared" si="9"/>
        <v>0</v>
      </c>
      <c r="AI40" s="298">
        <f>'Unit Savings Calculations'!O36</f>
        <v>62.31</v>
      </c>
      <c r="AJ40" s="405" t="s">
        <v>879</v>
      </c>
      <c r="AK40" s="300">
        <f t="shared" si="10"/>
        <v>24585.033599999999</v>
      </c>
      <c r="AL40" s="297">
        <f t="shared" si="11"/>
        <v>0</v>
      </c>
      <c r="AM40" s="295"/>
      <c r="AN40" s="295"/>
      <c r="AO40" s="298">
        <f>'Unit Savings Calculations'!P36</f>
        <v>62.31</v>
      </c>
      <c r="AP40" s="405" t="s">
        <v>764</v>
      </c>
      <c r="AQ40" s="300">
        <f t="shared" si="12"/>
        <v>24226.127999999997</v>
      </c>
      <c r="AR40" s="297">
        <f t="shared" si="13"/>
        <v>0</v>
      </c>
      <c r="AS40" s="295"/>
      <c r="AT40" s="295"/>
      <c r="AU40" s="298">
        <f>'Unit Savings Calculations'!Q36</f>
        <v>62.31</v>
      </c>
      <c r="AV40" s="405" t="str">
        <f t="shared" si="14"/>
        <v>n/a</v>
      </c>
      <c r="AW40" s="300">
        <f t="shared" si="15"/>
        <v>24585.033599999999</v>
      </c>
      <c r="AX40" s="297">
        <f t="shared" si="16"/>
        <v>0</v>
      </c>
      <c r="AY40" s="300">
        <f t="shared" si="17"/>
        <v>24585.033599999999</v>
      </c>
      <c r="AZ40" s="300">
        <f t="shared" si="18"/>
        <v>24585.033599999999</v>
      </c>
      <c r="BA40" s="300">
        <f t="shared" si="19"/>
        <v>24226.127999999997</v>
      </c>
      <c r="BB40" s="300">
        <f t="shared" si="20"/>
        <v>24585.033599999999</v>
      </c>
      <c r="BC40" s="301">
        <f t="shared" si="21"/>
        <v>97981.228799999983</v>
      </c>
      <c r="BD40" s="295" t="s">
        <v>764</v>
      </c>
      <c r="BE40" s="302" t="str">
        <f t="shared" si="22"/>
        <v>Exhibit 1.5A_R North Shore EEPS_Adjustable_Savings_Goal_Template.xlsx, Unit Savings Calculations Tab</v>
      </c>
      <c r="BF40" s="304"/>
    </row>
    <row r="41" spans="1:58" ht="15.75" customHeight="1">
      <c r="A41" s="295" t="str">
        <f>'Unit Savings Calculations'!C37</f>
        <v>Res - MF Assessments</v>
      </c>
      <c r="B41" s="295" t="str">
        <f>'Unit Savings Calculations'!D37</f>
        <v>Bathroom Aerator</v>
      </c>
      <c r="C41" s="296">
        <f t="shared" si="23"/>
        <v>1</v>
      </c>
      <c r="D41" s="295" t="str">
        <f>'Unit Savings Calculations'!T37</f>
        <v>5.4.4</v>
      </c>
      <c r="E41" s="460">
        <f>INDEX('Unit Savings Calculations'!$H$4:$H$421,MATCH('Measure-Level Adjustments Tab'!$A41&amp;"_"&amp;'Measure-Level Adjustments Tab'!$B41,'Unit Savings Calculations'!$A$4:$A$421,0))</f>
        <v>9</v>
      </c>
      <c r="F41" s="460">
        <f>INDEX('Unit Savings Calculations'!$I$4:$I$421,MATCH('Measure-Level Adjustments Tab'!A41&amp;"_"&amp;'Measure-Level Adjustments Tab'!B41,'Unit Savings Calculations'!$A$4:$A$421,0))</f>
        <v>10</v>
      </c>
      <c r="G41" s="295" t="str">
        <f>'Unit Savings Calculations'!E37</f>
        <v>each</v>
      </c>
      <c r="H41" s="297">
        <f>'Unit Savings Calculations'!$F37*'Unit Savings Calculations'!J37</f>
        <v>564</v>
      </c>
      <c r="I41" s="297">
        <f>'Unit Savings Calculations'!$F37*'Unit Savings Calculations'!K37</f>
        <v>564</v>
      </c>
      <c r="J41" s="297">
        <f>'Unit Savings Calculations'!$F37*'Unit Savings Calculations'!L37</f>
        <v>522</v>
      </c>
      <c r="K41" s="297">
        <f>'Unit Savings Calculations'!$F37*'Unit Savings Calculations'!M37</f>
        <v>564</v>
      </c>
      <c r="L41" s="295" t="str">
        <f>'Unit Savings Calculations'!U37</f>
        <v>RS-HWE-LFFA-V06-180101</v>
      </c>
      <c r="M41" s="405" t="str">
        <f>'Unit Savings Calculations'!R37</f>
        <v>Exhibit 1.5A_R North Shore EEPS_Adjustable_Savings_Goal_Template.xlsx, Unit Savings Calculations Tab</v>
      </c>
      <c r="N41" s="298">
        <v>1.2484689715316413</v>
      </c>
      <c r="O41" s="298">
        <v>1.2484689715316413</v>
      </c>
      <c r="P41" s="298">
        <v>1.2484689715316413</v>
      </c>
      <c r="Q41" s="298">
        <v>1.2484689715316413</v>
      </c>
      <c r="R41" s="299">
        <f>'Unit Savings Calculations'!$G37</f>
        <v>0.85</v>
      </c>
      <c r="S41" s="299">
        <f>'Unit Savings Calculations'!$G37</f>
        <v>0.85</v>
      </c>
      <c r="T41" s="299">
        <f>'Unit Savings Calculations'!$G37</f>
        <v>0.85</v>
      </c>
      <c r="U41" s="299">
        <f>'Unit Savings Calculations'!$G37</f>
        <v>0.85</v>
      </c>
      <c r="V41" s="300">
        <f t="shared" si="44"/>
        <v>598.51602495226882</v>
      </c>
      <c r="W41" s="300">
        <f t="shared" si="45"/>
        <v>598.51602495226882</v>
      </c>
      <c r="X41" s="300">
        <f t="shared" si="46"/>
        <v>553.94568266858926</v>
      </c>
      <c r="Y41" s="300">
        <f t="shared" si="47"/>
        <v>598.51602495226882</v>
      </c>
      <c r="Z41" s="300">
        <f t="shared" si="48"/>
        <v>2349.4937575253957</v>
      </c>
      <c r="AA41" s="295"/>
      <c r="AB41" s="295"/>
      <c r="AC41" s="298">
        <f>'Unit Savings Calculations'!N37</f>
        <v>1.6368815404525978</v>
      </c>
      <c r="AD41" s="295"/>
      <c r="AE41" s="300">
        <f t="shared" si="7"/>
        <v>784.72101049297532</v>
      </c>
      <c r="AF41" s="297">
        <f t="shared" si="8"/>
        <v>186.2049855407065</v>
      </c>
      <c r="AG41" s="295"/>
      <c r="AH41" s="295">
        <f t="shared" si="9"/>
        <v>0</v>
      </c>
      <c r="AI41" s="298">
        <f>'Unit Savings Calculations'!O37</f>
        <v>1.6368815404525978</v>
      </c>
      <c r="AJ41" s="405" t="s">
        <v>1017</v>
      </c>
      <c r="AK41" s="300">
        <f t="shared" si="10"/>
        <v>784.72101049297532</v>
      </c>
      <c r="AL41" s="297">
        <f t="shared" si="11"/>
        <v>186.2049855407065</v>
      </c>
      <c r="AM41" s="295"/>
      <c r="AN41" s="295"/>
      <c r="AO41" s="298">
        <f>'Unit Savings Calculations'!P37</f>
        <v>1.6368815404525978</v>
      </c>
      <c r="AP41" s="405" t="s">
        <v>764</v>
      </c>
      <c r="AQ41" s="300">
        <f t="shared" si="12"/>
        <v>726.28433949881764</v>
      </c>
      <c r="AR41" s="297">
        <f t="shared" si="13"/>
        <v>172.33865683022839</v>
      </c>
      <c r="AS41" s="295"/>
      <c r="AT41" s="295"/>
      <c r="AU41" s="298">
        <f>'Unit Savings Calculations'!Q37</f>
        <v>1.6368815404525978</v>
      </c>
      <c r="AV41" s="405" t="str">
        <f t="shared" si="14"/>
        <v>n/a</v>
      </c>
      <c r="AW41" s="300">
        <f t="shared" si="15"/>
        <v>784.72101049297532</v>
      </c>
      <c r="AX41" s="297">
        <f t="shared" si="16"/>
        <v>186.2049855407065</v>
      </c>
      <c r="AY41" s="300">
        <f t="shared" si="17"/>
        <v>784.72101049297532</v>
      </c>
      <c r="AZ41" s="300">
        <f t="shared" si="18"/>
        <v>784.72101049297532</v>
      </c>
      <c r="BA41" s="300">
        <f t="shared" si="19"/>
        <v>726.28433949881764</v>
      </c>
      <c r="BB41" s="300">
        <f t="shared" si="20"/>
        <v>784.72101049297532</v>
      </c>
      <c r="BC41" s="301">
        <f t="shared" si="21"/>
        <v>3080.447370977744</v>
      </c>
      <c r="BD41" s="295" t="s">
        <v>764</v>
      </c>
      <c r="BE41" s="302" t="str">
        <f t="shared" si="22"/>
        <v>Exhibit 1.5A_R North Shore EEPS_Adjustable_Savings_Goal_Template.xlsx, Unit Savings Calculations Tab</v>
      </c>
      <c r="BF41" s="304"/>
    </row>
    <row r="42" spans="1:58" ht="15.75" customHeight="1">
      <c r="A42" s="295" t="str">
        <f>'Unit Savings Calculations'!C38</f>
        <v>Res - MF Assessments</v>
      </c>
      <c r="B42" s="295" t="str">
        <f>'Unit Savings Calculations'!D38</f>
        <v>Kitchen Aerator</v>
      </c>
      <c r="C42" s="296">
        <f t="shared" si="23"/>
        <v>1</v>
      </c>
      <c r="D42" s="295" t="str">
        <f>'Unit Savings Calculations'!T38</f>
        <v>5.4.4</v>
      </c>
      <c r="E42" s="460">
        <f>INDEX('Unit Savings Calculations'!$H$4:$H$421,MATCH('Measure-Level Adjustments Tab'!$A42&amp;"_"&amp;'Measure-Level Adjustments Tab'!$B42,'Unit Savings Calculations'!$A$4:$A$421,0))</f>
        <v>9</v>
      </c>
      <c r="F42" s="460">
        <f>INDEX('Unit Savings Calculations'!$I$4:$I$421,MATCH('Measure-Level Adjustments Tab'!A42&amp;"_"&amp;'Measure-Level Adjustments Tab'!B42,'Unit Savings Calculations'!$A$4:$A$421,0))</f>
        <v>10</v>
      </c>
      <c r="G42" s="295" t="str">
        <f>'Unit Savings Calculations'!E38</f>
        <v>each</v>
      </c>
      <c r="H42" s="297">
        <f>'Unit Savings Calculations'!$F38*'Unit Savings Calculations'!J38</f>
        <v>462</v>
      </c>
      <c r="I42" s="297">
        <f>'Unit Savings Calculations'!$F38*'Unit Savings Calculations'!K38</f>
        <v>462</v>
      </c>
      <c r="J42" s="297">
        <f>'Unit Savings Calculations'!$F38*'Unit Savings Calculations'!L38</f>
        <v>427</v>
      </c>
      <c r="K42" s="297">
        <f>'Unit Savings Calculations'!$F38*'Unit Savings Calculations'!M38</f>
        <v>462</v>
      </c>
      <c r="L42" s="295" t="str">
        <f>'Unit Savings Calculations'!U38</f>
        <v>RS-HWE-LFFA-V06-180101</v>
      </c>
      <c r="M42" s="405" t="str">
        <f>'Unit Savings Calculations'!R38</f>
        <v>Exhibit 1.5A_R North Shore EEPS_Adjustable_Savings_Goal_Template.xlsx, Unit Savings Calculations Tab</v>
      </c>
      <c r="N42" s="298">
        <v>5.1269254520350058</v>
      </c>
      <c r="O42" s="298">
        <v>5.1269254520350058</v>
      </c>
      <c r="P42" s="298">
        <v>5.1269254520350058</v>
      </c>
      <c r="Q42" s="298">
        <v>5.1269254520350058</v>
      </c>
      <c r="R42" s="299">
        <f>'Unit Savings Calculations'!$G38</f>
        <v>0.85</v>
      </c>
      <c r="S42" s="299">
        <f>'Unit Savings Calculations'!$G38</f>
        <v>0.85</v>
      </c>
      <c r="T42" s="299">
        <f>'Unit Savings Calculations'!$G38</f>
        <v>0.85</v>
      </c>
      <c r="U42" s="299">
        <f>'Unit Savings Calculations'!$G38</f>
        <v>0.85</v>
      </c>
      <c r="V42" s="300">
        <f t="shared" si="44"/>
        <v>2013.3436250141469</v>
      </c>
      <c r="W42" s="300">
        <f t="shared" si="45"/>
        <v>2013.3436250141469</v>
      </c>
      <c r="X42" s="300">
        <f t="shared" si="46"/>
        <v>1860.8175928161054</v>
      </c>
      <c r="Y42" s="300">
        <f t="shared" si="47"/>
        <v>2013.3436250141469</v>
      </c>
      <c r="Z42" s="300">
        <f t="shared" si="48"/>
        <v>7900.8484678585455</v>
      </c>
      <c r="AA42" s="295"/>
      <c r="AB42" s="295"/>
      <c r="AC42" s="298">
        <f>'Unit Savings Calculations'!N38</f>
        <v>7.8612856931203403</v>
      </c>
      <c r="AD42" s="295"/>
      <c r="AE42" s="300">
        <f t="shared" si="7"/>
        <v>3087.1268916883573</v>
      </c>
      <c r="AF42" s="297">
        <f t="shared" si="8"/>
        <v>1073.7832666742104</v>
      </c>
      <c r="AG42" s="295"/>
      <c r="AH42" s="295">
        <f t="shared" si="9"/>
        <v>0</v>
      </c>
      <c r="AI42" s="298">
        <f>'Unit Savings Calculations'!O38</f>
        <v>7.8612856931203403</v>
      </c>
      <c r="AJ42" s="405" t="s">
        <v>1017</v>
      </c>
      <c r="AK42" s="300">
        <f t="shared" si="10"/>
        <v>3087.1268916883573</v>
      </c>
      <c r="AL42" s="297">
        <f t="shared" si="11"/>
        <v>1073.7832666742104</v>
      </c>
      <c r="AM42" s="295"/>
      <c r="AN42" s="295"/>
      <c r="AO42" s="298">
        <f>'Unit Savings Calculations'!P38</f>
        <v>7.8612856931203403</v>
      </c>
      <c r="AP42" s="405" t="s">
        <v>764</v>
      </c>
      <c r="AQ42" s="300">
        <f t="shared" si="12"/>
        <v>2853.2536423180277</v>
      </c>
      <c r="AR42" s="297">
        <f t="shared" si="13"/>
        <v>992.4360495019223</v>
      </c>
      <c r="AS42" s="295"/>
      <c r="AT42" s="295"/>
      <c r="AU42" s="298">
        <f>'Unit Savings Calculations'!Q38</f>
        <v>7.8612856931203403</v>
      </c>
      <c r="AV42" s="405" t="str">
        <f t="shared" si="14"/>
        <v>n/a</v>
      </c>
      <c r="AW42" s="300">
        <f t="shared" si="15"/>
        <v>3087.1268916883573</v>
      </c>
      <c r="AX42" s="297">
        <f t="shared" si="16"/>
        <v>1073.7832666742104</v>
      </c>
      <c r="AY42" s="300">
        <f t="shared" si="17"/>
        <v>3087.1268916883573</v>
      </c>
      <c r="AZ42" s="300">
        <f t="shared" si="18"/>
        <v>3087.1268916883573</v>
      </c>
      <c r="BA42" s="300">
        <f t="shared" si="19"/>
        <v>2853.2536423180277</v>
      </c>
      <c r="BB42" s="300">
        <f t="shared" si="20"/>
        <v>3087.1268916883573</v>
      </c>
      <c r="BC42" s="301">
        <f t="shared" si="21"/>
        <v>12114.634317383101</v>
      </c>
      <c r="BD42" s="295" t="s">
        <v>764</v>
      </c>
      <c r="BE42" s="302" t="str">
        <f t="shared" si="22"/>
        <v>Exhibit 1.5A_R North Shore EEPS_Adjustable_Savings_Goal_Template.xlsx, Unit Savings Calculations Tab</v>
      </c>
      <c r="BF42" s="304"/>
    </row>
    <row r="43" spans="1:58" ht="15.75" customHeight="1">
      <c r="A43" s="295" t="str">
        <f>'Unit Savings Calculations'!C39</f>
        <v>Res - MF Assessments</v>
      </c>
      <c r="B43" s="295" t="str">
        <f>'Unit Savings Calculations'!D39</f>
        <v>Showerhead</v>
      </c>
      <c r="C43" s="296">
        <f t="shared" si="23"/>
        <v>1</v>
      </c>
      <c r="D43" s="295" t="str">
        <f>'Unit Savings Calculations'!T39</f>
        <v>5.4.5</v>
      </c>
      <c r="E43" s="460">
        <f>INDEX('Unit Savings Calculations'!$H$4:$H$421,MATCH('Measure-Level Adjustments Tab'!$A43&amp;"_"&amp;'Measure-Level Adjustments Tab'!$B43,'Unit Savings Calculations'!$A$4:$A$421,0))</f>
        <v>10</v>
      </c>
      <c r="F43" s="460">
        <f>INDEX('Unit Savings Calculations'!$I$4:$I$421,MATCH('Measure-Level Adjustments Tab'!A43&amp;"_"&amp;'Measure-Level Adjustments Tab'!B43,'Unit Savings Calculations'!$A$4:$A$421,0))</f>
        <v>10</v>
      </c>
      <c r="G43" s="295" t="str">
        <f>'Unit Savings Calculations'!E39</f>
        <v>each</v>
      </c>
      <c r="H43" s="297">
        <f>'Unit Savings Calculations'!$F39*'Unit Savings Calculations'!J39</f>
        <v>570</v>
      </c>
      <c r="I43" s="297">
        <f>'Unit Savings Calculations'!$F39*'Unit Savings Calculations'!K39</f>
        <v>570</v>
      </c>
      <c r="J43" s="297">
        <f>'Unit Savings Calculations'!$F39*'Unit Savings Calculations'!L39</f>
        <v>527</v>
      </c>
      <c r="K43" s="297">
        <f>'Unit Savings Calculations'!$F39*'Unit Savings Calculations'!M39</f>
        <v>570</v>
      </c>
      <c r="L43" s="295" t="str">
        <f>'Unit Savings Calculations'!U39</f>
        <v>RS-HWE-LFSH-V05-180101</v>
      </c>
      <c r="M43" s="405" t="str">
        <f>'Unit Savings Calculations'!R39</f>
        <v>Exhibit 1.5A_R North Shore EEPS_Adjustable_Savings_Goal_Template.xlsx, Unit Savings Calculations Tab</v>
      </c>
      <c r="N43" s="298">
        <v>17.896352631884998</v>
      </c>
      <c r="O43" s="298">
        <v>17.896352631884998</v>
      </c>
      <c r="P43" s="298">
        <v>17.896352631884998</v>
      </c>
      <c r="Q43" s="298">
        <v>17.896352631884998</v>
      </c>
      <c r="R43" s="299">
        <f>'Unit Savings Calculations'!$G39</f>
        <v>0.85</v>
      </c>
      <c r="S43" s="299">
        <f>'Unit Savings Calculations'!$G39</f>
        <v>0.85</v>
      </c>
      <c r="T43" s="299">
        <f>'Unit Savings Calculations'!$G39</f>
        <v>0.85</v>
      </c>
      <c r="U43" s="299">
        <f>'Unit Savings Calculations'!$G39</f>
        <v>0.85</v>
      </c>
      <c r="V43" s="300">
        <f t="shared" si="44"/>
        <v>8670.7828501482818</v>
      </c>
      <c r="W43" s="300">
        <f t="shared" si="45"/>
        <v>8670.7828501482818</v>
      </c>
      <c r="X43" s="300">
        <f t="shared" si="46"/>
        <v>8016.6711614528849</v>
      </c>
      <c r="Y43" s="300">
        <f t="shared" si="47"/>
        <v>8670.7828501482818</v>
      </c>
      <c r="Z43" s="300">
        <f t="shared" si="48"/>
        <v>34029.01971189773</v>
      </c>
      <c r="AA43" s="295"/>
      <c r="AB43" s="295"/>
      <c r="AC43" s="298">
        <f>'Unit Savings Calculations'!N39</f>
        <v>11.319060638970004</v>
      </c>
      <c r="AD43" s="295"/>
      <c r="AE43" s="300">
        <f t="shared" si="7"/>
        <v>5484.084879580967</v>
      </c>
      <c r="AF43" s="297">
        <f t="shared" si="8"/>
        <v>-3186.6979705673148</v>
      </c>
      <c r="AG43" s="295"/>
      <c r="AH43" s="295">
        <f t="shared" si="9"/>
        <v>0</v>
      </c>
      <c r="AI43" s="298">
        <f>'Unit Savings Calculations'!O39</f>
        <v>11.319060638970004</v>
      </c>
      <c r="AJ43" s="405" t="s">
        <v>1017</v>
      </c>
      <c r="AK43" s="300">
        <f t="shared" si="10"/>
        <v>5484.084879580967</v>
      </c>
      <c r="AL43" s="297">
        <f t="shared" si="11"/>
        <v>-3186.6979705673148</v>
      </c>
      <c r="AM43" s="295"/>
      <c r="AN43" s="295"/>
      <c r="AO43" s="298">
        <f>'Unit Savings Calculations'!P39</f>
        <v>11.319060638970004</v>
      </c>
      <c r="AP43" s="405" t="s">
        <v>764</v>
      </c>
      <c r="AQ43" s="300">
        <f t="shared" si="12"/>
        <v>5070.3732132266132</v>
      </c>
      <c r="AR43" s="297">
        <f t="shared" si="13"/>
        <v>-2946.2979482262717</v>
      </c>
      <c r="AS43" s="295"/>
      <c r="AT43" s="295"/>
      <c r="AU43" s="298">
        <f>'Unit Savings Calculations'!Q39</f>
        <v>11.319060638970004</v>
      </c>
      <c r="AV43" s="405" t="str">
        <f t="shared" si="14"/>
        <v>n/a</v>
      </c>
      <c r="AW43" s="300">
        <f t="shared" si="15"/>
        <v>5484.084879580967</v>
      </c>
      <c r="AX43" s="297">
        <f t="shared" si="16"/>
        <v>-3186.6979705673148</v>
      </c>
      <c r="AY43" s="300">
        <f t="shared" si="17"/>
        <v>5484.084879580967</v>
      </c>
      <c r="AZ43" s="300">
        <f t="shared" si="18"/>
        <v>5484.084879580967</v>
      </c>
      <c r="BA43" s="300">
        <f t="shared" si="19"/>
        <v>5070.3732132266132</v>
      </c>
      <c r="BB43" s="300">
        <f t="shared" si="20"/>
        <v>5484.084879580967</v>
      </c>
      <c r="BC43" s="301">
        <f t="shared" si="21"/>
        <v>21522.627851969512</v>
      </c>
      <c r="BD43" s="295" t="s">
        <v>764</v>
      </c>
      <c r="BE43" s="302" t="str">
        <f t="shared" si="22"/>
        <v>Exhibit 1.5A_R North Shore EEPS_Adjustable_Savings_Goal_Template.xlsx, Unit Savings Calculations Tab</v>
      </c>
      <c r="BF43" s="304"/>
    </row>
    <row r="44" spans="1:58" ht="15.75" customHeight="1">
      <c r="A44" s="295" t="str">
        <f>'Unit Savings Calculations'!C40</f>
        <v>Res - MF Assessments</v>
      </c>
      <c r="B44" s="295" t="str">
        <f>'Unit Savings Calculations'!D40</f>
        <v>Pipe Insulation (DHW)</v>
      </c>
      <c r="C44" s="296">
        <f t="shared" si="23"/>
        <v>1</v>
      </c>
      <c r="D44" s="295" t="str">
        <f>'Unit Savings Calculations'!T40</f>
        <v>5.4.1</v>
      </c>
      <c r="E44" s="460">
        <f>INDEX('Unit Savings Calculations'!$H$4:$H$421,MATCH('Measure-Level Adjustments Tab'!$A44&amp;"_"&amp;'Measure-Level Adjustments Tab'!$B44,'Unit Savings Calculations'!$A$4:$A$421,0))</f>
        <v>15</v>
      </c>
      <c r="F44" s="460">
        <f>INDEX('Unit Savings Calculations'!$I$4:$I$421,MATCH('Measure-Level Adjustments Tab'!A44&amp;"_"&amp;'Measure-Level Adjustments Tab'!B44,'Unit Savings Calculations'!$A$4:$A$421,0))</f>
        <v>15</v>
      </c>
      <c r="G44" s="295" t="str">
        <f>'Unit Savings Calculations'!E40</f>
        <v>ft</v>
      </c>
      <c r="H44" s="297">
        <f>'Unit Savings Calculations'!$F40*'Unit Savings Calculations'!J40</f>
        <v>1170</v>
      </c>
      <c r="I44" s="297">
        <f>'Unit Savings Calculations'!$F40*'Unit Savings Calculations'!K40</f>
        <v>1170</v>
      </c>
      <c r="J44" s="297">
        <f>'Unit Savings Calculations'!$F40*'Unit Savings Calculations'!L40</f>
        <v>1083</v>
      </c>
      <c r="K44" s="297">
        <f>'Unit Savings Calculations'!$F40*'Unit Savings Calculations'!M40</f>
        <v>1170</v>
      </c>
      <c r="L44" s="295" t="str">
        <f>'Unit Savings Calculations'!U40</f>
        <v>RS-HVC-PINS-V02-150601</v>
      </c>
      <c r="M44" s="405" t="str">
        <f>'Unit Savings Calculations'!R40</f>
        <v>Exhibit 1.5A_R North Shore EEPS_Adjustable_Savings_Goal_Template.xlsx, Unit Savings Calculations Tab</v>
      </c>
      <c r="N44" s="298">
        <v>0.99123230769230763</v>
      </c>
      <c r="O44" s="298">
        <v>0.99123230769230763</v>
      </c>
      <c r="P44" s="298">
        <v>0.99123230769230763</v>
      </c>
      <c r="Q44" s="298">
        <v>0.99123230769230763</v>
      </c>
      <c r="R44" s="299">
        <f>'Unit Savings Calculations'!$G40</f>
        <v>0.85</v>
      </c>
      <c r="S44" s="299">
        <f>'Unit Savings Calculations'!$G40</f>
        <v>0.85</v>
      </c>
      <c r="T44" s="299">
        <f>'Unit Savings Calculations'!$G40</f>
        <v>0.85</v>
      </c>
      <c r="U44" s="299">
        <f>'Unit Savings Calculations'!$G40</f>
        <v>0.85</v>
      </c>
      <c r="V44" s="300">
        <f t="shared" si="44"/>
        <v>985.78053</v>
      </c>
      <c r="W44" s="300">
        <f t="shared" si="45"/>
        <v>985.78053</v>
      </c>
      <c r="X44" s="300">
        <f t="shared" si="46"/>
        <v>912.47890084615381</v>
      </c>
      <c r="Y44" s="300">
        <f t="shared" si="47"/>
        <v>985.78053</v>
      </c>
      <c r="Z44" s="300">
        <f t="shared" si="48"/>
        <v>3869.8204908461539</v>
      </c>
      <c r="AA44" s="295"/>
      <c r="AB44" s="295"/>
      <c r="AC44" s="298">
        <f>'Unit Savings Calculations'!N40</f>
        <v>0.77039653846153844</v>
      </c>
      <c r="AD44" s="295"/>
      <c r="AE44" s="300">
        <f t="shared" si="7"/>
        <v>766.15935749999994</v>
      </c>
      <c r="AF44" s="297">
        <f t="shared" si="8"/>
        <v>-219.62117250000006</v>
      </c>
      <c r="AG44" s="295"/>
      <c r="AH44" s="295">
        <f t="shared" si="9"/>
        <v>0</v>
      </c>
      <c r="AI44" s="298">
        <f>'Unit Savings Calculations'!O40</f>
        <v>0.77039653846153844</v>
      </c>
      <c r="AJ44" s="405" t="s">
        <v>1012</v>
      </c>
      <c r="AK44" s="300">
        <f t="shared" si="10"/>
        <v>766.15935749999994</v>
      </c>
      <c r="AL44" s="297">
        <f t="shared" si="11"/>
        <v>-219.62117250000006</v>
      </c>
      <c r="AM44" s="295"/>
      <c r="AN44" s="295"/>
      <c r="AO44" s="298">
        <f>'Unit Savings Calculations'!P40</f>
        <v>0.77039653846153844</v>
      </c>
      <c r="AP44" s="405" t="s">
        <v>764</v>
      </c>
      <c r="AQ44" s="300">
        <f t="shared" si="12"/>
        <v>709.18853348076914</v>
      </c>
      <c r="AR44" s="297">
        <f t="shared" si="13"/>
        <v>-203.29036736538467</v>
      </c>
      <c r="AS44" s="295"/>
      <c r="AT44" s="295"/>
      <c r="AU44" s="298">
        <f>'Unit Savings Calculations'!Q40</f>
        <v>0.77039653846153844</v>
      </c>
      <c r="AV44" s="405" t="str">
        <f t="shared" si="14"/>
        <v>n/a</v>
      </c>
      <c r="AW44" s="300">
        <f t="shared" si="15"/>
        <v>766.15935749999994</v>
      </c>
      <c r="AX44" s="297">
        <f t="shared" si="16"/>
        <v>-219.62117250000006</v>
      </c>
      <c r="AY44" s="300">
        <f t="shared" si="17"/>
        <v>766.15935749999994</v>
      </c>
      <c r="AZ44" s="300">
        <f t="shared" si="18"/>
        <v>766.15935749999994</v>
      </c>
      <c r="BA44" s="300">
        <f t="shared" si="19"/>
        <v>709.18853348076914</v>
      </c>
      <c r="BB44" s="300">
        <f t="shared" si="20"/>
        <v>766.15935749999994</v>
      </c>
      <c r="BC44" s="301">
        <f t="shared" si="21"/>
        <v>3007.6666059807685</v>
      </c>
      <c r="BD44" s="295" t="s">
        <v>764</v>
      </c>
      <c r="BE44" s="302" t="str">
        <f t="shared" si="22"/>
        <v>Exhibit 1.5A_R North Shore EEPS_Adjustable_Savings_Goal_Template.xlsx, Unit Savings Calculations Tab</v>
      </c>
      <c r="BF44" s="304"/>
    </row>
    <row r="45" spans="1:58" ht="15.75" customHeight="1">
      <c r="A45" s="295" t="str">
        <f>'Unit Savings Calculations'!C41</f>
        <v>Res - MF Assessments</v>
      </c>
      <c r="B45" s="295" t="str">
        <f>'Unit Savings Calculations'!D41</f>
        <v>Pipe Insulation (Boiler)</v>
      </c>
      <c r="C45" s="296">
        <f t="shared" si="23"/>
        <v>1</v>
      </c>
      <c r="D45" s="295" t="str">
        <f>'Unit Savings Calculations'!T41</f>
        <v>5.3.2</v>
      </c>
      <c r="E45" s="460">
        <f>INDEX('Unit Savings Calculations'!$H$4:$H$421,MATCH('Measure-Level Adjustments Tab'!$A45&amp;"_"&amp;'Measure-Level Adjustments Tab'!$B45,'Unit Savings Calculations'!$A$4:$A$421,0))</f>
        <v>15</v>
      </c>
      <c r="F45" s="460">
        <f>INDEX('Unit Savings Calculations'!$I$4:$I$421,MATCH('Measure-Level Adjustments Tab'!A45&amp;"_"&amp;'Measure-Level Adjustments Tab'!B45,'Unit Savings Calculations'!$A$4:$A$421,0))</f>
        <v>15</v>
      </c>
      <c r="G45" s="295" t="str">
        <f>'Unit Savings Calculations'!E41</f>
        <v>ft</v>
      </c>
      <c r="H45" s="297">
        <f>'Unit Savings Calculations'!$F41*'Unit Savings Calculations'!J41</f>
        <v>1170</v>
      </c>
      <c r="I45" s="297">
        <f>'Unit Savings Calculations'!$F41*'Unit Savings Calculations'!K41</f>
        <v>1170</v>
      </c>
      <c r="J45" s="297">
        <f>'Unit Savings Calculations'!$F41*'Unit Savings Calculations'!L41</f>
        <v>1083</v>
      </c>
      <c r="K45" s="297">
        <f>'Unit Savings Calculations'!$F41*'Unit Savings Calculations'!M41</f>
        <v>1170</v>
      </c>
      <c r="L45" s="295" t="str">
        <f>'Unit Savings Calculations'!U41</f>
        <v>RS-HVC-PINS-V02-160601</v>
      </c>
      <c r="M45" s="405" t="str">
        <f>'Unit Savings Calculations'!R41</f>
        <v>Exhibit 1.5A_R North Shore EEPS_Adjustable_Savings_Goal_Template.xlsx, Unit Savings Calculations Tab</v>
      </c>
      <c r="N45" s="298">
        <v>0.41554055468341189</v>
      </c>
      <c r="O45" s="298">
        <v>0.41554055468341189</v>
      </c>
      <c r="P45" s="298">
        <v>0.41554055468341189</v>
      </c>
      <c r="Q45" s="298">
        <v>0.41554055468341189</v>
      </c>
      <c r="R45" s="299">
        <f>'Unit Savings Calculations'!$G41</f>
        <v>0.85</v>
      </c>
      <c r="S45" s="299">
        <f>'Unit Savings Calculations'!$G41</f>
        <v>0.85</v>
      </c>
      <c r="T45" s="299">
        <f>'Unit Savings Calculations'!$G41</f>
        <v>0.85</v>
      </c>
      <c r="U45" s="299">
        <f>'Unit Savings Calculations'!$G41</f>
        <v>0.85</v>
      </c>
      <c r="V45" s="300">
        <f t="shared" si="44"/>
        <v>413.25508163265312</v>
      </c>
      <c r="W45" s="300">
        <f t="shared" si="45"/>
        <v>413.25508163265312</v>
      </c>
      <c r="X45" s="300">
        <f t="shared" si="46"/>
        <v>382.52585761381482</v>
      </c>
      <c r="Y45" s="300">
        <f t="shared" si="47"/>
        <v>413.25508163265312</v>
      </c>
      <c r="Z45" s="300">
        <f t="shared" si="48"/>
        <v>1622.2911025117742</v>
      </c>
      <c r="AA45" s="295"/>
      <c r="AB45" s="295"/>
      <c r="AC45" s="298">
        <f>'Unit Savings Calculations'!N41</f>
        <v>0.41554055468341189</v>
      </c>
      <c r="AD45" s="295"/>
      <c r="AE45" s="300">
        <f t="shared" si="7"/>
        <v>413.25508163265312</v>
      </c>
      <c r="AF45" s="297">
        <f t="shared" si="8"/>
        <v>0</v>
      </c>
      <c r="AG45" s="295"/>
      <c r="AH45" s="295">
        <f t="shared" si="9"/>
        <v>0</v>
      </c>
      <c r="AI45" s="298">
        <f>'Unit Savings Calculations'!O41</f>
        <v>0.41554055468341189</v>
      </c>
      <c r="AJ45" s="405" t="s">
        <v>879</v>
      </c>
      <c r="AK45" s="300">
        <f t="shared" si="10"/>
        <v>413.25508163265312</v>
      </c>
      <c r="AL45" s="297">
        <f t="shared" si="11"/>
        <v>0</v>
      </c>
      <c r="AM45" s="295"/>
      <c r="AN45" s="295"/>
      <c r="AO45" s="298">
        <f>'Unit Savings Calculations'!P41</f>
        <v>0.41554055468341189</v>
      </c>
      <c r="AP45" s="405" t="s">
        <v>764</v>
      </c>
      <c r="AQ45" s="300">
        <f t="shared" si="12"/>
        <v>382.52585761381482</v>
      </c>
      <c r="AR45" s="297">
        <f t="shared" si="13"/>
        <v>0</v>
      </c>
      <c r="AS45" s="295"/>
      <c r="AT45" s="295"/>
      <c r="AU45" s="298">
        <f>'Unit Savings Calculations'!Q41</f>
        <v>0.41554055468341189</v>
      </c>
      <c r="AV45" s="405" t="str">
        <f t="shared" si="14"/>
        <v>n/a</v>
      </c>
      <c r="AW45" s="300">
        <f t="shared" si="15"/>
        <v>413.25508163265312</v>
      </c>
      <c r="AX45" s="297">
        <f t="shared" si="16"/>
        <v>0</v>
      </c>
      <c r="AY45" s="300">
        <f t="shared" si="17"/>
        <v>413.25508163265312</v>
      </c>
      <c r="AZ45" s="300">
        <f t="shared" si="18"/>
        <v>413.25508163265312</v>
      </c>
      <c r="BA45" s="300">
        <f t="shared" si="19"/>
        <v>382.52585761381482</v>
      </c>
      <c r="BB45" s="300">
        <f t="shared" si="20"/>
        <v>413.25508163265312</v>
      </c>
      <c r="BC45" s="301">
        <f t="shared" si="21"/>
        <v>1622.2911025117742</v>
      </c>
      <c r="BD45" s="295" t="s">
        <v>764</v>
      </c>
      <c r="BE45" s="302" t="str">
        <f t="shared" si="22"/>
        <v>Exhibit 1.5A_R North Shore EEPS_Adjustable_Savings_Goal_Template.xlsx, Unit Savings Calculations Tab</v>
      </c>
      <c r="BF45" s="304"/>
    </row>
    <row r="46" spans="1:58" ht="15.75" customHeight="1">
      <c r="A46" s="295" t="str">
        <f>'Unit Savings Calculations'!C42</f>
        <v>Res - MF Assessments</v>
      </c>
      <c r="B46" s="295" t="str">
        <f>'Unit Savings Calculations'!D42</f>
        <v>Programmable Thermostat - Furnace</v>
      </c>
      <c r="C46" s="296">
        <f t="shared" si="23"/>
        <v>1</v>
      </c>
      <c r="D46" s="295" t="str">
        <f>'Unit Savings Calculations'!T42</f>
        <v>5.3.11</v>
      </c>
      <c r="E46" s="460">
        <f>INDEX('Unit Savings Calculations'!$H$4:$H$421,MATCH('Measure-Level Adjustments Tab'!$A46&amp;"_"&amp;'Measure-Level Adjustments Tab'!$B46,'Unit Savings Calculations'!$A$4:$A$421,0))</f>
        <v>5</v>
      </c>
      <c r="F46" s="460">
        <f>INDEX('Unit Savings Calculations'!$I$4:$I$421,MATCH('Measure-Level Adjustments Tab'!A46&amp;"_"&amp;'Measure-Level Adjustments Tab'!B46,'Unit Savings Calculations'!$A$4:$A$421,0))</f>
        <v>8</v>
      </c>
      <c r="G46" s="295" t="str">
        <f>'Unit Savings Calculations'!E42</f>
        <v>each</v>
      </c>
      <c r="H46" s="297">
        <f>'Unit Savings Calculations'!$F42*'Unit Savings Calculations'!J42</f>
        <v>30</v>
      </c>
      <c r="I46" s="297">
        <f>'Unit Savings Calculations'!$F42*'Unit Savings Calculations'!K42</f>
        <v>30</v>
      </c>
      <c r="J46" s="297">
        <f>'Unit Savings Calculations'!$F42*'Unit Savings Calculations'!L42</f>
        <v>28</v>
      </c>
      <c r="K46" s="297">
        <f>'Unit Savings Calculations'!$F42*'Unit Savings Calculations'!M42</f>
        <v>30</v>
      </c>
      <c r="L46" s="295" t="str">
        <f>'Unit Savings Calculations'!U42</f>
        <v>RS-HVC-PROG-V04-180101</v>
      </c>
      <c r="M46" s="405" t="str">
        <f>'Unit Savings Calculations'!R42</f>
        <v>Exhibit 1.5A_R North Shore EEPS_Adjustable_Savings_Goal_Template.xlsx, Unit Savings Calculations Tab</v>
      </c>
      <c r="N46" s="298">
        <v>40.5015</v>
      </c>
      <c r="O46" s="298">
        <v>40.5015</v>
      </c>
      <c r="P46" s="298">
        <v>40.5015</v>
      </c>
      <c r="Q46" s="298">
        <v>40.5015</v>
      </c>
      <c r="R46" s="299">
        <f>'Unit Savings Calculations'!$G42</f>
        <v>0.85</v>
      </c>
      <c r="S46" s="299">
        <f>'Unit Savings Calculations'!$G42</f>
        <v>0.85</v>
      </c>
      <c r="T46" s="299">
        <f>'Unit Savings Calculations'!$G42</f>
        <v>0.85</v>
      </c>
      <c r="U46" s="299">
        <f>'Unit Savings Calculations'!$G42</f>
        <v>0.85</v>
      </c>
      <c r="V46" s="300">
        <f t="shared" si="44"/>
        <v>1032.7882500000001</v>
      </c>
      <c r="W46" s="300">
        <f t="shared" si="45"/>
        <v>1032.7882500000001</v>
      </c>
      <c r="X46" s="300">
        <f t="shared" si="46"/>
        <v>963.93569999999988</v>
      </c>
      <c r="Y46" s="300">
        <f t="shared" si="47"/>
        <v>1032.7882500000001</v>
      </c>
      <c r="Z46" s="300">
        <f t="shared" si="48"/>
        <v>4062.3004500000002</v>
      </c>
      <c r="AA46" s="295"/>
      <c r="AB46" s="295"/>
      <c r="AC46" s="298">
        <f>'Unit Savings Calculations'!N42</f>
        <v>40.5015</v>
      </c>
      <c r="AD46" s="295"/>
      <c r="AE46" s="300">
        <f t="shared" si="7"/>
        <v>1032.7882500000001</v>
      </c>
      <c r="AF46" s="297">
        <f t="shared" si="8"/>
        <v>0</v>
      </c>
      <c r="AG46" s="295"/>
      <c r="AH46" s="295">
        <f t="shared" si="9"/>
        <v>0</v>
      </c>
      <c r="AI46" s="298">
        <f>'Unit Savings Calculations'!O42</f>
        <v>40.5015</v>
      </c>
      <c r="AJ46" s="405" t="s">
        <v>879</v>
      </c>
      <c r="AK46" s="300">
        <f t="shared" si="10"/>
        <v>1032.7882500000001</v>
      </c>
      <c r="AL46" s="297">
        <f t="shared" si="11"/>
        <v>0</v>
      </c>
      <c r="AM46" s="295"/>
      <c r="AN46" s="295"/>
      <c r="AO46" s="298">
        <f>'Unit Savings Calculations'!P42</f>
        <v>40.5015</v>
      </c>
      <c r="AP46" s="405" t="s">
        <v>764</v>
      </c>
      <c r="AQ46" s="300">
        <f t="shared" si="12"/>
        <v>963.93569999999988</v>
      </c>
      <c r="AR46" s="297">
        <f t="shared" si="13"/>
        <v>0</v>
      </c>
      <c r="AS46" s="295"/>
      <c r="AT46" s="295"/>
      <c r="AU46" s="298">
        <f>'Unit Savings Calculations'!Q42</f>
        <v>40.5015</v>
      </c>
      <c r="AV46" s="405" t="str">
        <f t="shared" si="14"/>
        <v>n/a</v>
      </c>
      <c r="AW46" s="300">
        <f t="shared" si="15"/>
        <v>1032.7882500000001</v>
      </c>
      <c r="AX46" s="297">
        <f t="shared" si="16"/>
        <v>0</v>
      </c>
      <c r="AY46" s="300">
        <f t="shared" si="17"/>
        <v>1032.7882500000001</v>
      </c>
      <c r="AZ46" s="300">
        <f t="shared" si="18"/>
        <v>1032.7882500000001</v>
      </c>
      <c r="BA46" s="300">
        <f t="shared" si="19"/>
        <v>963.93569999999988</v>
      </c>
      <c r="BB46" s="300">
        <f t="shared" si="20"/>
        <v>1032.7882500000001</v>
      </c>
      <c r="BC46" s="301">
        <f t="shared" si="21"/>
        <v>4062.3004500000002</v>
      </c>
      <c r="BD46" s="295" t="s">
        <v>764</v>
      </c>
      <c r="BE46" s="302" t="str">
        <f t="shared" si="22"/>
        <v>Exhibit 1.5A_R North Shore EEPS_Adjustable_Savings_Goal_Template.xlsx, Unit Savings Calculations Tab</v>
      </c>
      <c r="BF46" s="304"/>
    </row>
    <row r="47" spans="1:58" ht="15.75" customHeight="1">
      <c r="A47" s="295" t="str">
        <f>'Unit Savings Calculations'!C43</f>
        <v>Res - MF Assessments</v>
      </c>
      <c r="B47" s="295" t="str">
        <f>'Unit Savings Calculations'!D43</f>
        <v>Programmable Thermostat - Boiler</v>
      </c>
      <c r="C47" s="296">
        <f t="shared" si="23"/>
        <v>1</v>
      </c>
      <c r="D47" s="295" t="str">
        <f>'Unit Savings Calculations'!T43</f>
        <v>5.3.11</v>
      </c>
      <c r="E47" s="460">
        <f>INDEX('Unit Savings Calculations'!$H$4:$H$421,MATCH('Measure-Level Adjustments Tab'!$A47&amp;"_"&amp;'Measure-Level Adjustments Tab'!$B47,'Unit Savings Calculations'!$A$4:$A$421,0))</f>
        <v>5</v>
      </c>
      <c r="F47" s="460">
        <f>INDEX('Unit Savings Calculations'!$I$4:$I$421,MATCH('Measure-Level Adjustments Tab'!A47&amp;"_"&amp;'Measure-Level Adjustments Tab'!B47,'Unit Savings Calculations'!$A$4:$A$421,0))</f>
        <v>8</v>
      </c>
      <c r="G47" s="295" t="str">
        <f>'Unit Savings Calculations'!E43</f>
        <v>each</v>
      </c>
      <c r="H47" s="297">
        <f>'Unit Savings Calculations'!$F43*'Unit Savings Calculations'!J43</f>
        <v>0</v>
      </c>
      <c r="I47" s="297">
        <f>'Unit Savings Calculations'!$F43*'Unit Savings Calculations'!K43</f>
        <v>0</v>
      </c>
      <c r="J47" s="297">
        <f>'Unit Savings Calculations'!$F43*'Unit Savings Calculations'!L43</f>
        <v>0</v>
      </c>
      <c r="K47" s="297">
        <f>'Unit Savings Calculations'!$F43*'Unit Savings Calculations'!M43</f>
        <v>0</v>
      </c>
      <c r="L47" s="295" t="str">
        <f>'Unit Savings Calculations'!U43</f>
        <v>RS-HVC-PROG-V04-180101</v>
      </c>
      <c r="M47" s="405" t="str">
        <f>'Unit Savings Calculations'!R43</f>
        <v>Exhibit 1.5A_R North Shore EEPS_Adjustable_Savings_Goal_Template.xlsx, Unit Savings Calculations Tab</v>
      </c>
      <c r="N47" s="298">
        <v>49.085400000000007</v>
      </c>
      <c r="O47" s="298">
        <v>49.085400000000007</v>
      </c>
      <c r="P47" s="298">
        <v>49.085400000000007</v>
      </c>
      <c r="Q47" s="298">
        <v>49.085400000000007</v>
      </c>
      <c r="R47" s="299">
        <f>'Unit Savings Calculations'!$G43</f>
        <v>0.85</v>
      </c>
      <c r="S47" s="299">
        <f>'Unit Savings Calculations'!$G43</f>
        <v>0.85</v>
      </c>
      <c r="T47" s="299">
        <f>'Unit Savings Calculations'!$G43</f>
        <v>0.85</v>
      </c>
      <c r="U47" s="299">
        <f>'Unit Savings Calculations'!$G43</f>
        <v>0.85</v>
      </c>
      <c r="V47" s="300">
        <f t="shared" si="44"/>
        <v>0</v>
      </c>
      <c r="W47" s="300">
        <f t="shared" si="45"/>
        <v>0</v>
      </c>
      <c r="X47" s="300">
        <f t="shared" si="46"/>
        <v>0</v>
      </c>
      <c r="Y47" s="300">
        <f t="shared" si="47"/>
        <v>0</v>
      </c>
      <c r="Z47" s="300">
        <f t="shared" si="48"/>
        <v>0</v>
      </c>
      <c r="AA47" s="295"/>
      <c r="AB47" s="295"/>
      <c r="AC47" s="298">
        <f>'Unit Savings Calculations'!N43</f>
        <v>49.085400000000007</v>
      </c>
      <c r="AD47" s="295"/>
      <c r="AE47" s="300">
        <f t="shared" si="7"/>
        <v>0</v>
      </c>
      <c r="AF47" s="297">
        <f t="shared" si="8"/>
        <v>0</v>
      </c>
      <c r="AG47" s="295"/>
      <c r="AH47" s="295">
        <f t="shared" si="9"/>
        <v>0</v>
      </c>
      <c r="AI47" s="298">
        <f>'Unit Savings Calculations'!O43</f>
        <v>49.085400000000007</v>
      </c>
      <c r="AJ47" s="405" t="s">
        <v>879</v>
      </c>
      <c r="AK47" s="300">
        <f t="shared" si="10"/>
        <v>0</v>
      </c>
      <c r="AL47" s="297">
        <f t="shared" si="11"/>
        <v>0</v>
      </c>
      <c r="AM47" s="295"/>
      <c r="AN47" s="295"/>
      <c r="AO47" s="298">
        <f>'Unit Savings Calculations'!P43</f>
        <v>49.085400000000007</v>
      </c>
      <c r="AP47" s="405" t="s">
        <v>764</v>
      </c>
      <c r="AQ47" s="300">
        <f t="shared" si="12"/>
        <v>0</v>
      </c>
      <c r="AR47" s="297">
        <f t="shared" si="13"/>
        <v>0</v>
      </c>
      <c r="AS47" s="295"/>
      <c r="AT47" s="295"/>
      <c r="AU47" s="298">
        <f>'Unit Savings Calculations'!Q43</f>
        <v>49.085400000000007</v>
      </c>
      <c r="AV47" s="405" t="str">
        <f t="shared" si="14"/>
        <v>n/a</v>
      </c>
      <c r="AW47" s="300">
        <f t="shared" si="15"/>
        <v>0</v>
      </c>
      <c r="AX47" s="297">
        <f t="shared" si="16"/>
        <v>0</v>
      </c>
      <c r="AY47" s="300">
        <f t="shared" si="17"/>
        <v>0</v>
      </c>
      <c r="AZ47" s="300">
        <f t="shared" si="18"/>
        <v>0</v>
      </c>
      <c r="BA47" s="300">
        <f t="shared" si="19"/>
        <v>0</v>
      </c>
      <c r="BB47" s="300">
        <f t="shared" si="20"/>
        <v>0</v>
      </c>
      <c r="BC47" s="301">
        <f t="shared" si="21"/>
        <v>0</v>
      </c>
      <c r="BD47" s="295" t="s">
        <v>764</v>
      </c>
      <c r="BE47" s="302" t="str">
        <f t="shared" si="22"/>
        <v>Exhibit 1.5A_R North Shore EEPS_Adjustable_Savings_Goal_Template.xlsx, Unit Savings Calculations Tab</v>
      </c>
      <c r="BF47" s="304"/>
    </row>
    <row r="48" spans="1:58" ht="15.75" customHeight="1">
      <c r="A48" s="295" t="str">
        <f>'Unit Savings Calculations'!C44</f>
        <v>Res - MF Assessments</v>
      </c>
      <c r="B48" s="295" t="str">
        <f>'Unit Savings Calculations'!D44</f>
        <v>Advanced Thermostat - Furnace (Replace Manual)</v>
      </c>
      <c r="C48" s="296">
        <f t="shared" si="23"/>
        <v>1</v>
      </c>
      <c r="D48" s="295" t="str">
        <f>'Unit Savings Calculations'!T44</f>
        <v>5.3.16</v>
      </c>
      <c r="E48" s="460">
        <f>INDEX('Unit Savings Calculations'!$H$4:$H$421,MATCH('Measure-Level Adjustments Tab'!$A48&amp;"_"&amp;'Measure-Level Adjustments Tab'!$B48,'Unit Savings Calculations'!$A$4:$A$421,0))</f>
        <v>10</v>
      </c>
      <c r="F48" s="460">
        <f>INDEX('Unit Savings Calculations'!$I$4:$I$421,MATCH('Measure-Level Adjustments Tab'!A48&amp;"_"&amp;'Measure-Level Adjustments Tab'!B48,'Unit Savings Calculations'!$A$4:$A$421,0))</f>
        <v>11</v>
      </c>
      <c r="G48" s="295" t="str">
        <f>'Unit Savings Calculations'!E44</f>
        <v>each</v>
      </c>
      <c r="H48" s="297">
        <f>'Unit Savings Calculations'!$F44*'Unit Savings Calculations'!J44</f>
        <v>12</v>
      </c>
      <c r="I48" s="297">
        <f>'Unit Savings Calculations'!$F44*'Unit Savings Calculations'!K44</f>
        <v>12</v>
      </c>
      <c r="J48" s="297">
        <f>'Unit Savings Calculations'!$F44*'Unit Savings Calculations'!L44</f>
        <v>11</v>
      </c>
      <c r="K48" s="297">
        <f>'Unit Savings Calculations'!$F44*'Unit Savings Calculations'!M44</f>
        <v>12</v>
      </c>
      <c r="L48" s="295" t="str">
        <f>'Unit Savings Calculations'!U44</f>
        <v>RS-HVC-ADTH-V02-180101</v>
      </c>
      <c r="M48" s="405" t="str">
        <f>'Unit Savings Calculations'!R44</f>
        <v>Exhibit 1.5A_R North Shore EEPS_Adjustable_Savings_Goal_Template.xlsx, Unit Savings Calculations Tab</v>
      </c>
      <c r="N48" s="298">
        <v>57.485999999999997</v>
      </c>
      <c r="O48" s="298">
        <v>57.485999999999997</v>
      </c>
      <c r="P48" s="298">
        <v>57.485999999999997</v>
      </c>
      <c r="Q48" s="298">
        <v>57.485999999999997</v>
      </c>
      <c r="R48" s="299">
        <f>'Unit Savings Calculations'!$G44</f>
        <v>1</v>
      </c>
      <c r="S48" s="299">
        <f>'Unit Savings Calculations'!$G44</f>
        <v>1</v>
      </c>
      <c r="T48" s="299">
        <f>'Unit Savings Calculations'!$G44</f>
        <v>1</v>
      </c>
      <c r="U48" s="299">
        <f>'Unit Savings Calculations'!$G44</f>
        <v>1</v>
      </c>
      <c r="V48" s="300">
        <f t="shared" si="44"/>
        <v>689.83199999999999</v>
      </c>
      <c r="W48" s="300">
        <f t="shared" si="45"/>
        <v>689.83199999999999</v>
      </c>
      <c r="X48" s="300">
        <f t="shared" si="46"/>
        <v>632.346</v>
      </c>
      <c r="Y48" s="300">
        <f t="shared" si="47"/>
        <v>689.83199999999999</v>
      </c>
      <c r="Z48" s="300">
        <f t="shared" si="48"/>
        <v>2701.8420000000001</v>
      </c>
      <c r="AA48" s="295"/>
      <c r="AB48" s="295"/>
      <c r="AC48" s="298">
        <f>'Unit Savings Calculations'!N44</f>
        <v>57.485999999999997</v>
      </c>
      <c r="AD48" s="295"/>
      <c r="AE48" s="300">
        <f t="shared" si="7"/>
        <v>689.83199999999999</v>
      </c>
      <c r="AF48" s="297">
        <f t="shared" si="8"/>
        <v>0</v>
      </c>
      <c r="AG48" s="295"/>
      <c r="AH48" s="295">
        <f t="shared" si="9"/>
        <v>0</v>
      </c>
      <c r="AI48" s="298">
        <f>'Unit Savings Calculations'!O44</f>
        <v>57.485999999999997</v>
      </c>
      <c r="AJ48" s="405" t="s">
        <v>879</v>
      </c>
      <c r="AK48" s="300">
        <f t="shared" si="10"/>
        <v>689.83199999999999</v>
      </c>
      <c r="AL48" s="297">
        <f t="shared" si="11"/>
        <v>0</v>
      </c>
      <c r="AM48" s="295"/>
      <c r="AN48" s="295"/>
      <c r="AO48" s="298">
        <f>'Unit Savings Calculations'!P44</f>
        <v>57.485999999999997</v>
      </c>
      <c r="AP48" s="405" t="s">
        <v>764</v>
      </c>
      <c r="AQ48" s="300">
        <f t="shared" si="12"/>
        <v>632.346</v>
      </c>
      <c r="AR48" s="297">
        <f t="shared" si="13"/>
        <v>0</v>
      </c>
      <c r="AS48" s="295"/>
      <c r="AT48" s="295"/>
      <c r="AU48" s="298">
        <f>'Unit Savings Calculations'!Q44</f>
        <v>57.485999999999997</v>
      </c>
      <c r="AV48" s="405" t="str">
        <f t="shared" si="14"/>
        <v>n/a</v>
      </c>
      <c r="AW48" s="300">
        <f t="shared" si="15"/>
        <v>689.83199999999999</v>
      </c>
      <c r="AX48" s="297">
        <f t="shared" si="16"/>
        <v>0</v>
      </c>
      <c r="AY48" s="300">
        <f t="shared" si="17"/>
        <v>689.83199999999999</v>
      </c>
      <c r="AZ48" s="300">
        <f t="shared" si="18"/>
        <v>689.83199999999999</v>
      </c>
      <c r="BA48" s="300">
        <f t="shared" si="19"/>
        <v>632.346</v>
      </c>
      <c r="BB48" s="300">
        <f t="shared" si="20"/>
        <v>689.83199999999999</v>
      </c>
      <c r="BC48" s="301">
        <f t="shared" si="21"/>
        <v>2701.8420000000001</v>
      </c>
      <c r="BD48" s="295" t="s">
        <v>764</v>
      </c>
      <c r="BE48" s="302" t="str">
        <f t="shared" si="22"/>
        <v>Exhibit 1.5A_R North Shore EEPS_Adjustable_Savings_Goal_Template.xlsx, Unit Savings Calculations Tab</v>
      </c>
      <c r="BF48" s="304"/>
    </row>
    <row r="49" spans="1:58" ht="15.75" customHeight="1">
      <c r="A49" s="295" t="str">
        <f>'Unit Savings Calculations'!C45</f>
        <v>Res - MF Assessments</v>
      </c>
      <c r="B49" s="295" t="str">
        <f>'Unit Savings Calculations'!D45</f>
        <v>Advanced Thermostat - Boiler (Replace Manual)</v>
      </c>
      <c r="C49" s="296">
        <f t="shared" si="23"/>
        <v>1</v>
      </c>
      <c r="D49" s="295" t="str">
        <f>'Unit Savings Calculations'!T45</f>
        <v>5.3.16</v>
      </c>
      <c r="E49" s="460">
        <f>INDEX('Unit Savings Calculations'!$H$4:$H$421,MATCH('Measure-Level Adjustments Tab'!$A49&amp;"_"&amp;'Measure-Level Adjustments Tab'!$B49,'Unit Savings Calculations'!$A$4:$A$421,0))</f>
        <v>10</v>
      </c>
      <c r="F49" s="460">
        <f>INDEX('Unit Savings Calculations'!$I$4:$I$421,MATCH('Measure-Level Adjustments Tab'!A49&amp;"_"&amp;'Measure-Level Adjustments Tab'!B49,'Unit Savings Calculations'!$A$4:$A$421,0))</f>
        <v>11</v>
      </c>
      <c r="G49" s="295" t="str">
        <f>'Unit Savings Calculations'!E45</f>
        <v>each</v>
      </c>
      <c r="H49" s="297">
        <f>'Unit Savings Calculations'!$F45*'Unit Savings Calculations'!J45</f>
        <v>0</v>
      </c>
      <c r="I49" s="297">
        <f>'Unit Savings Calculations'!$F45*'Unit Savings Calculations'!K45</f>
        <v>0</v>
      </c>
      <c r="J49" s="297">
        <f>'Unit Savings Calculations'!$F45*'Unit Savings Calculations'!L45</f>
        <v>0</v>
      </c>
      <c r="K49" s="297">
        <f>'Unit Savings Calculations'!$F45*'Unit Savings Calculations'!M45</f>
        <v>0</v>
      </c>
      <c r="L49" s="295" t="str">
        <f>'Unit Savings Calculations'!U45</f>
        <v>RS-HVC-ADTH-V02-180101</v>
      </c>
      <c r="M49" s="405" t="str">
        <f>'Unit Savings Calculations'!R45</f>
        <v>Exhibit 1.5A_R North Shore EEPS_Adjustable_Savings_Goal_Template.xlsx, Unit Savings Calculations Tab</v>
      </c>
      <c r="N49" s="298">
        <v>69.669600000000003</v>
      </c>
      <c r="O49" s="298">
        <v>69.669600000000003</v>
      </c>
      <c r="P49" s="298">
        <v>69.669600000000003</v>
      </c>
      <c r="Q49" s="298">
        <v>69.669600000000003</v>
      </c>
      <c r="R49" s="299">
        <f>'Unit Savings Calculations'!$G45</f>
        <v>1</v>
      </c>
      <c r="S49" s="299">
        <f>'Unit Savings Calculations'!$G45</f>
        <v>1</v>
      </c>
      <c r="T49" s="299">
        <f>'Unit Savings Calculations'!$G45</f>
        <v>1</v>
      </c>
      <c r="U49" s="299">
        <f>'Unit Savings Calculations'!$G45</f>
        <v>1</v>
      </c>
      <c r="V49" s="300">
        <f t="shared" si="44"/>
        <v>0</v>
      </c>
      <c r="W49" s="300">
        <f t="shared" si="45"/>
        <v>0</v>
      </c>
      <c r="X49" s="300">
        <f t="shared" si="46"/>
        <v>0</v>
      </c>
      <c r="Y49" s="300">
        <f t="shared" si="47"/>
        <v>0</v>
      </c>
      <c r="Z49" s="300">
        <f t="shared" si="48"/>
        <v>0</v>
      </c>
      <c r="AA49" s="295"/>
      <c r="AB49" s="295"/>
      <c r="AC49" s="298">
        <f>'Unit Savings Calculations'!N45</f>
        <v>69.669600000000003</v>
      </c>
      <c r="AD49" s="295"/>
      <c r="AE49" s="300">
        <f t="shared" si="7"/>
        <v>0</v>
      </c>
      <c r="AF49" s="297">
        <f t="shared" si="8"/>
        <v>0</v>
      </c>
      <c r="AG49" s="295"/>
      <c r="AH49" s="295">
        <f t="shared" si="9"/>
        <v>0</v>
      </c>
      <c r="AI49" s="298">
        <f>'Unit Savings Calculations'!O45</f>
        <v>69.669600000000003</v>
      </c>
      <c r="AJ49" s="405" t="s">
        <v>879</v>
      </c>
      <c r="AK49" s="300">
        <f t="shared" si="10"/>
        <v>0</v>
      </c>
      <c r="AL49" s="297">
        <f t="shared" si="11"/>
        <v>0</v>
      </c>
      <c r="AM49" s="295"/>
      <c r="AN49" s="295"/>
      <c r="AO49" s="298">
        <f>'Unit Savings Calculations'!P45</f>
        <v>69.669600000000003</v>
      </c>
      <c r="AP49" s="405" t="s">
        <v>764</v>
      </c>
      <c r="AQ49" s="300">
        <f t="shared" si="12"/>
        <v>0</v>
      </c>
      <c r="AR49" s="297">
        <f t="shared" si="13"/>
        <v>0</v>
      </c>
      <c r="AS49" s="295"/>
      <c r="AT49" s="295"/>
      <c r="AU49" s="298">
        <f>'Unit Savings Calculations'!Q45</f>
        <v>69.669600000000003</v>
      </c>
      <c r="AV49" s="405" t="str">
        <f t="shared" si="14"/>
        <v>n/a</v>
      </c>
      <c r="AW49" s="300">
        <f t="shared" si="15"/>
        <v>0</v>
      </c>
      <c r="AX49" s="297">
        <f t="shared" si="16"/>
        <v>0</v>
      </c>
      <c r="AY49" s="300">
        <f t="shared" si="17"/>
        <v>0</v>
      </c>
      <c r="AZ49" s="300">
        <f t="shared" si="18"/>
        <v>0</v>
      </c>
      <c r="BA49" s="300">
        <f t="shared" si="19"/>
        <v>0</v>
      </c>
      <c r="BB49" s="300">
        <f t="shared" si="20"/>
        <v>0</v>
      </c>
      <c r="BC49" s="301">
        <f t="shared" si="21"/>
        <v>0</v>
      </c>
      <c r="BD49" s="295" t="s">
        <v>764</v>
      </c>
      <c r="BE49" s="302" t="str">
        <f t="shared" si="22"/>
        <v>Exhibit 1.5A_R North Shore EEPS_Adjustable_Savings_Goal_Template.xlsx, Unit Savings Calculations Tab</v>
      </c>
      <c r="BF49" s="304"/>
    </row>
    <row r="50" spans="1:58" ht="15.75" customHeight="1">
      <c r="A50" s="295" t="str">
        <f>'Unit Savings Calculations'!C46</f>
        <v>Res - MF Assessments</v>
      </c>
      <c r="B50" s="295" t="str">
        <f>'Unit Savings Calculations'!D46</f>
        <v>Advanced Thermostat - Furnace (Replace Programmable)</v>
      </c>
      <c r="C50" s="296">
        <f t="shared" si="23"/>
        <v>1</v>
      </c>
      <c r="D50" s="295" t="str">
        <f>'Unit Savings Calculations'!T46</f>
        <v>5.3.16</v>
      </c>
      <c r="E50" s="460">
        <f>INDEX('Unit Savings Calculations'!$H$4:$H$421,MATCH('Measure-Level Adjustments Tab'!$A50&amp;"_"&amp;'Measure-Level Adjustments Tab'!$B50,'Unit Savings Calculations'!$A$4:$A$421,0))</f>
        <v>10</v>
      </c>
      <c r="F50" s="460">
        <f>INDEX('Unit Savings Calculations'!$I$4:$I$421,MATCH('Measure-Level Adjustments Tab'!A50&amp;"_"&amp;'Measure-Level Adjustments Tab'!B50,'Unit Savings Calculations'!$A$4:$A$421,0))</f>
        <v>11</v>
      </c>
      <c r="G50" s="295" t="str">
        <f>'Unit Savings Calculations'!E46</f>
        <v>each</v>
      </c>
      <c r="H50" s="297">
        <f>'Unit Savings Calculations'!$F46*'Unit Savings Calculations'!J46</f>
        <v>12</v>
      </c>
      <c r="I50" s="297">
        <f>'Unit Savings Calculations'!$F46*'Unit Savings Calculations'!K46</f>
        <v>12</v>
      </c>
      <c r="J50" s="297">
        <f>'Unit Savings Calculations'!$F46*'Unit Savings Calculations'!L46</f>
        <v>11</v>
      </c>
      <c r="K50" s="297">
        <f>'Unit Savings Calculations'!$F46*'Unit Savings Calculations'!M46</f>
        <v>12</v>
      </c>
      <c r="L50" s="295" t="str">
        <f>'Unit Savings Calculations'!U46</f>
        <v>RS-HVC-ADTH-V02-180101</v>
      </c>
      <c r="M50" s="405" t="str">
        <f>'Unit Savings Calculations'!R46</f>
        <v>Exhibit 1.5A_R North Shore EEPS_Adjustable_Savings_Goal_Template.xlsx, Unit Savings Calculations Tab</v>
      </c>
      <c r="N50" s="298">
        <v>36.582000000000001</v>
      </c>
      <c r="O50" s="298">
        <v>36.582000000000001</v>
      </c>
      <c r="P50" s="298">
        <v>36.582000000000001</v>
      </c>
      <c r="Q50" s="298">
        <v>36.582000000000001</v>
      </c>
      <c r="R50" s="299">
        <f>'Unit Savings Calculations'!$G46</f>
        <v>1</v>
      </c>
      <c r="S50" s="299">
        <f>'Unit Savings Calculations'!$G46</f>
        <v>1</v>
      </c>
      <c r="T50" s="299">
        <f>'Unit Savings Calculations'!$G46</f>
        <v>1</v>
      </c>
      <c r="U50" s="299">
        <f>'Unit Savings Calculations'!$G46</f>
        <v>1</v>
      </c>
      <c r="V50" s="300">
        <f t="shared" si="44"/>
        <v>438.98400000000004</v>
      </c>
      <c r="W50" s="300">
        <f t="shared" si="45"/>
        <v>438.98400000000004</v>
      </c>
      <c r="X50" s="300">
        <f t="shared" si="46"/>
        <v>402.40199999999999</v>
      </c>
      <c r="Y50" s="300">
        <f t="shared" si="47"/>
        <v>438.98400000000004</v>
      </c>
      <c r="Z50" s="300">
        <f t="shared" si="48"/>
        <v>1719.3540000000003</v>
      </c>
      <c r="AA50" s="295"/>
      <c r="AB50" s="295"/>
      <c r="AC50" s="298">
        <f>'Unit Savings Calculations'!N46</f>
        <v>36.582000000000001</v>
      </c>
      <c r="AD50" s="295"/>
      <c r="AE50" s="300">
        <f t="shared" si="7"/>
        <v>438.98400000000004</v>
      </c>
      <c r="AF50" s="297">
        <f t="shared" si="8"/>
        <v>0</v>
      </c>
      <c r="AG50" s="295"/>
      <c r="AH50" s="295">
        <f t="shared" si="9"/>
        <v>0</v>
      </c>
      <c r="AI50" s="298">
        <f>'Unit Savings Calculations'!O46</f>
        <v>36.582000000000001</v>
      </c>
      <c r="AJ50" s="405" t="s">
        <v>879</v>
      </c>
      <c r="AK50" s="300">
        <f t="shared" si="10"/>
        <v>438.98400000000004</v>
      </c>
      <c r="AL50" s="297">
        <f t="shared" si="11"/>
        <v>0</v>
      </c>
      <c r="AM50" s="295"/>
      <c r="AN50" s="295"/>
      <c r="AO50" s="298">
        <f>'Unit Savings Calculations'!P46</f>
        <v>36.582000000000001</v>
      </c>
      <c r="AP50" s="405" t="s">
        <v>764</v>
      </c>
      <c r="AQ50" s="300">
        <f t="shared" si="12"/>
        <v>402.40199999999999</v>
      </c>
      <c r="AR50" s="297">
        <f t="shared" si="13"/>
        <v>0</v>
      </c>
      <c r="AS50" s="295"/>
      <c r="AT50" s="295"/>
      <c r="AU50" s="298">
        <f>'Unit Savings Calculations'!Q46</f>
        <v>36.582000000000001</v>
      </c>
      <c r="AV50" s="405" t="str">
        <f t="shared" si="14"/>
        <v>n/a</v>
      </c>
      <c r="AW50" s="300">
        <f t="shared" si="15"/>
        <v>438.98400000000004</v>
      </c>
      <c r="AX50" s="297">
        <f t="shared" si="16"/>
        <v>0</v>
      </c>
      <c r="AY50" s="300">
        <f t="shared" si="17"/>
        <v>438.98400000000004</v>
      </c>
      <c r="AZ50" s="300">
        <f t="shared" si="18"/>
        <v>438.98400000000004</v>
      </c>
      <c r="BA50" s="300">
        <f t="shared" si="19"/>
        <v>402.40199999999999</v>
      </c>
      <c r="BB50" s="300">
        <f t="shared" si="20"/>
        <v>438.98400000000004</v>
      </c>
      <c r="BC50" s="301">
        <f t="shared" si="21"/>
        <v>1719.3540000000003</v>
      </c>
      <c r="BD50" s="295" t="s">
        <v>764</v>
      </c>
      <c r="BE50" s="302" t="str">
        <f t="shared" si="22"/>
        <v>Exhibit 1.5A_R North Shore EEPS_Adjustable_Savings_Goal_Template.xlsx, Unit Savings Calculations Tab</v>
      </c>
      <c r="BF50" s="304"/>
    </row>
    <row r="51" spans="1:58" ht="15.75" customHeight="1">
      <c r="A51" s="295" t="str">
        <f>'Unit Savings Calculations'!C47</f>
        <v>Res - MF Assessments</v>
      </c>
      <c r="B51" s="295" t="str">
        <f>'Unit Savings Calculations'!D47</f>
        <v>Advanced Thermostat - Boiler (Replace Programmable)</v>
      </c>
      <c r="C51" s="296">
        <f t="shared" si="23"/>
        <v>1</v>
      </c>
      <c r="D51" s="295" t="str">
        <f>'Unit Savings Calculations'!T47</f>
        <v>5.3.16</v>
      </c>
      <c r="E51" s="460">
        <f>INDEX('Unit Savings Calculations'!$H$4:$H$421,MATCH('Measure-Level Adjustments Tab'!$A51&amp;"_"&amp;'Measure-Level Adjustments Tab'!$B51,'Unit Savings Calculations'!$A$4:$A$421,0))</f>
        <v>10</v>
      </c>
      <c r="F51" s="460">
        <f>INDEX('Unit Savings Calculations'!$I$4:$I$421,MATCH('Measure-Level Adjustments Tab'!A51&amp;"_"&amp;'Measure-Level Adjustments Tab'!B51,'Unit Savings Calculations'!$A$4:$A$421,0))</f>
        <v>11</v>
      </c>
      <c r="G51" s="295" t="str">
        <f>'Unit Savings Calculations'!E47</f>
        <v>each</v>
      </c>
      <c r="H51" s="297">
        <f>'Unit Savings Calculations'!$F47*'Unit Savings Calculations'!J47</f>
        <v>0</v>
      </c>
      <c r="I51" s="297">
        <f>'Unit Savings Calculations'!$F47*'Unit Savings Calculations'!K47</f>
        <v>0</v>
      </c>
      <c r="J51" s="297">
        <f>'Unit Savings Calculations'!$F47*'Unit Savings Calculations'!L47</f>
        <v>0</v>
      </c>
      <c r="K51" s="297">
        <f>'Unit Savings Calculations'!$F47*'Unit Savings Calculations'!M47</f>
        <v>0</v>
      </c>
      <c r="L51" s="295" t="str">
        <f>'Unit Savings Calculations'!U47</f>
        <v>RS-HVC-ADTH-V02-180101</v>
      </c>
      <c r="M51" s="405" t="str">
        <f>'Unit Savings Calculations'!R47</f>
        <v>Exhibit 1.5A_R North Shore EEPS_Adjustable_Savings_Goal_Template.xlsx, Unit Savings Calculations Tab</v>
      </c>
      <c r="N51" s="298">
        <v>44.3352</v>
      </c>
      <c r="O51" s="298">
        <v>44.3352</v>
      </c>
      <c r="P51" s="298">
        <v>44.3352</v>
      </c>
      <c r="Q51" s="298">
        <v>44.3352</v>
      </c>
      <c r="R51" s="299">
        <f>'Unit Savings Calculations'!$G47</f>
        <v>1</v>
      </c>
      <c r="S51" s="299">
        <f>'Unit Savings Calculations'!$G47</f>
        <v>1</v>
      </c>
      <c r="T51" s="299">
        <f>'Unit Savings Calculations'!$G47</f>
        <v>1</v>
      </c>
      <c r="U51" s="299">
        <f>'Unit Savings Calculations'!$G47</f>
        <v>1</v>
      </c>
      <c r="V51" s="300">
        <f t="shared" si="44"/>
        <v>0</v>
      </c>
      <c r="W51" s="300">
        <f t="shared" si="45"/>
        <v>0</v>
      </c>
      <c r="X51" s="300">
        <f t="shared" si="46"/>
        <v>0</v>
      </c>
      <c r="Y51" s="300">
        <f t="shared" si="47"/>
        <v>0</v>
      </c>
      <c r="Z51" s="300">
        <f t="shared" si="48"/>
        <v>0</v>
      </c>
      <c r="AA51" s="295"/>
      <c r="AB51" s="295"/>
      <c r="AC51" s="298">
        <f>'Unit Savings Calculations'!N47</f>
        <v>44.3352</v>
      </c>
      <c r="AD51" s="295"/>
      <c r="AE51" s="300">
        <f t="shared" si="7"/>
        <v>0</v>
      </c>
      <c r="AF51" s="297">
        <f t="shared" si="8"/>
        <v>0</v>
      </c>
      <c r="AG51" s="295"/>
      <c r="AH51" s="295">
        <f t="shared" si="9"/>
        <v>0</v>
      </c>
      <c r="AI51" s="298">
        <f>'Unit Savings Calculations'!O47</f>
        <v>44.3352</v>
      </c>
      <c r="AJ51" s="405" t="s">
        <v>879</v>
      </c>
      <c r="AK51" s="300">
        <f t="shared" si="10"/>
        <v>0</v>
      </c>
      <c r="AL51" s="297">
        <f t="shared" si="11"/>
        <v>0</v>
      </c>
      <c r="AM51" s="295"/>
      <c r="AN51" s="295"/>
      <c r="AO51" s="298">
        <f>'Unit Savings Calculations'!P47</f>
        <v>44.3352</v>
      </c>
      <c r="AP51" s="405" t="s">
        <v>764</v>
      </c>
      <c r="AQ51" s="300">
        <f t="shared" si="12"/>
        <v>0</v>
      </c>
      <c r="AR51" s="297">
        <f t="shared" si="13"/>
        <v>0</v>
      </c>
      <c r="AS51" s="295"/>
      <c r="AT51" s="295"/>
      <c r="AU51" s="298">
        <f>'Unit Savings Calculations'!Q47</f>
        <v>44.3352</v>
      </c>
      <c r="AV51" s="405" t="str">
        <f t="shared" si="14"/>
        <v>n/a</v>
      </c>
      <c r="AW51" s="300">
        <f t="shared" si="15"/>
        <v>0</v>
      </c>
      <c r="AX51" s="297">
        <f t="shared" si="16"/>
        <v>0</v>
      </c>
      <c r="AY51" s="300">
        <f t="shared" si="17"/>
        <v>0</v>
      </c>
      <c r="AZ51" s="300">
        <f t="shared" si="18"/>
        <v>0</v>
      </c>
      <c r="BA51" s="300">
        <f t="shared" si="19"/>
        <v>0</v>
      </c>
      <c r="BB51" s="300">
        <f t="shared" si="20"/>
        <v>0</v>
      </c>
      <c r="BC51" s="301">
        <f t="shared" si="21"/>
        <v>0</v>
      </c>
      <c r="BD51" s="295" t="s">
        <v>764</v>
      </c>
      <c r="BE51" s="302" t="str">
        <f t="shared" si="22"/>
        <v>Exhibit 1.5A_R North Shore EEPS_Adjustable_Savings_Goal_Template.xlsx, Unit Savings Calculations Tab</v>
      </c>
      <c r="BF51" s="304"/>
    </row>
    <row r="52" spans="1:58" ht="15.75" customHeight="1">
      <c r="A52" s="295" t="str">
        <f>'Unit Savings Calculations'!C48</f>
        <v>Res - MF Assessments</v>
      </c>
      <c r="B52" s="295" t="str">
        <f>'Unit Savings Calculations'!D48</f>
        <v>Thermostat - Reprogram</v>
      </c>
      <c r="C52" s="296">
        <f t="shared" si="23"/>
        <v>1</v>
      </c>
      <c r="D52" s="295" t="str">
        <f>'Unit Savings Calculations'!T48</f>
        <v>5.3.11</v>
      </c>
      <c r="E52" s="460">
        <f>INDEX('Unit Savings Calculations'!$H$4:$H$421,MATCH('Measure-Level Adjustments Tab'!$A52&amp;"_"&amp;'Measure-Level Adjustments Tab'!$B52,'Unit Savings Calculations'!$A$4:$A$421,0))</f>
        <v>2</v>
      </c>
      <c r="F52" s="460">
        <f>INDEX('Unit Savings Calculations'!$I$4:$I$421,MATCH('Measure-Level Adjustments Tab'!A52&amp;"_"&amp;'Measure-Level Adjustments Tab'!B52,'Unit Savings Calculations'!$A$4:$A$421,0))</f>
        <v>2</v>
      </c>
      <c r="G52" s="295" t="str">
        <f>'Unit Savings Calculations'!E48</f>
        <v>each</v>
      </c>
      <c r="H52" s="297">
        <f>'Unit Savings Calculations'!$F48*'Unit Savings Calculations'!J48</f>
        <v>12</v>
      </c>
      <c r="I52" s="297">
        <f>'Unit Savings Calculations'!$F48*'Unit Savings Calculations'!K48</f>
        <v>12</v>
      </c>
      <c r="J52" s="297">
        <f>'Unit Savings Calculations'!$F48*'Unit Savings Calculations'!L48</f>
        <v>11</v>
      </c>
      <c r="K52" s="297">
        <f>'Unit Savings Calculations'!$F48*'Unit Savings Calculations'!M48</f>
        <v>12</v>
      </c>
      <c r="L52" s="295" t="str">
        <f>'Unit Savings Calculations'!U48</f>
        <v>RS-HVC-PROG-V04-180101</v>
      </c>
      <c r="M52" s="405" t="str">
        <f>'Unit Savings Calculations'!R48</f>
        <v>Exhibit 1.5A_R North Shore EEPS_Adjustable_Savings_Goal_Template.xlsx, Unit Savings Calculations Tab</v>
      </c>
      <c r="N52" s="298">
        <v>40.5015</v>
      </c>
      <c r="O52" s="298">
        <v>40.5015</v>
      </c>
      <c r="P52" s="298">
        <v>40.5015</v>
      </c>
      <c r="Q52" s="298">
        <v>40.5015</v>
      </c>
      <c r="R52" s="299">
        <f>'Unit Savings Calculations'!$G48</f>
        <v>0.85</v>
      </c>
      <c r="S52" s="299">
        <f>'Unit Savings Calculations'!$G48</f>
        <v>0.85</v>
      </c>
      <c r="T52" s="299">
        <f>'Unit Savings Calculations'!$G48</f>
        <v>0.85</v>
      </c>
      <c r="U52" s="299">
        <f>'Unit Savings Calculations'!$G48</f>
        <v>0.85</v>
      </c>
      <c r="V52" s="300">
        <f t="shared" si="44"/>
        <v>413.11529999999999</v>
      </c>
      <c r="W52" s="300">
        <f t="shared" si="45"/>
        <v>413.11529999999999</v>
      </c>
      <c r="X52" s="300">
        <f t="shared" si="46"/>
        <v>378.68902500000002</v>
      </c>
      <c r="Y52" s="300">
        <f t="shared" si="47"/>
        <v>413.11529999999999</v>
      </c>
      <c r="Z52" s="300">
        <f t="shared" si="48"/>
        <v>1618.0349249999999</v>
      </c>
      <c r="AA52" s="295"/>
      <c r="AB52" s="295"/>
      <c r="AC52" s="298">
        <f>'Unit Savings Calculations'!N48</f>
        <v>40.5015</v>
      </c>
      <c r="AD52" s="295"/>
      <c r="AE52" s="300">
        <f t="shared" si="7"/>
        <v>413.11529999999999</v>
      </c>
      <c r="AF52" s="297">
        <f t="shared" si="8"/>
        <v>0</v>
      </c>
      <c r="AG52" s="295"/>
      <c r="AH52" s="295">
        <f t="shared" si="9"/>
        <v>0</v>
      </c>
      <c r="AI52" s="298">
        <f>'Unit Savings Calculations'!O48</f>
        <v>40.5015</v>
      </c>
      <c r="AJ52" s="405" t="s">
        <v>879</v>
      </c>
      <c r="AK52" s="300">
        <f t="shared" si="10"/>
        <v>413.11529999999999</v>
      </c>
      <c r="AL52" s="297">
        <f t="shared" si="11"/>
        <v>0</v>
      </c>
      <c r="AM52" s="295"/>
      <c r="AN52" s="295"/>
      <c r="AO52" s="298">
        <f>'Unit Savings Calculations'!P48</f>
        <v>40.5015</v>
      </c>
      <c r="AP52" s="405" t="s">
        <v>764</v>
      </c>
      <c r="AQ52" s="300">
        <f t="shared" si="12"/>
        <v>378.68902500000002</v>
      </c>
      <c r="AR52" s="297">
        <f t="shared" si="13"/>
        <v>0</v>
      </c>
      <c r="AS52" s="295"/>
      <c r="AT52" s="295"/>
      <c r="AU52" s="298">
        <f>'Unit Savings Calculations'!Q48</f>
        <v>40.5015</v>
      </c>
      <c r="AV52" s="405" t="str">
        <f t="shared" si="14"/>
        <v>n/a</v>
      </c>
      <c r="AW52" s="300">
        <f t="shared" si="15"/>
        <v>413.11529999999999</v>
      </c>
      <c r="AX52" s="297">
        <f t="shared" si="16"/>
        <v>0</v>
      </c>
      <c r="AY52" s="300">
        <f t="shared" si="17"/>
        <v>413.11529999999999</v>
      </c>
      <c r="AZ52" s="300">
        <f t="shared" si="18"/>
        <v>413.11529999999999</v>
      </c>
      <c r="BA52" s="300">
        <f t="shared" si="19"/>
        <v>378.68902500000002</v>
      </c>
      <c r="BB52" s="300">
        <f t="shared" si="20"/>
        <v>413.11529999999999</v>
      </c>
      <c r="BC52" s="301">
        <f t="shared" si="21"/>
        <v>1618.0349249999999</v>
      </c>
      <c r="BD52" s="295" t="s">
        <v>764</v>
      </c>
      <c r="BE52" s="302" t="str">
        <f t="shared" si="22"/>
        <v>Exhibit 1.5A_R North Shore EEPS_Adjustable_Savings_Goal_Template.xlsx, Unit Savings Calculations Tab</v>
      </c>
      <c r="BF52" s="304"/>
    </row>
    <row r="53" spans="1:58" ht="15.75" customHeight="1">
      <c r="A53" s="295" t="str">
        <f>'Unit Savings Calculations'!C49</f>
        <v>Res - MF Assessments</v>
      </c>
      <c r="B53" s="295" t="str">
        <f>'Unit Savings Calculations'!D49</f>
        <v>Gas Optimization</v>
      </c>
      <c r="C53" s="296">
        <f t="shared" si="23"/>
        <v>0</v>
      </c>
      <c r="D53" s="295" t="str">
        <f>'Unit Savings Calculations'!T49</f>
        <v>Custom</v>
      </c>
      <c r="E53" s="460">
        <f>INDEX('Unit Savings Calculations'!$H$4:$H$421,MATCH('Measure-Level Adjustments Tab'!$A53&amp;"_"&amp;'Measure-Level Adjustments Tab'!$B53,'Unit Savings Calculations'!$A$4:$A$421,0))</f>
        <v>5</v>
      </c>
      <c r="F53" s="460">
        <f>INDEX('Unit Savings Calculations'!$I$4:$I$421,MATCH('Measure-Level Adjustments Tab'!A53&amp;"_"&amp;'Measure-Level Adjustments Tab'!B53,'Unit Savings Calculations'!$A$4:$A$421,0))</f>
        <v>5</v>
      </c>
      <c r="G53" s="295" t="str">
        <f>'Unit Savings Calculations'!E49</f>
        <v>each</v>
      </c>
      <c r="H53" s="297">
        <f>'Unit Savings Calculations'!$F49*'Unit Savings Calculations'!J49</f>
        <v>0</v>
      </c>
      <c r="I53" s="297">
        <f>'Unit Savings Calculations'!$F49*'Unit Savings Calculations'!K49</f>
        <v>0</v>
      </c>
      <c r="J53" s="297">
        <f>'Unit Savings Calculations'!$F49*'Unit Savings Calculations'!L49</f>
        <v>0</v>
      </c>
      <c r="K53" s="297">
        <f>'Unit Savings Calculations'!$F49*'Unit Savings Calculations'!M49</f>
        <v>0</v>
      </c>
      <c r="L53" s="295" t="str">
        <f>'Unit Savings Calculations'!U49</f>
        <v>Custom</v>
      </c>
      <c r="M53" s="405" t="str">
        <f>'Unit Savings Calculations'!R49</f>
        <v>Custom</v>
      </c>
      <c r="N53" s="298">
        <v>1</v>
      </c>
      <c r="O53" s="298">
        <v>1</v>
      </c>
      <c r="P53" s="298">
        <v>1</v>
      </c>
      <c r="Q53" s="298">
        <v>1</v>
      </c>
      <c r="R53" s="299">
        <f>'Unit Savings Calculations'!$G49</f>
        <v>1.02</v>
      </c>
      <c r="S53" s="299">
        <f>'Unit Savings Calculations'!$G49</f>
        <v>1.02</v>
      </c>
      <c r="T53" s="299">
        <f>'Unit Savings Calculations'!$G49</f>
        <v>1.02</v>
      </c>
      <c r="U53" s="299">
        <f>'Unit Savings Calculations'!$G49</f>
        <v>1.02</v>
      </c>
      <c r="V53" s="300">
        <f t="shared" si="44"/>
        <v>0</v>
      </c>
      <c r="W53" s="300">
        <f t="shared" si="45"/>
        <v>0</v>
      </c>
      <c r="X53" s="300">
        <f t="shared" si="46"/>
        <v>0</v>
      </c>
      <c r="Y53" s="300">
        <f t="shared" si="47"/>
        <v>0</v>
      </c>
      <c r="Z53" s="300">
        <f t="shared" si="48"/>
        <v>0</v>
      </c>
      <c r="AA53" s="406"/>
      <c r="AB53" s="406"/>
      <c r="AC53" s="409">
        <f>'Unit Savings Calculations'!N49</f>
        <v>1</v>
      </c>
      <c r="AD53" s="406"/>
      <c r="AE53" s="407">
        <f t="shared" si="7"/>
        <v>0</v>
      </c>
      <c r="AF53" s="408">
        <f t="shared" si="8"/>
        <v>0</v>
      </c>
      <c r="AG53" s="406"/>
      <c r="AH53" s="406">
        <f t="shared" si="9"/>
        <v>0</v>
      </c>
      <c r="AI53" s="409">
        <f>'Unit Savings Calculations'!O49</f>
        <v>1</v>
      </c>
      <c r="AJ53" s="457" t="s">
        <v>879</v>
      </c>
      <c r="AK53" s="407">
        <f t="shared" si="10"/>
        <v>0</v>
      </c>
      <c r="AL53" s="408">
        <f t="shared" si="11"/>
        <v>0</v>
      </c>
      <c r="AM53" s="406"/>
      <c r="AN53" s="406"/>
      <c r="AO53" s="409">
        <f>'Unit Savings Calculations'!P49</f>
        <v>1</v>
      </c>
      <c r="AP53" s="457" t="s">
        <v>764</v>
      </c>
      <c r="AQ53" s="407">
        <f t="shared" si="12"/>
        <v>0</v>
      </c>
      <c r="AR53" s="408">
        <f t="shared" si="13"/>
        <v>0</v>
      </c>
      <c r="AS53" s="406"/>
      <c r="AT53" s="406"/>
      <c r="AU53" s="409">
        <f>'Unit Savings Calculations'!Q49</f>
        <v>1</v>
      </c>
      <c r="AV53" s="457" t="str">
        <f t="shared" si="14"/>
        <v>n/a</v>
      </c>
      <c r="AW53" s="407">
        <f t="shared" si="15"/>
        <v>0</v>
      </c>
      <c r="AX53" s="408">
        <f t="shared" si="16"/>
        <v>0</v>
      </c>
      <c r="AY53" s="300">
        <f t="shared" si="17"/>
        <v>0</v>
      </c>
      <c r="AZ53" s="300">
        <f t="shared" si="18"/>
        <v>0</v>
      </c>
      <c r="BA53" s="300">
        <f t="shared" si="19"/>
        <v>0</v>
      </c>
      <c r="BB53" s="300">
        <f t="shared" si="20"/>
        <v>0</v>
      </c>
      <c r="BC53" s="301">
        <f t="shared" si="21"/>
        <v>0</v>
      </c>
      <c r="BD53" s="295" t="s">
        <v>764</v>
      </c>
      <c r="BE53" s="302" t="str">
        <f t="shared" si="22"/>
        <v>Custom</v>
      </c>
      <c r="BF53" s="304"/>
    </row>
    <row r="54" spans="1:58" ht="15.75" customHeight="1">
      <c r="A54" s="295" t="str">
        <f>'Unit Savings Calculations'!C50</f>
        <v>Res - SF Rebates</v>
      </c>
      <c r="B54" s="295" t="str">
        <f>'Unit Savings Calculations'!D50</f>
        <v>Boiler - DHW Two-in-One</v>
      </c>
      <c r="C54" s="296">
        <f t="shared" si="23"/>
        <v>1</v>
      </c>
      <c r="D54" s="295" t="str">
        <f>'Unit Savings Calculations'!T50</f>
        <v>5.4.2</v>
      </c>
      <c r="E54" s="460">
        <f>INDEX('Unit Savings Calculations'!$H$4:$H$421,MATCH('Measure-Level Adjustments Tab'!$A54&amp;"_"&amp;'Measure-Level Adjustments Tab'!$B54,'Unit Savings Calculations'!$A$4:$A$421,0))</f>
        <v>13</v>
      </c>
      <c r="F54" s="460">
        <f>INDEX('Unit Savings Calculations'!$I$4:$I$421,MATCH('Measure-Level Adjustments Tab'!A54&amp;"_"&amp;'Measure-Level Adjustments Tab'!B54,'Unit Savings Calculations'!$A$4:$A$421,0))</f>
        <v>13</v>
      </c>
      <c r="G54" s="295" t="str">
        <f>'Unit Savings Calculations'!E50</f>
        <v>each</v>
      </c>
      <c r="H54" s="297">
        <f>'Unit Savings Calculations'!$F50*'Unit Savings Calculations'!J50</f>
        <v>0</v>
      </c>
      <c r="I54" s="297">
        <f>'Unit Savings Calculations'!$F50*'Unit Savings Calculations'!K50</f>
        <v>0</v>
      </c>
      <c r="J54" s="297">
        <f>'Unit Savings Calculations'!$F50*'Unit Savings Calculations'!L50</f>
        <v>0</v>
      </c>
      <c r="K54" s="297">
        <f>'Unit Savings Calculations'!$F50*'Unit Savings Calculations'!M50</f>
        <v>0</v>
      </c>
      <c r="L54" s="295" t="str">
        <f>'Unit Savings Calculations'!U50</f>
        <v>RS-HWE-GWHT-V07-180101</v>
      </c>
      <c r="M54" s="405" t="str">
        <f>'Unit Savings Calculations'!R50</f>
        <v>Exhibit 1.5A_R North Shore EEPS_Adjustable_Savings_Goal_Template.xlsx, Unit Savings Calculations Tab</v>
      </c>
      <c r="N54" s="298">
        <v>129.76174002144199</v>
      </c>
      <c r="O54" s="298">
        <v>129.76174002144199</v>
      </c>
      <c r="P54" s="298">
        <v>129.76174002144199</v>
      </c>
      <c r="Q54" s="298">
        <v>129.76174002144199</v>
      </c>
      <c r="R54" s="299">
        <f>'Unit Savings Calculations'!$G50</f>
        <v>0.64</v>
      </c>
      <c r="S54" s="299">
        <f>'Unit Savings Calculations'!$G50</f>
        <v>0.64</v>
      </c>
      <c r="T54" s="299">
        <f>'Unit Savings Calculations'!$G50</f>
        <v>0.64</v>
      </c>
      <c r="U54" s="299">
        <f>'Unit Savings Calculations'!$G50</f>
        <v>0.64</v>
      </c>
      <c r="V54" s="300">
        <f t="shared" si="44"/>
        <v>0</v>
      </c>
      <c r="W54" s="300">
        <f t="shared" si="45"/>
        <v>0</v>
      </c>
      <c r="X54" s="300">
        <f t="shared" si="46"/>
        <v>0</v>
      </c>
      <c r="Y54" s="300">
        <f t="shared" si="47"/>
        <v>0</v>
      </c>
      <c r="Z54" s="300">
        <f t="shared" si="48"/>
        <v>0</v>
      </c>
      <c r="AA54" s="295"/>
      <c r="AB54" s="295"/>
      <c r="AC54" s="298">
        <f>'Unit Savings Calculations'!N50</f>
        <v>129.76174002144199</v>
      </c>
      <c r="AD54" s="295"/>
      <c r="AE54" s="300">
        <f t="shared" si="7"/>
        <v>0</v>
      </c>
      <c r="AF54" s="297">
        <f t="shared" si="8"/>
        <v>0</v>
      </c>
      <c r="AG54" s="295"/>
      <c r="AH54" s="295">
        <f t="shared" si="9"/>
        <v>0</v>
      </c>
      <c r="AI54" s="298">
        <f>'Unit Savings Calculations'!O50</f>
        <v>129.76174002144199</v>
      </c>
      <c r="AJ54" s="405" t="s">
        <v>1013</v>
      </c>
      <c r="AK54" s="300">
        <f t="shared" si="10"/>
        <v>0</v>
      </c>
      <c r="AL54" s="297">
        <f t="shared" si="11"/>
        <v>0</v>
      </c>
      <c r="AM54" s="295"/>
      <c r="AN54" s="295"/>
      <c r="AO54" s="298">
        <f>'Unit Savings Calculations'!P50</f>
        <v>129.76174002144199</v>
      </c>
      <c r="AP54" s="405" t="s">
        <v>764</v>
      </c>
      <c r="AQ54" s="300">
        <f t="shared" si="12"/>
        <v>0</v>
      </c>
      <c r="AR54" s="297">
        <f t="shared" si="13"/>
        <v>0</v>
      </c>
      <c r="AS54" s="295"/>
      <c r="AT54" s="295"/>
      <c r="AU54" s="298">
        <f>'Unit Savings Calculations'!Q50</f>
        <v>129.76174002144199</v>
      </c>
      <c r="AV54" s="405" t="str">
        <f t="shared" si="14"/>
        <v>n/a</v>
      </c>
      <c r="AW54" s="300">
        <f t="shared" si="15"/>
        <v>0</v>
      </c>
      <c r="AX54" s="297">
        <f t="shared" si="16"/>
        <v>0</v>
      </c>
      <c r="AY54" s="300">
        <f t="shared" si="17"/>
        <v>0</v>
      </c>
      <c r="AZ54" s="300">
        <f t="shared" si="18"/>
        <v>0</v>
      </c>
      <c r="BA54" s="300">
        <f t="shared" si="19"/>
        <v>0</v>
      </c>
      <c r="BB54" s="300">
        <f t="shared" si="20"/>
        <v>0</v>
      </c>
      <c r="BC54" s="301">
        <f t="shared" si="21"/>
        <v>0</v>
      </c>
      <c r="BD54" s="295" t="s">
        <v>764</v>
      </c>
      <c r="BE54" s="302" t="str">
        <f t="shared" si="22"/>
        <v>Exhibit 1.5A_R North Shore EEPS_Adjustable_Savings_Goal_Template.xlsx, Unit Savings Calculations Tab</v>
      </c>
      <c r="BF54" s="304"/>
    </row>
    <row r="55" spans="1:58" ht="15.75" customHeight="1">
      <c r="A55" s="295" t="str">
        <f>'Unit Savings Calculations'!C51</f>
        <v>Res - SF Rebates</v>
      </c>
      <c r="B55" s="295" t="str">
        <f>'Unit Savings Calculations'!D51</f>
        <v>Boiler ≥90% AFUE, &lt;300MBh</v>
      </c>
      <c r="C55" s="296">
        <f t="shared" si="23"/>
        <v>1</v>
      </c>
      <c r="D55" s="295" t="str">
        <f>'Unit Savings Calculations'!T51</f>
        <v>5.3.6</v>
      </c>
      <c r="E55" s="460">
        <f>INDEX('Unit Savings Calculations'!$H$4:$H$421,MATCH('Measure-Level Adjustments Tab'!$A55&amp;"_"&amp;'Measure-Level Adjustments Tab'!$B55,'Unit Savings Calculations'!$A$4:$A$421,0))</f>
        <v>25</v>
      </c>
      <c r="F55" s="460">
        <f>INDEX('Unit Savings Calculations'!$I$4:$I$421,MATCH('Measure-Level Adjustments Tab'!A55&amp;"_"&amp;'Measure-Level Adjustments Tab'!B55,'Unit Savings Calculations'!$A$4:$A$421,0))</f>
        <v>25</v>
      </c>
      <c r="G55" s="295" t="str">
        <f>'Unit Savings Calculations'!E51</f>
        <v>each</v>
      </c>
      <c r="H55" s="297">
        <f>'Unit Savings Calculations'!$F51*'Unit Savings Calculations'!J51</f>
        <v>0</v>
      </c>
      <c r="I55" s="297">
        <f>'Unit Savings Calculations'!$F51*'Unit Savings Calculations'!K51</f>
        <v>0</v>
      </c>
      <c r="J55" s="297">
        <f>'Unit Savings Calculations'!$F51*'Unit Savings Calculations'!L51</f>
        <v>0</v>
      </c>
      <c r="K55" s="297">
        <f>'Unit Savings Calculations'!$F51*'Unit Savings Calculations'!M51</f>
        <v>0</v>
      </c>
      <c r="L55" s="295" t="str">
        <f>'Unit Savings Calculations'!U51</f>
        <v>RS-HVC-GHEB-V06-180101</v>
      </c>
      <c r="M55" s="405" t="str">
        <f>'Unit Savings Calculations'!R51</f>
        <v>Exhibit 1.5A_R North Shore EEPS_Adjustable_Savings_Goal_Template.xlsx, Unit Savings Calculations Tab</v>
      </c>
      <c r="N55" s="298">
        <v>132.03252032520317</v>
      </c>
      <c r="O55" s="298">
        <v>132.03252032520317</v>
      </c>
      <c r="P55" s="298">
        <v>132.03252032520317</v>
      </c>
      <c r="Q55" s="298">
        <v>132.03252032520317</v>
      </c>
      <c r="R55" s="299">
        <f>'Unit Savings Calculations'!$G51</f>
        <v>0.64</v>
      </c>
      <c r="S55" s="299">
        <f>'Unit Savings Calculations'!$G51</f>
        <v>0.64</v>
      </c>
      <c r="T55" s="299">
        <f>'Unit Savings Calculations'!$G51</f>
        <v>0.64</v>
      </c>
      <c r="U55" s="299">
        <f>'Unit Savings Calculations'!$G51</f>
        <v>0.64</v>
      </c>
      <c r="V55" s="300">
        <f t="shared" si="44"/>
        <v>0</v>
      </c>
      <c r="W55" s="300">
        <f t="shared" si="45"/>
        <v>0</v>
      </c>
      <c r="X55" s="300">
        <f t="shared" si="46"/>
        <v>0</v>
      </c>
      <c r="Y55" s="300">
        <f t="shared" si="47"/>
        <v>0</v>
      </c>
      <c r="Z55" s="300">
        <f t="shared" si="48"/>
        <v>0</v>
      </c>
      <c r="AA55" s="295"/>
      <c r="AB55" s="295"/>
      <c r="AC55" s="298">
        <f>'Unit Savings Calculations'!N51</f>
        <v>95.219512195122036</v>
      </c>
      <c r="AD55" s="295"/>
      <c r="AE55" s="300">
        <f t="shared" si="7"/>
        <v>0</v>
      </c>
      <c r="AF55" s="297">
        <f t="shared" si="8"/>
        <v>0</v>
      </c>
      <c r="AG55" s="295"/>
      <c r="AH55" s="295">
        <f t="shared" si="9"/>
        <v>0</v>
      </c>
      <c r="AI55" s="298">
        <f>'Unit Savings Calculations'!O51</f>
        <v>95.219512195122036</v>
      </c>
      <c r="AJ55" s="405" t="s">
        <v>1001</v>
      </c>
      <c r="AK55" s="300">
        <f t="shared" si="10"/>
        <v>0</v>
      </c>
      <c r="AL55" s="297">
        <f t="shared" si="11"/>
        <v>0</v>
      </c>
      <c r="AM55" s="295"/>
      <c r="AN55" s="295"/>
      <c r="AO55" s="298">
        <f>'Unit Savings Calculations'!P51</f>
        <v>95.219512195122036</v>
      </c>
      <c r="AP55" s="405" t="s">
        <v>764</v>
      </c>
      <c r="AQ55" s="300">
        <f t="shared" si="12"/>
        <v>0</v>
      </c>
      <c r="AR55" s="297">
        <f t="shared" si="13"/>
        <v>0</v>
      </c>
      <c r="AS55" s="295"/>
      <c r="AT55" s="295"/>
      <c r="AU55" s="298">
        <f>'Unit Savings Calculations'!Q51</f>
        <v>95.219512195122036</v>
      </c>
      <c r="AV55" s="405" t="str">
        <f t="shared" si="14"/>
        <v>n/a</v>
      </c>
      <c r="AW55" s="300">
        <f t="shared" si="15"/>
        <v>0</v>
      </c>
      <c r="AX55" s="297">
        <f t="shared" si="16"/>
        <v>0</v>
      </c>
      <c r="AY55" s="300">
        <f t="shared" si="17"/>
        <v>0</v>
      </c>
      <c r="AZ55" s="300">
        <f t="shared" si="18"/>
        <v>0</v>
      </c>
      <c r="BA55" s="300">
        <f t="shared" si="19"/>
        <v>0</v>
      </c>
      <c r="BB55" s="300">
        <f t="shared" si="20"/>
        <v>0</v>
      </c>
      <c r="BC55" s="301">
        <f t="shared" si="21"/>
        <v>0</v>
      </c>
      <c r="BD55" s="295" t="s">
        <v>764</v>
      </c>
      <c r="BE55" s="302" t="str">
        <f t="shared" si="22"/>
        <v>Exhibit 1.5A_R North Shore EEPS_Adjustable_Savings_Goal_Template.xlsx, Unit Savings Calculations Tab</v>
      </c>
      <c r="BF55" s="304"/>
    </row>
    <row r="56" spans="1:58" ht="15.75" customHeight="1">
      <c r="A56" s="295" t="str">
        <f>'Unit Savings Calculations'!C52</f>
        <v>Res - SF Rebates</v>
      </c>
      <c r="B56" s="295" t="str">
        <f>'Unit Savings Calculations'!D52</f>
        <v>Boiler ≥95% AFUE, &lt;300MBh</v>
      </c>
      <c r="C56" s="296">
        <f t="shared" si="23"/>
        <v>1</v>
      </c>
      <c r="D56" s="295" t="str">
        <f>'Unit Savings Calculations'!T52</f>
        <v>5.3.6</v>
      </c>
      <c r="E56" s="460">
        <f>INDEX('Unit Savings Calculations'!$H$4:$H$421,MATCH('Measure-Level Adjustments Tab'!$A56&amp;"_"&amp;'Measure-Level Adjustments Tab'!$B56,'Unit Savings Calculations'!$A$4:$A$421,0))</f>
        <v>25</v>
      </c>
      <c r="F56" s="460">
        <f>INDEX('Unit Savings Calculations'!$I$4:$I$421,MATCH('Measure-Level Adjustments Tab'!A56&amp;"_"&amp;'Measure-Level Adjustments Tab'!B56,'Unit Savings Calculations'!$A$4:$A$421,0))</f>
        <v>25</v>
      </c>
      <c r="G56" s="295" t="str">
        <f>'Unit Savings Calculations'!E52</f>
        <v>each</v>
      </c>
      <c r="H56" s="297">
        <f>'Unit Savings Calculations'!$F52*'Unit Savings Calculations'!J52</f>
        <v>0</v>
      </c>
      <c r="I56" s="297">
        <f>'Unit Savings Calculations'!$F52*'Unit Savings Calculations'!K52</f>
        <v>0</v>
      </c>
      <c r="J56" s="297">
        <f>'Unit Savings Calculations'!$F52*'Unit Savings Calculations'!L52</f>
        <v>0</v>
      </c>
      <c r="K56" s="297">
        <f>'Unit Savings Calculations'!$F52*'Unit Savings Calculations'!M52</f>
        <v>0</v>
      </c>
      <c r="L56" s="295" t="str">
        <f>'Unit Savings Calculations'!U52</f>
        <v>RS-HVC-GHEB-V06-180101</v>
      </c>
      <c r="M56" s="405" t="str">
        <f>'Unit Savings Calculations'!R52</f>
        <v>Exhibit 1.5A_R North Shore EEPS_Adjustable_Savings_Goal_Template.xlsx, Unit Savings Calculations Tab</v>
      </c>
      <c r="N56" s="298">
        <v>203.26059050064188</v>
      </c>
      <c r="O56" s="298">
        <v>203.26059050064188</v>
      </c>
      <c r="P56" s="298">
        <v>203.26059050064188</v>
      </c>
      <c r="Q56" s="298">
        <v>203.26059050064188</v>
      </c>
      <c r="R56" s="299">
        <f>'Unit Savings Calculations'!$G52</f>
        <v>0.64</v>
      </c>
      <c r="S56" s="299">
        <f>'Unit Savings Calculations'!$G52</f>
        <v>0.64</v>
      </c>
      <c r="T56" s="299">
        <f>'Unit Savings Calculations'!$G52</f>
        <v>0.64</v>
      </c>
      <c r="U56" s="299">
        <f>'Unit Savings Calculations'!$G52</f>
        <v>0.64</v>
      </c>
      <c r="V56" s="300">
        <f t="shared" si="44"/>
        <v>0</v>
      </c>
      <c r="W56" s="300">
        <f t="shared" si="45"/>
        <v>0</v>
      </c>
      <c r="X56" s="300">
        <f t="shared" si="46"/>
        <v>0</v>
      </c>
      <c r="Y56" s="300">
        <f t="shared" si="47"/>
        <v>0</v>
      </c>
      <c r="Z56" s="300">
        <f t="shared" si="48"/>
        <v>0</v>
      </c>
      <c r="AA56" s="295"/>
      <c r="AB56" s="295"/>
      <c r="AC56" s="298">
        <f>'Unit Savings Calculations'!N52</f>
        <v>154.73170731707307</v>
      </c>
      <c r="AD56" s="295"/>
      <c r="AE56" s="300">
        <f t="shared" si="7"/>
        <v>0</v>
      </c>
      <c r="AF56" s="297">
        <f t="shared" si="8"/>
        <v>0</v>
      </c>
      <c r="AG56" s="295"/>
      <c r="AH56" s="295">
        <f t="shared" si="9"/>
        <v>0</v>
      </c>
      <c r="AI56" s="298">
        <f>'Unit Savings Calculations'!O52</f>
        <v>154.73170731707307</v>
      </c>
      <c r="AJ56" s="405" t="s">
        <v>1001</v>
      </c>
      <c r="AK56" s="300">
        <f t="shared" si="10"/>
        <v>0</v>
      </c>
      <c r="AL56" s="297">
        <f t="shared" si="11"/>
        <v>0</v>
      </c>
      <c r="AM56" s="295"/>
      <c r="AN56" s="295"/>
      <c r="AO56" s="298">
        <f>'Unit Savings Calculations'!P52</f>
        <v>154.73170731707307</v>
      </c>
      <c r="AP56" s="405" t="s">
        <v>764</v>
      </c>
      <c r="AQ56" s="300">
        <f t="shared" si="12"/>
        <v>0</v>
      </c>
      <c r="AR56" s="297">
        <f t="shared" si="13"/>
        <v>0</v>
      </c>
      <c r="AS56" s="295"/>
      <c r="AT56" s="295"/>
      <c r="AU56" s="298">
        <f>'Unit Savings Calculations'!Q52</f>
        <v>154.73170731707307</v>
      </c>
      <c r="AV56" s="405" t="str">
        <f t="shared" si="14"/>
        <v>n/a</v>
      </c>
      <c r="AW56" s="300">
        <f t="shared" si="15"/>
        <v>0</v>
      </c>
      <c r="AX56" s="297">
        <f t="shared" si="16"/>
        <v>0</v>
      </c>
      <c r="AY56" s="300">
        <f t="shared" si="17"/>
        <v>0</v>
      </c>
      <c r="AZ56" s="300">
        <f t="shared" si="18"/>
        <v>0</v>
      </c>
      <c r="BA56" s="300">
        <f t="shared" si="19"/>
        <v>0</v>
      </c>
      <c r="BB56" s="300">
        <f t="shared" si="20"/>
        <v>0</v>
      </c>
      <c r="BC56" s="301">
        <f t="shared" si="21"/>
        <v>0</v>
      </c>
      <c r="BD56" s="295" t="s">
        <v>764</v>
      </c>
      <c r="BE56" s="302" t="str">
        <f t="shared" si="22"/>
        <v>Exhibit 1.5A_R North Shore EEPS_Adjustable_Savings_Goal_Template.xlsx, Unit Savings Calculations Tab</v>
      </c>
      <c r="BF56" s="304"/>
    </row>
    <row r="57" spans="1:58" ht="15.75" customHeight="1">
      <c r="A57" s="295" t="str">
        <f>'Unit Savings Calculations'!C53</f>
        <v>Res - SF Rebates</v>
      </c>
      <c r="B57" s="295" t="str">
        <f>'Unit Savings Calculations'!D53</f>
        <v>Furnace &gt;95% AFUE</v>
      </c>
      <c r="C57" s="296">
        <f t="shared" si="23"/>
        <v>1</v>
      </c>
      <c r="D57" s="295" t="str">
        <f>'Unit Savings Calculations'!T53</f>
        <v>5.3.7</v>
      </c>
      <c r="E57" s="460">
        <f>INDEX('Unit Savings Calculations'!$H$4:$H$421,MATCH('Measure-Level Adjustments Tab'!$A57&amp;"_"&amp;'Measure-Level Adjustments Tab'!$B57,'Unit Savings Calculations'!$A$4:$A$421,0))</f>
        <v>20</v>
      </c>
      <c r="F57" s="460">
        <f>INDEX('Unit Savings Calculations'!$I$4:$I$421,MATCH('Measure-Level Adjustments Tab'!A57&amp;"_"&amp;'Measure-Level Adjustments Tab'!B57,'Unit Savings Calculations'!$A$4:$A$421,0))</f>
        <v>20</v>
      </c>
      <c r="G57" s="295" t="str">
        <f>'Unit Savings Calculations'!E53</f>
        <v>each</v>
      </c>
      <c r="H57" s="297">
        <f>'Unit Savings Calculations'!$F53*'Unit Savings Calculations'!J53</f>
        <v>312</v>
      </c>
      <c r="I57" s="297">
        <f>'Unit Savings Calculations'!$F53*'Unit Savings Calculations'!K53</f>
        <v>312</v>
      </c>
      <c r="J57" s="297">
        <f>'Unit Savings Calculations'!$F53*'Unit Savings Calculations'!L53</f>
        <v>312</v>
      </c>
      <c r="K57" s="297">
        <f>'Unit Savings Calculations'!$F53*'Unit Savings Calculations'!M53</f>
        <v>312</v>
      </c>
      <c r="L57" s="295" t="str">
        <f>'Unit Savings Calculations'!U53</f>
        <v>RS-HVC-GHEF-V07-180101</v>
      </c>
      <c r="M57" s="405" t="str">
        <f>'Unit Savings Calculations'!R53</f>
        <v>Exhibit 1.5A_R North Shore EEPS_Adjustable_Savings_Goal_Template.xlsx, Unit Savings Calculations Tab</v>
      </c>
      <c r="N57" s="298">
        <v>175.86032388663946</v>
      </c>
      <c r="O57" s="298">
        <v>175.86032388663946</v>
      </c>
      <c r="P57" s="298">
        <v>175.86032388663946</v>
      </c>
      <c r="Q57" s="298">
        <v>175.86032388663946</v>
      </c>
      <c r="R57" s="299">
        <f>'Unit Savings Calculations'!$G53</f>
        <v>0.64</v>
      </c>
      <c r="S57" s="299">
        <f>'Unit Savings Calculations'!$G53</f>
        <v>0.64</v>
      </c>
      <c r="T57" s="299">
        <f>'Unit Savings Calculations'!$G53</f>
        <v>0.64</v>
      </c>
      <c r="U57" s="299">
        <f>'Unit Savings Calculations'!$G53</f>
        <v>0.64</v>
      </c>
      <c r="V57" s="300">
        <f t="shared" si="44"/>
        <v>35115.78947368417</v>
      </c>
      <c r="W57" s="300">
        <f t="shared" si="45"/>
        <v>35115.78947368417</v>
      </c>
      <c r="X57" s="300">
        <f t="shared" si="46"/>
        <v>35115.78947368417</v>
      </c>
      <c r="Y57" s="300">
        <f t="shared" si="47"/>
        <v>35115.78947368417</v>
      </c>
      <c r="Z57" s="300">
        <f t="shared" si="48"/>
        <v>140463.15789473668</v>
      </c>
      <c r="AA57" s="295"/>
      <c r="AB57" s="295"/>
      <c r="AC57" s="298">
        <f>'Unit Savings Calculations'!N53</f>
        <v>156.41025641025624</v>
      </c>
      <c r="AD57" s="295"/>
      <c r="AE57" s="300">
        <f t="shared" si="7"/>
        <v>31231.999999999967</v>
      </c>
      <c r="AF57" s="297">
        <f t="shared" si="8"/>
        <v>-3883.7894736842027</v>
      </c>
      <c r="AG57" s="295"/>
      <c r="AH57" s="295">
        <f t="shared" si="9"/>
        <v>0</v>
      </c>
      <c r="AI57" s="298">
        <f>'Unit Savings Calculations'!O53</f>
        <v>156.41025641025624</v>
      </c>
      <c r="AJ57" s="405" t="s">
        <v>1001</v>
      </c>
      <c r="AK57" s="300">
        <f t="shared" si="10"/>
        <v>31231.999999999967</v>
      </c>
      <c r="AL57" s="297">
        <f t="shared" si="11"/>
        <v>-3883.7894736842027</v>
      </c>
      <c r="AM57" s="295"/>
      <c r="AN57" s="295"/>
      <c r="AO57" s="298">
        <f>'Unit Savings Calculations'!P53</f>
        <v>156.41025641025624</v>
      </c>
      <c r="AP57" s="405" t="s">
        <v>764</v>
      </c>
      <c r="AQ57" s="300">
        <f t="shared" si="12"/>
        <v>31231.999999999967</v>
      </c>
      <c r="AR57" s="297">
        <f t="shared" si="13"/>
        <v>-3883.7894736842027</v>
      </c>
      <c r="AS57" s="295"/>
      <c r="AT57" s="295"/>
      <c r="AU57" s="298">
        <f>'Unit Savings Calculations'!Q53</f>
        <v>156.41025641025624</v>
      </c>
      <c r="AV57" s="405" t="str">
        <f t="shared" si="14"/>
        <v>n/a</v>
      </c>
      <c r="AW57" s="300">
        <f t="shared" si="15"/>
        <v>31231.999999999967</v>
      </c>
      <c r="AX57" s="297">
        <f t="shared" si="16"/>
        <v>-3883.7894736842027</v>
      </c>
      <c r="AY57" s="300">
        <f t="shared" si="17"/>
        <v>31231.999999999967</v>
      </c>
      <c r="AZ57" s="300">
        <f t="shared" si="18"/>
        <v>31231.999999999967</v>
      </c>
      <c r="BA57" s="300">
        <f t="shared" si="19"/>
        <v>31231.999999999967</v>
      </c>
      <c r="BB57" s="300">
        <f t="shared" si="20"/>
        <v>31231.999999999967</v>
      </c>
      <c r="BC57" s="301">
        <f t="shared" si="21"/>
        <v>124927.99999999987</v>
      </c>
      <c r="BD57" s="295" t="s">
        <v>764</v>
      </c>
      <c r="BE57" s="302" t="str">
        <f t="shared" si="22"/>
        <v>Exhibit 1.5A_R North Shore EEPS_Adjustable_Savings_Goal_Template.xlsx, Unit Savings Calculations Tab</v>
      </c>
      <c r="BF57" s="304"/>
    </row>
    <row r="58" spans="1:58" ht="15.75" customHeight="1">
      <c r="A58" s="295" t="str">
        <f>'Unit Savings Calculations'!C54</f>
        <v>Res - SF Rebates</v>
      </c>
      <c r="B58" s="295" t="str">
        <f>'Unit Savings Calculations'!D54</f>
        <v>Furnace &gt;97% AFUE</v>
      </c>
      <c r="C58" s="296">
        <f t="shared" si="23"/>
        <v>1</v>
      </c>
      <c r="D58" s="295" t="str">
        <f>'Unit Savings Calculations'!T54</f>
        <v>5.3.7</v>
      </c>
      <c r="E58" s="460">
        <f>INDEX('Unit Savings Calculations'!$H$4:$H$421,MATCH('Measure-Level Adjustments Tab'!$A58&amp;"_"&amp;'Measure-Level Adjustments Tab'!$B58,'Unit Savings Calculations'!$A$4:$A$421,0))</f>
        <v>20</v>
      </c>
      <c r="F58" s="460">
        <f>INDEX('Unit Savings Calculations'!$I$4:$I$421,MATCH('Measure-Level Adjustments Tab'!A58&amp;"_"&amp;'Measure-Level Adjustments Tab'!B58,'Unit Savings Calculations'!$A$4:$A$421,0))</f>
        <v>20</v>
      </c>
      <c r="G58" s="295" t="str">
        <f>'Unit Savings Calculations'!E54</f>
        <v>each</v>
      </c>
      <c r="H58" s="297">
        <f>'Unit Savings Calculations'!$F54*'Unit Savings Calculations'!J54</f>
        <v>40</v>
      </c>
      <c r="I58" s="297">
        <f>'Unit Savings Calculations'!$F54*'Unit Savings Calculations'!K54</f>
        <v>40</v>
      </c>
      <c r="J58" s="297">
        <f>'Unit Savings Calculations'!$F54*'Unit Savings Calculations'!L54</f>
        <v>40</v>
      </c>
      <c r="K58" s="297">
        <f>'Unit Savings Calculations'!$F54*'Unit Savings Calculations'!M54</f>
        <v>40</v>
      </c>
      <c r="L58" s="295" t="str">
        <f>'Unit Savings Calculations'!U54</f>
        <v>RS-HVC-GHEF-V07-180101</v>
      </c>
      <c r="M58" s="405" t="str">
        <f>'Unit Savings Calculations'!R54</f>
        <v>Exhibit 1.5A_R North Shore EEPS_Adjustable_Savings_Goal_Template.xlsx, Unit Savings Calculations Tab</v>
      </c>
      <c r="N58" s="298">
        <v>195.19891620407071</v>
      </c>
      <c r="O58" s="298">
        <v>195.19891620407071</v>
      </c>
      <c r="P58" s="298">
        <v>195.19891620407071</v>
      </c>
      <c r="Q58" s="298">
        <v>195.19891620407071</v>
      </c>
      <c r="R58" s="299">
        <f>'Unit Savings Calculations'!$G54</f>
        <v>0.64</v>
      </c>
      <c r="S58" s="299">
        <f>'Unit Savings Calculations'!$G54</f>
        <v>0.64</v>
      </c>
      <c r="T58" s="299">
        <f>'Unit Savings Calculations'!$G54</f>
        <v>0.64</v>
      </c>
      <c r="U58" s="299">
        <f>'Unit Savings Calculations'!$G54</f>
        <v>0.64</v>
      </c>
      <c r="V58" s="300">
        <f t="shared" si="44"/>
        <v>4997.0922548242097</v>
      </c>
      <c r="W58" s="300">
        <f t="shared" si="45"/>
        <v>4997.0922548242097</v>
      </c>
      <c r="X58" s="300">
        <f t="shared" si="46"/>
        <v>4997.0922548242097</v>
      </c>
      <c r="Y58" s="300">
        <f t="shared" si="47"/>
        <v>4997.0922548242097</v>
      </c>
      <c r="Z58" s="300">
        <f t="shared" si="48"/>
        <v>19988.369019296839</v>
      </c>
      <c r="AA58" s="295"/>
      <c r="AB58" s="295"/>
      <c r="AC58" s="298">
        <f>'Unit Savings Calculations'!N54</f>
        <v>177.26495726495722</v>
      </c>
      <c r="AD58" s="295"/>
      <c r="AE58" s="300">
        <f t="shared" si="7"/>
        <v>4537.9829059829053</v>
      </c>
      <c r="AF58" s="297">
        <f t="shared" si="8"/>
        <v>-459.10934884130438</v>
      </c>
      <c r="AG58" s="295"/>
      <c r="AH58" s="295">
        <f t="shared" si="9"/>
        <v>0</v>
      </c>
      <c r="AI58" s="298">
        <f>'Unit Savings Calculations'!O54</f>
        <v>177.26495726495722</v>
      </c>
      <c r="AJ58" s="405" t="s">
        <v>1001</v>
      </c>
      <c r="AK58" s="300">
        <f t="shared" si="10"/>
        <v>4537.9829059829053</v>
      </c>
      <c r="AL58" s="297">
        <f t="shared" si="11"/>
        <v>-459.10934884130438</v>
      </c>
      <c r="AM58" s="295"/>
      <c r="AN58" s="295"/>
      <c r="AO58" s="298">
        <f>'Unit Savings Calculations'!P54</f>
        <v>177.26495726495722</v>
      </c>
      <c r="AP58" s="405" t="s">
        <v>764</v>
      </c>
      <c r="AQ58" s="300">
        <f t="shared" si="12"/>
        <v>4537.9829059829053</v>
      </c>
      <c r="AR58" s="297">
        <f t="shared" si="13"/>
        <v>-459.10934884130438</v>
      </c>
      <c r="AS58" s="295"/>
      <c r="AT58" s="295"/>
      <c r="AU58" s="298">
        <f>'Unit Savings Calculations'!Q54</f>
        <v>177.26495726495722</v>
      </c>
      <c r="AV58" s="405" t="str">
        <f t="shared" si="14"/>
        <v>n/a</v>
      </c>
      <c r="AW58" s="300">
        <f t="shared" si="15"/>
        <v>4537.9829059829053</v>
      </c>
      <c r="AX58" s="297">
        <f t="shared" si="16"/>
        <v>-459.10934884130438</v>
      </c>
      <c r="AY58" s="300">
        <f t="shared" si="17"/>
        <v>4537.9829059829053</v>
      </c>
      <c r="AZ58" s="300">
        <f t="shared" si="18"/>
        <v>4537.9829059829053</v>
      </c>
      <c r="BA58" s="300">
        <f t="shared" si="19"/>
        <v>4537.9829059829053</v>
      </c>
      <c r="BB58" s="300">
        <f t="shared" si="20"/>
        <v>4537.9829059829053</v>
      </c>
      <c r="BC58" s="301">
        <f t="shared" si="21"/>
        <v>18151.931623931621</v>
      </c>
      <c r="BD58" s="295" t="s">
        <v>764</v>
      </c>
      <c r="BE58" s="302" t="str">
        <f t="shared" si="22"/>
        <v>Exhibit 1.5A_R North Shore EEPS_Adjustable_Savings_Goal_Template.xlsx, Unit Savings Calculations Tab</v>
      </c>
      <c r="BF58" s="304"/>
    </row>
    <row r="59" spans="1:58" ht="15.75" customHeight="1">
      <c r="A59" s="295" t="str">
        <f>'Unit Savings Calculations'!C55</f>
        <v>Res - SF Rebates</v>
      </c>
      <c r="B59" s="295" t="str">
        <f>'Unit Savings Calculations'!D55</f>
        <v>Programmable Thermostat - Furnace</v>
      </c>
      <c r="C59" s="296">
        <f t="shared" si="23"/>
        <v>1</v>
      </c>
      <c r="D59" s="295" t="str">
        <f>'Unit Savings Calculations'!T55</f>
        <v>5.3.11</v>
      </c>
      <c r="E59" s="460">
        <f>INDEX('Unit Savings Calculations'!$H$4:$H$421,MATCH('Measure-Level Adjustments Tab'!$A59&amp;"_"&amp;'Measure-Level Adjustments Tab'!$B59,'Unit Savings Calculations'!$A$4:$A$421,0))</f>
        <v>5</v>
      </c>
      <c r="F59" s="460">
        <f>INDEX('Unit Savings Calculations'!$I$4:$I$421,MATCH('Measure-Level Adjustments Tab'!A59&amp;"_"&amp;'Measure-Level Adjustments Tab'!B59,'Unit Savings Calculations'!$A$4:$A$421,0))</f>
        <v>8</v>
      </c>
      <c r="G59" s="295" t="str">
        <f>'Unit Savings Calculations'!E55</f>
        <v>each</v>
      </c>
      <c r="H59" s="297">
        <f>'Unit Savings Calculations'!$F55*'Unit Savings Calculations'!J55</f>
        <v>0</v>
      </c>
      <c r="I59" s="297">
        <f>'Unit Savings Calculations'!$F55*'Unit Savings Calculations'!K55</f>
        <v>0</v>
      </c>
      <c r="J59" s="297">
        <f>'Unit Savings Calculations'!$F55*'Unit Savings Calculations'!L55</f>
        <v>0</v>
      </c>
      <c r="K59" s="297">
        <f>'Unit Savings Calculations'!$F55*'Unit Savings Calculations'!M55</f>
        <v>0</v>
      </c>
      <c r="L59" s="295" t="str">
        <f>'Unit Savings Calculations'!U55</f>
        <v>RS-HVC-PROG-V04-180101</v>
      </c>
      <c r="M59" s="405" t="str">
        <f>'Unit Savings Calculations'!R55</f>
        <v>Exhibit 1.5A_R North Shore EEPS_Adjustable_Savings_Goal_Template.xlsx, Unit Savings Calculations Tab</v>
      </c>
      <c r="N59" s="298">
        <v>34.893600000000006</v>
      </c>
      <c r="O59" s="298">
        <v>34.893600000000006</v>
      </c>
      <c r="P59" s="298">
        <v>34.893600000000006</v>
      </c>
      <c r="Q59" s="298">
        <v>34.893600000000006</v>
      </c>
      <c r="R59" s="299">
        <f>'Unit Savings Calculations'!$G55</f>
        <v>0.64</v>
      </c>
      <c r="S59" s="299">
        <f>'Unit Savings Calculations'!$G55</f>
        <v>0.64</v>
      </c>
      <c r="T59" s="299">
        <f>'Unit Savings Calculations'!$G55</f>
        <v>0.64</v>
      </c>
      <c r="U59" s="299">
        <f>'Unit Savings Calculations'!$G55</f>
        <v>0.64</v>
      </c>
      <c r="V59" s="300">
        <f t="shared" si="44"/>
        <v>0</v>
      </c>
      <c r="W59" s="300">
        <f t="shared" si="45"/>
        <v>0</v>
      </c>
      <c r="X59" s="300">
        <f t="shared" si="46"/>
        <v>0</v>
      </c>
      <c r="Y59" s="300">
        <f t="shared" si="47"/>
        <v>0</v>
      </c>
      <c r="Z59" s="300">
        <f t="shared" si="48"/>
        <v>0</v>
      </c>
      <c r="AA59" s="295"/>
      <c r="AB59" s="295"/>
      <c r="AC59" s="298">
        <f>'Unit Savings Calculations'!N55</f>
        <v>34.893600000000006</v>
      </c>
      <c r="AD59" s="295"/>
      <c r="AE59" s="300">
        <f t="shared" si="7"/>
        <v>0</v>
      </c>
      <c r="AF59" s="297">
        <f t="shared" si="8"/>
        <v>0</v>
      </c>
      <c r="AG59" s="295"/>
      <c r="AH59" s="295">
        <f t="shared" si="9"/>
        <v>0</v>
      </c>
      <c r="AI59" s="298">
        <f>'Unit Savings Calculations'!O55</f>
        <v>34.893600000000006</v>
      </c>
      <c r="AJ59" s="405" t="s">
        <v>879</v>
      </c>
      <c r="AK59" s="300">
        <f t="shared" si="10"/>
        <v>0</v>
      </c>
      <c r="AL59" s="297">
        <f t="shared" si="11"/>
        <v>0</v>
      </c>
      <c r="AM59" s="295"/>
      <c r="AN59" s="295"/>
      <c r="AO59" s="298">
        <f>'Unit Savings Calculations'!P55</f>
        <v>34.893600000000006</v>
      </c>
      <c r="AP59" s="405" t="s">
        <v>764</v>
      </c>
      <c r="AQ59" s="300">
        <f t="shared" si="12"/>
        <v>0</v>
      </c>
      <c r="AR59" s="297">
        <f t="shared" si="13"/>
        <v>0</v>
      </c>
      <c r="AS59" s="295"/>
      <c r="AT59" s="295"/>
      <c r="AU59" s="298">
        <f>'Unit Savings Calculations'!Q55</f>
        <v>34.893600000000006</v>
      </c>
      <c r="AV59" s="405" t="str">
        <f t="shared" si="14"/>
        <v>n/a</v>
      </c>
      <c r="AW59" s="300">
        <f t="shared" si="15"/>
        <v>0</v>
      </c>
      <c r="AX59" s="297">
        <f t="shared" si="16"/>
        <v>0</v>
      </c>
      <c r="AY59" s="300">
        <f t="shared" si="17"/>
        <v>0</v>
      </c>
      <c r="AZ59" s="300">
        <f t="shared" si="18"/>
        <v>0</v>
      </c>
      <c r="BA59" s="300">
        <f t="shared" si="19"/>
        <v>0</v>
      </c>
      <c r="BB59" s="300">
        <f t="shared" si="20"/>
        <v>0</v>
      </c>
      <c r="BC59" s="301">
        <f t="shared" si="21"/>
        <v>0</v>
      </c>
      <c r="BD59" s="295" t="s">
        <v>764</v>
      </c>
      <c r="BE59" s="302" t="str">
        <f t="shared" si="22"/>
        <v>Exhibit 1.5A_R North Shore EEPS_Adjustable_Savings_Goal_Template.xlsx, Unit Savings Calculations Tab</v>
      </c>
      <c r="BF59" s="304"/>
    </row>
    <row r="60" spans="1:58" ht="15.75" customHeight="1">
      <c r="A60" s="295" t="str">
        <f>'Unit Savings Calculations'!C56</f>
        <v>Res - SF Rebates</v>
      </c>
      <c r="B60" s="295" t="str">
        <f>'Unit Savings Calculations'!D56</f>
        <v>Programmable Thermostat - Boiler</v>
      </c>
      <c r="C60" s="296">
        <f t="shared" si="23"/>
        <v>1</v>
      </c>
      <c r="D60" s="295" t="str">
        <f>'Unit Savings Calculations'!T56</f>
        <v>5.3.11</v>
      </c>
      <c r="E60" s="460">
        <f>INDEX('Unit Savings Calculations'!$H$4:$H$421,MATCH('Measure-Level Adjustments Tab'!$A60&amp;"_"&amp;'Measure-Level Adjustments Tab'!$B60,'Unit Savings Calculations'!$A$4:$A$421,0))</f>
        <v>5</v>
      </c>
      <c r="F60" s="460">
        <f>INDEX('Unit Savings Calculations'!$I$4:$I$421,MATCH('Measure-Level Adjustments Tab'!A60&amp;"_"&amp;'Measure-Level Adjustments Tab'!B60,'Unit Savings Calculations'!$A$4:$A$421,0))</f>
        <v>8</v>
      </c>
      <c r="G60" s="295" t="str">
        <f>'Unit Savings Calculations'!E56</f>
        <v>each</v>
      </c>
      <c r="H60" s="297">
        <f>'Unit Savings Calculations'!$F56*'Unit Savings Calculations'!J56</f>
        <v>0</v>
      </c>
      <c r="I60" s="297">
        <f>'Unit Savings Calculations'!$F56*'Unit Savings Calculations'!K56</f>
        <v>0</v>
      </c>
      <c r="J60" s="297">
        <f>'Unit Savings Calculations'!$F56*'Unit Savings Calculations'!L56</f>
        <v>0</v>
      </c>
      <c r="K60" s="297">
        <f>'Unit Savings Calculations'!$F56*'Unit Savings Calculations'!M56</f>
        <v>0</v>
      </c>
      <c r="L60" s="295" t="str">
        <f>'Unit Savings Calculations'!U56</f>
        <v>RS-HVC-PROG-V04-180101</v>
      </c>
      <c r="M60" s="405" t="str">
        <f>'Unit Savings Calculations'!R56</f>
        <v>Exhibit 1.5A_R North Shore EEPS_Adjustable_Savings_Goal_Template.xlsx, Unit Savings Calculations Tab</v>
      </c>
      <c r="N60" s="298">
        <v>42.28896000000001</v>
      </c>
      <c r="O60" s="298">
        <v>42.28896000000001</v>
      </c>
      <c r="P60" s="298">
        <v>42.28896000000001</v>
      </c>
      <c r="Q60" s="298">
        <v>42.28896000000001</v>
      </c>
      <c r="R60" s="299">
        <f>'Unit Savings Calculations'!$G56</f>
        <v>0.64</v>
      </c>
      <c r="S60" s="299">
        <f>'Unit Savings Calculations'!$G56</f>
        <v>0.64</v>
      </c>
      <c r="T60" s="299">
        <f>'Unit Savings Calculations'!$G56</f>
        <v>0.64</v>
      </c>
      <c r="U60" s="299">
        <f>'Unit Savings Calculations'!$G56</f>
        <v>0.64</v>
      </c>
      <c r="V60" s="300">
        <f t="shared" si="44"/>
        <v>0</v>
      </c>
      <c r="W60" s="300">
        <f t="shared" si="45"/>
        <v>0</v>
      </c>
      <c r="X60" s="300">
        <f t="shared" si="46"/>
        <v>0</v>
      </c>
      <c r="Y60" s="300">
        <f t="shared" si="47"/>
        <v>0</v>
      </c>
      <c r="Z60" s="300">
        <f t="shared" si="48"/>
        <v>0</v>
      </c>
      <c r="AA60" s="295"/>
      <c r="AB60" s="295"/>
      <c r="AC60" s="298">
        <f>'Unit Savings Calculations'!N56</f>
        <v>42.28896000000001</v>
      </c>
      <c r="AD60" s="295"/>
      <c r="AE60" s="300">
        <f t="shared" si="7"/>
        <v>0</v>
      </c>
      <c r="AF60" s="297">
        <f t="shared" si="8"/>
        <v>0</v>
      </c>
      <c r="AG60" s="295"/>
      <c r="AH60" s="295">
        <f t="shared" si="9"/>
        <v>0</v>
      </c>
      <c r="AI60" s="298">
        <f>'Unit Savings Calculations'!O56</f>
        <v>42.28896000000001</v>
      </c>
      <c r="AJ60" s="405" t="s">
        <v>879</v>
      </c>
      <c r="AK60" s="300">
        <f t="shared" si="10"/>
        <v>0</v>
      </c>
      <c r="AL60" s="297">
        <f t="shared" si="11"/>
        <v>0</v>
      </c>
      <c r="AM60" s="295"/>
      <c r="AN60" s="295"/>
      <c r="AO60" s="298">
        <f>'Unit Savings Calculations'!P56</f>
        <v>42.28896000000001</v>
      </c>
      <c r="AP60" s="405" t="s">
        <v>764</v>
      </c>
      <c r="AQ60" s="300">
        <f t="shared" si="12"/>
        <v>0</v>
      </c>
      <c r="AR60" s="297">
        <f t="shared" si="13"/>
        <v>0</v>
      </c>
      <c r="AS60" s="295"/>
      <c r="AT60" s="295"/>
      <c r="AU60" s="298">
        <f>'Unit Savings Calculations'!Q56</f>
        <v>42.28896000000001</v>
      </c>
      <c r="AV60" s="405" t="str">
        <f t="shared" si="14"/>
        <v>n/a</v>
      </c>
      <c r="AW60" s="300">
        <f t="shared" si="15"/>
        <v>0</v>
      </c>
      <c r="AX60" s="297">
        <f t="shared" si="16"/>
        <v>0</v>
      </c>
      <c r="AY60" s="300">
        <f t="shared" si="17"/>
        <v>0</v>
      </c>
      <c r="AZ60" s="300">
        <f t="shared" si="18"/>
        <v>0</v>
      </c>
      <c r="BA60" s="300">
        <f t="shared" si="19"/>
        <v>0</v>
      </c>
      <c r="BB60" s="300">
        <f t="shared" si="20"/>
        <v>0</v>
      </c>
      <c r="BC60" s="301">
        <f t="shared" si="21"/>
        <v>0</v>
      </c>
      <c r="BD60" s="295" t="s">
        <v>764</v>
      </c>
      <c r="BE60" s="302" t="str">
        <f t="shared" si="22"/>
        <v>Exhibit 1.5A_R North Shore EEPS_Adjustable_Savings_Goal_Template.xlsx, Unit Savings Calculations Tab</v>
      </c>
      <c r="BF60" s="304"/>
    </row>
    <row r="61" spans="1:58" ht="15.75" customHeight="1">
      <c r="A61" s="295" t="str">
        <f>'Unit Savings Calculations'!C57</f>
        <v>Res - SF Rebates</v>
      </c>
      <c r="B61" s="295" t="str">
        <f>'Unit Savings Calculations'!D57</f>
        <v>Advanced Thermostat - Furnace (Replace Manual)</v>
      </c>
      <c r="C61" s="296">
        <f t="shared" si="23"/>
        <v>1</v>
      </c>
      <c r="D61" s="295" t="str">
        <f>'Unit Savings Calculations'!T57</f>
        <v>5.3.16</v>
      </c>
      <c r="E61" s="460">
        <f>INDEX('Unit Savings Calculations'!$H$4:$H$421,MATCH('Measure-Level Adjustments Tab'!$A61&amp;"_"&amp;'Measure-Level Adjustments Tab'!$B61,'Unit Savings Calculations'!$A$4:$A$421,0))</f>
        <v>10</v>
      </c>
      <c r="F61" s="460">
        <f>INDEX('Unit Savings Calculations'!$I$4:$I$421,MATCH('Measure-Level Adjustments Tab'!A61&amp;"_"&amp;'Measure-Level Adjustments Tab'!B61,'Unit Savings Calculations'!$A$4:$A$421,0))</f>
        <v>11</v>
      </c>
      <c r="G61" s="295" t="str">
        <f>'Unit Savings Calculations'!E57</f>
        <v>each</v>
      </c>
      <c r="H61" s="297">
        <f>'Unit Savings Calculations'!$F57*'Unit Savings Calculations'!J57</f>
        <v>675</v>
      </c>
      <c r="I61" s="297">
        <f>'Unit Savings Calculations'!$F57*'Unit Savings Calculations'!K57</f>
        <v>675</v>
      </c>
      <c r="J61" s="297">
        <f>'Unit Savings Calculations'!$F57*'Unit Savings Calculations'!L57</f>
        <v>675</v>
      </c>
      <c r="K61" s="297">
        <f>'Unit Savings Calculations'!$F57*'Unit Savings Calculations'!M57</f>
        <v>675</v>
      </c>
      <c r="L61" s="295" t="str">
        <f>'Unit Savings Calculations'!U57</f>
        <v>RS-HVC-ADTH-V02-180101</v>
      </c>
      <c r="M61" s="405" t="str">
        <f>'Unit Savings Calculations'!R57</f>
        <v>Exhibit 1.5A_R North Shore EEPS_Adjustable_Savings_Goal_Template.xlsx, Unit Savings Calculations Tab</v>
      </c>
      <c r="N61" s="298">
        <v>88.44</v>
      </c>
      <c r="O61" s="298">
        <v>88.44</v>
      </c>
      <c r="P61" s="298">
        <v>88.44</v>
      </c>
      <c r="Q61" s="298">
        <v>88.44</v>
      </c>
      <c r="R61" s="299">
        <f>'Unit Savings Calculations'!$G57</f>
        <v>1</v>
      </c>
      <c r="S61" s="299">
        <f>'Unit Savings Calculations'!$G57</f>
        <v>1</v>
      </c>
      <c r="T61" s="299">
        <f>'Unit Savings Calculations'!$G57</f>
        <v>1</v>
      </c>
      <c r="U61" s="299">
        <f>'Unit Savings Calculations'!$G57</f>
        <v>1</v>
      </c>
      <c r="V61" s="300">
        <f t="shared" si="44"/>
        <v>59697</v>
      </c>
      <c r="W61" s="300">
        <f t="shared" si="45"/>
        <v>59697</v>
      </c>
      <c r="X61" s="300">
        <f t="shared" si="46"/>
        <v>59697</v>
      </c>
      <c r="Y61" s="300">
        <f t="shared" si="47"/>
        <v>59697</v>
      </c>
      <c r="Z61" s="300">
        <f t="shared" si="48"/>
        <v>238788</v>
      </c>
      <c r="AA61" s="295"/>
      <c r="AB61" s="295"/>
      <c r="AC61" s="298">
        <f>'Unit Savings Calculations'!N57</f>
        <v>88.44</v>
      </c>
      <c r="AD61" s="295"/>
      <c r="AE61" s="300">
        <f t="shared" si="7"/>
        <v>59697</v>
      </c>
      <c r="AF61" s="297">
        <f t="shared" si="8"/>
        <v>0</v>
      </c>
      <c r="AG61" s="295"/>
      <c r="AH61" s="295">
        <f t="shared" si="9"/>
        <v>0</v>
      </c>
      <c r="AI61" s="298">
        <f>'Unit Savings Calculations'!O57</f>
        <v>88.44</v>
      </c>
      <c r="AJ61" s="405" t="s">
        <v>879</v>
      </c>
      <c r="AK61" s="300">
        <f t="shared" si="10"/>
        <v>59697</v>
      </c>
      <c r="AL61" s="297">
        <f t="shared" si="11"/>
        <v>0</v>
      </c>
      <c r="AM61" s="295"/>
      <c r="AN61" s="295"/>
      <c r="AO61" s="298">
        <f>'Unit Savings Calculations'!P57</f>
        <v>88.44</v>
      </c>
      <c r="AP61" s="405" t="s">
        <v>764</v>
      </c>
      <c r="AQ61" s="300">
        <f t="shared" si="12"/>
        <v>59697</v>
      </c>
      <c r="AR61" s="297">
        <f t="shared" si="13"/>
        <v>0</v>
      </c>
      <c r="AS61" s="295"/>
      <c r="AT61" s="295"/>
      <c r="AU61" s="298">
        <f>'Unit Savings Calculations'!Q57</f>
        <v>88.44</v>
      </c>
      <c r="AV61" s="405" t="str">
        <f t="shared" si="14"/>
        <v>n/a</v>
      </c>
      <c r="AW61" s="300">
        <f t="shared" si="15"/>
        <v>59697</v>
      </c>
      <c r="AX61" s="297">
        <f t="shared" si="16"/>
        <v>0</v>
      </c>
      <c r="AY61" s="300">
        <f t="shared" si="17"/>
        <v>59697</v>
      </c>
      <c r="AZ61" s="300">
        <f t="shared" si="18"/>
        <v>59697</v>
      </c>
      <c r="BA61" s="300">
        <f t="shared" si="19"/>
        <v>59697</v>
      </c>
      <c r="BB61" s="300">
        <f t="shared" si="20"/>
        <v>59697</v>
      </c>
      <c r="BC61" s="301">
        <f t="shared" si="21"/>
        <v>238788</v>
      </c>
      <c r="BD61" s="295" t="s">
        <v>764</v>
      </c>
      <c r="BE61" s="302" t="str">
        <f t="shared" si="22"/>
        <v>Exhibit 1.5A_R North Shore EEPS_Adjustable_Savings_Goal_Template.xlsx, Unit Savings Calculations Tab</v>
      </c>
      <c r="BF61" s="304"/>
    </row>
    <row r="62" spans="1:58" ht="15.75" customHeight="1">
      <c r="A62" s="295" t="str">
        <f>'Unit Savings Calculations'!C58</f>
        <v>Res - SF Rebates</v>
      </c>
      <c r="B62" s="295" t="str">
        <f>'Unit Savings Calculations'!D58</f>
        <v>Advanced Thermostat - Boiler (Replace Manual)</v>
      </c>
      <c r="C62" s="296">
        <f t="shared" si="23"/>
        <v>1</v>
      </c>
      <c r="D62" s="295" t="str">
        <f>'Unit Savings Calculations'!T58</f>
        <v>5.3.16</v>
      </c>
      <c r="E62" s="460">
        <f>INDEX('Unit Savings Calculations'!$H$4:$H$421,MATCH('Measure-Level Adjustments Tab'!$A62&amp;"_"&amp;'Measure-Level Adjustments Tab'!$B62,'Unit Savings Calculations'!$A$4:$A$421,0))</f>
        <v>10</v>
      </c>
      <c r="F62" s="460">
        <f>INDEX('Unit Savings Calculations'!$I$4:$I$421,MATCH('Measure-Level Adjustments Tab'!A62&amp;"_"&amp;'Measure-Level Adjustments Tab'!B62,'Unit Savings Calculations'!$A$4:$A$421,0))</f>
        <v>11</v>
      </c>
      <c r="G62" s="295" t="str">
        <f>'Unit Savings Calculations'!E58</f>
        <v>each</v>
      </c>
      <c r="H62" s="297">
        <f>'Unit Savings Calculations'!$F58*'Unit Savings Calculations'!J58</f>
        <v>124</v>
      </c>
      <c r="I62" s="297">
        <f>'Unit Savings Calculations'!$F58*'Unit Savings Calculations'!K58</f>
        <v>124</v>
      </c>
      <c r="J62" s="297">
        <f>'Unit Savings Calculations'!$F58*'Unit Savings Calculations'!L58</f>
        <v>124</v>
      </c>
      <c r="K62" s="297">
        <f>'Unit Savings Calculations'!$F58*'Unit Savings Calculations'!M58</f>
        <v>124</v>
      </c>
      <c r="L62" s="295" t="str">
        <f>'Unit Savings Calculations'!U58</f>
        <v>RS-HVC-ADTH-V02-180101</v>
      </c>
      <c r="M62" s="405" t="str">
        <f>'Unit Savings Calculations'!R58</f>
        <v>Exhibit 1.5A_R North Shore EEPS_Adjustable_Savings_Goal_Template.xlsx, Unit Savings Calculations Tab</v>
      </c>
      <c r="N62" s="298">
        <v>107.184</v>
      </c>
      <c r="O62" s="298">
        <v>107.184</v>
      </c>
      <c r="P62" s="298">
        <v>107.184</v>
      </c>
      <c r="Q62" s="298">
        <v>107.184</v>
      </c>
      <c r="R62" s="299">
        <f>'Unit Savings Calculations'!$G58</f>
        <v>1</v>
      </c>
      <c r="S62" s="299">
        <f>'Unit Savings Calculations'!$G58</f>
        <v>1</v>
      </c>
      <c r="T62" s="299">
        <f>'Unit Savings Calculations'!$G58</f>
        <v>1</v>
      </c>
      <c r="U62" s="299">
        <f>'Unit Savings Calculations'!$G58</f>
        <v>1</v>
      </c>
      <c r="V62" s="300">
        <f t="shared" si="44"/>
        <v>13290.815999999999</v>
      </c>
      <c r="W62" s="300">
        <f t="shared" si="45"/>
        <v>13290.815999999999</v>
      </c>
      <c r="X62" s="300">
        <f t="shared" si="46"/>
        <v>13290.815999999999</v>
      </c>
      <c r="Y62" s="300">
        <f t="shared" si="47"/>
        <v>13290.815999999999</v>
      </c>
      <c r="Z62" s="300">
        <f t="shared" si="48"/>
        <v>53163.263999999996</v>
      </c>
      <c r="AA62" s="295"/>
      <c r="AB62" s="295"/>
      <c r="AC62" s="298">
        <f>'Unit Savings Calculations'!N58</f>
        <v>107.184</v>
      </c>
      <c r="AD62" s="295"/>
      <c r="AE62" s="300">
        <f t="shared" si="7"/>
        <v>13290.815999999999</v>
      </c>
      <c r="AF62" s="297">
        <f t="shared" si="8"/>
        <v>0</v>
      </c>
      <c r="AG62" s="295"/>
      <c r="AH62" s="295">
        <f t="shared" si="9"/>
        <v>0</v>
      </c>
      <c r="AI62" s="298">
        <f>'Unit Savings Calculations'!O58</f>
        <v>107.184</v>
      </c>
      <c r="AJ62" s="405" t="s">
        <v>879</v>
      </c>
      <c r="AK62" s="300">
        <f t="shared" si="10"/>
        <v>13290.815999999999</v>
      </c>
      <c r="AL62" s="297">
        <f t="shared" si="11"/>
        <v>0</v>
      </c>
      <c r="AM62" s="295"/>
      <c r="AN62" s="295"/>
      <c r="AO62" s="298">
        <f>'Unit Savings Calculations'!P58</f>
        <v>107.184</v>
      </c>
      <c r="AP62" s="405" t="s">
        <v>764</v>
      </c>
      <c r="AQ62" s="300">
        <f t="shared" si="12"/>
        <v>13290.815999999999</v>
      </c>
      <c r="AR62" s="297">
        <f t="shared" si="13"/>
        <v>0</v>
      </c>
      <c r="AS62" s="295"/>
      <c r="AT62" s="295"/>
      <c r="AU62" s="298">
        <f>'Unit Savings Calculations'!Q58</f>
        <v>107.184</v>
      </c>
      <c r="AV62" s="405" t="str">
        <f t="shared" si="14"/>
        <v>n/a</v>
      </c>
      <c r="AW62" s="300">
        <f t="shared" si="15"/>
        <v>13290.815999999999</v>
      </c>
      <c r="AX62" s="297">
        <f t="shared" si="16"/>
        <v>0</v>
      </c>
      <c r="AY62" s="300">
        <f t="shared" si="17"/>
        <v>13290.815999999999</v>
      </c>
      <c r="AZ62" s="300">
        <f t="shared" si="18"/>
        <v>13290.815999999999</v>
      </c>
      <c r="BA62" s="300">
        <f t="shared" si="19"/>
        <v>13290.815999999999</v>
      </c>
      <c r="BB62" s="300">
        <f t="shared" si="20"/>
        <v>13290.815999999999</v>
      </c>
      <c r="BC62" s="301">
        <f t="shared" si="21"/>
        <v>53163.263999999996</v>
      </c>
      <c r="BD62" s="295" t="s">
        <v>764</v>
      </c>
      <c r="BE62" s="302" t="str">
        <f t="shared" si="22"/>
        <v>Exhibit 1.5A_R North Shore EEPS_Adjustable_Savings_Goal_Template.xlsx, Unit Savings Calculations Tab</v>
      </c>
      <c r="BF62" s="304"/>
    </row>
    <row r="63" spans="1:58" ht="15.75" customHeight="1">
      <c r="A63" s="295" t="str">
        <f>'Unit Savings Calculations'!C59</f>
        <v>Res - SF Rebates</v>
      </c>
      <c r="B63" s="295" t="str">
        <f>'Unit Savings Calculations'!D59</f>
        <v>Advanced Thermostat - Furnace (Replace Programmable)</v>
      </c>
      <c r="C63" s="296">
        <f t="shared" si="23"/>
        <v>1</v>
      </c>
      <c r="D63" s="295" t="str">
        <f>'Unit Savings Calculations'!T59</f>
        <v>5.3.16</v>
      </c>
      <c r="E63" s="460">
        <f>INDEX('Unit Savings Calculations'!$H$4:$H$421,MATCH('Measure-Level Adjustments Tab'!$A63&amp;"_"&amp;'Measure-Level Adjustments Tab'!$B63,'Unit Savings Calculations'!$A$4:$A$421,0))</f>
        <v>10</v>
      </c>
      <c r="F63" s="460">
        <f>INDEX('Unit Savings Calculations'!$I$4:$I$421,MATCH('Measure-Level Adjustments Tab'!A63&amp;"_"&amp;'Measure-Level Adjustments Tab'!B63,'Unit Savings Calculations'!$A$4:$A$421,0))</f>
        <v>11</v>
      </c>
      <c r="G63" s="295" t="str">
        <f>'Unit Savings Calculations'!E59</f>
        <v>each</v>
      </c>
      <c r="H63" s="297">
        <f>'Unit Savings Calculations'!$F59*'Unit Savings Calculations'!J59</f>
        <v>1200</v>
      </c>
      <c r="I63" s="297">
        <f>'Unit Savings Calculations'!$F59*'Unit Savings Calculations'!K59</f>
        <v>1200</v>
      </c>
      <c r="J63" s="297">
        <f>'Unit Savings Calculations'!$F59*'Unit Savings Calculations'!L59</f>
        <v>1200</v>
      </c>
      <c r="K63" s="297">
        <f>'Unit Savings Calculations'!$F59*'Unit Savings Calculations'!M59</f>
        <v>1200</v>
      </c>
      <c r="L63" s="295" t="str">
        <f>'Unit Savings Calculations'!U59</f>
        <v>RS-HVC-ADTH-V02-180101</v>
      </c>
      <c r="M63" s="405" t="str">
        <f>'Unit Savings Calculations'!R59</f>
        <v>Exhibit 1.5A_R North Shore EEPS_Adjustable_Savings_Goal_Template.xlsx, Unit Savings Calculations Tab</v>
      </c>
      <c r="N63" s="298">
        <v>56.28</v>
      </c>
      <c r="O63" s="298">
        <v>56.28</v>
      </c>
      <c r="P63" s="298">
        <v>56.28</v>
      </c>
      <c r="Q63" s="298">
        <v>56.28</v>
      </c>
      <c r="R63" s="299">
        <f>'Unit Savings Calculations'!$G59</f>
        <v>1</v>
      </c>
      <c r="S63" s="299">
        <f>'Unit Savings Calculations'!$G59</f>
        <v>1</v>
      </c>
      <c r="T63" s="299">
        <f>'Unit Savings Calculations'!$G59</f>
        <v>1</v>
      </c>
      <c r="U63" s="299">
        <f>'Unit Savings Calculations'!$G59</f>
        <v>1</v>
      </c>
      <c r="V63" s="300">
        <f t="shared" si="44"/>
        <v>67536</v>
      </c>
      <c r="W63" s="300">
        <f t="shared" si="45"/>
        <v>67536</v>
      </c>
      <c r="X63" s="300">
        <f t="shared" si="46"/>
        <v>67536</v>
      </c>
      <c r="Y63" s="300">
        <f t="shared" si="47"/>
        <v>67536</v>
      </c>
      <c r="Z63" s="300">
        <f t="shared" si="48"/>
        <v>270144</v>
      </c>
      <c r="AA63" s="295"/>
      <c r="AB63" s="295"/>
      <c r="AC63" s="298">
        <f>'Unit Savings Calculations'!N59</f>
        <v>56.28</v>
      </c>
      <c r="AD63" s="295"/>
      <c r="AE63" s="300">
        <f t="shared" si="7"/>
        <v>67536</v>
      </c>
      <c r="AF63" s="297">
        <f t="shared" si="8"/>
        <v>0</v>
      </c>
      <c r="AG63" s="295"/>
      <c r="AH63" s="295">
        <f t="shared" si="9"/>
        <v>0</v>
      </c>
      <c r="AI63" s="298">
        <f>'Unit Savings Calculations'!O59</f>
        <v>56.28</v>
      </c>
      <c r="AJ63" s="405" t="s">
        <v>879</v>
      </c>
      <c r="AK63" s="300">
        <f t="shared" si="10"/>
        <v>67536</v>
      </c>
      <c r="AL63" s="297">
        <f t="shared" si="11"/>
        <v>0</v>
      </c>
      <c r="AM63" s="295"/>
      <c r="AN63" s="295"/>
      <c r="AO63" s="298">
        <f>'Unit Savings Calculations'!P59</f>
        <v>56.28</v>
      </c>
      <c r="AP63" s="405" t="s">
        <v>764</v>
      </c>
      <c r="AQ63" s="300">
        <f t="shared" si="12"/>
        <v>67536</v>
      </c>
      <c r="AR63" s="297">
        <f t="shared" si="13"/>
        <v>0</v>
      </c>
      <c r="AS63" s="295"/>
      <c r="AT63" s="295"/>
      <c r="AU63" s="298">
        <f>'Unit Savings Calculations'!Q59</f>
        <v>56.28</v>
      </c>
      <c r="AV63" s="405" t="str">
        <f t="shared" si="14"/>
        <v>n/a</v>
      </c>
      <c r="AW63" s="300">
        <f t="shared" si="15"/>
        <v>67536</v>
      </c>
      <c r="AX63" s="297">
        <f t="shared" si="16"/>
        <v>0</v>
      </c>
      <c r="AY63" s="300">
        <f t="shared" si="17"/>
        <v>67536</v>
      </c>
      <c r="AZ63" s="300">
        <f t="shared" si="18"/>
        <v>67536</v>
      </c>
      <c r="BA63" s="300">
        <f t="shared" si="19"/>
        <v>67536</v>
      </c>
      <c r="BB63" s="300">
        <f t="shared" si="20"/>
        <v>67536</v>
      </c>
      <c r="BC63" s="301">
        <f t="shared" si="21"/>
        <v>270144</v>
      </c>
      <c r="BD63" s="295" t="s">
        <v>764</v>
      </c>
      <c r="BE63" s="302" t="str">
        <f t="shared" si="22"/>
        <v>Exhibit 1.5A_R North Shore EEPS_Adjustable_Savings_Goal_Template.xlsx, Unit Savings Calculations Tab</v>
      </c>
      <c r="BF63" s="304"/>
    </row>
    <row r="64" spans="1:58" ht="15.75" customHeight="1">
      <c r="A64" s="295" t="str">
        <f>'Unit Savings Calculations'!C60</f>
        <v>Res - SF Rebates</v>
      </c>
      <c r="B64" s="295" t="str">
        <f>'Unit Savings Calculations'!D60</f>
        <v>Advanced Thermostat - Boiler (Replace Programmable)</v>
      </c>
      <c r="C64" s="296">
        <f t="shared" si="23"/>
        <v>1</v>
      </c>
      <c r="D64" s="295" t="str">
        <f>'Unit Savings Calculations'!T60</f>
        <v>5.3.16</v>
      </c>
      <c r="E64" s="460">
        <f>INDEX('Unit Savings Calculations'!$H$4:$H$421,MATCH('Measure-Level Adjustments Tab'!$A64&amp;"_"&amp;'Measure-Level Adjustments Tab'!$B64,'Unit Savings Calculations'!$A$4:$A$421,0))</f>
        <v>10</v>
      </c>
      <c r="F64" s="460">
        <f>INDEX('Unit Savings Calculations'!$I$4:$I$421,MATCH('Measure-Level Adjustments Tab'!A64&amp;"_"&amp;'Measure-Level Adjustments Tab'!B64,'Unit Savings Calculations'!$A$4:$A$421,0))</f>
        <v>11</v>
      </c>
      <c r="G64" s="295" t="str">
        <f>'Unit Savings Calculations'!E60</f>
        <v>each</v>
      </c>
      <c r="H64" s="297">
        <f>'Unit Savings Calculations'!$F60*'Unit Savings Calculations'!J60</f>
        <v>230</v>
      </c>
      <c r="I64" s="297">
        <f>'Unit Savings Calculations'!$F60*'Unit Savings Calculations'!K60</f>
        <v>230</v>
      </c>
      <c r="J64" s="297">
        <f>'Unit Savings Calculations'!$F60*'Unit Savings Calculations'!L60</f>
        <v>230</v>
      </c>
      <c r="K64" s="297">
        <f>'Unit Savings Calculations'!$F60*'Unit Savings Calculations'!M60</f>
        <v>230</v>
      </c>
      <c r="L64" s="295" t="str">
        <f>'Unit Savings Calculations'!U60</f>
        <v>RS-HVC-ADTH-V02-180101</v>
      </c>
      <c r="M64" s="405" t="str">
        <f>'Unit Savings Calculations'!R60</f>
        <v>Exhibit 1.5A_R North Shore EEPS_Adjustable_Savings_Goal_Template.xlsx, Unit Savings Calculations Tab</v>
      </c>
      <c r="N64" s="298">
        <v>68.207999999999998</v>
      </c>
      <c r="O64" s="298">
        <v>68.207999999999998</v>
      </c>
      <c r="P64" s="298">
        <v>68.207999999999998</v>
      </c>
      <c r="Q64" s="298">
        <v>68.207999999999998</v>
      </c>
      <c r="R64" s="299">
        <f>'Unit Savings Calculations'!$G60</f>
        <v>1</v>
      </c>
      <c r="S64" s="299">
        <f>'Unit Savings Calculations'!$G60</f>
        <v>1</v>
      </c>
      <c r="T64" s="299">
        <f>'Unit Savings Calculations'!$G60</f>
        <v>1</v>
      </c>
      <c r="U64" s="299">
        <f>'Unit Savings Calculations'!$G60</f>
        <v>1</v>
      </c>
      <c r="V64" s="300">
        <f t="shared" si="44"/>
        <v>15687.84</v>
      </c>
      <c r="W64" s="300">
        <f t="shared" si="45"/>
        <v>15687.84</v>
      </c>
      <c r="X64" s="300">
        <f t="shared" si="46"/>
        <v>15687.84</v>
      </c>
      <c r="Y64" s="300">
        <f t="shared" si="47"/>
        <v>15687.84</v>
      </c>
      <c r="Z64" s="300">
        <f t="shared" si="48"/>
        <v>62751.360000000001</v>
      </c>
      <c r="AA64" s="295"/>
      <c r="AB64" s="295"/>
      <c r="AC64" s="298">
        <f>'Unit Savings Calculations'!N60</f>
        <v>68.207999999999998</v>
      </c>
      <c r="AD64" s="295"/>
      <c r="AE64" s="300">
        <f t="shared" si="7"/>
        <v>15687.84</v>
      </c>
      <c r="AF64" s="297">
        <f t="shared" si="8"/>
        <v>0</v>
      </c>
      <c r="AG64" s="295"/>
      <c r="AH64" s="295">
        <f t="shared" si="9"/>
        <v>0</v>
      </c>
      <c r="AI64" s="298">
        <f>'Unit Savings Calculations'!O60</f>
        <v>68.207999999999998</v>
      </c>
      <c r="AJ64" s="405" t="s">
        <v>879</v>
      </c>
      <c r="AK64" s="300">
        <f t="shared" si="10"/>
        <v>15687.84</v>
      </c>
      <c r="AL64" s="297">
        <f t="shared" si="11"/>
        <v>0</v>
      </c>
      <c r="AM64" s="295"/>
      <c r="AN64" s="295"/>
      <c r="AO64" s="298">
        <f>'Unit Savings Calculations'!P60</f>
        <v>68.207999999999998</v>
      </c>
      <c r="AP64" s="405" t="s">
        <v>764</v>
      </c>
      <c r="AQ64" s="300">
        <f t="shared" si="12"/>
        <v>15687.84</v>
      </c>
      <c r="AR64" s="297">
        <f t="shared" si="13"/>
        <v>0</v>
      </c>
      <c r="AS64" s="295"/>
      <c r="AT64" s="295"/>
      <c r="AU64" s="298">
        <f>'Unit Savings Calculations'!Q60</f>
        <v>68.207999999999998</v>
      </c>
      <c r="AV64" s="405" t="str">
        <f t="shared" si="14"/>
        <v>n/a</v>
      </c>
      <c r="AW64" s="300">
        <f t="shared" si="15"/>
        <v>15687.84</v>
      </c>
      <c r="AX64" s="297">
        <f t="shared" si="16"/>
        <v>0</v>
      </c>
      <c r="AY64" s="300">
        <f t="shared" si="17"/>
        <v>15687.84</v>
      </c>
      <c r="AZ64" s="300">
        <f t="shared" si="18"/>
        <v>15687.84</v>
      </c>
      <c r="BA64" s="300">
        <f t="shared" si="19"/>
        <v>15687.84</v>
      </c>
      <c r="BB64" s="300">
        <f t="shared" si="20"/>
        <v>15687.84</v>
      </c>
      <c r="BC64" s="301">
        <f t="shared" si="21"/>
        <v>62751.360000000001</v>
      </c>
      <c r="BD64" s="295" t="s">
        <v>764</v>
      </c>
      <c r="BE64" s="302" t="str">
        <f t="shared" si="22"/>
        <v>Exhibit 1.5A_R North Shore EEPS_Adjustable_Savings_Goal_Template.xlsx, Unit Savings Calculations Tab</v>
      </c>
      <c r="BF64" s="304"/>
    </row>
    <row r="65" spans="1:58" ht="15.75" customHeight="1">
      <c r="A65" s="295" t="str">
        <f>'Unit Savings Calculations'!C61</f>
        <v>Res - SF Rebates</v>
      </c>
      <c r="B65" s="295" t="str">
        <f>'Unit Savings Calculations'!D61</f>
        <v>Air Sealing</v>
      </c>
      <c r="C65" s="296">
        <f t="shared" si="23"/>
        <v>1</v>
      </c>
      <c r="D65" s="295" t="str">
        <f>'Unit Savings Calculations'!T61</f>
        <v>5.6.1</v>
      </c>
      <c r="E65" s="460">
        <f>INDEX('Unit Savings Calculations'!$H$4:$H$421,MATCH('Measure-Level Adjustments Tab'!$A65&amp;"_"&amp;'Measure-Level Adjustments Tab'!$B65,'Unit Savings Calculations'!$A$4:$A$421,0))</f>
        <v>15</v>
      </c>
      <c r="F65" s="460">
        <f>INDEX('Unit Savings Calculations'!$I$4:$I$421,MATCH('Measure-Level Adjustments Tab'!A65&amp;"_"&amp;'Measure-Level Adjustments Tab'!B65,'Unit Savings Calculations'!$A$4:$A$421,0))</f>
        <v>20</v>
      </c>
      <c r="G65" s="295" t="str">
        <f>'Unit Savings Calculations'!E61</f>
        <v>CFM_50</v>
      </c>
      <c r="H65" s="297">
        <f>'Unit Savings Calculations'!$F61*'Unit Savings Calculations'!J61</f>
        <v>70459.151999999987</v>
      </c>
      <c r="I65" s="297">
        <f>'Unit Savings Calculations'!$F61*'Unit Savings Calculations'!K61</f>
        <v>70459.151999999987</v>
      </c>
      <c r="J65" s="297">
        <f>'Unit Savings Calculations'!$F61*'Unit Savings Calculations'!L61</f>
        <v>70459.151999999987</v>
      </c>
      <c r="K65" s="297">
        <f>'Unit Savings Calculations'!$F61*'Unit Savings Calculations'!M61</f>
        <v>70459.151999999987</v>
      </c>
      <c r="L65" s="295" t="str">
        <f>'Unit Savings Calculations'!U61</f>
        <v>RS-SHL-AIRS-V06-180101</v>
      </c>
      <c r="M65" s="405" t="str">
        <f>'Unit Savings Calculations'!R61</f>
        <v>Exhibit 1.5A_R North Shore EEPS_Adjustable_Savings_Goal_Template.xlsx, Unit Savings Calculations Tab</v>
      </c>
      <c r="N65" s="298">
        <v>7.7015899581589969E-2</v>
      </c>
      <c r="O65" s="298">
        <v>7.7015899581589969E-2</v>
      </c>
      <c r="P65" s="298">
        <v>7.7015899581589969E-2</v>
      </c>
      <c r="Q65" s="298">
        <v>7.7015899581589969E-2</v>
      </c>
      <c r="R65" s="299">
        <f>'Unit Savings Calculations'!$G61</f>
        <v>0.9</v>
      </c>
      <c r="S65" s="299">
        <f>'Unit Savings Calculations'!$G61</f>
        <v>0.9</v>
      </c>
      <c r="T65" s="299">
        <f>'Unit Savings Calculations'!$G61</f>
        <v>0.9</v>
      </c>
      <c r="U65" s="299">
        <f>'Unit Savings Calculations'!$G61</f>
        <v>0.9</v>
      </c>
      <c r="V65" s="300">
        <f t="shared" si="44"/>
        <v>4883.8274775323853</v>
      </c>
      <c r="W65" s="300">
        <f t="shared" si="45"/>
        <v>4883.8274775323853</v>
      </c>
      <c r="X65" s="300">
        <f t="shared" si="46"/>
        <v>4883.8274775323853</v>
      </c>
      <c r="Y65" s="300">
        <f t="shared" si="47"/>
        <v>4883.8274775323853</v>
      </c>
      <c r="Z65" s="300">
        <f t="shared" si="48"/>
        <v>19535.309910129541</v>
      </c>
      <c r="AA65" s="295"/>
      <c r="AB65" s="295"/>
      <c r="AC65" s="298">
        <f>'Unit Savings Calculations'!N61</f>
        <v>5.5451447698744778E-2</v>
      </c>
      <c r="AD65" s="295"/>
      <c r="AE65" s="300">
        <f t="shared" si="7"/>
        <v>3516.3557838233173</v>
      </c>
      <c r="AF65" s="297">
        <f t="shared" si="8"/>
        <v>-1367.4716937090679</v>
      </c>
      <c r="AG65" s="295"/>
      <c r="AH65" s="295">
        <f t="shared" si="9"/>
        <v>0</v>
      </c>
      <c r="AI65" s="298">
        <f>'Unit Savings Calculations'!O61</f>
        <v>5.5451447698744778E-2</v>
      </c>
      <c r="AJ65" s="405" t="s">
        <v>1042</v>
      </c>
      <c r="AK65" s="300">
        <f t="shared" si="10"/>
        <v>3516.3557838233173</v>
      </c>
      <c r="AL65" s="297">
        <f t="shared" si="11"/>
        <v>-1367.4716937090679</v>
      </c>
      <c r="AM65" s="295"/>
      <c r="AN65" s="295"/>
      <c r="AO65" s="298">
        <f>'Unit Savings Calculations'!P61</f>
        <v>5.5451447698744778E-2</v>
      </c>
      <c r="AP65" s="405" t="s">
        <v>1449</v>
      </c>
      <c r="AQ65" s="300">
        <f t="shared" si="12"/>
        <v>3516.3557838233173</v>
      </c>
      <c r="AR65" s="297">
        <f t="shared" si="13"/>
        <v>-1367.4716937090679</v>
      </c>
      <c r="AS65" s="295"/>
      <c r="AT65" s="295"/>
      <c r="AU65" s="298">
        <f>'Unit Savings Calculations'!Q61</f>
        <v>5.5451447698744778E-2</v>
      </c>
      <c r="AV65" s="405" t="str">
        <f t="shared" si="14"/>
        <v>Updated algorithm with new variables</v>
      </c>
      <c r="AW65" s="300">
        <f t="shared" si="15"/>
        <v>3516.3557838233173</v>
      </c>
      <c r="AX65" s="297">
        <f t="shared" si="16"/>
        <v>-1367.4716937090679</v>
      </c>
      <c r="AY65" s="300">
        <f t="shared" si="17"/>
        <v>3516.3557838233173</v>
      </c>
      <c r="AZ65" s="300">
        <f t="shared" si="18"/>
        <v>3516.3557838233173</v>
      </c>
      <c r="BA65" s="300">
        <f t="shared" si="19"/>
        <v>3516.3557838233173</v>
      </c>
      <c r="BB65" s="300">
        <f t="shared" si="20"/>
        <v>3516.3557838233173</v>
      </c>
      <c r="BC65" s="301">
        <f t="shared" si="21"/>
        <v>14065.423135293269</v>
      </c>
      <c r="BD65" s="295" t="s">
        <v>764</v>
      </c>
      <c r="BE65" s="302" t="str">
        <f t="shared" si="22"/>
        <v>Exhibit 1.5A_R North Shore EEPS_Adjustable_Savings_Goal_Template.xlsx, Unit Savings Calculations Tab</v>
      </c>
      <c r="BF65" s="304"/>
    </row>
    <row r="66" spans="1:58" ht="15.75" customHeight="1">
      <c r="A66" s="295" t="str">
        <f>'Unit Savings Calculations'!C62</f>
        <v>Res - SF Rebates</v>
      </c>
      <c r="B66" s="295" t="str">
        <f>'Unit Savings Calculations'!D62</f>
        <v>Attic Insulation</v>
      </c>
      <c r="C66" s="296">
        <f t="shared" si="23"/>
        <v>1</v>
      </c>
      <c r="D66" s="295" t="str">
        <f>'Unit Savings Calculations'!T62</f>
        <v>5.6.5</v>
      </c>
      <c r="E66" s="460">
        <f>INDEX('Unit Savings Calculations'!$H$4:$H$421,MATCH('Measure-Level Adjustments Tab'!$A66&amp;"_"&amp;'Measure-Level Adjustments Tab'!$B66,'Unit Savings Calculations'!$A$4:$A$421,0))</f>
        <v>25</v>
      </c>
      <c r="F66" s="460">
        <f>INDEX('Unit Savings Calculations'!$I$4:$I$421,MATCH('Measure-Level Adjustments Tab'!A66&amp;"_"&amp;'Measure-Level Adjustments Tab'!B66,'Unit Savings Calculations'!$A$4:$A$421,0))</f>
        <v>20</v>
      </c>
      <c r="G66" s="295" t="str">
        <f>'Unit Savings Calculations'!E62</f>
        <v>sq ft</v>
      </c>
      <c r="H66" s="297">
        <f>'Unit Savings Calculations'!$F62*'Unit Savings Calculations'!J62</f>
        <v>94800</v>
      </c>
      <c r="I66" s="297">
        <f>'Unit Savings Calculations'!$F62*'Unit Savings Calculations'!K62</f>
        <v>94800</v>
      </c>
      <c r="J66" s="297">
        <f>'Unit Savings Calculations'!$F62*'Unit Savings Calculations'!L62</f>
        <v>94800</v>
      </c>
      <c r="K66" s="297">
        <f>'Unit Savings Calculations'!$F62*'Unit Savings Calculations'!M62</f>
        <v>94800</v>
      </c>
      <c r="L66" s="295" t="str">
        <f>'Unit Savings Calculations'!U62</f>
        <v>RS-SHL-AINS-V07-180101</v>
      </c>
      <c r="M66" s="405" t="str">
        <f>'Unit Savings Calculations'!R62</f>
        <v>Exhibit 1.5A_R North Shore EEPS_Adjustable_Savings_Goal_Template.xlsx, Unit Savings Calculations Tab</v>
      </c>
      <c r="N66" s="298">
        <v>7.7438471779463322E-2</v>
      </c>
      <c r="O66" s="298">
        <v>7.7438471779463322E-2</v>
      </c>
      <c r="P66" s="298">
        <v>7.7438471779463322E-2</v>
      </c>
      <c r="Q66" s="298">
        <v>7.7438471779463322E-2</v>
      </c>
      <c r="R66" s="299">
        <f>'Unit Savings Calculations'!$G62</f>
        <v>0.9</v>
      </c>
      <c r="S66" s="299">
        <f>'Unit Savings Calculations'!$G62</f>
        <v>0.9</v>
      </c>
      <c r="T66" s="299">
        <f>'Unit Savings Calculations'!$G62</f>
        <v>0.9</v>
      </c>
      <c r="U66" s="299">
        <f>'Unit Savings Calculations'!$G62</f>
        <v>0.9</v>
      </c>
      <c r="V66" s="300">
        <f t="shared" si="44"/>
        <v>6607.0504122238108</v>
      </c>
      <c r="W66" s="300">
        <f t="shared" si="45"/>
        <v>6607.0504122238108</v>
      </c>
      <c r="X66" s="300">
        <f t="shared" si="46"/>
        <v>6607.0504122238108</v>
      </c>
      <c r="Y66" s="300">
        <f t="shared" si="47"/>
        <v>6607.0504122238108</v>
      </c>
      <c r="Z66" s="300">
        <f t="shared" si="48"/>
        <v>26428.201648895243</v>
      </c>
      <c r="AA66" s="295"/>
      <c r="AB66" s="295"/>
      <c r="AC66" s="298">
        <f>'Unit Savings Calculations'!N62</f>
        <v>9.2988426666666665E-2</v>
      </c>
      <c r="AD66" s="295"/>
      <c r="AE66" s="300">
        <f t="shared" si="7"/>
        <v>7933.7725631999992</v>
      </c>
      <c r="AF66" s="297">
        <f t="shared" si="8"/>
        <v>1326.7221509761885</v>
      </c>
      <c r="AG66" s="295"/>
      <c r="AH66" s="295">
        <f t="shared" si="9"/>
        <v>0</v>
      </c>
      <c r="AI66" s="298">
        <f>'Unit Savings Calculations'!O62</f>
        <v>9.2988426666666665E-2</v>
      </c>
      <c r="AJ66" s="405" t="s">
        <v>1046</v>
      </c>
      <c r="AK66" s="300">
        <f t="shared" si="10"/>
        <v>7933.7725631999992</v>
      </c>
      <c r="AL66" s="297">
        <f t="shared" si="11"/>
        <v>1326.7221509761885</v>
      </c>
      <c r="AM66" s="295"/>
      <c r="AN66" s="295"/>
      <c r="AO66" s="298">
        <f>'Unit Savings Calculations'!P62</f>
        <v>9.2988426666666665E-2</v>
      </c>
      <c r="AP66" s="405" t="s">
        <v>1449</v>
      </c>
      <c r="AQ66" s="300">
        <f t="shared" si="12"/>
        <v>7933.7725631999992</v>
      </c>
      <c r="AR66" s="297">
        <f t="shared" si="13"/>
        <v>1326.7221509761885</v>
      </c>
      <c r="AS66" s="295"/>
      <c r="AT66" s="295"/>
      <c r="AU66" s="298">
        <f>'Unit Savings Calculations'!Q62</f>
        <v>9.2988426666666665E-2</v>
      </c>
      <c r="AV66" s="405" t="str">
        <f t="shared" si="14"/>
        <v>Updated algorithm with new variables</v>
      </c>
      <c r="AW66" s="300">
        <f t="shared" si="15"/>
        <v>7933.7725631999992</v>
      </c>
      <c r="AX66" s="297">
        <f t="shared" si="16"/>
        <v>1326.7221509761885</v>
      </c>
      <c r="AY66" s="300">
        <f t="shared" si="17"/>
        <v>7933.7725631999992</v>
      </c>
      <c r="AZ66" s="300">
        <f t="shared" si="18"/>
        <v>7933.7725631999992</v>
      </c>
      <c r="BA66" s="300">
        <f t="shared" si="19"/>
        <v>7933.7725631999992</v>
      </c>
      <c r="BB66" s="300">
        <f t="shared" si="20"/>
        <v>7933.7725631999992</v>
      </c>
      <c r="BC66" s="301">
        <f t="shared" si="21"/>
        <v>31735.090252799997</v>
      </c>
      <c r="BD66" s="295" t="s">
        <v>764</v>
      </c>
      <c r="BE66" s="302" t="str">
        <f t="shared" si="22"/>
        <v>Exhibit 1.5A_R North Shore EEPS_Adjustable_Savings_Goal_Template.xlsx, Unit Savings Calculations Tab</v>
      </c>
      <c r="BF66" s="304"/>
    </row>
    <row r="67" spans="1:58" ht="15.75" customHeight="1">
      <c r="A67" s="295" t="str">
        <f>'Unit Savings Calculations'!C63</f>
        <v>Res - SF Rebates</v>
      </c>
      <c r="B67" s="295" t="str">
        <f>'Unit Savings Calculations'!D63</f>
        <v>Duct Sealing</v>
      </c>
      <c r="C67" s="296">
        <f t="shared" si="23"/>
        <v>1</v>
      </c>
      <c r="D67" s="295" t="str">
        <f>'Unit Savings Calculations'!T63</f>
        <v>5.3.4</v>
      </c>
      <c r="E67" s="460">
        <f>INDEX('Unit Savings Calculations'!$H$4:$H$421,MATCH('Measure-Level Adjustments Tab'!$A67&amp;"_"&amp;'Measure-Level Adjustments Tab'!$B67,'Unit Savings Calculations'!$A$4:$A$421,0))</f>
        <v>20</v>
      </c>
      <c r="F67" s="460">
        <f>INDEX('Unit Savings Calculations'!$I$4:$I$421,MATCH('Measure-Level Adjustments Tab'!A67&amp;"_"&amp;'Measure-Level Adjustments Tab'!B67,'Unit Savings Calculations'!$A$4:$A$421,0))</f>
        <v>20</v>
      </c>
      <c r="G67" s="295" t="str">
        <f>'Unit Savings Calculations'!E63</f>
        <v>CFM_25</v>
      </c>
      <c r="H67" s="297">
        <f>'Unit Savings Calculations'!$F63*'Unit Savings Calculations'!J63</f>
        <v>5520</v>
      </c>
      <c r="I67" s="297">
        <f>'Unit Savings Calculations'!$F63*'Unit Savings Calculations'!K63</f>
        <v>5520</v>
      </c>
      <c r="J67" s="297">
        <f>'Unit Savings Calculations'!$F63*'Unit Savings Calculations'!L63</f>
        <v>5520</v>
      </c>
      <c r="K67" s="297">
        <f>'Unit Savings Calculations'!$F63*'Unit Savings Calculations'!M63</f>
        <v>5520</v>
      </c>
      <c r="L67" s="295" t="str">
        <f>'Unit Savings Calculations'!U63</f>
        <v>RS-HVC-DINS-V06-160601</v>
      </c>
      <c r="M67" s="405" t="str">
        <f>'Unit Savings Calculations'!R63</f>
        <v>Exhibit 1.5A_R North Shore EEPS_Adjustable_Savings_Goal_Template.xlsx, Unit Savings Calculations Tab</v>
      </c>
      <c r="N67" s="298">
        <v>0.70950058072009281</v>
      </c>
      <c r="O67" s="298">
        <v>0.70950058072009281</v>
      </c>
      <c r="P67" s="298">
        <v>0.70950058072009281</v>
      </c>
      <c r="Q67" s="298">
        <v>0.70950058072009281</v>
      </c>
      <c r="R67" s="299">
        <f>'Unit Savings Calculations'!$G63</f>
        <v>0.9</v>
      </c>
      <c r="S67" s="299">
        <f>'Unit Savings Calculations'!$G63</f>
        <v>0.9</v>
      </c>
      <c r="T67" s="299">
        <f>'Unit Savings Calculations'!$G63</f>
        <v>0.9</v>
      </c>
      <c r="U67" s="299">
        <f>'Unit Savings Calculations'!$G63</f>
        <v>0.9</v>
      </c>
      <c r="V67" s="300">
        <f t="shared" si="44"/>
        <v>3524.7988850174211</v>
      </c>
      <c r="W67" s="300">
        <f t="shared" si="45"/>
        <v>3524.7988850174211</v>
      </c>
      <c r="X67" s="300">
        <f t="shared" si="46"/>
        <v>3524.7988850174211</v>
      </c>
      <c r="Y67" s="300">
        <f t="shared" si="47"/>
        <v>3524.7988850174211</v>
      </c>
      <c r="Z67" s="300">
        <f t="shared" si="48"/>
        <v>14099.195540069684</v>
      </c>
      <c r="AA67" s="295"/>
      <c r="AB67" s="295"/>
      <c r="AC67" s="298">
        <f>'Unit Savings Calculations'!N63</f>
        <v>0.70950058072009281</v>
      </c>
      <c r="AD67" s="295"/>
      <c r="AE67" s="300">
        <f t="shared" si="7"/>
        <v>3524.7988850174211</v>
      </c>
      <c r="AF67" s="297">
        <f t="shared" si="8"/>
        <v>0</v>
      </c>
      <c r="AG67" s="295"/>
      <c r="AH67" s="295">
        <f t="shared" si="9"/>
        <v>0</v>
      </c>
      <c r="AI67" s="298">
        <f>'Unit Savings Calculations'!O63</f>
        <v>0.70950058072009281</v>
      </c>
      <c r="AJ67" s="405" t="s">
        <v>879</v>
      </c>
      <c r="AK67" s="300">
        <f t="shared" si="10"/>
        <v>3524.7988850174211</v>
      </c>
      <c r="AL67" s="297">
        <f t="shared" si="11"/>
        <v>0</v>
      </c>
      <c r="AM67" s="295"/>
      <c r="AN67" s="295"/>
      <c r="AO67" s="298">
        <f>'Unit Savings Calculations'!P63</f>
        <v>0.70950058072009281</v>
      </c>
      <c r="AP67" s="405" t="s">
        <v>764</v>
      </c>
      <c r="AQ67" s="300">
        <f t="shared" si="12"/>
        <v>3524.7988850174211</v>
      </c>
      <c r="AR67" s="297">
        <f t="shared" si="13"/>
        <v>0</v>
      </c>
      <c r="AS67" s="295"/>
      <c r="AT67" s="295"/>
      <c r="AU67" s="298">
        <f>'Unit Savings Calculations'!Q63</f>
        <v>0.70950058072009281</v>
      </c>
      <c r="AV67" s="405" t="str">
        <f t="shared" si="14"/>
        <v>n/a</v>
      </c>
      <c r="AW67" s="300">
        <f t="shared" si="15"/>
        <v>3524.7988850174211</v>
      </c>
      <c r="AX67" s="297">
        <f t="shared" si="16"/>
        <v>0</v>
      </c>
      <c r="AY67" s="300">
        <f t="shared" si="17"/>
        <v>3524.7988850174211</v>
      </c>
      <c r="AZ67" s="300">
        <f t="shared" si="18"/>
        <v>3524.7988850174211</v>
      </c>
      <c r="BA67" s="300">
        <f t="shared" si="19"/>
        <v>3524.7988850174211</v>
      </c>
      <c r="BB67" s="300">
        <f t="shared" si="20"/>
        <v>3524.7988850174211</v>
      </c>
      <c r="BC67" s="301">
        <f t="shared" si="21"/>
        <v>14099.195540069684</v>
      </c>
      <c r="BD67" s="295" t="s">
        <v>764</v>
      </c>
      <c r="BE67" s="302" t="str">
        <f t="shared" si="22"/>
        <v>Exhibit 1.5A_R North Shore EEPS_Adjustable_Savings_Goal_Template.xlsx, Unit Savings Calculations Tab</v>
      </c>
      <c r="BF67" s="304"/>
    </row>
    <row r="68" spans="1:58" ht="15.75" customHeight="1">
      <c r="A68" s="295" t="str">
        <f>'Unit Savings Calculations'!C64</f>
        <v>Res - SF Rebates</v>
      </c>
      <c r="B68" s="295" t="str">
        <f>'Unit Savings Calculations'!D64</f>
        <v>Wall Insulation</v>
      </c>
      <c r="C68" s="296">
        <f t="shared" si="23"/>
        <v>1</v>
      </c>
      <c r="D68" s="295" t="str">
        <f>'Unit Savings Calculations'!T64</f>
        <v>5.6.4</v>
      </c>
      <c r="E68" s="460">
        <f>INDEX('Unit Savings Calculations'!$H$4:$H$421,MATCH('Measure-Level Adjustments Tab'!$A68&amp;"_"&amp;'Measure-Level Adjustments Tab'!$B68,'Unit Savings Calculations'!$A$4:$A$421,0))</f>
        <v>25</v>
      </c>
      <c r="F68" s="460">
        <f>INDEX('Unit Savings Calculations'!$I$4:$I$421,MATCH('Measure-Level Adjustments Tab'!A68&amp;"_"&amp;'Measure-Level Adjustments Tab'!B68,'Unit Savings Calculations'!$A$4:$A$421,0))</f>
        <v>20</v>
      </c>
      <c r="G68" s="295" t="str">
        <f>'Unit Savings Calculations'!E64</f>
        <v>CFM_25</v>
      </c>
      <c r="H68" s="297">
        <f>'Unit Savings Calculations'!$F64*'Unit Savings Calculations'!J64</f>
        <v>9000</v>
      </c>
      <c r="I68" s="297">
        <f>'Unit Savings Calculations'!$F64*'Unit Savings Calculations'!K64</f>
        <v>9000</v>
      </c>
      <c r="J68" s="297">
        <f>'Unit Savings Calculations'!$F64*'Unit Savings Calculations'!L64</f>
        <v>9000</v>
      </c>
      <c r="K68" s="297">
        <f>'Unit Savings Calculations'!$F64*'Unit Savings Calculations'!M64</f>
        <v>9000</v>
      </c>
      <c r="L68" s="295" t="str">
        <f>'Unit Savings Calculations'!U64</f>
        <v>RS-SHL-AINS-V07-180101</v>
      </c>
      <c r="M68" s="405" t="str">
        <f>'Unit Savings Calculations'!R64</f>
        <v>Exhibit 1.5A_R North Shore EEPS_Adjustable_Savings_Goal_Template.xlsx, Unit Savings Calculations Tab</v>
      </c>
      <c r="N68" s="298">
        <v>7.8966183566101619E-2</v>
      </c>
      <c r="O68" s="298">
        <v>7.8966183566101619E-2</v>
      </c>
      <c r="P68" s="298">
        <v>7.8966183566101619E-2</v>
      </c>
      <c r="Q68" s="298">
        <v>7.8966183566101619E-2</v>
      </c>
      <c r="R68" s="299">
        <f>'Unit Savings Calculations'!$G64</f>
        <v>0.9</v>
      </c>
      <c r="S68" s="299">
        <f>'Unit Savings Calculations'!$G64</f>
        <v>0.9</v>
      </c>
      <c r="T68" s="299">
        <f>'Unit Savings Calculations'!$G64</f>
        <v>0.9</v>
      </c>
      <c r="U68" s="299">
        <f>'Unit Savings Calculations'!$G64</f>
        <v>0.9</v>
      </c>
      <c r="V68" s="300">
        <f t="shared" si="44"/>
        <v>639.62608688542309</v>
      </c>
      <c r="W68" s="300">
        <f t="shared" si="45"/>
        <v>639.62608688542309</v>
      </c>
      <c r="X68" s="300">
        <f t="shared" si="46"/>
        <v>639.62608688542309</v>
      </c>
      <c r="Y68" s="300">
        <f t="shared" si="47"/>
        <v>639.62608688542309</v>
      </c>
      <c r="Z68" s="300">
        <f t="shared" si="48"/>
        <v>2558.5043475416924</v>
      </c>
      <c r="AA68" s="295"/>
      <c r="AB68" s="295"/>
      <c r="AC68" s="298">
        <f>'Unit Savings Calculations'!N64</f>
        <v>7.90190909090909E-2</v>
      </c>
      <c r="AD68" s="295"/>
      <c r="AE68" s="300">
        <f t="shared" si="7"/>
        <v>640.05463636363629</v>
      </c>
      <c r="AF68" s="297">
        <f t="shared" si="8"/>
        <v>0.42854947821319911</v>
      </c>
      <c r="AG68" s="295"/>
      <c r="AH68" s="295">
        <f t="shared" si="9"/>
        <v>0</v>
      </c>
      <c r="AI68" s="298">
        <f>'Unit Savings Calculations'!O64</f>
        <v>7.90190909090909E-2</v>
      </c>
      <c r="AJ68" s="405" t="s">
        <v>1046</v>
      </c>
      <c r="AK68" s="300">
        <f t="shared" si="10"/>
        <v>640.05463636363629</v>
      </c>
      <c r="AL68" s="297">
        <f t="shared" si="11"/>
        <v>0.42854947821319911</v>
      </c>
      <c r="AM68" s="295"/>
      <c r="AN68" s="295"/>
      <c r="AO68" s="298">
        <f>'Unit Savings Calculations'!P64</f>
        <v>7.90190909090909E-2</v>
      </c>
      <c r="AP68" s="405" t="s">
        <v>764</v>
      </c>
      <c r="AQ68" s="300">
        <f t="shared" si="12"/>
        <v>640.05463636363629</v>
      </c>
      <c r="AR68" s="297">
        <f t="shared" si="13"/>
        <v>0.42854947821319911</v>
      </c>
      <c r="AS68" s="295"/>
      <c r="AT68" s="295"/>
      <c r="AU68" s="298">
        <f>'Unit Savings Calculations'!Q64</f>
        <v>7.90190909090909E-2</v>
      </c>
      <c r="AV68" s="405" t="str">
        <f t="shared" si="14"/>
        <v>n/a</v>
      </c>
      <c r="AW68" s="300">
        <f t="shared" si="15"/>
        <v>640.05463636363629</v>
      </c>
      <c r="AX68" s="297">
        <f t="shared" si="16"/>
        <v>0.42854947821319911</v>
      </c>
      <c r="AY68" s="300">
        <f t="shared" si="17"/>
        <v>640.05463636363629</v>
      </c>
      <c r="AZ68" s="300">
        <f t="shared" si="18"/>
        <v>640.05463636363629</v>
      </c>
      <c r="BA68" s="300">
        <f t="shared" si="19"/>
        <v>640.05463636363629</v>
      </c>
      <c r="BB68" s="300">
        <f t="shared" si="20"/>
        <v>640.05463636363629</v>
      </c>
      <c r="BC68" s="301">
        <f t="shared" si="21"/>
        <v>2560.2185454545452</v>
      </c>
      <c r="BD68" s="295" t="s">
        <v>764</v>
      </c>
      <c r="BE68" s="302" t="str">
        <f t="shared" si="22"/>
        <v>Exhibit 1.5A_R North Shore EEPS_Adjustable_Savings_Goal_Template.xlsx, Unit Savings Calculations Tab</v>
      </c>
      <c r="BF68" s="304"/>
    </row>
    <row r="69" spans="1:58" ht="15.75" customHeight="1">
      <c r="A69" s="295" t="str">
        <f>'Unit Savings Calculations'!C65</f>
        <v>Res - SF Rebates</v>
      </c>
      <c r="B69" s="295" t="str">
        <f>'Unit Savings Calculations'!D65</f>
        <v>Foundation Insulation</v>
      </c>
      <c r="C69" s="296">
        <f t="shared" si="23"/>
        <v>1</v>
      </c>
      <c r="D69" s="295" t="str">
        <f>'Unit Savings Calculations'!T65</f>
        <v>5.6.2</v>
      </c>
      <c r="E69" s="460">
        <f>INDEX('Unit Savings Calculations'!$H$4:$H$421,MATCH('Measure-Level Adjustments Tab'!$A69&amp;"_"&amp;'Measure-Level Adjustments Tab'!$B69,'Unit Savings Calculations'!$A$4:$A$421,0))</f>
        <v>25</v>
      </c>
      <c r="F69" s="460">
        <f>INDEX('Unit Savings Calculations'!$I$4:$I$421,MATCH('Measure-Level Adjustments Tab'!A69&amp;"_"&amp;'Measure-Level Adjustments Tab'!B69,'Unit Savings Calculations'!$A$4:$A$421,0))</f>
        <v>25</v>
      </c>
      <c r="G69" s="295" t="str">
        <f>'Unit Savings Calculations'!E65</f>
        <v>CFM_25</v>
      </c>
      <c r="H69" s="297">
        <f>'Unit Savings Calculations'!$F65*'Unit Savings Calculations'!J65</f>
        <v>2520</v>
      </c>
      <c r="I69" s="297">
        <f>'Unit Savings Calculations'!$F65*'Unit Savings Calculations'!K65</f>
        <v>2520</v>
      </c>
      <c r="J69" s="297">
        <f>'Unit Savings Calculations'!$F65*'Unit Savings Calculations'!L65</f>
        <v>2520</v>
      </c>
      <c r="K69" s="297">
        <f>'Unit Savings Calculations'!$F65*'Unit Savings Calculations'!M65</f>
        <v>2520</v>
      </c>
      <c r="L69" s="295" t="str">
        <f>'Unit Savings Calculations'!U65</f>
        <v>RS-SHL-BINS-V08-180101</v>
      </c>
      <c r="M69" s="405" t="str">
        <f>'Unit Savings Calculations'!R65</f>
        <v>Exhibit 1.5A_R North Shore EEPS_Adjustable_Savings_Goal_Template.xlsx, Unit Savings Calculations Tab</v>
      </c>
      <c r="N69" s="298">
        <v>8.2417994229580488E-2</v>
      </c>
      <c r="O69" s="298">
        <v>8.2417994229580488E-2</v>
      </c>
      <c r="P69" s="298">
        <v>8.2417994229580488E-2</v>
      </c>
      <c r="Q69" s="298">
        <v>8.2417994229580488E-2</v>
      </c>
      <c r="R69" s="299">
        <f>'Unit Savings Calculations'!$G65</f>
        <v>0.9</v>
      </c>
      <c r="S69" s="299">
        <f>'Unit Savings Calculations'!$G65</f>
        <v>0.9</v>
      </c>
      <c r="T69" s="299">
        <f>'Unit Savings Calculations'!$G65</f>
        <v>0.9</v>
      </c>
      <c r="U69" s="299">
        <f>'Unit Savings Calculations'!$G65</f>
        <v>0.9</v>
      </c>
      <c r="V69" s="300">
        <f t="shared" si="44"/>
        <v>186.92401091268854</v>
      </c>
      <c r="W69" s="300">
        <f t="shared" si="45"/>
        <v>186.92401091268854</v>
      </c>
      <c r="X69" s="300">
        <f t="shared" si="46"/>
        <v>186.92401091268854</v>
      </c>
      <c r="Y69" s="300">
        <f t="shared" si="47"/>
        <v>186.92401091268854</v>
      </c>
      <c r="Z69" s="300">
        <f t="shared" si="48"/>
        <v>747.69604365075418</v>
      </c>
      <c r="AA69" s="295"/>
      <c r="AB69" s="295"/>
      <c r="AC69" s="298">
        <f>'Unit Savings Calculations'!N65</f>
        <v>8.2417994229580488E-2</v>
      </c>
      <c r="AD69" s="295"/>
      <c r="AE69" s="300">
        <f t="shared" si="7"/>
        <v>186.92401091268854</v>
      </c>
      <c r="AF69" s="297">
        <f t="shared" si="8"/>
        <v>0</v>
      </c>
      <c r="AG69" s="295"/>
      <c r="AH69" s="295">
        <f t="shared" si="9"/>
        <v>0</v>
      </c>
      <c r="AI69" s="298">
        <f>'Unit Savings Calculations'!O65</f>
        <v>8.2417994229580488E-2</v>
      </c>
      <c r="AJ69" s="405" t="s">
        <v>879</v>
      </c>
      <c r="AK69" s="300">
        <f t="shared" si="10"/>
        <v>186.92401091268854</v>
      </c>
      <c r="AL69" s="297">
        <f t="shared" si="11"/>
        <v>0</v>
      </c>
      <c r="AM69" s="295"/>
      <c r="AN69" s="295"/>
      <c r="AO69" s="298">
        <f>'Unit Savings Calculations'!P65</f>
        <v>8.2417994229580488E-2</v>
      </c>
      <c r="AP69" s="405" t="s">
        <v>764</v>
      </c>
      <c r="AQ69" s="300">
        <f t="shared" si="12"/>
        <v>186.92401091268854</v>
      </c>
      <c r="AR69" s="297">
        <f t="shared" si="13"/>
        <v>0</v>
      </c>
      <c r="AS69" s="295"/>
      <c r="AT69" s="295"/>
      <c r="AU69" s="298">
        <f>'Unit Savings Calculations'!Q65</f>
        <v>8.2417994229580488E-2</v>
      </c>
      <c r="AV69" s="405" t="str">
        <f t="shared" si="14"/>
        <v>n/a</v>
      </c>
      <c r="AW69" s="300">
        <f t="shared" si="15"/>
        <v>186.92401091268854</v>
      </c>
      <c r="AX69" s="297">
        <f t="shared" si="16"/>
        <v>0</v>
      </c>
      <c r="AY69" s="300">
        <f t="shared" si="17"/>
        <v>186.92401091268854</v>
      </c>
      <c r="AZ69" s="300">
        <f t="shared" si="18"/>
        <v>186.92401091268854</v>
      </c>
      <c r="BA69" s="300">
        <f t="shared" si="19"/>
        <v>186.92401091268854</v>
      </c>
      <c r="BB69" s="300">
        <f t="shared" si="20"/>
        <v>186.92401091268854</v>
      </c>
      <c r="BC69" s="301">
        <f t="shared" si="21"/>
        <v>747.69604365075418</v>
      </c>
      <c r="BD69" s="295" t="s">
        <v>764</v>
      </c>
      <c r="BE69" s="302" t="str">
        <f t="shared" si="22"/>
        <v>Exhibit 1.5A_R North Shore EEPS_Adjustable_Savings_Goal_Template.xlsx, Unit Savings Calculations Tab</v>
      </c>
      <c r="BF69" s="304"/>
    </row>
    <row r="70" spans="1:58" ht="15.75" customHeight="1">
      <c r="A70" s="295" t="str">
        <f>'Unit Savings Calculations'!C66</f>
        <v>Res - SF Rebates</v>
      </c>
      <c r="B70" s="295" t="str">
        <f>'Unit Savings Calculations'!D66</f>
        <v>New Construction 20-25% over IL 2015 Code</v>
      </c>
      <c r="C70" s="296">
        <f t="shared" si="23"/>
        <v>0</v>
      </c>
      <c r="D70" s="295" t="str">
        <f>'Unit Savings Calculations'!T66</f>
        <v>Custom</v>
      </c>
      <c r="E70" s="460">
        <f>INDEX('Unit Savings Calculations'!$H$4:$H$421,MATCH('Measure-Level Adjustments Tab'!$A70&amp;"_"&amp;'Measure-Level Adjustments Tab'!$B70,'Unit Savings Calculations'!$A$4:$A$421,0))</f>
        <v>15</v>
      </c>
      <c r="F70" s="460">
        <f>INDEX('Unit Savings Calculations'!$I$4:$I$421,MATCH('Measure-Level Adjustments Tab'!A70&amp;"_"&amp;'Measure-Level Adjustments Tab'!B70,'Unit Savings Calculations'!$A$4:$A$421,0))</f>
        <v>15</v>
      </c>
      <c r="G70" s="295" t="str">
        <f>'Unit Savings Calculations'!E66</f>
        <v>each</v>
      </c>
      <c r="H70" s="297">
        <f>'Unit Savings Calculations'!$F66*'Unit Savings Calculations'!J66</f>
        <v>0</v>
      </c>
      <c r="I70" s="297">
        <f>'Unit Savings Calculations'!$F66*'Unit Savings Calculations'!K66</f>
        <v>0</v>
      </c>
      <c r="J70" s="297">
        <f>'Unit Savings Calculations'!$F66*'Unit Savings Calculations'!L66</f>
        <v>0</v>
      </c>
      <c r="K70" s="297">
        <f>'Unit Savings Calculations'!$F66*'Unit Savings Calculations'!M66</f>
        <v>0</v>
      </c>
      <c r="L70" s="295" t="str">
        <f>'Unit Savings Calculations'!U66</f>
        <v>Custom</v>
      </c>
      <c r="M70" s="405" t="str">
        <f>'Unit Savings Calculations'!R66</f>
        <v>Custom</v>
      </c>
      <c r="N70" s="298">
        <v>256.5</v>
      </c>
      <c r="O70" s="298">
        <v>256.5</v>
      </c>
      <c r="P70" s="298">
        <v>256.5</v>
      </c>
      <c r="Q70" s="298">
        <v>256.5</v>
      </c>
      <c r="R70" s="299">
        <f>'Unit Savings Calculations'!$G66</f>
        <v>0.65</v>
      </c>
      <c r="S70" s="299">
        <f>'Unit Savings Calculations'!$G66</f>
        <v>0.65</v>
      </c>
      <c r="T70" s="299">
        <f>'Unit Savings Calculations'!$G66</f>
        <v>0.65</v>
      </c>
      <c r="U70" s="299">
        <f>'Unit Savings Calculations'!$G66</f>
        <v>0.65</v>
      </c>
      <c r="V70" s="300">
        <f t="shared" si="44"/>
        <v>0</v>
      </c>
      <c r="W70" s="300">
        <f t="shared" si="45"/>
        <v>0</v>
      </c>
      <c r="X70" s="300">
        <f t="shared" si="46"/>
        <v>0</v>
      </c>
      <c r="Y70" s="300">
        <f t="shared" si="47"/>
        <v>0</v>
      </c>
      <c r="Z70" s="300">
        <f t="shared" si="48"/>
        <v>0</v>
      </c>
      <c r="AA70" s="406"/>
      <c r="AB70" s="406"/>
      <c r="AC70" s="409">
        <f>'Unit Savings Calculations'!N66</f>
        <v>256.5</v>
      </c>
      <c r="AD70" s="406"/>
      <c r="AE70" s="407">
        <f t="shared" si="7"/>
        <v>0</v>
      </c>
      <c r="AF70" s="408">
        <f t="shared" si="8"/>
        <v>0</v>
      </c>
      <c r="AG70" s="406"/>
      <c r="AH70" s="406">
        <f t="shared" si="9"/>
        <v>0</v>
      </c>
      <c r="AI70" s="409">
        <f>'Unit Savings Calculations'!O66</f>
        <v>256.5</v>
      </c>
      <c r="AJ70" s="457" t="s">
        <v>879</v>
      </c>
      <c r="AK70" s="407">
        <f t="shared" si="10"/>
        <v>0</v>
      </c>
      <c r="AL70" s="408">
        <f t="shared" si="11"/>
        <v>0</v>
      </c>
      <c r="AM70" s="406"/>
      <c r="AN70" s="406"/>
      <c r="AO70" s="409">
        <f>'Unit Savings Calculations'!P66</f>
        <v>256.5</v>
      </c>
      <c r="AP70" s="457" t="s">
        <v>764</v>
      </c>
      <c r="AQ70" s="407">
        <f t="shared" si="12"/>
        <v>0</v>
      </c>
      <c r="AR70" s="408">
        <f t="shared" si="13"/>
        <v>0</v>
      </c>
      <c r="AS70" s="406"/>
      <c r="AT70" s="406"/>
      <c r="AU70" s="409">
        <f>'Unit Savings Calculations'!Q66</f>
        <v>256.5</v>
      </c>
      <c r="AV70" s="457" t="str">
        <f t="shared" si="14"/>
        <v>n/a</v>
      </c>
      <c r="AW70" s="407">
        <f t="shared" si="15"/>
        <v>0</v>
      </c>
      <c r="AX70" s="408">
        <f t="shared" si="16"/>
        <v>0</v>
      </c>
      <c r="AY70" s="300">
        <f t="shared" si="17"/>
        <v>0</v>
      </c>
      <c r="AZ70" s="300">
        <f t="shared" si="18"/>
        <v>0</v>
      </c>
      <c r="BA70" s="300">
        <f t="shared" si="19"/>
        <v>0</v>
      </c>
      <c r="BB70" s="300">
        <f t="shared" si="20"/>
        <v>0</v>
      </c>
      <c r="BC70" s="301">
        <f t="shared" si="21"/>
        <v>0</v>
      </c>
      <c r="BD70" s="295" t="s">
        <v>764</v>
      </c>
      <c r="BE70" s="302" t="str">
        <f t="shared" si="22"/>
        <v>Custom</v>
      </c>
      <c r="BF70" s="304"/>
    </row>
    <row r="71" spans="1:58" ht="15.75" customHeight="1">
      <c r="A71" s="295" t="str">
        <f>'Unit Savings Calculations'!C67</f>
        <v>Res - SF Rebates</v>
      </c>
      <c r="B71" s="295" t="str">
        <f>'Unit Savings Calculations'!D67</f>
        <v>New Construction 25-30% over IL 2015 Code</v>
      </c>
      <c r="C71" s="296">
        <f t="shared" si="23"/>
        <v>0</v>
      </c>
      <c r="D71" s="295" t="str">
        <f>'Unit Savings Calculations'!T67</f>
        <v>Custom</v>
      </c>
      <c r="E71" s="460">
        <f>INDEX('Unit Savings Calculations'!$H$4:$H$421,MATCH('Measure-Level Adjustments Tab'!$A71&amp;"_"&amp;'Measure-Level Adjustments Tab'!$B71,'Unit Savings Calculations'!$A$4:$A$421,0))</f>
        <v>15</v>
      </c>
      <c r="F71" s="460">
        <f>INDEX('Unit Savings Calculations'!$I$4:$I$421,MATCH('Measure-Level Adjustments Tab'!A71&amp;"_"&amp;'Measure-Level Adjustments Tab'!B71,'Unit Savings Calculations'!$A$4:$A$421,0))</f>
        <v>15</v>
      </c>
      <c r="G71" s="295" t="str">
        <f>'Unit Savings Calculations'!E67</f>
        <v>each</v>
      </c>
      <c r="H71" s="297">
        <f>'Unit Savings Calculations'!$F67*'Unit Savings Calculations'!J67</f>
        <v>0</v>
      </c>
      <c r="I71" s="297">
        <f>'Unit Savings Calculations'!$F67*'Unit Savings Calculations'!K67</f>
        <v>0</v>
      </c>
      <c r="J71" s="297">
        <f>'Unit Savings Calculations'!$F67*'Unit Savings Calculations'!L67</f>
        <v>0</v>
      </c>
      <c r="K71" s="297">
        <f>'Unit Savings Calculations'!$F67*'Unit Savings Calculations'!M67</f>
        <v>0</v>
      </c>
      <c r="L71" s="295" t="str">
        <f>'Unit Savings Calculations'!U67</f>
        <v>Custom</v>
      </c>
      <c r="M71" s="405" t="str">
        <f>'Unit Savings Calculations'!R67</f>
        <v>Custom</v>
      </c>
      <c r="N71" s="298">
        <v>361</v>
      </c>
      <c r="O71" s="298">
        <v>361</v>
      </c>
      <c r="P71" s="298">
        <v>361</v>
      </c>
      <c r="Q71" s="298">
        <v>361</v>
      </c>
      <c r="R71" s="299">
        <f>'Unit Savings Calculations'!$G67</f>
        <v>0.65</v>
      </c>
      <c r="S71" s="299">
        <f>'Unit Savings Calculations'!$G67</f>
        <v>0.65</v>
      </c>
      <c r="T71" s="299">
        <f>'Unit Savings Calculations'!$G67</f>
        <v>0.65</v>
      </c>
      <c r="U71" s="299">
        <f>'Unit Savings Calculations'!$G67</f>
        <v>0.65</v>
      </c>
      <c r="V71" s="300">
        <f t="shared" si="44"/>
        <v>0</v>
      </c>
      <c r="W71" s="300">
        <f t="shared" si="45"/>
        <v>0</v>
      </c>
      <c r="X71" s="300">
        <f t="shared" si="46"/>
        <v>0</v>
      </c>
      <c r="Y71" s="300">
        <f t="shared" si="47"/>
        <v>0</v>
      </c>
      <c r="Z71" s="300">
        <f t="shared" si="48"/>
        <v>0</v>
      </c>
      <c r="AA71" s="406"/>
      <c r="AB71" s="406"/>
      <c r="AC71" s="409">
        <f>'Unit Savings Calculations'!N67</f>
        <v>361</v>
      </c>
      <c r="AD71" s="406"/>
      <c r="AE71" s="407">
        <f t="shared" si="7"/>
        <v>0</v>
      </c>
      <c r="AF71" s="408">
        <f t="shared" si="8"/>
        <v>0</v>
      </c>
      <c r="AG71" s="406"/>
      <c r="AH71" s="406">
        <f t="shared" si="9"/>
        <v>0</v>
      </c>
      <c r="AI71" s="409">
        <f>'Unit Savings Calculations'!O67</f>
        <v>361</v>
      </c>
      <c r="AJ71" s="457" t="s">
        <v>879</v>
      </c>
      <c r="AK71" s="407">
        <f t="shared" si="10"/>
        <v>0</v>
      </c>
      <c r="AL71" s="408">
        <f t="shared" si="11"/>
        <v>0</v>
      </c>
      <c r="AM71" s="406"/>
      <c r="AN71" s="406"/>
      <c r="AO71" s="409">
        <f>'Unit Savings Calculations'!P67</f>
        <v>361</v>
      </c>
      <c r="AP71" s="457" t="s">
        <v>764</v>
      </c>
      <c r="AQ71" s="407">
        <f t="shared" si="12"/>
        <v>0</v>
      </c>
      <c r="AR71" s="408">
        <f t="shared" si="13"/>
        <v>0</v>
      </c>
      <c r="AS71" s="406"/>
      <c r="AT71" s="406"/>
      <c r="AU71" s="409">
        <f>'Unit Savings Calculations'!Q67</f>
        <v>361</v>
      </c>
      <c r="AV71" s="457" t="str">
        <f t="shared" si="14"/>
        <v>n/a</v>
      </c>
      <c r="AW71" s="407">
        <f t="shared" si="15"/>
        <v>0</v>
      </c>
      <c r="AX71" s="408">
        <f t="shared" si="16"/>
        <v>0</v>
      </c>
      <c r="AY71" s="300">
        <f t="shared" si="17"/>
        <v>0</v>
      </c>
      <c r="AZ71" s="300">
        <f t="shared" si="18"/>
        <v>0</v>
      </c>
      <c r="BA71" s="300">
        <f t="shared" si="19"/>
        <v>0</v>
      </c>
      <c r="BB71" s="300">
        <f t="shared" si="20"/>
        <v>0</v>
      </c>
      <c r="BC71" s="301">
        <f t="shared" si="21"/>
        <v>0</v>
      </c>
      <c r="BD71" s="295" t="s">
        <v>764</v>
      </c>
      <c r="BE71" s="302" t="str">
        <f t="shared" si="22"/>
        <v>Custom</v>
      </c>
      <c r="BF71" s="304"/>
    </row>
    <row r="72" spans="1:58" ht="15.75" customHeight="1">
      <c r="A72" s="295" t="str">
        <f>'Unit Savings Calculations'!C68</f>
        <v>Res - SF Rebates</v>
      </c>
      <c r="B72" s="295" t="str">
        <f>'Unit Savings Calculations'!D68</f>
        <v>New Construction 30-40% over IL 2015 Code</v>
      </c>
      <c r="C72" s="296">
        <f t="shared" si="23"/>
        <v>0</v>
      </c>
      <c r="D72" s="295" t="str">
        <f>'Unit Savings Calculations'!T68</f>
        <v>Custom</v>
      </c>
      <c r="E72" s="460">
        <f>INDEX('Unit Savings Calculations'!$H$4:$H$421,MATCH('Measure-Level Adjustments Tab'!$A72&amp;"_"&amp;'Measure-Level Adjustments Tab'!$B72,'Unit Savings Calculations'!$A$4:$A$421,0))</f>
        <v>15</v>
      </c>
      <c r="F72" s="460">
        <f>INDEX('Unit Savings Calculations'!$I$4:$I$421,MATCH('Measure-Level Adjustments Tab'!A72&amp;"_"&amp;'Measure-Level Adjustments Tab'!B72,'Unit Savings Calculations'!$A$4:$A$421,0))</f>
        <v>15</v>
      </c>
      <c r="G72" s="295" t="str">
        <f>'Unit Savings Calculations'!E68</f>
        <v>each</v>
      </c>
      <c r="H72" s="297">
        <f>'Unit Savings Calculations'!$F68*'Unit Savings Calculations'!J68</f>
        <v>0</v>
      </c>
      <c r="I72" s="297">
        <f>'Unit Savings Calculations'!$F68*'Unit Savings Calculations'!K68</f>
        <v>0</v>
      </c>
      <c r="J72" s="297">
        <f>'Unit Savings Calculations'!$F68*'Unit Savings Calculations'!L68</f>
        <v>0</v>
      </c>
      <c r="K72" s="297">
        <f>'Unit Savings Calculations'!$F68*'Unit Savings Calculations'!M68</f>
        <v>0</v>
      </c>
      <c r="L72" s="295" t="str">
        <f>'Unit Savings Calculations'!U68</f>
        <v>Custom</v>
      </c>
      <c r="M72" s="405" t="str">
        <f>'Unit Savings Calculations'!R68</f>
        <v>Custom</v>
      </c>
      <c r="N72" s="298">
        <v>475</v>
      </c>
      <c r="O72" s="298">
        <v>475</v>
      </c>
      <c r="P72" s="298">
        <v>475</v>
      </c>
      <c r="Q72" s="298">
        <v>475</v>
      </c>
      <c r="R72" s="299">
        <f>'Unit Savings Calculations'!$G68</f>
        <v>0.65</v>
      </c>
      <c r="S72" s="299">
        <f>'Unit Savings Calculations'!$G68</f>
        <v>0.65</v>
      </c>
      <c r="T72" s="299">
        <f>'Unit Savings Calculations'!$G68</f>
        <v>0.65</v>
      </c>
      <c r="U72" s="299">
        <f>'Unit Savings Calculations'!$G68</f>
        <v>0.65</v>
      </c>
      <c r="V72" s="300">
        <f t="shared" si="44"/>
        <v>0</v>
      </c>
      <c r="W72" s="300">
        <f t="shared" si="45"/>
        <v>0</v>
      </c>
      <c r="X72" s="300">
        <f t="shared" si="46"/>
        <v>0</v>
      </c>
      <c r="Y72" s="300">
        <f t="shared" si="47"/>
        <v>0</v>
      </c>
      <c r="Z72" s="300">
        <f t="shared" si="48"/>
        <v>0</v>
      </c>
      <c r="AA72" s="406"/>
      <c r="AB72" s="406"/>
      <c r="AC72" s="409">
        <f>'Unit Savings Calculations'!N68</f>
        <v>475</v>
      </c>
      <c r="AD72" s="406"/>
      <c r="AE72" s="407">
        <f t="shared" si="7"/>
        <v>0</v>
      </c>
      <c r="AF72" s="408">
        <f t="shared" si="8"/>
        <v>0</v>
      </c>
      <c r="AG72" s="406"/>
      <c r="AH72" s="406">
        <f t="shared" si="9"/>
        <v>0</v>
      </c>
      <c r="AI72" s="409">
        <f>'Unit Savings Calculations'!O68</f>
        <v>475</v>
      </c>
      <c r="AJ72" s="457" t="s">
        <v>879</v>
      </c>
      <c r="AK72" s="407">
        <f t="shared" si="10"/>
        <v>0</v>
      </c>
      <c r="AL72" s="408">
        <f t="shared" si="11"/>
        <v>0</v>
      </c>
      <c r="AM72" s="406"/>
      <c r="AN72" s="406"/>
      <c r="AO72" s="409">
        <f>'Unit Savings Calculations'!P68</f>
        <v>475</v>
      </c>
      <c r="AP72" s="457" t="s">
        <v>764</v>
      </c>
      <c r="AQ72" s="407">
        <f t="shared" si="12"/>
        <v>0</v>
      </c>
      <c r="AR72" s="408">
        <f t="shared" si="13"/>
        <v>0</v>
      </c>
      <c r="AS72" s="406"/>
      <c r="AT72" s="406"/>
      <c r="AU72" s="409">
        <f>'Unit Savings Calculations'!Q68</f>
        <v>475</v>
      </c>
      <c r="AV72" s="457" t="str">
        <f t="shared" si="14"/>
        <v>n/a</v>
      </c>
      <c r="AW72" s="407">
        <f t="shared" si="15"/>
        <v>0</v>
      </c>
      <c r="AX72" s="408">
        <f t="shared" si="16"/>
        <v>0</v>
      </c>
      <c r="AY72" s="300">
        <f t="shared" si="17"/>
        <v>0</v>
      </c>
      <c r="AZ72" s="300">
        <f t="shared" si="18"/>
        <v>0</v>
      </c>
      <c r="BA72" s="300">
        <f t="shared" si="19"/>
        <v>0</v>
      </c>
      <c r="BB72" s="300">
        <f t="shared" si="20"/>
        <v>0</v>
      </c>
      <c r="BC72" s="301">
        <f t="shared" si="21"/>
        <v>0</v>
      </c>
      <c r="BD72" s="295" t="s">
        <v>764</v>
      </c>
      <c r="BE72" s="302" t="str">
        <f t="shared" si="22"/>
        <v>Custom</v>
      </c>
      <c r="BF72" s="304"/>
    </row>
    <row r="73" spans="1:58" ht="15.75" customHeight="1">
      <c r="A73" s="295" t="str">
        <f>'Unit Savings Calculations'!C69</f>
        <v>Res - SF Rebates</v>
      </c>
      <c r="B73" s="295" t="str">
        <f>'Unit Savings Calculations'!D69</f>
        <v>New Construction ≥40% over IL 2015 Code</v>
      </c>
      <c r="C73" s="296">
        <f t="shared" si="23"/>
        <v>0</v>
      </c>
      <c r="D73" s="295" t="str">
        <f>'Unit Savings Calculations'!T69</f>
        <v>Custom</v>
      </c>
      <c r="E73" s="460">
        <f>INDEX('Unit Savings Calculations'!$H$4:$H$421,MATCH('Measure-Level Adjustments Tab'!$A73&amp;"_"&amp;'Measure-Level Adjustments Tab'!$B73,'Unit Savings Calculations'!$A$4:$A$421,0))</f>
        <v>15</v>
      </c>
      <c r="F73" s="460">
        <f>INDEX('Unit Savings Calculations'!$I$4:$I$421,MATCH('Measure-Level Adjustments Tab'!A73&amp;"_"&amp;'Measure-Level Adjustments Tab'!B73,'Unit Savings Calculations'!$A$4:$A$421,0))</f>
        <v>15</v>
      </c>
      <c r="G73" s="295" t="str">
        <f>'Unit Savings Calculations'!E69</f>
        <v>each</v>
      </c>
      <c r="H73" s="297">
        <f>'Unit Savings Calculations'!$F69*'Unit Savings Calculations'!J69</f>
        <v>0</v>
      </c>
      <c r="I73" s="297">
        <f>'Unit Savings Calculations'!$F69*'Unit Savings Calculations'!K69</f>
        <v>0</v>
      </c>
      <c r="J73" s="297">
        <f>'Unit Savings Calculations'!$F69*'Unit Savings Calculations'!L69</f>
        <v>0</v>
      </c>
      <c r="K73" s="297">
        <f>'Unit Savings Calculations'!$F69*'Unit Savings Calculations'!M69</f>
        <v>0</v>
      </c>
      <c r="L73" s="295" t="str">
        <f>'Unit Savings Calculations'!U69</f>
        <v>Custom</v>
      </c>
      <c r="M73" s="405" t="str">
        <f>'Unit Savings Calculations'!R69</f>
        <v>Custom</v>
      </c>
      <c r="N73" s="298">
        <v>798</v>
      </c>
      <c r="O73" s="298">
        <v>798</v>
      </c>
      <c r="P73" s="298">
        <v>798</v>
      </c>
      <c r="Q73" s="298">
        <v>798</v>
      </c>
      <c r="R73" s="299">
        <f>'Unit Savings Calculations'!$G69</f>
        <v>0.65</v>
      </c>
      <c r="S73" s="299">
        <f>'Unit Savings Calculations'!$G69</f>
        <v>0.65</v>
      </c>
      <c r="T73" s="299">
        <f>'Unit Savings Calculations'!$G69</f>
        <v>0.65</v>
      </c>
      <c r="U73" s="299">
        <f>'Unit Savings Calculations'!$G69</f>
        <v>0.65</v>
      </c>
      <c r="V73" s="300">
        <f t="shared" si="44"/>
        <v>0</v>
      </c>
      <c r="W73" s="300">
        <f t="shared" si="45"/>
        <v>0</v>
      </c>
      <c r="X73" s="300">
        <f t="shared" si="46"/>
        <v>0</v>
      </c>
      <c r="Y73" s="300">
        <f t="shared" si="47"/>
        <v>0</v>
      </c>
      <c r="Z73" s="300">
        <f t="shared" si="48"/>
        <v>0</v>
      </c>
      <c r="AA73" s="406"/>
      <c r="AB73" s="406"/>
      <c r="AC73" s="409">
        <f>'Unit Savings Calculations'!N69</f>
        <v>798</v>
      </c>
      <c r="AD73" s="406"/>
      <c r="AE73" s="407">
        <f t="shared" ref="AE73:AE136" si="49">H73*AC73*R73</f>
        <v>0</v>
      </c>
      <c r="AF73" s="408">
        <f t="shared" ref="AF73:AF136" si="50">AE73-V73</f>
        <v>0</v>
      </c>
      <c r="AG73" s="406"/>
      <c r="AH73" s="406">
        <f t="shared" ref="AH73:AH136" si="51">AB73</f>
        <v>0</v>
      </c>
      <c r="AI73" s="409">
        <f>'Unit Savings Calculations'!O69</f>
        <v>798</v>
      </c>
      <c r="AJ73" s="457" t="s">
        <v>879</v>
      </c>
      <c r="AK73" s="407">
        <f t="shared" ref="AK73:AK136" si="52">I73*AI73*S73</f>
        <v>0</v>
      </c>
      <c r="AL73" s="408">
        <f t="shared" ref="AL73:AL136" si="53">AK73-W73</f>
        <v>0</v>
      </c>
      <c r="AM73" s="406"/>
      <c r="AN73" s="406"/>
      <c r="AO73" s="409">
        <f>'Unit Savings Calculations'!P69</f>
        <v>798</v>
      </c>
      <c r="AP73" s="457" t="s">
        <v>764</v>
      </c>
      <c r="AQ73" s="407">
        <f t="shared" ref="AQ73:AQ136" si="54">J73*AO73*T73</f>
        <v>0</v>
      </c>
      <c r="AR73" s="408">
        <f t="shared" ref="AR73:AR136" si="55">AQ73-X73</f>
        <v>0</v>
      </c>
      <c r="AS73" s="406"/>
      <c r="AT73" s="406"/>
      <c r="AU73" s="409">
        <f>'Unit Savings Calculations'!Q69</f>
        <v>798</v>
      </c>
      <c r="AV73" s="457" t="str">
        <f t="shared" ref="AV73:AV136" si="56">AP73</f>
        <v>n/a</v>
      </c>
      <c r="AW73" s="407">
        <f t="shared" ref="AW73:AW136" si="57">K73*AU73*U73</f>
        <v>0</v>
      </c>
      <c r="AX73" s="408">
        <f t="shared" ref="AX73:AX136" si="58">AW73-Y73</f>
        <v>0</v>
      </c>
      <c r="AY73" s="300">
        <f t="shared" ref="AY73:AY136" si="59">IF(C73=1,AE73,V73)</f>
        <v>0</v>
      </c>
      <c r="AZ73" s="300">
        <f t="shared" ref="AZ73:AZ136" si="60">IF(C73=1,AK73,W73)</f>
        <v>0</v>
      </c>
      <c r="BA73" s="300">
        <f t="shared" ref="BA73:BA136" si="61">IF(C73=1,AQ73,X73)</f>
        <v>0</v>
      </c>
      <c r="BB73" s="300">
        <f t="shared" ref="BB73:BB136" si="62">IF(C73=1,AW73,Y73)</f>
        <v>0</v>
      </c>
      <c r="BC73" s="301">
        <f t="shared" ref="BC73:BC136" si="63">AY73+AZ73+BA73+BB73</f>
        <v>0</v>
      </c>
      <c r="BD73" s="295" t="s">
        <v>764</v>
      </c>
      <c r="BE73" s="302" t="str">
        <f t="shared" ref="BE73:BE136" si="64">M73</f>
        <v>Custom</v>
      </c>
      <c r="BF73" s="304"/>
    </row>
    <row r="74" spans="1:58" ht="15.75" customHeight="1">
      <c r="A74" s="295" t="str">
        <f>'Unit Savings Calculations'!C70</f>
        <v>Res - MF Standard Rebates</v>
      </c>
      <c r="B74" s="295" t="str">
        <f>'Unit Savings Calculations'!D70</f>
        <v>Boiler ≥88% AFUE, &lt;300MBh</v>
      </c>
      <c r="C74" s="296">
        <f t="shared" ref="C74:C86" si="65">IF(D74="Custom",0,1)</f>
        <v>1</v>
      </c>
      <c r="D74" s="295" t="str">
        <f>'Unit Savings Calculations'!T70</f>
        <v>4.4.10</v>
      </c>
      <c r="E74" s="460">
        <f>INDEX('Unit Savings Calculations'!$H$4:$H$421,MATCH('Measure-Level Adjustments Tab'!$A74&amp;"_"&amp;'Measure-Level Adjustments Tab'!$B74,'Unit Savings Calculations'!$A$4:$A$421,0))</f>
        <v>20</v>
      </c>
      <c r="F74" s="460">
        <f>INDEX('Unit Savings Calculations'!$I$4:$I$421,MATCH('Measure-Level Adjustments Tab'!A74&amp;"_"&amp;'Measure-Level Adjustments Tab'!B74,'Unit Savings Calculations'!$A$4:$A$421,0))</f>
        <v>20</v>
      </c>
      <c r="G74" s="295" t="str">
        <f>'Unit Savings Calculations'!E70</f>
        <v>MBH</v>
      </c>
      <c r="H74" s="297">
        <f>'Unit Savings Calculations'!$F70*'Unit Savings Calculations'!J70</f>
        <v>0</v>
      </c>
      <c r="I74" s="297">
        <f>'Unit Savings Calculations'!$F70*'Unit Savings Calculations'!K70</f>
        <v>0</v>
      </c>
      <c r="J74" s="297">
        <f>'Unit Savings Calculations'!$F70*'Unit Savings Calculations'!L70</f>
        <v>0</v>
      </c>
      <c r="K74" s="297">
        <f>'Unit Savings Calculations'!$F70*'Unit Savings Calculations'!M70</f>
        <v>0</v>
      </c>
      <c r="L74" s="295" t="str">
        <f>'Unit Savings Calculations'!U70</f>
        <v>CI-HVC-BOIL-V05-150601</v>
      </c>
      <c r="M74" s="405" t="str">
        <f>'Unit Savings Calculations'!R70</f>
        <v>Exhibit 1.5A_R North Shore EEPS_Adjustable_Savings_Goal_Template.xlsx, Unit Savings Calculations Tab</v>
      </c>
      <c r="N74" s="298">
        <v>1.2329268292682938</v>
      </c>
      <c r="O74" s="298">
        <v>1.2329268292682938</v>
      </c>
      <c r="P74" s="298">
        <v>1.2329268292682938</v>
      </c>
      <c r="Q74" s="298">
        <v>1.2329268292682938</v>
      </c>
      <c r="R74" s="299">
        <f>'Unit Savings Calculations'!$G70</f>
        <v>0.76</v>
      </c>
      <c r="S74" s="299">
        <f>'Unit Savings Calculations'!$G70</f>
        <v>0.76</v>
      </c>
      <c r="T74" s="299">
        <f>'Unit Savings Calculations'!$G70</f>
        <v>0.76</v>
      </c>
      <c r="U74" s="299">
        <f>'Unit Savings Calculations'!$G70</f>
        <v>0.76</v>
      </c>
      <c r="V74" s="300">
        <f t="shared" si="44"/>
        <v>0</v>
      </c>
      <c r="W74" s="300">
        <f t="shared" si="45"/>
        <v>0</v>
      </c>
      <c r="X74" s="300">
        <f t="shared" si="46"/>
        <v>0</v>
      </c>
      <c r="Y74" s="300">
        <f t="shared" si="47"/>
        <v>0</v>
      </c>
      <c r="Z74" s="300">
        <f t="shared" si="48"/>
        <v>0</v>
      </c>
      <c r="AA74" s="295"/>
      <c r="AB74" s="295"/>
      <c r="AC74" s="298">
        <f>'Unit Savings Calculations'!N70</f>
        <v>1.3039024390243914</v>
      </c>
      <c r="AD74" s="295"/>
      <c r="AE74" s="300">
        <f t="shared" si="49"/>
        <v>0</v>
      </c>
      <c r="AF74" s="297">
        <f t="shared" si="50"/>
        <v>0</v>
      </c>
      <c r="AG74" s="295"/>
      <c r="AH74" s="295">
        <f t="shared" si="51"/>
        <v>0</v>
      </c>
      <c r="AI74" s="298">
        <f>'Unit Savings Calculations'!O70</f>
        <v>1.3039024390243914</v>
      </c>
      <c r="AJ74" s="405" t="s">
        <v>879</v>
      </c>
      <c r="AK74" s="300">
        <f t="shared" si="52"/>
        <v>0</v>
      </c>
      <c r="AL74" s="297">
        <f t="shared" si="53"/>
        <v>0</v>
      </c>
      <c r="AM74" s="295"/>
      <c r="AN74" s="295"/>
      <c r="AO74" s="298">
        <f>'Unit Savings Calculations'!P70</f>
        <v>1.3039024390243914</v>
      </c>
      <c r="AP74" s="405" t="s">
        <v>1443</v>
      </c>
      <c r="AQ74" s="300">
        <f t="shared" si="54"/>
        <v>0</v>
      </c>
      <c r="AR74" s="297">
        <f t="shared" si="55"/>
        <v>0</v>
      </c>
      <c r="AS74" s="295"/>
      <c r="AT74" s="295"/>
      <c r="AU74" s="298">
        <f>'Unit Savings Calculations'!Q70</f>
        <v>1.3039024390243914</v>
      </c>
      <c r="AV74" s="405" t="str">
        <f t="shared" si="56"/>
        <v>Updated heating EFLH</v>
      </c>
      <c r="AW74" s="300">
        <f t="shared" si="57"/>
        <v>0</v>
      </c>
      <c r="AX74" s="297">
        <f t="shared" si="58"/>
        <v>0</v>
      </c>
      <c r="AY74" s="300">
        <f t="shared" si="59"/>
        <v>0</v>
      </c>
      <c r="AZ74" s="300">
        <f t="shared" si="60"/>
        <v>0</v>
      </c>
      <c r="BA74" s="300">
        <f t="shared" si="61"/>
        <v>0</v>
      </c>
      <c r="BB74" s="300">
        <f t="shared" si="62"/>
        <v>0</v>
      </c>
      <c r="BC74" s="301">
        <f t="shared" si="63"/>
        <v>0</v>
      </c>
      <c r="BD74" s="295" t="s">
        <v>764</v>
      </c>
      <c r="BE74" s="302" t="str">
        <f t="shared" si="64"/>
        <v>Exhibit 1.5A_R North Shore EEPS_Adjustable_Savings_Goal_Template.xlsx, Unit Savings Calculations Tab</v>
      </c>
      <c r="BF74" s="304"/>
    </row>
    <row r="75" spans="1:58" ht="15.75" customHeight="1">
      <c r="A75" s="295" t="str">
        <f>'Unit Savings Calculations'!C71</f>
        <v>Res - MF Standard Rebates</v>
      </c>
      <c r="B75" s="295" t="str">
        <f>'Unit Savings Calculations'!D71</f>
        <v>Boiler ≥88% AFUE, ≥300MBh TE</v>
      </c>
      <c r="C75" s="296">
        <f t="shared" si="65"/>
        <v>1</v>
      </c>
      <c r="D75" s="295" t="str">
        <f>'Unit Savings Calculations'!T71</f>
        <v>4.4.10</v>
      </c>
      <c r="E75" s="460">
        <f>INDEX('Unit Savings Calculations'!$H$4:$H$421,MATCH('Measure-Level Adjustments Tab'!$A75&amp;"_"&amp;'Measure-Level Adjustments Tab'!$B75,'Unit Savings Calculations'!$A$4:$A$421,0))</f>
        <v>20</v>
      </c>
      <c r="F75" s="460">
        <f>INDEX('Unit Savings Calculations'!$I$4:$I$421,MATCH('Measure-Level Adjustments Tab'!A75&amp;"_"&amp;'Measure-Level Adjustments Tab'!B75,'Unit Savings Calculations'!$A$4:$A$421,0))</f>
        <v>20</v>
      </c>
      <c r="G75" s="295" t="str">
        <f>'Unit Savings Calculations'!E71</f>
        <v>MBH</v>
      </c>
      <c r="H75" s="297">
        <f>'Unit Savings Calculations'!$F71*'Unit Savings Calculations'!J71</f>
        <v>0</v>
      </c>
      <c r="I75" s="297">
        <f>'Unit Savings Calculations'!$F71*'Unit Savings Calculations'!K71</f>
        <v>0</v>
      </c>
      <c r="J75" s="297">
        <f>'Unit Savings Calculations'!$F71*'Unit Savings Calculations'!L71</f>
        <v>0</v>
      </c>
      <c r="K75" s="297">
        <f>'Unit Savings Calculations'!$F71*'Unit Savings Calculations'!M71</f>
        <v>0</v>
      </c>
      <c r="L75" s="295" t="str">
        <f>'Unit Savings Calculations'!U71</f>
        <v>CI-HVC-BOIL-V05-150601</v>
      </c>
      <c r="M75" s="405" t="str">
        <f>'Unit Savings Calculations'!R71</f>
        <v>Exhibit 1.5A_R North Shore EEPS_Adjustable_Savings_Goal_Template.xlsx, Unit Savings Calculations Tab</v>
      </c>
      <c r="N75" s="298">
        <v>1.6849999999999989</v>
      </c>
      <c r="O75" s="298">
        <v>1.6849999999999989</v>
      </c>
      <c r="P75" s="298">
        <v>1.6849999999999989</v>
      </c>
      <c r="Q75" s="298">
        <v>1.6849999999999989</v>
      </c>
      <c r="R75" s="299">
        <f>'Unit Savings Calculations'!$G71</f>
        <v>0.76</v>
      </c>
      <c r="S75" s="299">
        <f>'Unit Savings Calculations'!$G71</f>
        <v>0.76</v>
      </c>
      <c r="T75" s="299">
        <f>'Unit Savings Calculations'!$G71</f>
        <v>0.76</v>
      </c>
      <c r="U75" s="299">
        <f>'Unit Savings Calculations'!$G71</f>
        <v>0.76</v>
      </c>
      <c r="V75" s="300">
        <f t="shared" si="44"/>
        <v>0</v>
      </c>
      <c r="W75" s="300">
        <f t="shared" si="45"/>
        <v>0</v>
      </c>
      <c r="X75" s="300">
        <f t="shared" si="46"/>
        <v>0</v>
      </c>
      <c r="Y75" s="300">
        <f t="shared" si="47"/>
        <v>0</v>
      </c>
      <c r="Z75" s="300">
        <f t="shared" si="48"/>
        <v>0</v>
      </c>
      <c r="AA75" s="295"/>
      <c r="AB75" s="295"/>
      <c r="AC75" s="298">
        <f>'Unit Savings Calculations'!N71</f>
        <v>1.7819999999999991</v>
      </c>
      <c r="AD75" s="295"/>
      <c r="AE75" s="300">
        <f t="shared" si="49"/>
        <v>0</v>
      </c>
      <c r="AF75" s="297">
        <f t="shared" si="50"/>
        <v>0</v>
      </c>
      <c r="AG75" s="295"/>
      <c r="AH75" s="295">
        <f t="shared" si="51"/>
        <v>0</v>
      </c>
      <c r="AI75" s="298">
        <f>'Unit Savings Calculations'!O71</f>
        <v>1.7819999999999991</v>
      </c>
      <c r="AJ75" s="405" t="s">
        <v>879</v>
      </c>
      <c r="AK75" s="300">
        <f t="shared" si="52"/>
        <v>0</v>
      </c>
      <c r="AL75" s="297">
        <f t="shared" si="53"/>
        <v>0</v>
      </c>
      <c r="AM75" s="295"/>
      <c r="AN75" s="295"/>
      <c r="AO75" s="298">
        <f>'Unit Savings Calculations'!P71</f>
        <v>1.7819999999999991</v>
      </c>
      <c r="AP75" s="405" t="s">
        <v>1443</v>
      </c>
      <c r="AQ75" s="300">
        <f t="shared" si="54"/>
        <v>0</v>
      </c>
      <c r="AR75" s="297">
        <f t="shared" si="55"/>
        <v>0</v>
      </c>
      <c r="AS75" s="295"/>
      <c r="AT75" s="295"/>
      <c r="AU75" s="298">
        <f>'Unit Savings Calculations'!Q71</f>
        <v>1.7819999999999991</v>
      </c>
      <c r="AV75" s="405" t="str">
        <f t="shared" si="56"/>
        <v>Updated heating EFLH</v>
      </c>
      <c r="AW75" s="300">
        <f t="shared" si="57"/>
        <v>0</v>
      </c>
      <c r="AX75" s="297">
        <f t="shared" si="58"/>
        <v>0</v>
      </c>
      <c r="AY75" s="300">
        <f t="shared" si="59"/>
        <v>0</v>
      </c>
      <c r="AZ75" s="300">
        <f t="shared" si="60"/>
        <v>0</v>
      </c>
      <c r="BA75" s="300">
        <f t="shared" si="61"/>
        <v>0</v>
      </c>
      <c r="BB75" s="300">
        <f t="shared" si="62"/>
        <v>0</v>
      </c>
      <c r="BC75" s="301">
        <f t="shared" si="63"/>
        <v>0</v>
      </c>
      <c r="BD75" s="295" t="s">
        <v>764</v>
      </c>
      <c r="BE75" s="302" t="str">
        <f t="shared" si="64"/>
        <v>Exhibit 1.5A_R North Shore EEPS_Adjustable_Savings_Goal_Template.xlsx, Unit Savings Calculations Tab</v>
      </c>
      <c r="BF75" s="304"/>
    </row>
    <row r="76" spans="1:58" ht="15.75" customHeight="1">
      <c r="A76" s="295" t="str">
        <f>'Unit Savings Calculations'!C72</f>
        <v>Res - MF Standard Rebates</v>
      </c>
      <c r="B76" s="295" t="str">
        <f>'Unit Savings Calculations'!D72</f>
        <v>Boiler Reset Controls</v>
      </c>
      <c r="C76" s="296">
        <f t="shared" si="65"/>
        <v>1</v>
      </c>
      <c r="D76" s="295" t="str">
        <f>'Unit Savings Calculations'!T72</f>
        <v>4.4.4</v>
      </c>
      <c r="E76" s="460">
        <f>INDEX('Unit Savings Calculations'!$H$4:$H$421,MATCH('Measure-Level Adjustments Tab'!$A76&amp;"_"&amp;'Measure-Level Adjustments Tab'!$B76,'Unit Savings Calculations'!$A$4:$A$421,0))</f>
        <v>20</v>
      </c>
      <c r="F76" s="460">
        <f>INDEX('Unit Savings Calculations'!$I$4:$I$421,MATCH('Measure-Level Adjustments Tab'!A76&amp;"_"&amp;'Measure-Level Adjustments Tab'!B76,'Unit Savings Calculations'!$A$4:$A$421,0))</f>
        <v>20</v>
      </c>
      <c r="G76" s="295" t="str">
        <f>'Unit Savings Calculations'!E72</f>
        <v>MBH</v>
      </c>
      <c r="H76" s="297">
        <f>'Unit Savings Calculations'!$F72*'Unit Savings Calculations'!J72</f>
        <v>0</v>
      </c>
      <c r="I76" s="297">
        <f>'Unit Savings Calculations'!$F72*'Unit Savings Calculations'!K72</f>
        <v>0</v>
      </c>
      <c r="J76" s="297">
        <f>'Unit Savings Calculations'!$F72*'Unit Savings Calculations'!L72</f>
        <v>0</v>
      </c>
      <c r="K76" s="297">
        <f>'Unit Savings Calculations'!$F72*'Unit Savings Calculations'!M72</f>
        <v>0</v>
      </c>
      <c r="L76" s="295" t="str">
        <f>'Unit Savings Calculations'!U72</f>
        <v>CI-HVC-BLRC-V03-150601</v>
      </c>
      <c r="M76" s="405" t="str">
        <f>'Unit Savings Calculations'!R72</f>
        <v>Exhibit 1.5A_R North Shore EEPS_Adjustable_Savings_Goal_Template.xlsx, Unit Savings Calculations Tab</v>
      </c>
      <c r="N76" s="298">
        <v>1.3480000000000001</v>
      </c>
      <c r="O76" s="298">
        <v>1.3480000000000001</v>
      </c>
      <c r="P76" s="298">
        <v>1.3480000000000001</v>
      </c>
      <c r="Q76" s="298">
        <v>1.3480000000000001</v>
      </c>
      <c r="R76" s="299">
        <f>'Unit Savings Calculations'!$G72</f>
        <v>0.76</v>
      </c>
      <c r="S76" s="299">
        <f>'Unit Savings Calculations'!$G72</f>
        <v>0.76</v>
      </c>
      <c r="T76" s="299">
        <f>'Unit Savings Calculations'!$G72</f>
        <v>0.76</v>
      </c>
      <c r="U76" s="299">
        <f>'Unit Savings Calculations'!$G72</f>
        <v>0.76</v>
      </c>
      <c r="V76" s="300">
        <f t="shared" si="44"/>
        <v>0</v>
      </c>
      <c r="W76" s="300">
        <f t="shared" si="45"/>
        <v>0</v>
      </c>
      <c r="X76" s="300">
        <f t="shared" si="46"/>
        <v>0</v>
      </c>
      <c r="Y76" s="300">
        <f t="shared" si="47"/>
        <v>0</v>
      </c>
      <c r="Z76" s="300">
        <f t="shared" si="48"/>
        <v>0</v>
      </c>
      <c r="AA76" s="295"/>
      <c r="AB76" s="295"/>
      <c r="AC76" s="298">
        <f>'Unit Savings Calculations'!N72</f>
        <v>1.4256</v>
      </c>
      <c r="AD76" s="295"/>
      <c r="AE76" s="300">
        <f t="shared" si="49"/>
        <v>0</v>
      </c>
      <c r="AF76" s="297">
        <f t="shared" si="50"/>
        <v>0</v>
      </c>
      <c r="AG76" s="295"/>
      <c r="AH76" s="295">
        <f t="shared" si="51"/>
        <v>0</v>
      </c>
      <c r="AI76" s="298">
        <f>'Unit Savings Calculations'!O72</f>
        <v>1.4256</v>
      </c>
      <c r="AJ76" s="405" t="s">
        <v>879</v>
      </c>
      <c r="AK76" s="300">
        <f t="shared" si="52"/>
        <v>0</v>
      </c>
      <c r="AL76" s="297">
        <f t="shared" si="53"/>
        <v>0</v>
      </c>
      <c r="AM76" s="295"/>
      <c r="AN76" s="295"/>
      <c r="AO76" s="298">
        <f>'Unit Savings Calculations'!P72</f>
        <v>1.4256</v>
      </c>
      <c r="AP76" s="405" t="s">
        <v>1443</v>
      </c>
      <c r="AQ76" s="300">
        <f t="shared" si="54"/>
        <v>0</v>
      </c>
      <c r="AR76" s="297">
        <f t="shared" si="55"/>
        <v>0</v>
      </c>
      <c r="AS76" s="295"/>
      <c r="AT76" s="295"/>
      <c r="AU76" s="298">
        <f>'Unit Savings Calculations'!Q72</f>
        <v>1.4256</v>
      </c>
      <c r="AV76" s="405" t="str">
        <f t="shared" si="56"/>
        <v>Updated heating EFLH</v>
      </c>
      <c r="AW76" s="300">
        <f t="shared" si="57"/>
        <v>0</v>
      </c>
      <c r="AX76" s="297">
        <f t="shared" si="58"/>
        <v>0</v>
      </c>
      <c r="AY76" s="300">
        <f t="shared" si="59"/>
        <v>0</v>
      </c>
      <c r="AZ76" s="300">
        <f t="shared" si="60"/>
        <v>0</v>
      </c>
      <c r="BA76" s="300">
        <f t="shared" si="61"/>
        <v>0</v>
      </c>
      <c r="BB76" s="300">
        <f t="shared" si="62"/>
        <v>0</v>
      </c>
      <c r="BC76" s="301">
        <f t="shared" si="63"/>
        <v>0</v>
      </c>
      <c r="BD76" s="295" t="s">
        <v>764</v>
      </c>
      <c r="BE76" s="302" t="str">
        <f t="shared" si="64"/>
        <v>Exhibit 1.5A_R North Shore EEPS_Adjustable_Savings_Goal_Template.xlsx, Unit Savings Calculations Tab</v>
      </c>
      <c r="BF76" s="304"/>
    </row>
    <row r="77" spans="1:58" ht="15.75" customHeight="1">
      <c r="A77" s="295" t="str">
        <f>'Unit Savings Calculations'!C73</f>
        <v>Res - MF Standard Rebates</v>
      </c>
      <c r="B77" s="295" t="str">
        <f>'Unit Savings Calculations'!D73</f>
        <v>Boiler Tune Up - Process</v>
      </c>
      <c r="C77" s="296">
        <f t="shared" si="65"/>
        <v>1</v>
      </c>
      <c r="D77" s="295" t="str">
        <f>'Unit Savings Calculations'!T73</f>
        <v>4.4.3</v>
      </c>
      <c r="E77" s="460">
        <f>INDEX('Unit Savings Calculations'!$H$4:$H$421,MATCH('Measure-Level Adjustments Tab'!$A77&amp;"_"&amp;'Measure-Level Adjustments Tab'!$B77,'Unit Savings Calculations'!$A$4:$A$421,0))</f>
        <v>3</v>
      </c>
      <c r="F77" s="460">
        <f>INDEX('Unit Savings Calculations'!$I$4:$I$421,MATCH('Measure-Level Adjustments Tab'!A77&amp;"_"&amp;'Measure-Level Adjustments Tab'!B77,'Unit Savings Calculations'!$A$4:$A$421,0))</f>
        <v>3</v>
      </c>
      <c r="G77" s="295" t="str">
        <f>'Unit Savings Calculations'!E73</f>
        <v>MBH</v>
      </c>
      <c r="H77" s="297">
        <f>'Unit Savings Calculations'!$F73*'Unit Savings Calculations'!J73</f>
        <v>0</v>
      </c>
      <c r="I77" s="297">
        <f>'Unit Savings Calculations'!$F73*'Unit Savings Calculations'!K73</f>
        <v>0</v>
      </c>
      <c r="J77" s="297">
        <f>'Unit Savings Calculations'!$F73*'Unit Savings Calculations'!L73</f>
        <v>0</v>
      </c>
      <c r="K77" s="297">
        <f>'Unit Savings Calculations'!$F73*'Unit Savings Calculations'!M73</f>
        <v>0</v>
      </c>
      <c r="L77" s="295" t="str">
        <f>'Unit Savings Calculations'!U73</f>
        <v>CI-HVC-PBTU-V05-160601</v>
      </c>
      <c r="M77" s="405" t="str">
        <f>'Unit Savings Calculations'!R73</f>
        <v>Exhibit 1.5A_R North Shore EEPS_Adjustable_Savings_Goal_Template.xlsx, Unit Savings Calculations Tab</v>
      </c>
      <c r="N77" s="298">
        <v>0.83823507428978783</v>
      </c>
      <c r="O77" s="298">
        <v>0.83823507428978783</v>
      </c>
      <c r="P77" s="298">
        <v>0.83823507428978783</v>
      </c>
      <c r="Q77" s="298">
        <v>0.83823507428978783</v>
      </c>
      <c r="R77" s="299">
        <f>'Unit Savings Calculations'!$G73</f>
        <v>0.76</v>
      </c>
      <c r="S77" s="299">
        <f>'Unit Savings Calculations'!$G73</f>
        <v>0.76</v>
      </c>
      <c r="T77" s="299">
        <f>'Unit Savings Calculations'!$G73</f>
        <v>0.76</v>
      </c>
      <c r="U77" s="299">
        <f>'Unit Savings Calculations'!$G73</f>
        <v>0.76</v>
      </c>
      <c r="V77" s="300">
        <f t="shared" si="44"/>
        <v>0</v>
      </c>
      <c r="W77" s="300">
        <f t="shared" si="45"/>
        <v>0</v>
      </c>
      <c r="X77" s="300">
        <f t="shared" si="46"/>
        <v>0</v>
      </c>
      <c r="Y77" s="300">
        <f t="shared" si="47"/>
        <v>0</v>
      </c>
      <c r="Z77" s="300">
        <f t="shared" si="48"/>
        <v>0</v>
      </c>
      <c r="AA77" s="295"/>
      <c r="AB77" s="295"/>
      <c r="AC77" s="298">
        <f>'Unit Savings Calculations'!N73</f>
        <v>0.83823507428978783</v>
      </c>
      <c r="AD77" s="295"/>
      <c r="AE77" s="300">
        <f t="shared" si="49"/>
        <v>0</v>
      </c>
      <c r="AF77" s="297">
        <f t="shared" si="50"/>
        <v>0</v>
      </c>
      <c r="AG77" s="295"/>
      <c r="AH77" s="295">
        <f t="shared" si="51"/>
        <v>0</v>
      </c>
      <c r="AI77" s="298">
        <f>'Unit Savings Calculations'!O73</f>
        <v>0.83823507428978783</v>
      </c>
      <c r="AJ77" s="405" t="s">
        <v>879</v>
      </c>
      <c r="AK77" s="300">
        <f t="shared" si="52"/>
        <v>0</v>
      </c>
      <c r="AL77" s="297">
        <f t="shared" si="53"/>
        <v>0</v>
      </c>
      <c r="AM77" s="295"/>
      <c r="AN77" s="295"/>
      <c r="AO77" s="298">
        <f>'Unit Savings Calculations'!P73</f>
        <v>0.83823507428978783</v>
      </c>
      <c r="AP77" s="405" t="s">
        <v>764</v>
      </c>
      <c r="AQ77" s="300">
        <f t="shared" si="54"/>
        <v>0</v>
      </c>
      <c r="AR77" s="297">
        <f t="shared" si="55"/>
        <v>0</v>
      </c>
      <c r="AS77" s="295"/>
      <c r="AT77" s="295"/>
      <c r="AU77" s="298">
        <f>'Unit Savings Calculations'!Q73</f>
        <v>0.83823507428978783</v>
      </c>
      <c r="AV77" s="405" t="str">
        <f t="shared" si="56"/>
        <v>n/a</v>
      </c>
      <c r="AW77" s="300">
        <f t="shared" si="57"/>
        <v>0</v>
      </c>
      <c r="AX77" s="297">
        <f t="shared" si="58"/>
        <v>0</v>
      </c>
      <c r="AY77" s="300">
        <f t="shared" si="59"/>
        <v>0</v>
      </c>
      <c r="AZ77" s="300">
        <f t="shared" si="60"/>
        <v>0</v>
      </c>
      <c r="BA77" s="300">
        <f t="shared" si="61"/>
        <v>0</v>
      </c>
      <c r="BB77" s="300">
        <f t="shared" si="62"/>
        <v>0</v>
      </c>
      <c r="BC77" s="301">
        <f t="shared" si="63"/>
        <v>0</v>
      </c>
      <c r="BD77" s="295" t="s">
        <v>764</v>
      </c>
      <c r="BE77" s="302" t="str">
        <f t="shared" si="64"/>
        <v>Exhibit 1.5A_R North Shore EEPS_Adjustable_Savings_Goal_Template.xlsx, Unit Savings Calculations Tab</v>
      </c>
      <c r="BF77" s="304"/>
    </row>
    <row r="78" spans="1:58" ht="15.75" customHeight="1">
      <c r="A78" s="295" t="str">
        <f>'Unit Savings Calculations'!C74</f>
        <v>Res - MF Standard Rebates</v>
      </c>
      <c r="B78" s="295" t="str">
        <f>'Unit Savings Calculations'!D74</f>
        <v>Boiler Tune Up - Space Heating</v>
      </c>
      <c r="C78" s="296">
        <f t="shared" si="65"/>
        <v>1</v>
      </c>
      <c r="D78" s="295" t="str">
        <f>'Unit Savings Calculations'!T74</f>
        <v>4.4.2</v>
      </c>
      <c r="E78" s="460">
        <f>INDEX('Unit Savings Calculations'!$H$4:$H$421,MATCH('Measure-Level Adjustments Tab'!$A78&amp;"_"&amp;'Measure-Level Adjustments Tab'!$B78,'Unit Savings Calculations'!$A$4:$A$421,0))</f>
        <v>3</v>
      </c>
      <c r="F78" s="460">
        <f>INDEX('Unit Savings Calculations'!$I$4:$I$421,MATCH('Measure-Level Adjustments Tab'!A78&amp;"_"&amp;'Measure-Level Adjustments Tab'!B78,'Unit Savings Calculations'!$A$4:$A$421,0))</f>
        <v>3</v>
      </c>
      <c r="G78" s="295" t="str">
        <f>'Unit Savings Calculations'!E74</f>
        <v>MBH</v>
      </c>
      <c r="H78" s="297">
        <f>'Unit Savings Calculations'!$F74*'Unit Savings Calculations'!J74</f>
        <v>0</v>
      </c>
      <c r="I78" s="297">
        <f>'Unit Savings Calculations'!$F74*'Unit Savings Calculations'!K74</f>
        <v>0</v>
      </c>
      <c r="J78" s="297">
        <f>'Unit Savings Calculations'!$F74*'Unit Savings Calculations'!L74</f>
        <v>0</v>
      </c>
      <c r="K78" s="297">
        <f>'Unit Savings Calculations'!$F74*'Unit Savings Calculations'!M74</f>
        <v>0</v>
      </c>
      <c r="L78" s="295" t="str">
        <f>'Unit Savings Calculations'!U74</f>
        <v>CI-HVC-BLRT-V06-160601</v>
      </c>
      <c r="M78" s="405" t="str">
        <f>'Unit Savings Calculations'!R74</f>
        <v>Exhibit 1.5A_R North Shore EEPS_Adjustable_Savings_Goal_Template.xlsx, Unit Savings Calculations Tab</v>
      </c>
      <c r="N78" s="298">
        <v>0.393528767789805</v>
      </c>
      <c r="O78" s="298">
        <v>0.393528767789805</v>
      </c>
      <c r="P78" s="298">
        <v>0.393528767789805</v>
      </c>
      <c r="Q78" s="298">
        <v>0.393528767789805</v>
      </c>
      <c r="R78" s="299">
        <f>'Unit Savings Calculations'!$G74</f>
        <v>0.76</v>
      </c>
      <c r="S78" s="299">
        <f>'Unit Savings Calculations'!$G74</f>
        <v>0.76</v>
      </c>
      <c r="T78" s="299">
        <f>'Unit Savings Calculations'!$G74</f>
        <v>0.76</v>
      </c>
      <c r="U78" s="299">
        <f>'Unit Savings Calculations'!$G74</f>
        <v>0.76</v>
      </c>
      <c r="V78" s="300">
        <f t="shared" si="44"/>
        <v>0</v>
      </c>
      <c r="W78" s="300">
        <f t="shared" si="45"/>
        <v>0</v>
      </c>
      <c r="X78" s="300">
        <f t="shared" si="46"/>
        <v>0</v>
      </c>
      <c r="Y78" s="300">
        <f t="shared" si="47"/>
        <v>0</v>
      </c>
      <c r="Z78" s="300">
        <f t="shared" si="48"/>
        <v>0</v>
      </c>
      <c r="AA78" s="295"/>
      <c r="AB78" s="295"/>
      <c r="AC78" s="298">
        <f>'Unit Savings Calculations'!N74</f>
        <v>0.41618294611360979</v>
      </c>
      <c r="AD78" s="295"/>
      <c r="AE78" s="300">
        <f t="shared" si="49"/>
        <v>0</v>
      </c>
      <c r="AF78" s="297">
        <f t="shared" si="50"/>
        <v>0</v>
      </c>
      <c r="AG78" s="295"/>
      <c r="AH78" s="295">
        <f t="shared" si="51"/>
        <v>0</v>
      </c>
      <c r="AI78" s="298">
        <f>'Unit Savings Calculations'!O74</f>
        <v>0.41618294611360979</v>
      </c>
      <c r="AJ78" s="405" t="s">
        <v>879</v>
      </c>
      <c r="AK78" s="300">
        <f t="shared" si="52"/>
        <v>0</v>
      </c>
      <c r="AL78" s="297">
        <f t="shared" si="53"/>
        <v>0</v>
      </c>
      <c r="AM78" s="295"/>
      <c r="AN78" s="295"/>
      <c r="AO78" s="298">
        <f>'Unit Savings Calculations'!P74</f>
        <v>0.41618294611360979</v>
      </c>
      <c r="AP78" s="405" t="s">
        <v>1443</v>
      </c>
      <c r="AQ78" s="300">
        <f t="shared" si="54"/>
        <v>0</v>
      </c>
      <c r="AR78" s="297">
        <f t="shared" si="55"/>
        <v>0</v>
      </c>
      <c r="AS78" s="295"/>
      <c r="AT78" s="295"/>
      <c r="AU78" s="298">
        <f>'Unit Savings Calculations'!Q74</f>
        <v>0.41618294611360979</v>
      </c>
      <c r="AV78" s="405" t="str">
        <f t="shared" si="56"/>
        <v>Updated heating EFLH</v>
      </c>
      <c r="AW78" s="300">
        <f t="shared" si="57"/>
        <v>0</v>
      </c>
      <c r="AX78" s="297">
        <f t="shared" si="58"/>
        <v>0</v>
      </c>
      <c r="AY78" s="300">
        <f t="shared" si="59"/>
        <v>0</v>
      </c>
      <c r="AZ78" s="300">
        <f t="shared" si="60"/>
        <v>0</v>
      </c>
      <c r="BA78" s="300">
        <f t="shared" si="61"/>
        <v>0</v>
      </c>
      <c r="BB78" s="300">
        <f t="shared" si="62"/>
        <v>0</v>
      </c>
      <c r="BC78" s="301">
        <f t="shared" si="63"/>
        <v>0</v>
      </c>
      <c r="BD78" s="295" t="s">
        <v>764</v>
      </c>
      <c r="BE78" s="302" t="str">
        <f t="shared" si="64"/>
        <v>Exhibit 1.5A_R North Shore EEPS_Adjustable_Savings_Goal_Template.xlsx, Unit Savings Calculations Tab</v>
      </c>
      <c r="BF78" s="304"/>
    </row>
    <row r="79" spans="1:58" ht="15.75" customHeight="1">
      <c r="A79" s="295" t="str">
        <f>'Unit Savings Calculations'!C75</f>
        <v>Res - MF Standard Rebates</v>
      </c>
      <c r="B79" s="295" t="str">
        <f>'Unit Savings Calculations'!D75</f>
        <v>Condensing Unit Heater</v>
      </c>
      <c r="C79" s="296">
        <f t="shared" si="65"/>
        <v>1</v>
      </c>
      <c r="D79" s="295" t="str">
        <f>'Unit Savings Calculations'!T75</f>
        <v>4.4.5</v>
      </c>
      <c r="E79" s="460">
        <f>INDEX('Unit Savings Calculations'!$H$4:$H$421,MATCH('Measure-Level Adjustments Tab'!$A79&amp;"_"&amp;'Measure-Level Adjustments Tab'!$B79,'Unit Savings Calculations'!$A$4:$A$421,0))</f>
        <v>12</v>
      </c>
      <c r="F79" s="460">
        <f>INDEX('Unit Savings Calculations'!$I$4:$I$421,MATCH('Measure-Level Adjustments Tab'!A79&amp;"_"&amp;'Measure-Level Adjustments Tab'!B79,'Unit Savings Calculations'!$A$4:$A$421,0))</f>
        <v>12</v>
      </c>
      <c r="G79" s="295" t="str">
        <f>'Unit Savings Calculations'!E75</f>
        <v>MBH</v>
      </c>
      <c r="H79" s="297">
        <f>'Unit Savings Calculations'!$F75*'Unit Savings Calculations'!J75</f>
        <v>0</v>
      </c>
      <c r="I79" s="297">
        <f>'Unit Savings Calculations'!$F75*'Unit Savings Calculations'!K75</f>
        <v>0</v>
      </c>
      <c r="J79" s="297">
        <f>'Unit Savings Calculations'!$F75*'Unit Savings Calculations'!L75</f>
        <v>0</v>
      </c>
      <c r="K79" s="297">
        <f>'Unit Savings Calculations'!$F75*'Unit Savings Calculations'!M75</f>
        <v>0</v>
      </c>
      <c r="L79" s="295" t="str">
        <f>'Unit Savings Calculations'!U75</f>
        <v>CI-HVC-CUHT-V01-120601</v>
      </c>
      <c r="M79" s="405" t="str">
        <f>'Unit Savings Calculations'!R75</f>
        <v>Exhibit 1.5A_R North Shore EEPS_Adjustable_Savings_Goal_Template.xlsx, Unit Savings Calculations Tab</v>
      </c>
      <c r="N79" s="298">
        <v>1.7733333333333334</v>
      </c>
      <c r="O79" s="298">
        <v>1.7733333333333334</v>
      </c>
      <c r="P79" s="298">
        <v>1.7733333333333334</v>
      </c>
      <c r="Q79" s="298">
        <v>1.7733333333333334</v>
      </c>
      <c r="R79" s="299">
        <f>'Unit Savings Calculations'!$G75</f>
        <v>0.76</v>
      </c>
      <c r="S79" s="299">
        <f>'Unit Savings Calculations'!$G75</f>
        <v>0.76</v>
      </c>
      <c r="T79" s="299">
        <f>'Unit Savings Calculations'!$G75</f>
        <v>0.76</v>
      </c>
      <c r="U79" s="299">
        <f>'Unit Savings Calculations'!$G75</f>
        <v>0.76</v>
      </c>
      <c r="V79" s="300">
        <f t="shared" si="44"/>
        <v>0</v>
      </c>
      <c r="W79" s="300">
        <f t="shared" si="45"/>
        <v>0</v>
      </c>
      <c r="X79" s="300">
        <f t="shared" si="46"/>
        <v>0</v>
      </c>
      <c r="Y79" s="300">
        <f t="shared" si="47"/>
        <v>0</v>
      </c>
      <c r="Z79" s="300">
        <f t="shared" si="48"/>
        <v>0</v>
      </c>
      <c r="AA79" s="295"/>
      <c r="AB79" s="295"/>
      <c r="AC79" s="298">
        <f>'Unit Savings Calculations'!N75</f>
        <v>1.7733333333333334</v>
      </c>
      <c r="AD79" s="295"/>
      <c r="AE79" s="300">
        <f t="shared" si="49"/>
        <v>0</v>
      </c>
      <c r="AF79" s="297">
        <f t="shared" si="50"/>
        <v>0</v>
      </c>
      <c r="AG79" s="295"/>
      <c r="AH79" s="295">
        <f t="shared" si="51"/>
        <v>0</v>
      </c>
      <c r="AI79" s="298">
        <f>'Unit Savings Calculations'!O75</f>
        <v>1.7733333333333334</v>
      </c>
      <c r="AJ79" s="405" t="s">
        <v>879</v>
      </c>
      <c r="AK79" s="300">
        <f t="shared" si="52"/>
        <v>0</v>
      </c>
      <c r="AL79" s="297">
        <f t="shared" si="53"/>
        <v>0</v>
      </c>
      <c r="AM79" s="295"/>
      <c r="AN79" s="295"/>
      <c r="AO79" s="298">
        <f>'Unit Savings Calculations'!P75</f>
        <v>1.7733333333333334</v>
      </c>
      <c r="AP79" s="405" t="s">
        <v>764</v>
      </c>
      <c r="AQ79" s="300">
        <f t="shared" si="54"/>
        <v>0</v>
      </c>
      <c r="AR79" s="297">
        <f t="shared" si="55"/>
        <v>0</v>
      </c>
      <c r="AS79" s="295"/>
      <c r="AT79" s="295"/>
      <c r="AU79" s="298">
        <f>'Unit Savings Calculations'!Q75</f>
        <v>1.7733333333333334</v>
      </c>
      <c r="AV79" s="405" t="str">
        <f t="shared" si="56"/>
        <v>n/a</v>
      </c>
      <c r="AW79" s="300">
        <f t="shared" si="57"/>
        <v>0</v>
      </c>
      <c r="AX79" s="297">
        <f t="shared" si="58"/>
        <v>0</v>
      </c>
      <c r="AY79" s="300">
        <f t="shared" si="59"/>
        <v>0</v>
      </c>
      <c r="AZ79" s="300">
        <f t="shared" si="60"/>
        <v>0</v>
      </c>
      <c r="BA79" s="300">
        <f t="shared" si="61"/>
        <v>0</v>
      </c>
      <c r="BB79" s="300">
        <f t="shared" si="62"/>
        <v>0</v>
      </c>
      <c r="BC79" s="301">
        <f t="shared" si="63"/>
        <v>0</v>
      </c>
      <c r="BD79" s="295" t="s">
        <v>764</v>
      </c>
      <c r="BE79" s="302" t="str">
        <f t="shared" si="64"/>
        <v>Exhibit 1.5A_R North Shore EEPS_Adjustable_Savings_Goal_Template.xlsx, Unit Savings Calculations Tab</v>
      </c>
      <c r="BF79" s="304"/>
    </row>
    <row r="80" spans="1:58" ht="15.75" customHeight="1">
      <c r="A80" s="295" t="str">
        <f>'Unit Savings Calculations'!C76</f>
        <v>Res - MF Standard Rebates</v>
      </c>
      <c r="B80" s="295" t="str">
        <f>'Unit Savings Calculations'!D76</f>
        <v>Direct Fired Heaters</v>
      </c>
      <c r="C80" s="296">
        <f t="shared" si="65"/>
        <v>0</v>
      </c>
      <c r="D80" s="295" t="str">
        <f>'Unit Savings Calculations'!T76</f>
        <v>Custom</v>
      </c>
      <c r="E80" s="460">
        <f>INDEX('Unit Savings Calculations'!$H$4:$H$421,MATCH('Measure-Level Adjustments Tab'!$A80&amp;"_"&amp;'Measure-Level Adjustments Tab'!$B80,'Unit Savings Calculations'!$A$4:$A$421,0))</f>
        <v>20</v>
      </c>
      <c r="F80" s="460">
        <f>INDEX('Unit Savings Calculations'!$I$4:$I$421,MATCH('Measure-Level Adjustments Tab'!A80&amp;"_"&amp;'Measure-Level Adjustments Tab'!B80,'Unit Savings Calculations'!$A$4:$A$421,0))</f>
        <v>20</v>
      </c>
      <c r="G80" s="295" t="str">
        <f>'Unit Savings Calculations'!E76</f>
        <v>MBH</v>
      </c>
      <c r="H80" s="297">
        <f>'Unit Savings Calculations'!$F76*'Unit Savings Calculations'!J76</f>
        <v>0</v>
      </c>
      <c r="I80" s="297">
        <f>'Unit Savings Calculations'!$F76*'Unit Savings Calculations'!K76</f>
        <v>0</v>
      </c>
      <c r="J80" s="297">
        <f>'Unit Savings Calculations'!$F76*'Unit Savings Calculations'!L76</f>
        <v>0</v>
      </c>
      <c r="K80" s="297">
        <f>'Unit Savings Calculations'!$F76*'Unit Savings Calculations'!M76</f>
        <v>0</v>
      </c>
      <c r="L80" s="295" t="str">
        <f>'Unit Savings Calculations'!U76</f>
        <v>Custom</v>
      </c>
      <c r="M80" s="405" t="str">
        <f>'Unit Savings Calculations'!R76</f>
        <v>Custom</v>
      </c>
      <c r="N80" s="298">
        <v>2.3932499999999983</v>
      </c>
      <c r="O80" s="298">
        <v>2.3932499999999983</v>
      </c>
      <c r="P80" s="298">
        <v>2.3932499999999983</v>
      </c>
      <c r="Q80" s="298">
        <v>2.3932499999999983</v>
      </c>
      <c r="R80" s="299">
        <f>'Unit Savings Calculations'!$G76</f>
        <v>0.76</v>
      </c>
      <c r="S80" s="299">
        <f>'Unit Savings Calculations'!$G76</f>
        <v>0.76</v>
      </c>
      <c r="T80" s="299">
        <f>'Unit Savings Calculations'!$G76</f>
        <v>0.76</v>
      </c>
      <c r="U80" s="299">
        <f>'Unit Savings Calculations'!$G76</f>
        <v>0.76</v>
      </c>
      <c r="V80" s="300">
        <f t="shared" si="44"/>
        <v>0</v>
      </c>
      <c r="W80" s="300">
        <f t="shared" si="45"/>
        <v>0</v>
      </c>
      <c r="X80" s="300">
        <f t="shared" si="46"/>
        <v>0</v>
      </c>
      <c r="Y80" s="300">
        <f t="shared" si="47"/>
        <v>0</v>
      </c>
      <c r="Z80" s="300">
        <f t="shared" si="48"/>
        <v>0</v>
      </c>
      <c r="AA80" s="406"/>
      <c r="AB80" s="406"/>
      <c r="AC80" s="409">
        <f>'Unit Savings Calculations'!N76</f>
        <v>2.4914999999999985</v>
      </c>
      <c r="AD80" s="406"/>
      <c r="AE80" s="407">
        <f t="shared" si="49"/>
        <v>0</v>
      </c>
      <c r="AF80" s="408">
        <f t="shared" si="50"/>
        <v>0</v>
      </c>
      <c r="AG80" s="406"/>
      <c r="AH80" s="406">
        <f t="shared" si="51"/>
        <v>0</v>
      </c>
      <c r="AI80" s="409">
        <f>'Unit Savings Calculations'!O76</f>
        <v>2.4914999999999985</v>
      </c>
      <c r="AJ80" s="457" t="s">
        <v>879</v>
      </c>
      <c r="AK80" s="407">
        <f t="shared" si="52"/>
        <v>0</v>
      </c>
      <c r="AL80" s="408">
        <f t="shared" si="53"/>
        <v>0</v>
      </c>
      <c r="AM80" s="406"/>
      <c r="AN80" s="406"/>
      <c r="AO80" s="409">
        <f>'Unit Savings Calculations'!P76</f>
        <v>2.4914999999999985</v>
      </c>
      <c r="AP80" s="457" t="s">
        <v>1443</v>
      </c>
      <c r="AQ80" s="407">
        <f t="shared" si="54"/>
        <v>0</v>
      </c>
      <c r="AR80" s="408">
        <f t="shared" si="55"/>
        <v>0</v>
      </c>
      <c r="AS80" s="406"/>
      <c r="AT80" s="406"/>
      <c r="AU80" s="409">
        <f>'Unit Savings Calculations'!Q76</f>
        <v>2.4914999999999985</v>
      </c>
      <c r="AV80" s="457" t="str">
        <f t="shared" si="56"/>
        <v>Updated heating EFLH</v>
      </c>
      <c r="AW80" s="407">
        <f t="shared" si="57"/>
        <v>0</v>
      </c>
      <c r="AX80" s="408">
        <f t="shared" si="58"/>
        <v>0</v>
      </c>
      <c r="AY80" s="300">
        <f t="shared" si="59"/>
        <v>0</v>
      </c>
      <c r="AZ80" s="300">
        <f t="shared" si="60"/>
        <v>0</v>
      </c>
      <c r="BA80" s="300">
        <f t="shared" si="61"/>
        <v>0</v>
      </c>
      <c r="BB80" s="300">
        <f t="shared" si="62"/>
        <v>0</v>
      </c>
      <c r="BC80" s="301">
        <f t="shared" si="63"/>
        <v>0</v>
      </c>
      <c r="BD80" s="295" t="s">
        <v>764</v>
      </c>
      <c r="BE80" s="302" t="str">
        <f t="shared" si="64"/>
        <v>Custom</v>
      </c>
      <c r="BF80" s="304"/>
    </row>
    <row r="81" spans="1:58" ht="15.75" customHeight="1">
      <c r="A81" s="295" t="str">
        <f>'Unit Savings Calculations'!C77</f>
        <v>Res - MF Standard Rebates</v>
      </c>
      <c r="B81" s="295" t="str">
        <f>'Unit Savings Calculations'!D77</f>
        <v>Furnace &gt;95% AFUE</v>
      </c>
      <c r="C81" s="296">
        <f t="shared" si="65"/>
        <v>1</v>
      </c>
      <c r="D81" s="295" t="str">
        <f>'Unit Savings Calculations'!T77</f>
        <v>4.4.11</v>
      </c>
      <c r="E81" s="460">
        <f>INDEX('Unit Savings Calculations'!$H$4:$H$421,MATCH('Measure-Level Adjustments Tab'!$A81&amp;"_"&amp;'Measure-Level Adjustments Tab'!$B81,'Unit Savings Calculations'!$A$4:$A$421,0))</f>
        <v>16</v>
      </c>
      <c r="F81" s="460">
        <f>INDEX('Unit Savings Calculations'!$I$4:$I$421,MATCH('Measure-Level Adjustments Tab'!A81&amp;"_"&amp;'Measure-Level Adjustments Tab'!B81,'Unit Savings Calculations'!$A$4:$A$421,0))</f>
        <v>16</v>
      </c>
      <c r="G81" s="295" t="str">
        <f>'Unit Savings Calculations'!E77</f>
        <v>each</v>
      </c>
      <c r="H81" s="297">
        <f>'Unit Savings Calculations'!$F77*'Unit Savings Calculations'!J77</f>
        <v>0</v>
      </c>
      <c r="I81" s="297">
        <f>'Unit Savings Calculations'!$F77*'Unit Savings Calculations'!K77</f>
        <v>0</v>
      </c>
      <c r="J81" s="297">
        <f>'Unit Savings Calculations'!$F77*'Unit Savings Calculations'!L77</f>
        <v>0</v>
      </c>
      <c r="K81" s="297">
        <f>'Unit Savings Calculations'!$F77*'Unit Savings Calculations'!M77</f>
        <v>0</v>
      </c>
      <c r="L81" s="295" t="str">
        <f>'Unit Savings Calculations'!U77</f>
        <v>CI-HVC-FRNC-V07-180101</v>
      </c>
      <c r="M81" s="405" t="str">
        <f>'Unit Savings Calculations'!R77</f>
        <v>Exhibit 1.5A_R North Shore EEPS_Adjustable_Savings_Goal_Template.xlsx, Unit Savings Calculations Tab</v>
      </c>
      <c r="N81" s="298">
        <v>240.11249999999984</v>
      </c>
      <c r="O81" s="298">
        <v>240.11249999999984</v>
      </c>
      <c r="P81" s="298">
        <v>240.11249999999984</v>
      </c>
      <c r="Q81" s="298">
        <v>240.11249999999984</v>
      </c>
      <c r="R81" s="299">
        <f>'Unit Savings Calculations'!$G77</f>
        <v>0.76</v>
      </c>
      <c r="S81" s="299">
        <f>'Unit Savings Calculations'!$G77</f>
        <v>0.76</v>
      </c>
      <c r="T81" s="299">
        <f>'Unit Savings Calculations'!$G77</f>
        <v>0.76</v>
      </c>
      <c r="U81" s="299">
        <f>'Unit Savings Calculations'!$G77</f>
        <v>0.76</v>
      </c>
      <c r="V81" s="300">
        <f t="shared" si="44"/>
        <v>0</v>
      </c>
      <c r="W81" s="300">
        <f t="shared" si="45"/>
        <v>0</v>
      </c>
      <c r="X81" s="300">
        <f t="shared" si="46"/>
        <v>0</v>
      </c>
      <c r="Y81" s="300">
        <f t="shared" si="47"/>
        <v>0</v>
      </c>
      <c r="Z81" s="300">
        <f t="shared" si="48"/>
        <v>0</v>
      </c>
      <c r="AA81" s="295"/>
      <c r="AB81" s="295"/>
      <c r="AC81" s="298">
        <f>'Unit Savings Calculations'!N77</f>
        <v>253.93499999999986</v>
      </c>
      <c r="AD81" s="295"/>
      <c r="AE81" s="300">
        <f t="shared" si="49"/>
        <v>0</v>
      </c>
      <c r="AF81" s="297">
        <f t="shared" si="50"/>
        <v>0</v>
      </c>
      <c r="AG81" s="295"/>
      <c r="AH81" s="295">
        <f t="shared" si="51"/>
        <v>0</v>
      </c>
      <c r="AI81" s="298">
        <f>'Unit Savings Calculations'!O77</f>
        <v>253.93499999999986</v>
      </c>
      <c r="AJ81" s="405" t="s">
        <v>879</v>
      </c>
      <c r="AK81" s="300">
        <f t="shared" si="52"/>
        <v>0</v>
      </c>
      <c r="AL81" s="297">
        <f t="shared" si="53"/>
        <v>0</v>
      </c>
      <c r="AM81" s="295"/>
      <c r="AN81" s="295"/>
      <c r="AO81" s="298">
        <f>'Unit Savings Calculations'!P77</f>
        <v>253.93499999999986</v>
      </c>
      <c r="AP81" s="405" t="s">
        <v>1443</v>
      </c>
      <c r="AQ81" s="300">
        <f t="shared" si="54"/>
        <v>0</v>
      </c>
      <c r="AR81" s="297">
        <f t="shared" si="55"/>
        <v>0</v>
      </c>
      <c r="AS81" s="295"/>
      <c r="AT81" s="295"/>
      <c r="AU81" s="298">
        <f>'Unit Savings Calculations'!Q77</f>
        <v>253.93499999999986</v>
      </c>
      <c r="AV81" s="405" t="str">
        <f t="shared" si="56"/>
        <v>Updated heating EFLH</v>
      </c>
      <c r="AW81" s="300">
        <f t="shared" si="57"/>
        <v>0</v>
      </c>
      <c r="AX81" s="297">
        <f t="shared" si="58"/>
        <v>0</v>
      </c>
      <c r="AY81" s="300">
        <f t="shared" si="59"/>
        <v>0</v>
      </c>
      <c r="AZ81" s="300">
        <f t="shared" si="60"/>
        <v>0</v>
      </c>
      <c r="BA81" s="300">
        <f t="shared" si="61"/>
        <v>0</v>
      </c>
      <c r="BB81" s="300">
        <f t="shared" si="62"/>
        <v>0</v>
      </c>
      <c r="BC81" s="301">
        <f t="shared" si="63"/>
        <v>0</v>
      </c>
      <c r="BD81" s="295" t="s">
        <v>764</v>
      </c>
      <c r="BE81" s="302" t="str">
        <f t="shared" si="64"/>
        <v>Exhibit 1.5A_R North Shore EEPS_Adjustable_Savings_Goal_Template.xlsx, Unit Savings Calculations Tab</v>
      </c>
      <c r="BF81" s="304"/>
    </row>
    <row r="82" spans="1:58" ht="15.75" customHeight="1">
      <c r="A82" s="295" t="str">
        <f>'Unit Savings Calculations'!C78</f>
        <v>Res - MF Standard Rebates</v>
      </c>
      <c r="B82" s="295" t="str">
        <f>'Unit Savings Calculations'!D78</f>
        <v>High Speed Washer</v>
      </c>
      <c r="C82" s="296">
        <f t="shared" si="65"/>
        <v>1</v>
      </c>
      <c r="D82" s="295" t="str">
        <f>'Unit Savings Calculations'!T78</f>
        <v>4.8.5</v>
      </c>
      <c r="E82" s="460">
        <f>INDEX('Unit Savings Calculations'!$H$4:$H$421,MATCH('Measure-Level Adjustments Tab'!$A82&amp;"_"&amp;'Measure-Level Adjustments Tab'!$B82,'Unit Savings Calculations'!$A$4:$A$421,0))</f>
        <v>7</v>
      </c>
      <c r="F82" s="460">
        <f>INDEX('Unit Savings Calculations'!$I$4:$I$421,MATCH('Measure-Level Adjustments Tab'!A82&amp;"_"&amp;'Measure-Level Adjustments Tab'!B82,'Unit Savings Calculations'!$A$4:$A$421,0))</f>
        <v>7</v>
      </c>
      <c r="G82" s="295" t="str">
        <f>'Unit Savings Calculations'!E78</f>
        <v>lb-capacity</v>
      </c>
      <c r="H82" s="297">
        <f>'Unit Savings Calculations'!$F78*'Unit Savings Calculations'!J78</f>
        <v>0</v>
      </c>
      <c r="I82" s="297">
        <f>'Unit Savings Calculations'!$F78*'Unit Savings Calculations'!K78</f>
        <v>0</v>
      </c>
      <c r="J82" s="297">
        <f>'Unit Savings Calculations'!$F78*'Unit Savings Calculations'!L78</f>
        <v>0</v>
      </c>
      <c r="K82" s="297">
        <f>'Unit Savings Calculations'!$F78*'Unit Savings Calculations'!M78</f>
        <v>0</v>
      </c>
      <c r="L82" s="295" t="str">
        <f>'Unit Savings Calculations'!U78</f>
        <v>CI-MSC-HSCW-V01-180101</v>
      </c>
      <c r="M82" s="405" t="str">
        <f>'Unit Savings Calculations'!R78</f>
        <v>Exhibit 1.5A_R North Shore EEPS_Adjustable_Savings_Goal_Template.xlsx, Unit Savings Calculations Tab</v>
      </c>
      <c r="N82" s="298">
        <v>3.6756720000000001</v>
      </c>
      <c r="O82" s="298">
        <v>3.6756720000000001</v>
      </c>
      <c r="P82" s="298">
        <v>3.6756720000000001</v>
      </c>
      <c r="Q82" s="298">
        <v>3.6756720000000001</v>
      </c>
      <c r="R82" s="299">
        <f>'Unit Savings Calculations'!$G78</f>
        <v>0.76</v>
      </c>
      <c r="S82" s="299">
        <f>'Unit Savings Calculations'!$G78</f>
        <v>0.76</v>
      </c>
      <c r="T82" s="299">
        <f>'Unit Savings Calculations'!$G78</f>
        <v>0.76</v>
      </c>
      <c r="U82" s="299">
        <f>'Unit Savings Calculations'!$G78</f>
        <v>0.76</v>
      </c>
      <c r="V82" s="300">
        <f t="shared" si="44"/>
        <v>0</v>
      </c>
      <c r="W82" s="300">
        <f t="shared" si="45"/>
        <v>0</v>
      </c>
      <c r="X82" s="300">
        <f t="shared" si="46"/>
        <v>0</v>
      </c>
      <c r="Y82" s="300">
        <f t="shared" si="47"/>
        <v>0</v>
      </c>
      <c r="Z82" s="300">
        <f t="shared" si="48"/>
        <v>0</v>
      </c>
      <c r="AA82" s="295"/>
      <c r="AB82" s="295"/>
      <c r="AC82" s="298">
        <f>'Unit Savings Calculations'!N78</f>
        <v>3.6756720000000001</v>
      </c>
      <c r="AD82" s="295"/>
      <c r="AE82" s="300">
        <f t="shared" si="49"/>
        <v>0</v>
      </c>
      <c r="AF82" s="297">
        <f t="shared" si="50"/>
        <v>0</v>
      </c>
      <c r="AG82" s="295"/>
      <c r="AH82" s="295">
        <f t="shared" si="51"/>
        <v>0</v>
      </c>
      <c r="AI82" s="298">
        <f>'Unit Savings Calculations'!O78</f>
        <v>3.6756720000000001</v>
      </c>
      <c r="AJ82" s="405" t="s">
        <v>879</v>
      </c>
      <c r="AK82" s="300">
        <f t="shared" si="52"/>
        <v>0</v>
      </c>
      <c r="AL82" s="297">
        <f t="shared" si="53"/>
        <v>0</v>
      </c>
      <c r="AM82" s="295"/>
      <c r="AN82" s="295"/>
      <c r="AO82" s="298">
        <f>'Unit Savings Calculations'!P78</f>
        <v>3.6756720000000001</v>
      </c>
      <c r="AP82" s="405" t="s">
        <v>764</v>
      </c>
      <c r="AQ82" s="300">
        <f t="shared" si="54"/>
        <v>0</v>
      </c>
      <c r="AR82" s="297">
        <f t="shared" si="55"/>
        <v>0</v>
      </c>
      <c r="AS82" s="295"/>
      <c r="AT82" s="295"/>
      <c r="AU82" s="298">
        <f>'Unit Savings Calculations'!Q78</f>
        <v>3.6756720000000001</v>
      </c>
      <c r="AV82" s="405" t="str">
        <f t="shared" si="56"/>
        <v>n/a</v>
      </c>
      <c r="AW82" s="300">
        <f t="shared" si="57"/>
        <v>0</v>
      </c>
      <c r="AX82" s="297">
        <f t="shared" si="58"/>
        <v>0</v>
      </c>
      <c r="AY82" s="300">
        <f t="shared" si="59"/>
        <v>0</v>
      </c>
      <c r="AZ82" s="300">
        <f t="shared" si="60"/>
        <v>0</v>
      </c>
      <c r="BA82" s="300">
        <f t="shared" si="61"/>
        <v>0</v>
      </c>
      <c r="BB82" s="300">
        <f t="shared" si="62"/>
        <v>0</v>
      </c>
      <c r="BC82" s="301">
        <f t="shared" si="63"/>
        <v>0</v>
      </c>
      <c r="BD82" s="295" t="s">
        <v>764</v>
      </c>
      <c r="BE82" s="302" t="str">
        <f t="shared" si="64"/>
        <v>Exhibit 1.5A_R North Shore EEPS_Adjustable_Savings_Goal_Template.xlsx, Unit Savings Calculations Tab</v>
      </c>
      <c r="BF82" s="304"/>
    </row>
    <row r="83" spans="1:58" ht="15.75" customHeight="1">
      <c r="A83" s="295" t="str">
        <f>'Unit Savings Calculations'!C79</f>
        <v>Res - MF Standard Rebates</v>
      </c>
      <c r="B83" s="295" t="str">
        <f>'Unit Savings Calculations'!D79</f>
        <v>Infrared Heater</v>
      </c>
      <c r="C83" s="296">
        <f t="shared" si="65"/>
        <v>1</v>
      </c>
      <c r="D83" s="295" t="str">
        <f>'Unit Savings Calculations'!T79</f>
        <v>4.4.12</v>
      </c>
      <c r="E83" s="460">
        <f>INDEX('Unit Savings Calculations'!$H$4:$H$421,MATCH('Measure-Level Adjustments Tab'!$A83&amp;"_"&amp;'Measure-Level Adjustments Tab'!$B83,'Unit Savings Calculations'!$A$4:$A$421,0))</f>
        <v>12</v>
      </c>
      <c r="F83" s="460">
        <f>INDEX('Unit Savings Calculations'!$I$4:$I$421,MATCH('Measure-Level Adjustments Tab'!A83&amp;"_"&amp;'Measure-Level Adjustments Tab'!B83,'Unit Savings Calculations'!$A$4:$A$421,0))</f>
        <v>12</v>
      </c>
      <c r="G83" s="295" t="str">
        <f>'Unit Savings Calculations'!E79</f>
        <v>MBH</v>
      </c>
      <c r="H83" s="297">
        <f>'Unit Savings Calculations'!$F79*'Unit Savings Calculations'!J79</f>
        <v>0</v>
      </c>
      <c r="I83" s="297">
        <f>'Unit Savings Calculations'!$F79*'Unit Savings Calculations'!K79</f>
        <v>0</v>
      </c>
      <c r="J83" s="297">
        <f>'Unit Savings Calculations'!$F79*'Unit Savings Calculations'!L79</f>
        <v>0</v>
      </c>
      <c r="K83" s="297">
        <f>'Unit Savings Calculations'!$F79*'Unit Savings Calculations'!M79</f>
        <v>0</v>
      </c>
      <c r="L83" s="295" t="str">
        <f>'Unit Savings Calculations'!U79</f>
        <v>CI-HVC-IRHT-V01-120601</v>
      </c>
      <c r="M83" s="405" t="str">
        <f>'Unit Savings Calculations'!R79</f>
        <v>Exhibit 1.5A_R North Shore EEPS_Adjustable_Savings_Goal_Template.xlsx, Unit Savings Calculations Tab</v>
      </c>
      <c r="N83" s="298">
        <v>3.0066666666666668</v>
      </c>
      <c r="O83" s="298">
        <v>3.0066666666666668</v>
      </c>
      <c r="P83" s="298">
        <v>3.0066666666666668</v>
      </c>
      <c r="Q83" s="298">
        <v>3.0066666666666668</v>
      </c>
      <c r="R83" s="299">
        <f>'Unit Savings Calculations'!$G79</f>
        <v>0.76</v>
      </c>
      <c r="S83" s="299">
        <f>'Unit Savings Calculations'!$G79</f>
        <v>0.76</v>
      </c>
      <c r="T83" s="299">
        <f>'Unit Savings Calculations'!$G79</f>
        <v>0.76</v>
      </c>
      <c r="U83" s="299">
        <f>'Unit Savings Calculations'!$G79</f>
        <v>0.76</v>
      </c>
      <c r="V83" s="300">
        <f t="shared" si="44"/>
        <v>0</v>
      </c>
      <c r="W83" s="300">
        <f t="shared" si="45"/>
        <v>0</v>
      </c>
      <c r="X83" s="300">
        <f t="shared" si="46"/>
        <v>0</v>
      </c>
      <c r="Y83" s="300">
        <f t="shared" si="47"/>
        <v>0</v>
      </c>
      <c r="Z83" s="300">
        <f t="shared" si="48"/>
        <v>0</v>
      </c>
      <c r="AA83" s="295"/>
      <c r="AB83" s="295"/>
      <c r="AC83" s="298">
        <f>'Unit Savings Calculations'!N79</f>
        <v>3.0066666666666668</v>
      </c>
      <c r="AD83" s="295"/>
      <c r="AE83" s="300">
        <f t="shared" si="49"/>
        <v>0</v>
      </c>
      <c r="AF83" s="297">
        <f t="shared" si="50"/>
        <v>0</v>
      </c>
      <c r="AG83" s="295"/>
      <c r="AH83" s="295">
        <f t="shared" si="51"/>
        <v>0</v>
      </c>
      <c r="AI83" s="298">
        <f>'Unit Savings Calculations'!O79</f>
        <v>3.0066666666666668</v>
      </c>
      <c r="AJ83" s="405" t="s">
        <v>879</v>
      </c>
      <c r="AK83" s="300">
        <f t="shared" si="52"/>
        <v>0</v>
      </c>
      <c r="AL83" s="297">
        <f t="shared" si="53"/>
        <v>0</v>
      </c>
      <c r="AM83" s="295"/>
      <c r="AN83" s="295"/>
      <c r="AO83" s="298">
        <f>'Unit Savings Calculations'!P79</f>
        <v>3.0066666666666668</v>
      </c>
      <c r="AP83" s="405" t="s">
        <v>764</v>
      </c>
      <c r="AQ83" s="300">
        <f t="shared" si="54"/>
        <v>0</v>
      </c>
      <c r="AR83" s="297">
        <f t="shared" si="55"/>
        <v>0</v>
      </c>
      <c r="AS83" s="295"/>
      <c r="AT83" s="295"/>
      <c r="AU83" s="298">
        <f>'Unit Savings Calculations'!Q79</f>
        <v>3.0066666666666668</v>
      </c>
      <c r="AV83" s="405" t="str">
        <f t="shared" si="56"/>
        <v>n/a</v>
      </c>
      <c r="AW83" s="300">
        <f t="shared" si="57"/>
        <v>0</v>
      </c>
      <c r="AX83" s="297">
        <f t="shared" si="58"/>
        <v>0</v>
      </c>
      <c r="AY83" s="300">
        <f t="shared" si="59"/>
        <v>0</v>
      </c>
      <c r="AZ83" s="300">
        <f t="shared" si="60"/>
        <v>0</v>
      </c>
      <c r="BA83" s="300">
        <f t="shared" si="61"/>
        <v>0</v>
      </c>
      <c r="BB83" s="300">
        <f t="shared" si="62"/>
        <v>0</v>
      </c>
      <c r="BC83" s="301">
        <f t="shared" si="63"/>
        <v>0</v>
      </c>
      <c r="BD83" s="295" t="s">
        <v>764</v>
      </c>
      <c r="BE83" s="302" t="str">
        <f t="shared" si="64"/>
        <v>Exhibit 1.5A_R North Shore EEPS_Adjustable_Savings_Goal_Template.xlsx, Unit Savings Calculations Tab</v>
      </c>
      <c r="BF83" s="304"/>
    </row>
    <row r="84" spans="1:58" ht="15.75" customHeight="1">
      <c r="A84" s="295" t="str">
        <f>'Unit Savings Calculations'!C80</f>
        <v>Res - MF Standard Rebates</v>
      </c>
      <c r="B84" s="295" t="str">
        <f>'Unit Savings Calculations'!D80</f>
        <v>Ozone Laundry</v>
      </c>
      <c r="C84" s="296">
        <f t="shared" si="65"/>
        <v>1</v>
      </c>
      <c r="D84" s="295" t="str">
        <f>'Unit Savings Calculations'!T80</f>
        <v>4.3.6</v>
      </c>
      <c r="E84" s="460">
        <f>INDEX('Unit Savings Calculations'!$H$4:$H$421,MATCH('Measure-Level Adjustments Tab'!$A84&amp;"_"&amp;'Measure-Level Adjustments Tab'!$B84,'Unit Savings Calculations'!$A$4:$A$421,0))</f>
        <v>10</v>
      </c>
      <c r="F84" s="460">
        <f>INDEX('Unit Savings Calculations'!$I$4:$I$421,MATCH('Measure-Level Adjustments Tab'!A84&amp;"_"&amp;'Measure-Level Adjustments Tab'!B84,'Unit Savings Calculations'!$A$4:$A$421,0))</f>
        <v>10</v>
      </c>
      <c r="G84" s="295" t="str">
        <f>'Unit Savings Calculations'!E80</f>
        <v>lb-capacity</v>
      </c>
      <c r="H84" s="297">
        <f>'Unit Savings Calculations'!$F80*'Unit Savings Calculations'!J80</f>
        <v>0</v>
      </c>
      <c r="I84" s="297">
        <f>'Unit Savings Calculations'!$F80*'Unit Savings Calculations'!K80</f>
        <v>0</v>
      </c>
      <c r="J84" s="297">
        <f>'Unit Savings Calculations'!$F80*'Unit Savings Calculations'!L80</f>
        <v>0</v>
      </c>
      <c r="K84" s="297">
        <f>'Unit Savings Calculations'!$F80*'Unit Savings Calculations'!M80</f>
        <v>0</v>
      </c>
      <c r="L84" s="295" t="str">
        <f>'Unit Savings Calculations'!U80</f>
        <v>CI-HW-OZLD-VO1-140601</v>
      </c>
      <c r="M84" s="405" t="str">
        <f>'Unit Savings Calculations'!R80</f>
        <v>Exhibit 1.5A_R North Shore EEPS_Adjustable_Savings_Goal_Template.xlsx, Unit Savings Calculations Tab</v>
      </c>
      <c r="N84" s="298">
        <v>30.722664192350027</v>
      </c>
      <c r="O84" s="298">
        <v>30.722664192350027</v>
      </c>
      <c r="P84" s="298">
        <v>30.722664192350027</v>
      </c>
      <c r="Q84" s="298">
        <v>30.722664192350027</v>
      </c>
      <c r="R84" s="299">
        <f>'Unit Savings Calculations'!$G80</f>
        <v>0.76</v>
      </c>
      <c r="S84" s="299">
        <f>'Unit Savings Calculations'!$G80</f>
        <v>0.76</v>
      </c>
      <c r="T84" s="299">
        <f>'Unit Savings Calculations'!$G80</f>
        <v>0.76</v>
      </c>
      <c r="U84" s="299">
        <f>'Unit Savings Calculations'!$G80</f>
        <v>0.76</v>
      </c>
      <c r="V84" s="300">
        <f t="shared" si="44"/>
        <v>0</v>
      </c>
      <c r="W84" s="300">
        <f t="shared" si="45"/>
        <v>0</v>
      </c>
      <c r="X84" s="300">
        <f t="shared" si="46"/>
        <v>0</v>
      </c>
      <c r="Y84" s="300">
        <f t="shared" si="47"/>
        <v>0</v>
      </c>
      <c r="Z84" s="300">
        <f t="shared" si="48"/>
        <v>0</v>
      </c>
      <c r="AA84" s="295"/>
      <c r="AB84" s="295"/>
      <c r="AC84" s="298">
        <f>'Unit Savings Calculations'!N80</f>
        <v>13.190532978680915</v>
      </c>
      <c r="AD84" s="295"/>
      <c r="AE84" s="300">
        <f t="shared" si="49"/>
        <v>0</v>
      </c>
      <c r="AF84" s="297">
        <f t="shared" si="50"/>
        <v>0</v>
      </c>
      <c r="AG84" s="295"/>
      <c r="AH84" s="295">
        <f t="shared" si="51"/>
        <v>0</v>
      </c>
      <c r="AI84" s="298">
        <f>'Unit Savings Calculations'!O80</f>
        <v>13.190532978680915</v>
      </c>
      <c r="AJ84" s="405" t="s">
        <v>879</v>
      </c>
      <c r="AK84" s="300">
        <f t="shared" si="52"/>
        <v>0</v>
      </c>
      <c r="AL84" s="297">
        <f t="shared" si="53"/>
        <v>0</v>
      </c>
      <c r="AM84" s="295"/>
      <c r="AN84" s="295"/>
      <c r="AO84" s="298">
        <f>'Unit Savings Calculations'!P80</f>
        <v>13.190532978680915</v>
      </c>
      <c r="AP84" s="405" t="s">
        <v>764</v>
      </c>
      <c r="AQ84" s="300">
        <f t="shared" si="54"/>
        <v>0</v>
      </c>
      <c r="AR84" s="297">
        <f t="shared" si="55"/>
        <v>0</v>
      </c>
      <c r="AS84" s="295"/>
      <c r="AT84" s="295"/>
      <c r="AU84" s="298">
        <f>'Unit Savings Calculations'!Q80</f>
        <v>13.190532978680915</v>
      </c>
      <c r="AV84" s="405" t="str">
        <f t="shared" si="56"/>
        <v>n/a</v>
      </c>
      <c r="AW84" s="300">
        <f t="shared" si="57"/>
        <v>0</v>
      </c>
      <c r="AX84" s="297">
        <f t="shared" si="58"/>
        <v>0</v>
      </c>
      <c r="AY84" s="300">
        <f t="shared" si="59"/>
        <v>0</v>
      </c>
      <c r="AZ84" s="300">
        <f t="shared" si="60"/>
        <v>0</v>
      </c>
      <c r="BA84" s="300">
        <f t="shared" si="61"/>
        <v>0</v>
      </c>
      <c r="BB84" s="300">
        <f t="shared" si="62"/>
        <v>0</v>
      </c>
      <c r="BC84" s="301">
        <f t="shared" si="63"/>
        <v>0</v>
      </c>
      <c r="BD84" s="295" t="s">
        <v>764</v>
      </c>
      <c r="BE84" s="302" t="str">
        <f t="shared" si="64"/>
        <v>Exhibit 1.5A_R North Shore EEPS_Adjustable_Savings_Goal_Template.xlsx, Unit Savings Calculations Tab</v>
      </c>
      <c r="BF84" s="304"/>
    </row>
    <row r="85" spans="1:58" ht="15.75" customHeight="1">
      <c r="A85" s="295" t="str">
        <f>'Unit Savings Calculations'!C81</f>
        <v>Res - MF Standard Rebates</v>
      </c>
      <c r="B85" s="295" t="str">
        <f>'Unit Savings Calculations'!D81</f>
        <v>Pipe Insulation - Hyd. Boiler Sm &lt;=1.25"</v>
      </c>
      <c r="C85" s="296">
        <f t="shared" si="65"/>
        <v>1</v>
      </c>
      <c r="D85" s="295" t="str">
        <f>'Unit Savings Calculations'!T81</f>
        <v>4.4.14</v>
      </c>
      <c r="E85" s="460">
        <f>INDEX('Unit Savings Calculations'!$H$4:$H$421,MATCH('Measure-Level Adjustments Tab'!$A85&amp;"_"&amp;'Measure-Level Adjustments Tab'!$B85,'Unit Savings Calculations'!$A$4:$A$421,0))</f>
        <v>15</v>
      </c>
      <c r="F85" s="460">
        <f>INDEX('Unit Savings Calculations'!$I$4:$I$421,MATCH('Measure-Level Adjustments Tab'!A85&amp;"_"&amp;'Measure-Level Adjustments Tab'!B85,'Unit Savings Calculations'!$A$4:$A$421,0))</f>
        <v>15</v>
      </c>
      <c r="G85" s="295" t="str">
        <f>'Unit Savings Calculations'!E81</f>
        <v>ft</v>
      </c>
      <c r="H85" s="297">
        <f>'Unit Savings Calculations'!$F81*'Unit Savings Calculations'!J81</f>
        <v>0</v>
      </c>
      <c r="I85" s="297">
        <f>'Unit Savings Calculations'!$F81*'Unit Savings Calculations'!K81</f>
        <v>0</v>
      </c>
      <c r="J85" s="297">
        <f>'Unit Savings Calculations'!$F81*'Unit Savings Calculations'!L81</f>
        <v>0</v>
      </c>
      <c r="K85" s="297">
        <f>'Unit Savings Calculations'!$F81*'Unit Savings Calculations'!M81</f>
        <v>0</v>
      </c>
      <c r="L85" s="295" t="str">
        <f>'Unit Savings Calculations'!U81</f>
        <v>CI-HVC-PINS-V04-160601</v>
      </c>
      <c r="M85" s="405" t="str">
        <f>'Unit Savings Calculations'!R81</f>
        <v>Exhibit 1.5A_R North Shore EEPS_Adjustable_Savings_Goal_Template.xlsx, Pipe Insulation Detail Tab</v>
      </c>
      <c r="N85" s="298">
        <v>2.3011493874643869</v>
      </c>
      <c r="O85" s="298">
        <v>2.3011493874643869</v>
      </c>
      <c r="P85" s="298">
        <v>2.3011493874643869</v>
      </c>
      <c r="Q85" s="298">
        <v>2.3011493874643869</v>
      </c>
      <c r="R85" s="299">
        <f>'Unit Savings Calculations'!$G81</f>
        <v>0.76</v>
      </c>
      <c r="S85" s="299">
        <f>'Unit Savings Calculations'!$G81</f>
        <v>0.76</v>
      </c>
      <c r="T85" s="299">
        <f>'Unit Savings Calculations'!$G81</f>
        <v>0.76</v>
      </c>
      <c r="U85" s="299">
        <f>'Unit Savings Calculations'!$G81</f>
        <v>0.76</v>
      </c>
      <c r="V85" s="300">
        <f t="shared" si="44"/>
        <v>0</v>
      </c>
      <c r="W85" s="300">
        <f t="shared" si="45"/>
        <v>0</v>
      </c>
      <c r="X85" s="300">
        <f t="shared" si="46"/>
        <v>0</v>
      </c>
      <c r="Y85" s="300">
        <f t="shared" si="47"/>
        <v>0</v>
      </c>
      <c r="Z85" s="300">
        <f t="shared" si="48"/>
        <v>0</v>
      </c>
      <c r="AA85" s="295"/>
      <c r="AB85" s="295"/>
      <c r="AC85" s="298">
        <f>'Unit Savings Calculations'!N81</f>
        <v>2.3011493874643869</v>
      </c>
      <c r="AD85" s="295"/>
      <c r="AE85" s="300">
        <f t="shared" si="49"/>
        <v>0</v>
      </c>
      <c r="AF85" s="297">
        <f t="shared" si="50"/>
        <v>0</v>
      </c>
      <c r="AG85" s="295"/>
      <c r="AH85" s="295">
        <f t="shared" si="51"/>
        <v>0</v>
      </c>
      <c r="AI85" s="298">
        <f>'Unit Savings Calculations'!O81</f>
        <v>2.3011493874643869</v>
      </c>
      <c r="AJ85" s="405" t="s">
        <v>879</v>
      </c>
      <c r="AK85" s="300">
        <f t="shared" si="52"/>
        <v>0</v>
      </c>
      <c r="AL85" s="297">
        <f t="shared" si="53"/>
        <v>0</v>
      </c>
      <c r="AM85" s="295"/>
      <c r="AN85" s="295"/>
      <c r="AO85" s="298">
        <f>'Unit Savings Calculations'!P81</f>
        <v>2.3011493874643869</v>
      </c>
      <c r="AP85" s="405" t="s">
        <v>764</v>
      </c>
      <c r="AQ85" s="300">
        <f t="shared" si="54"/>
        <v>0</v>
      </c>
      <c r="AR85" s="297">
        <f t="shared" si="55"/>
        <v>0</v>
      </c>
      <c r="AS85" s="295"/>
      <c r="AT85" s="295"/>
      <c r="AU85" s="298">
        <f>'Unit Savings Calculations'!Q81</f>
        <v>2.3011493874643869</v>
      </c>
      <c r="AV85" s="405" t="str">
        <f t="shared" si="56"/>
        <v>n/a</v>
      </c>
      <c r="AW85" s="300">
        <f t="shared" si="57"/>
        <v>0</v>
      </c>
      <c r="AX85" s="297">
        <f t="shared" si="58"/>
        <v>0</v>
      </c>
      <c r="AY85" s="300">
        <f t="shared" si="59"/>
        <v>0</v>
      </c>
      <c r="AZ85" s="300">
        <f t="shared" si="60"/>
        <v>0</v>
      </c>
      <c r="BA85" s="300">
        <f t="shared" si="61"/>
        <v>0</v>
      </c>
      <c r="BB85" s="300">
        <f t="shared" si="62"/>
        <v>0</v>
      </c>
      <c r="BC85" s="301">
        <f t="shared" si="63"/>
        <v>0</v>
      </c>
      <c r="BD85" s="295" t="s">
        <v>764</v>
      </c>
      <c r="BE85" s="302" t="str">
        <f t="shared" si="64"/>
        <v>Exhibit 1.5A_R North Shore EEPS_Adjustable_Savings_Goal_Template.xlsx, Pipe Insulation Detail Tab</v>
      </c>
      <c r="BF85" s="304"/>
    </row>
    <row r="86" spans="1:58" ht="15.75" customHeight="1">
      <c r="A86" s="295" t="str">
        <f>'Unit Savings Calculations'!C82</f>
        <v>Res - MF Standard Rebates</v>
      </c>
      <c r="B86" s="295" t="str">
        <f>'Unit Savings Calculations'!D82</f>
        <v>Pipe Insulation - Hyd. Boiler Med 1.25-2"</v>
      </c>
      <c r="C86" s="296">
        <f t="shared" si="65"/>
        <v>1</v>
      </c>
      <c r="D86" s="295" t="str">
        <f>'Unit Savings Calculations'!T82</f>
        <v>4.4.14</v>
      </c>
      <c r="E86" s="460">
        <f>INDEX('Unit Savings Calculations'!$H$4:$H$421,MATCH('Measure-Level Adjustments Tab'!$A86&amp;"_"&amp;'Measure-Level Adjustments Tab'!$B86,'Unit Savings Calculations'!$A$4:$A$421,0))</f>
        <v>15</v>
      </c>
      <c r="F86" s="460">
        <f>INDEX('Unit Savings Calculations'!$I$4:$I$421,MATCH('Measure-Level Adjustments Tab'!A86&amp;"_"&amp;'Measure-Level Adjustments Tab'!B86,'Unit Savings Calculations'!$A$4:$A$421,0))</f>
        <v>15</v>
      </c>
      <c r="G86" s="295" t="str">
        <f>'Unit Savings Calculations'!E82</f>
        <v>ft</v>
      </c>
      <c r="H86" s="297">
        <f>'Unit Savings Calculations'!$F82*'Unit Savings Calculations'!J82</f>
        <v>0</v>
      </c>
      <c r="I86" s="297">
        <f>'Unit Savings Calculations'!$F82*'Unit Savings Calculations'!K82</f>
        <v>0</v>
      </c>
      <c r="J86" s="297">
        <f>'Unit Savings Calculations'!$F82*'Unit Savings Calculations'!L82</f>
        <v>0</v>
      </c>
      <c r="K86" s="297">
        <f>'Unit Savings Calculations'!$F82*'Unit Savings Calculations'!M82</f>
        <v>0</v>
      </c>
      <c r="L86" s="295" t="str">
        <f>'Unit Savings Calculations'!U82</f>
        <v>CI-HVC-PINS-V04-160601</v>
      </c>
      <c r="M86" s="405" t="str">
        <f>'Unit Savings Calculations'!R82</f>
        <v>Exhibit 1.5A_R North Shore EEPS_Adjustable_Savings_Goal_Template.xlsx, Pipe Insulation Detail Tab</v>
      </c>
      <c r="N86" s="298">
        <v>3.6034773504273505</v>
      </c>
      <c r="O86" s="298">
        <v>3.6034773504273505</v>
      </c>
      <c r="P86" s="298">
        <v>3.6034773504273505</v>
      </c>
      <c r="Q86" s="298">
        <v>3.6034773504273505</v>
      </c>
      <c r="R86" s="299">
        <f>'Unit Savings Calculations'!$G82</f>
        <v>0.76</v>
      </c>
      <c r="S86" s="299">
        <f>'Unit Savings Calculations'!$G82</f>
        <v>0.76</v>
      </c>
      <c r="T86" s="299">
        <f>'Unit Savings Calculations'!$G82</f>
        <v>0.76</v>
      </c>
      <c r="U86" s="299">
        <f>'Unit Savings Calculations'!$G82</f>
        <v>0.76</v>
      </c>
      <c r="V86" s="300">
        <f t="shared" si="44"/>
        <v>0</v>
      </c>
      <c r="W86" s="300">
        <f t="shared" si="45"/>
        <v>0</v>
      </c>
      <c r="X86" s="300">
        <f t="shared" si="46"/>
        <v>0</v>
      </c>
      <c r="Y86" s="300">
        <f t="shared" si="47"/>
        <v>0</v>
      </c>
      <c r="Z86" s="300">
        <f t="shared" si="48"/>
        <v>0</v>
      </c>
      <c r="AA86" s="295"/>
      <c r="AB86" s="295"/>
      <c r="AC86" s="298">
        <f>'Unit Savings Calculations'!N82</f>
        <v>3.6034773504273505</v>
      </c>
      <c r="AD86" s="295"/>
      <c r="AE86" s="300">
        <f t="shared" si="49"/>
        <v>0</v>
      </c>
      <c r="AF86" s="297">
        <f t="shared" si="50"/>
        <v>0</v>
      </c>
      <c r="AG86" s="295"/>
      <c r="AH86" s="295">
        <f t="shared" si="51"/>
        <v>0</v>
      </c>
      <c r="AI86" s="298">
        <f>'Unit Savings Calculations'!O82</f>
        <v>3.6034773504273505</v>
      </c>
      <c r="AJ86" s="405" t="s">
        <v>879</v>
      </c>
      <c r="AK86" s="300">
        <f t="shared" si="52"/>
        <v>0</v>
      </c>
      <c r="AL86" s="297">
        <f t="shared" si="53"/>
        <v>0</v>
      </c>
      <c r="AM86" s="295"/>
      <c r="AN86" s="295"/>
      <c r="AO86" s="298">
        <f>'Unit Savings Calculations'!P82</f>
        <v>3.6034773504273505</v>
      </c>
      <c r="AP86" s="405" t="s">
        <v>764</v>
      </c>
      <c r="AQ86" s="300">
        <f t="shared" si="54"/>
        <v>0</v>
      </c>
      <c r="AR86" s="297">
        <f t="shared" si="55"/>
        <v>0</v>
      </c>
      <c r="AS86" s="295"/>
      <c r="AT86" s="295"/>
      <c r="AU86" s="298">
        <f>'Unit Savings Calculations'!Q82</f>
        <v>3.6034773504273505</v>
      </c>
      <c r="AV86" s="405" t="str">
        <f t="shared" si="56"/>
        <v>n/a</v>
      </c>
      <c r="AW86" s="300">
        <f t="shared" si="57"/>
        <v>0</v>
      </c>
      <c r="AX86" s="297">
        <f t="shared" si="58"/>
        <v>0</v>
      </c>
      <c r="AY86" s="300">
        <f t="shared" si="59"/>
        <v>0</v>
      </c>
      <c r="AZ86" s="300">
        <f t="shared" si="60"/>
        <v>0</v>
      </c>
      <c r="BA86" s="300">
        <f t="shared" si="61"/>
        <v>0</v>
      </c>
      <c r="BB86" s="300">
        <f t="shared" si="62"/>
        <v>0</v>
      </c>
      <c r="BC86" s="301">
        <f t="shared" si="63"/>
        <v>0</v>
      </c>
      <c r="BD86" s="295" t="s">
        <v>764</v>
      </c>
      <c r="BE86" s="302" t="str">
        <f t="shared" si="64"/>
        <v>Exhibit 1.5A_R North Shore EEPS_Adjustable_Savings_Goal_Template.xlsx, Pipe Insulation Detail Tab</v>
      </c>
      <c r="BF86" s="304"/>
    </row>
    <row r="87" spans="1:58" ht="15.75" customHeight="1">
      <c r="A87" s="295" t="str">
        <f>'Unit Savings Calculations'!C83</f>
        <v>Res - MF Standard Rebates</v>
      </c>
      <c r="B87" s="295" t="str">
        <f>'Unit Savings Calculations'!D83</f>
        <v>Pipe Insulation - Hyd. Boiler Large ≥2"</v>
      </c>
      <c r="C87" s="296">
        <f t="shared" ref="C87:C150" si="66">IF(D87="Custom",0,1)</f>
        <v>1</v>
      </c>
      <c r="D87" s="295" t="str">
        <f>'Unit Savings Calculations'!T83</f>
        <v>4.4.14</v>
      </c>
      <c r="E87" s="460">
        <f>INDEX('Unit Savings Calculations'!$H$4:$H$421,MATCH('Measure-Level Adjustments Tab'!$A87&amp;"_"&amp;'Measure-Level Adjustments Tab'!$B87,'Unit Savings Calculations'!$A$4:$A$421,0))</f>
        <v>15</v>
      </c>
      <c r="F87" s="460">
        <f>INDEX('Unit Savings Calculations'!$I$4:$I$421,MATCH('Measure-Level Adjustments Tab'!A87&amp;"_"&amp;'Measure-Level Adjustments Tab'!B87,'Unit Savings Calculations'!$A$4:$A$421,0))</f>
        <v>15</v>
      </c>
      <c r="G87" s="295" t="str">
        <f>'Unit Savings Calculations'!E83</f>
        <v>ft</v>
      </c>
      <c r="H87" s="297">
        <f>'Unit Savings Calculations'!$F83*'Unit Savings Calculations'!J83</f>
        <v>0</v>
      </c>
      <c r="I87" s="297">
        <f>'Unit Savings Calculations'!$F83*'Unit Savings Calculations'!K83</f>
        <v>0</v>
      </c>
      <c r="J87" s="297">
        <f>'Unit Savings Calculations'!$F83*'Unit Savings Calculations'!L83</f>
        <v>0</v>
      </c>
      <c r="K87" s="297">
        <f>'Unit Savings Calculations'!$F83*'Unit Savings Calculations'!M83</f>
        <v>0</v>
      </c>
      <c r="L87" s="295" t="str">
        <f>'Unit Savings Calculations'!U83</f>
        <v>CI-HVC-PINS-V04-160601</v>
      </c>
      <c r="M87" s="405" t="str">
        <f>'Unit Savings Calculations'!R83</f>
        <v>Exhibit 1.5A_R North Shore EEPS_Adjustable_Savings_Goal_Template.xlsx, Pipe Insulation Detail Tab</v>
      </c>
      <c r="N87" s="298">
        <v>6.1867824786324785</v>
      </c>
      <c r="O87" s="298">
        <v>6.1867824786324785</v>
      </c>
      <c r="P87" s="298">
        <v>6.1867824786324785</v>
      </c>
      <c r="Q87" s="298">
        <v>6.1867824786324785</v>
      </c>
      <c r="R87" s="299">
        <f>'Unit Savings Calculations'!$G83</f>
        <v>0.76</v>
      </c>
      <c r="S87" s="299">
        <f>'Unit Savings Calculations'!$G83</f>
        <v>0.76</v>
      </c>
      <c r="T87" s="299">
        <f>'Unit Savings Calculations'!$G83</f>
        <v>0.76</v>
      </c>
      <c r="U87" s="299">
        <f>'Unit Savings Calculations'!$G83</f>
        <v>0.76</v>
      </c>
      <c r="V87" s="300">
        <f t="shared" si="44"/>
        <v>0</v>
      </c>
      <c r="W87" s="300">
        <f t="shared" si="45"/>
        <v>0</v>
      </c>
      <c r="X87" s="300">
        <f t="shared" si="46"/>
        <v>0</v>
      </c>
      <c r="Y87" s="300">
        <f t="shared" si="47"/>
        <v>0</v>
      </c>
      <c r="Z87" s="300">
        <f t="shared" si="48"/>
        <v>0</v>
      </c>
      <c r="AA87" s="295"/>
      <c r="AB87" s="295"/>
      <c r="AC87" s="298">
        <f>'Unit Savings Calculations'!N83</f>
        <v>6.1867824786324785</v>
      </c>
      <c r="AD87" s="295"/>
      <c r="AE87" s="300">
        <f t="shared" si="49"/>
        <v>0</v>
      </c>
      <c r="AF87" s="297">
        <f t="shared" si="50"/>
        <v>0</v>
      </c>
      <c r="AG87" s="295"/>
      <c r="AH87" s="295">
        <f t="shared" si="51"/>
        <v>0</v>
      </c>
      <c r="AI87" s="298">
        <f>'Unit Savings Calculations'!O83</f>
        <v>6.1867824786324785</v>
      </c>
      <c r="AJ87" s="405" t="s">
        <v>879</v>
      </c>
      <c r="AK87" s="300">
        <f t="shared" si="52"/>
        <v>0</v>
      </c>
      <c r="AL87" s="297">
        <f t="shared" si="53"/>
        <v>0</v>
      </c>
      <c r="AM87" s="295"/>
      <c r="AN87" s="295"/>
      <c r="AO87" s="298">
        <f>'Unit Savings Calculations'!P83</f>
        <v>6.1867824786324785</v>
      </c>
      <c r="AP87" s="405" t="s">
        <v>764</v>
      </c>
      <c r="AQ87" s="300">
        <f t="shared" si="54"/>
        <v>0</v>
      </c>
      <c r="AR87" s="297">
        <f t="shared" si="55"/>
        <v>0</v>
      </c>
      <c r="AS87" s="295"/>
      <c r="AT87" s="295"/>
      <c r="AU87" s="298">
        <f>'Unit Savings Calculations'!Q83</f>
        <v>6.1867824786324785</v>
      </c>
      <c r="AV87" s="405" t="str">
        <f t="shared" si="56"/>
        <v>n/a</v>
      </c>
      <c r="AW87" s="300">
        <f t="shared" si="57"/>
        <v>0</v>
      </c>
      <c r="AX87" s="297">
        <f t="shared" si="58"/>
        <v>0</v>
      </c>
      <c r="AY87" s="300">
        <f t="shared" si="59"/>
        <v>0</v>
      </c>
      <c r="AZ87" s="300">
        <f t="shared" si="60"/>
        <v>0</v>
      </c>
      <c r="BA87" s="300">
        <f t="shared" si="61"/>
        <v>0</v>
      </c>
      <c r="BB87" s="300">
        <f t="shared" si="62"/>
        <v>0</v>
      </c>
      <c r="BC87" s="301">
        <f t="shared" si="63"/>
        <v>0</v>
      </c>
      <c r="BD87" s="295" t="s">
        <v>764</v>
      </c>
      <c r="BE87" s="302" t="str">
        <f t="shared" si="64"/>
        <v>Exhibit 1.5A_R North Shore EEPS_Adjustable_Savings_Goal_Template.xlsx, Pipe Insulation Detail Tab</v>
      </c>
      <c r="BF87" s="304"/>
    </row>
    <row r="88" spans="1:58" ht="15.75" customHeight="1">
      <c r="A88" s="295" t="str">
        <f>'Unit Savings Calculations'!C84</f>
        <v>Res - MF Standard Rebates</v>
      </c>
      <c r="B88" s="295" t="str">
        <f>'Unit Savings Calculations'!D84</f>
        <v>Pipe Insulation - HW Small 1" to 2"</v>
      </c>
      <c r="C88" s="296">
        <f t="shared" si="66"/>
        <v>1</v>
      </c>
      <c r="D88" s="295" t="str">
        <f>'Unit Savings Calculations'!T84</f>
        <v>4.4.14</v>
      </c>
      <c r="E88" s="460">
        <f>INDEX('Unit Savings Calculations'!$H$4:$H$421,MATCH('Measure-Level Adjustments Tab'!$A88&amp;"_"&amp;'Measure-Level Adjustments Tab'!$B88,'Unit Savings Calculations'!$A$4:$A$421,0))</f>
        <v>15</v>
      </c>
      <c r="F88" s="460">
        <f>INDEX('Unit Savings Calculations'!$I$4:$I$421,MATCH('Measure-Level Adjustments Tab'!A88&amp;"_"&amp;'Measure-Level Adjustments Tab'!B88,'Unit Savings Calculations'!$A$4:$A$421,0))</f>
        <v>15</v>
      </c>
      <c r="G88" s="295" t="str">
        <f>'Unit Savings Calculations'!E84</f>
        <v>ft</v>
      </c>
      <c r="H88" s="297">
        <f>'Unit Savings Calculations'!$F84*'Unit Savings Calculations'!J84</f>
        <v>0</v>
      </c>
      <c r="I88" s="297">
        <f>'Unit Savings Calculations'!$F84*'Unit Savings Calculations'!K84</f>
        <v>0</v>
      </c>
      <c r="J88" s="297">
        <f>'Unit Savings Calculations'!$F84*'Unit Savings Calculations'!L84</f>
        <v>0</v>
      </c>
      <c r="K88" s="297">
        <f>'Unit Savings Calculations'!$F84*'Unit Savings Calculations'!M84</f>
        <v>0</v>
      </c>
      <c r="L88" s="295" t="str">
        <f>'Unit Savings Calculations'!U84</f>
        <v>CI-HVC-PINS-V04-160601</v>
      </c>
      <c r="M88" s="405" t="str">
        <f>'Unit Savings Calculations'!R84</f>
        <v>Exhibit 1.5A_R North Shore EEPS_Adjustable_Savings_Goal_Template.xlsx, Pipe Insulation Detail Tab</v>
      </c>
      <c r="N88" s="298">
        <v>3.1358228800964363</v>
      </c>
      <c r="O88" s="298">
        <v>3.1358228800964363</v>
      </c>
      <c r="P88" s="298">
        <v>3.1358228800964363</v>
      </c>
      <c r="Q88" s="298">
        <v>3.1358228800964363</v>
      </c>
      <c r="R88" s="299">
        <f>'Unit Savings Calculations'!$G84</f>
        <v>0.76</v>
      </c>
      <c r="S88" s="299">
        <f>'Unit Savings Calculations'!$G84</f>
        <v>0.76</v>
      </c>
      <c r="T88" s="299">
        <f>'Unit Savings Calculations'!$G84</f>
        <v>0.76</v>
      </c>
      <c r="U88" s="299">
        <f>'Unit Savings Calculations'!$G84</f>
        <v>0.76</v>
      </c>
      <c r="V88" s="300">
        <f t="shared" si="44"/>
        <v>0</v>
      </c>
      <c r="W88" s="300">
        <f t="shared" si="45"/>
        <v>0</v>
      </c>
      <c r="X88" s="300">
        <f t="shared" si="46"/>
        <v>0</v>
      </c>
      <c r="Y88" s="300">
        <f t="shared" si="47"/>
        <v>0</v>
      </c>
      <c r="Z88" s="300">
        <f t="shared" si="48"/>
        <v>0</v>
      </c>
      <c r="AA88" s="295"/>
      <c r="AB88" s="295"/>
      <c r="AC88" s="298">
        <f>'Unit Savings Calculations'!N84</f>
        <v>3.1358228800964363</v>
      </c>
      <c r="AD88" s="295"/>
      <c r="AE88" s="300">
        <f t="shared" si="49"/>
        <v>0</v>
      </c>
      <c r="AF88" s="297">
        <f t="shared" si="50"/>
        <v>0</v>
      </c>
      <c r="AG88" s="295"/>
      <c r="AH88" s="295">
        <f t="shared" si="51"/>
        <v>0</v>
      </c>
      <c r="AI88" s="298">
        <f>'Unit Savings Calculations'!O84</f>
        <v>3.1358228800964363</v>
      </c>
      <c r="AJ88" s="405" t="s">
        <v>879</v>
      </c>
      <c r="AK88" s="300">
        <f t="shared" si="52"/>
        <v>0</v>
      </c>
      <c r="AL88" s="297">
        <f t="shared" si="53"/>
        <v>0</v>
      </c>
      <c r="AM88" s="295"/>
      <c r="AN88" s="295"/>
      <c r="AO88" s="298">
        <f>'Unit Savings Calculations'!P84</f>
        <v>3.1358228800964363</v>
      </c>
      <c r="AP88" s="405" t="s">
        <v>764</v>
      </c>
      <c r="AQ88" s="300">
        <f t="shared" si="54"/>
        <v>0</v>
      </c>
      <c r="AR88" s="297">
        <f t="shared" si="55"/>
        <v>0</v>
      </c>
      <c r="AS88" s="295"/>
      <c r="AT88" s="295"/>
      <c r="AU88" s="298">
        <f>'Unit Savings Calculations'!Q84</f>
        <v>3.1358228800964363</v>
      </c>
      <c r="AV88" s="405" t="str">
        <f t="shared" si="56"/>
        <v>n/a</v>
      </c>
      <c r="AW88" s="300">
        <f t="shared" si="57"/>
        <v>0</v>
      </c>
      <c r="AX88" s="297">
        <f t="shared" si="58"/>
        <v>0</v>
      </c>
      <c r="AY88" s="300">
        <f t="shared" si="59"/>
        <v>0</v>
      </c>
      <c r="AZ88" s="300">
        <f t="shared" si="60"/>
        <v>0</v>
      </c>
      <c r="BA88" s="300">
        <f t="shared" si="61"/>
        <v>0</v>
      </c>
      <c r="BB88" s="300">
        <f t="shared" si="62"/>
        <v>0</v>
      </c>
      <c r="BC88" s="301">
        <f t="shared" si="63"/>
        <v>0</v>
      </c>
      <c r="BD88" s="295" t="s">
        <v>764</v>
      </c>
      <c r="BE88" s="302" t="str">
        <f t="shared" si="64"/>
        <v>Exhibit 1.5A_R North Shore EEPS_Adjustable_Savings_Goal_Template.xlsx, Pipe Insulation Detail Tab</v>
      </c>
      <c r="BF88" s="304"/>
    </row>
    <row r="89" spans="1:58" ht="15.75" customHeight="1">
      <c r="A89" s="295" t="str">
        <f>'Unit Savings Calculations'!C85</f>
        <v>Res - MF Standard Rebates</v>
      </c>
      <c r="B89" s="295" t="str">
        <f>'Unit Savings Calculations'!D85</f>
        <v>Pipe Insulation - HW Medium 2.1" to 4"</v>
      </c>
      <c r="C89" s="296">
        <f t="shared" si="66"/>
        <v>1</v>
      </c>
      <c r="D89" s="295" t="str">
        <f>'Unit Savings Calculations'!T85</f>
        <v>4.4.14</v>
      </c>
      <c r="E89" s="460">
        <f>INDEX('Unit Savings Calculations'!$H$4:$H$421,MATCH('Measure-Level Adjustments Tab'!$A89&amp;"_"&amp;'Measure-Level Adjustments Tab'!$B89,'Unit Savings Calculations'!$A$4:$A$421,0))</f>
        <v>15</v>
      </c>
      <c r="F89" s="460">
        <f>INDEX('Unit Savings Calculations'!$I$4:$I$421,MATCH('Measure-Level Adjustments Tab'!A89&amp;"_"&amp;'Measure-Level Adjustments Tab'!B89,'Unit Savings Calculations'!$A$4:$A$421,0))</f>
        <v>15</v>
      </c>
      <c r="G89" s="295" t="str">
        <f>'Unit Savings Calculations'!E85</f>
        <v>ft</v>
      </c>
      <c r="H89" s="297">
        <f>'Unit Savings Calculations'!$F85*'Unit Savings Calculations'!J85</f>
        <v>0</v>
      </c>
      <c r="I89" s="297">
        <f>'Unit Savings Calculations'!$F85*'Unit Savings Calculations'!K85</f>
        <v>0</v>
      </c>
      <c r="J89" s="297">
        <f>'Unit Savings Calculations'!$F85*'Unit Savings Calculations'!L85</f>
        <v>0</v>
      </c>
      <c r="K89" s="297">
        <f>'Unit Savings Calculations'!$F85*'Unit Savings Calculations'!M85</f>
        <v>0</v>
      </c>
      <c r="L89" s="295" t="str">
        <f>'Unit Savings Calculations'!U85</f>
        <v>CI-HVC-PINS-V04-160601</v>
      </c>
      <c r="M89" s="405" t="str">
        <f>'Unit Savings Calculations'!R85</f>
        <v>Exhibit 1.5A_R North Shore EEPS_Adjustable_Savings_Goal_Template.xlsx, Pipe Insulation Detail Tab</v>
      </c>
      <c r="N89" s="298">
        <v>6.1942373572810965</v>
      </c>
      <c r="O89" s="298">
        <v>6.1942373572810965</v>
      </c>
      <c r="P89" s="298">
        <v>6.1942373572810965</v>
      </c>
      <c r="Q89" s="298">
        <v>6.1942373572810965</v>
      </c>
      <c r="R89" s="299">
        <f>'Unit Savings Calculations'!$G85</f>
        <v>0.76</v>
      </c>
      <c r="S89" s="299">
        <f>'Unit Savings Calculations'!$G85</f>
        <v>0.76</v>
      </c>
      <c r="T89" s="299">
        <f>'Unit Savings Calculations'!$G85</f>
        <v>0.76</v>
      </c>
      <c r="U89" s="299">
        <f>'Unit Savings Calculations'!$G85</f>
        <v>0.76</v>
      </c>
      <c r="V89" s="300">
        <f t="shared" si="44"/>
        <v>0</v>
      </c>
      <c r="W89" s="300">
        <f t="shared" si="45"/>
        <v>0</v>
      </c>
      <c r="X89" s="300">
        <f t="shared" si="46"/>
        <v>0</v>
      </c>
      <c r="Y89" s="300">
        <f t="shared" si="47"/>
        <v>0</v>
      </c>
      <c r="Z89" s="300">
        <f t="shared" si="48"/>
        <v>0</v>
      </c>
      <c r="AA89" s="295"/>
      <c r="AB89" s="295"/>
      <c r="AC89" s="298">
        <f>'Unit Savings Calculations'!N85</f>
        <v>6.1942373572810965</v>
      </c>
      <c r="AD89" s="295"/>
      <c r="AE89" s="300">
        <f t="shared" si="49"/>
        <v>0</v>
      </c>
      <c r="AF89" s="297">
        <f t="shared" si="50"/>
        <v>0</v>
      </c>
      <c r="AG89" s="295"/>
      <c r="AH89" s="295">
        <f t="shared" si="51"/>
        <v>0</v>
      </c>
      <c r="AI89" s="298">
        <f>'Unit Savings Calculations'!O85</f>
        <v>6.1942373572810965</v>
      </c>
      <c r="AJ89" s="405" t="s">
        <v>879</v>
      </c>
      <c r="AK89" s="300">
        <f t="shared" si="52"/>
        <v>0</v>
      </c>
      <c r="AL89" s="297">
        <f t="shared" si="53"/>
        <v>0</v>
      </c>
      <c r="AM89" s="295"/>
      <c r="AN89" s="295"/>
      <c r="AO89" s="298">
        <f>'Unit Savings Calculations'!P85</f>
        <v>6.1942373572810965</v>
      </c>
      <c r="AP89" s="405" t="s">
        <v>764</v>
      </c>
      <c r="AQ89" s="300">
        <f t="shared" si="54"/>
        <v>0</v>
      </c>
      <c r="AR89" s="297">
        <f t="shared" si="55"/>
        <v>0</v>
      </c>
      <c r="AS89" s="295"/>
      <c r="AT89" s="295"/>
      <c r="AU89" s="298">
        <f>'Unit Savings Calculations'!Q85</f>
        <v>6.1942373572810965</v>
      </c>
      <c r="AV89" s="405" t="str">
        <f t="shared" si="56"/>
        <v>n/a</v>
      </c>
      <c r="AW89" s="300">
        <f t="shared" si="57"/>
        <v>0</v>
      </c>
      <c r="AX89" s="297">
        <f t="shared" si="58"/>
        <v>0</v>
      </c>
      <c r="AY89" s="300">
        <f t="shared" si="59"/>
        <v>0</v>
      </c>
      <c r="AZ89" s="300">
        <f t="shared" si="60"/>
        <v>0</v>
      </c>
      <c r="BA89" s="300">
        <f t="shared" si="61"/>
        <v>0</v>
      </c>
      <c r="BB89" s="300">
        <f t="shared" si="62"/>
        <v>0</v>
      </c>
      <c r="BC89" s="301">
        <f t="shared" si="63"/>
        <v>0</v>
      </c>
      <c r="BD89" s="295" t="s">
        <v>764</v>
      </c>
      <c r="BE89" s="302" t="str">
        <f t="shared" si="64"/>
        <v>Exhibit 1.5A_R North Shore EEPS_Adjustable_Savings_Goal_Template.xlsx, Pipe Insulation Detail Tab</v>
      </c>
      <c r="BF89" s="304"/>
    </row>
    <row r="90" spans="1:58" ht="15.75" customHeight="1">
      <c r="A90" s="295" t="str">
        <f>'Unit Savings Calculations'!C86</f>
        <v>Res - MF Standard Rebates</v>
      </c>
      <c r="B90" s="295" t="str">
        <f>'Unit Savings Calculations'!D86</f>
        <v>Pipe Insulation - HW Large &gt;4"</v>
      </c>
      <c r="C90" s="296">
        <f t="shared" si="66"/>
        <v>1</v>
      </c>
      <c r="D90" s="295" t="str">
        <f>'Unit Savings Calculations'!T86</f>
        <v>4.4.14</v>
      </c>
      <c r="E90" s="460">
        <f>INDEX('Unit Savings Calculations'!$H$4:$H$421,MATCH('Measure-Level Adjustments Tab'!$A90&amp;"_"&amp;'Measure-Level Adjustments Tab'!$B90,'Unit Savings Calculations'!$A$4:$A$421,0))</f>
        <v>15</v>
      </c>
      <c r="F90" s="460">
        <f>INDEX('Unit Savings Calculations'!$I$4:$I$421,MATCH('Measure-Level Adjustments Tab'!A90&amp;"_"&amp;'Measure-Level Adjustments Tab'!B90,'Unit Savings Calculations'!$A$4:$A$421,0))</f>
        <v>15</v>
      </c>
      <c r="G90" s="295" t="str">
        <f>'Unit Savings Calculations'!E86</f>
        <v>ft</v>
      </c>
      <c r="H90" s="297">
        <f>'Unit Savings Calculations'!$F86*'Unit Savings Calculations'!J86</f>
        <v>0</v>
      </c>
      <c r="I90" s="297">
        <f>'Unit Savings Calculations'!$F86*'Unit Savings Calculations'!K86</f>
        <v>0</v>
      </c>
      <c r="J90" s="297">
        <f>'Unit Savings Calculations'!$F86*'Unit Savings Calculations'!L86</f>
        <v>0</v>
      </c>
      <c r="K90" s="297">
        <f>'Unit Savings Calculations'!$F86*'Unit Savings Calculations'!M86</f>
        <v>0</v>
      </c>
      <c r="L90" s="295" t="str">
        <f>'Unit Savings Calculations'!U86</f>
        <v>CI-HVC-PINS-V04-160601</v>
      </c>
      <c r="M90" s="405" t="str">
        <f>'Unit Savings Calculations'!R86</f>
        <v>Exhibit 1.5A_R North Shore EEPS_Adjustable_Savings_Goal_Template.xlsx, Pipe Insulation Detail Tab</v>
      </c>
      <c r="N90" s="298">
        <v>10.672873287490331</v>
      </c>
      <c r="O90" s="298">
        <v>10.672873287490331</v>
      </c>
      <c r="P90" s="298">
        <v>10.672873287490331</v>
      </c>
      <c r="Q90" s="298">
        <v>10.672873287490331</v>
      </c>
      <c r="R90" s="299">
        <f>'Unit Savings Calculations'!$G86</f>
        <v>0.76</v>
      </c>
      <c r="S90" s="299">
        <f>'Unit Savings Calculations'!$G86</f>
        <v>0.76</v>
      </c>
      <c r="T90" s="299">
        <f>'Unit Savings Calculations'!$G86</f>
        <v>0.76</v>
      </c>
      <c r="U90" s="299">
        <f>'Unit Savings Calculations'!$G86</f>
        <v>0.76</v>
      </c>
      <c r="V90" s="300">
        <f t="shared" si="44"/>
        <v>0</v>
      </c>
      <c r="W90" s="300">
        <f t="shared" si="45"/>
        <v>0</v>
      </c>
      <c r="X90" s="300">
        <f t="shared" si="46"/>
        <v>0</v>
      </c>
      <c r="Y90" s="300">
        <f t="shared" si="47"/>
        <v>0</v>
      </c>
      <c r="Z90" s="300">
        <f t="shared" si="48"/>
        <v>0</v>
      </c>
      <c r="AA90" s="295"/>
      <c r="AB90" s="295"/>
      <c r="AC90" s="298">
        <f>'Unit Savings Calculations'!N86</f>
        <v>10.672873287490331</v>
      </c>
      <c r="AD90" s="295"/>
      <c r="AE90" s="300">
        <f t="shared" si="49"/>
        <v>0</v>
      </c>
      <c r="AF90" s="297">
        <f t="shared" si="50"/>
        <v>0</v>
      </c>
      <c r="AG90" s="295"/>
      <c r="AH90" s="295">
        <f t="shared" si="51"/>
        <v>0</v>
      </c>
      <c r="AI90" s="298">
        <f>'Unit Savings Calculations'!O86</f>
        <v>10.672873287490331</v>
      </c>
      <c r="AJ90" s="405" t="s">
        <v>879</v>
      </c>
      <c r="AK90" s="300">
        <f t="shared" si="52"/>
        <v>0</v>
      </c>
      <c r="AL90" s="297">
        <f t="shared" si="53"/>
        <v>0</v>
      </c>
      <c r="AM90" s="295"/>
      <c r="AN90" s="295"/>
      <c r="AO90" s="298">
        <f>'Unit Savings Calculations'!P86</f>
        <v>10.672873287490331</v>
      </c>
      <c r="AP90" s="405" t="s">
        <v>764</v>
      </c>
      <c r="AQ90" s="300">
        <f t="shared" si="54"/>
        <v>0</v>
      </c>
      <c r="AR90" s="297">
        <f t="shared" si="55"/>
        <v>0</v>
      </c>
      <c r="AS90" s="295"/>
      <c r="AT90" s="295"/>
      <c r="AU90" s="298">
        <f>'Unit Savings Calculations'!Q86</f>
        <v>10.672873287490331</v>
      </c>
      <c r="AV90" s="405" t="str">
        <f t="shared" si="56"/>
        <v>n/a</v>
      </c>
      <c r="AW90" s="300">
        <f t="shared" si="57"/>
        <v>0</v>
      </c>
      <c r="AX90" s="297">
        <f t="shared" si="58"/>
        <v>0</v>
      </c>
      <c r="AY90" s="300">
        <f t="shared" si="59"/>
        <v>0</v>
      </c>
      <c r="AZ90" s="300">
        <f t="shared" si="60"/>
        <v>0</v>
      </c>
      <c r="BA90" s="300">
        <f t="shared" si="61"/>
        <v>0</v>
      </c>
      <c r="BB90" s="300">
        <f t="shared" si="62"/>
        <v>0</v>
      </c>
      <c r="BC90" s="301">
        <f t="shared" si="63"/>
        <v>0</v>
      </c>
      <c r="BD90" s="295" t="s">
        <v>764</v>
      </c>
      <c r="BE90" s="302" t="str">
        <f t="shared" si="64"/>
        <v>Exhibit 1.5A_R North Shore EEPS_Adjustable_Savings_Goal_Template.xlsx, Pipe Insulation Detail Tab</v>
      </c>
      <c r="BF90" s="304"/>
    </row>
    <row r="91" spans="1:58" ht="15.75" customHeight="1">
      <c r="A91" s="295" t="str">
        <f>'Unit Savings Calculations'!C87</f>
        <v>Res - MF Standard Rebates</v>
      </c>
      <c r="B91" s="295" t="str">
        <f>'Unit Savings Calculations'!D87</f>
        <v>Pipe Insulation - Steam - Small 1" to 2"</v>
      </c>
      <c r="C91" s="296">
        <f t="shared" si="66"/>
        <v>1</v>
      </c>
      <c r="D91" s="295" t="str">
        <f>'Unit Savings Calculations'!T87</f>
        <v>4.4.14</v>
      </c>
      <c r="E91" s="460">
        <f>INDEX('Unit Savings Calculations'!$H$4:$H$421,MATCH('Measure-Level Adjustments Tab'!$A91&amp;"_"&amp;'Measure-Level Adjustments Tab'!$B91,'Unit Savings Calculations'!$A$4:$A$421,0))</f>
        <v>15</v>
      </c>
      <c r="F91" s="460">
        <f>INDEX('Unit Savings Calculations'!$I$4:$I$421,MATCH('Measure-Level Adjustments Tab'!A91&amp;"_"&amp;'Measure-Level Adjustments Tab'!B91,'Unit Savings Calculations'!$A$4:$A$421,0))</f>
        <v>15</v>
      </c>
      <c r="G91" s="295" t="str">
        <f>'Unit Savings Calculations'!E87</f>
        <v>ft</v>
      </c>
      <c r="H91" s="297">
        <f>'Unit Savings Calculations'!$F87*'Unit Savings Calculations'!J87</f>
        <v>0</v>
      </c>
      <c r="I91" s="297">
        <f>'Unit Savings Calculations'!$F87*'Unit Savings Calculations'!K87</f>
        <v>0</v>
      </c>
      <c r="J91" s="297">
        <f>'Unit Savings Calculations'!$F87*'Unit Savings Calculations'!L87</f>
        <v>0</v>
      </c>
      <c r="K91" s="297">
        <f>'Unit Savings Calculations'!$F87*'Unit Savings Calculations'!M87</f>
        <v>0</v>
      </c>
      <c r="L91" s="295" t="str">
        <f>'Unit Savings Calculations'!U87</f>
        <v>CI-HVC-PINS-V04-160601</v>
      </c>
      <c r="M91" s="405" t="str">
        <f>'Unit Savings Calculations'!R87</f>
        <v>Exhibit 1.5A_R North Shore EEPS_Adjustable_Savings_Goal_Template.xlsx, Pipe Insulation Detail Tab</v>
      </c>
      <c r="N91" s="298">
        <v>3.967097058288509</v>
      </c>
      <c r="O91" s="298">
        <v>3.967097058288509</v>
      </c>
      <c r="P91" s="298">
        <v>3.967097058288509</v>
      </c>
      <c r="Q91" s="298">
        <v>3.967097058288509</v>
      </c>
      <c r="R91" s="299">
        <f>'Unit Savings Calculations'!$G87</f>
        <v>0.76</v>
      </c>
      <c r="S91" s="299">
        <f>'Unit Savings Calculations'!$G87</f>
        <v>0.76</v>
      </c>
      <c r="T91" s="299">
        <f>'Unit Savings Calculations'!$G87</f>
        <v>0.76</v>
      </c>
      <c r="U91" s="299">
        <f>'Unit Savings Calculations'!$G87</f>
        <v>0.76</v>
      </c>
      <c r="V91" s="300">
        <f t="shared" si="44"/>
        <v>0</v>
      </c>
      <c r="W91" s="300">
        <f t="shared" si="45"/>
        <v>0</v>
      </c>
      <c r="X91" s="300">
        <f t="shared" si="46"/>
        <v>0</v>
      </c>
      <c r="Y91" s="300">
        <f t="shared" si="47"/>
        <v>0</v>
      </c>
      <c r="Z91" s="300">
        <f t="shared" si="48"/>
        <v>0</v>
      </c>
      <c r="AA91" s="295"/>
      <c r="AB91" s="295"/>
      <c r="AC91" s="298">
        <f>'Unit Savings Calculations'!N87</f>
        <v>3.967097058288509</v>
      </c>
      <c r="AD91" s="295"/>
      <c r="AE91" s="300">
        <f t="shared" si="49"/>
        <v>0</v>
      </c>
      <c r="AF91" s="297">
        <f t="shared" si="50"/>
        <v>0</v>
      </c>
      <c r="AG91" s="295"/>
      <c r="AH91" s="295">
        <f t="shared" si="51"/>
        <v>0</v>
      </c>
      <c r="AI91" s="298">
        <f>'Unit Savings Calculations'!O87</f>
        <v>3.967097058288509</v>
      </c>
      <c r="AJ91" s="405" t="s">
        <v>879</v>
      </c>
      <c r="AK91" s="300">
        <f t="shared" si="52"/>
        <v>0</v>
      </c>
      <c r="AL91" s="297">
        <f t="shared" si="53"/>
        <v>0</v>
      </c>
      <c r="AM91" s="295"/>
      <c r="AN91" s="295"/>
      <c r="AO91" s="298">
        <f>'Unit Savings Calculations'!P87</f>
        <v>3.967097058288509</v>
      </c>
      <c r="AP91" s="405" t="s">
        <v>764</v>
      </c>
      <c r="AQ91" s="300">
        <f t="shared" si="54"/>
        <v>0</v>
      </c>
      <c r="AR91" s="297">
        <f t="shared" si="55"/>
        <v>0</v>
      </c>
      <c r="AS91" s="295"/>
      <c r="AT91" s="295"/>
      <c r="AU91" s="298">
        <f>'Unit Savings Calculations'!Q87</f>
        <v>3.967097058288509</v>
      </c>
      <c r="AV91" s="405" t="str">
        <f t="shared" si="56"/>
        <v>n/a</v>
      </c>
      <c r="AW91" s="300">
        <f t="shared" si="57"/>
        <v>0</v>
      </c>
      <c r="AX91" s="297">
        <f t="shared" si="58"/>
        <v>0</v>
      </c>
      <c r="AY91" s="300">
        <f t="shared" si="59"/>
        <v>0</v>
      </c>
      <c r="AZ91" s="300">
        <f t="shared" si="60"/>
        <v>0</v>
      </c>
      <c r="BA91" s="300">
        <f t="shared" si="61"/>
        <v>0</v>
      </c>
      <c r="BB91" s="300">
        <f t="shared" si="62"/>
        <v>0</v>
      </c>
      <c r="BC91" s="301">
        <f t="shared" si="63"/>
        <v>0</v>
      </c>
      <c r="BD91" s="295" t="s">
        <v>764</v>
      </c>
      <c r="BE91" s="302" t="str">
        <f t="shared" si="64"/>
        <v>Exhibit 1.5A_R North Shore EEPS_Adjustable_Savings_Goal_Template.xlsx, Pipe Insulation Detail Tab</v>
      </c>
      <c r="BF91" s="304"/>
    </row>
    <row r="92" spans="1:58" ht="15.75" customHeight="1">
      <c r="A92" s="295" t="str">
        <f>'Unit Savings Calculations'!C88</f>
        <v>Res - MF Standard Rebates</v>
      </c>
      <c r="B92" s="295" t="str">
        <f>'Unit Savings Calculations'!D88</f>
        <v>Pipe Insulation - Steam - Med 2.1" to 5"</v>
      </c>
      <c r="C92" s="296">
        <f t="shared" si="66"/>
        <v>1</v>
      </c>
      <c r="D92" s="295" t="str">
        <f>'Unit Savings Calculations'!T88</f>
        <v>4.4.14</v>
      </c>
      <c r="E92" s="460">
        <f>INDEX('Unit Savings Calculations'!$H$4:$H$421,MATCH('Measure-Level Adjustments Tab'!$A92&amp;"_"&amp;'Measure-Level Adjustments Tab'!$B92,'Unit Savings Calculations'!$A$4:$A$421,0))</f>
        <v>15</v>
      </c>
      <c r="F92" s="460">
        <f>INDEX('Unit Savings Calculations'!$I$4:$I$421,MATCH('Measure-Level Adjustments Tab'!A92&amp;"_"&amp;'Measure-Level Adjustments Tab'!B92,'Unit Savings Calculations'!$A$4:$A$421,0))</f>
        <v>15</v>
      </c>
      <c r="G92" s="295" t="str">
        <f>'Unit Savings Calculations'!E88</f>
        <v>ft</v>
      </c>
      <c r="H92" s="297">
        <f>'Unit Savings Calculations'!$F88*'Unit Savings Calculations'!J88</f>
        <v>0</v>
      </c>
      <c r="I92" s="297">
        <f>'Unit Savings Calculations'!$F88*'Unit Savings Calculations'!K88</f>
        <v>0</v>
      </c>
      <c r="J92" s="297">
        <f>'Unit Savings Calculations'!$F88*'Unit Savings Calculations'!L88</f>
        <v>0</v>
      </c>
      <c r="K92" s="297">
        <f>'Unit Savings Calculations'!$F88*'Unit Savings Calculations'!M88</f>
        <v>0</v>
      </c>
      <c r="L92" s="295" t="str">
        <f>'Unit Savings Calculations'!U88</f>
        <v>CI-HVC-PINS-V04-160601</v>
      </c>
      <c r="M92" s="405" t="str">
        <f>'Unit Savings Calculations'!R88</f>
        <v>Exhibit 1.5A_R North Shore EEPS_Adjustable_Savings_Goal_Template.xlsx, Pipe Insulation Detail Tab</v>
      </c>
      <c r="N92" s="298">
        <v>13.577404706790121</v>
      </c>
      <c r="O92" s="298">
        <v>13.577404706790121</v>
      </c>
      <c r="P92" s="298">
        <v>13.577404706790121</v>
      </c>
      <c r="Q92" s="298">
        <v>13.577404706790121</v>
      </c>
      <c r="R92" s="299">
        <f>'Unit Savings Calculations'!$G88</f>
        <v>0.76</v>
      </c>
      <c r="S92" s="299">
        <f>'Unit Savings Calculations'!$G88</f>
        <v>0.76</v>
      </c>
      <c r="T92" s="299">
        <f>'Unit Savings Calculations'!$G88</f>
        <v>0.76</v>
      </c>
      <c r="U92" s="299">
        <f>'Unit Savings Calculations'!$G88</f>
        <v>0.76</v>
      </c>
      <c r="V92" s="300">
        <f t="shared" si="44"/>
        <v>0</v>
      </c>
      <c r="W92" s="300">
        <f t="shared" si="45"/>
        <v>0</v>
      </c>
      <c r="X92" s="300">
        <f t="shared" si="46"/>
        <v>0</v>
      </c>
      <c r="Y92" s="300">
        <f t="shared" si="47"/>
        <v>0</v>
      </c>
      <c r="Z92" s="300">
        <f t="shared" si="48"/>
        <v>0</v>
      </c>
      <c r="AA92" s="295"/>
      <c r="AB92" s="295"/>
      <c r="AC92" s="298">
        <f>'Unit Savings Calculations'!N88</f>
        <v>13.577404706790121</v>
      </c>
      <c r="AD92" s="295"/>
      <c r="AE92" s="300">
        <f t="shared" si="49"/>
        <v>0</v>
      </c>
      <c r="AF92" s="297">
        <f t="shared" si="50"/>
        <v>0</v>
      </c>
      <c r="AG92" s="295"/>
      <c r="AH92" s="295">
        <f t="shared" si="51"/>
        <v>0</v>
      </c>
      <c r="AI92" s="298">
        <f>'Unit Savings Calculations'!O88</f>
        <v>13.577404706790121</v>
      </c>
      <c r="AJ92" s="405" t="s">
        <v>879</v>
      </c>
      <c r="AK92" s="300">
        <f t="shared" si="52"/>
        <v>0</v>
      </c>
      <c r="AL92" s="297">
        <f t="shared" si="53"/>
        <v>0</v>
      </c>
      <c r="AM92" s="295"/>
      <c r="AN92" s="295"/>
      <c r="AO92" s="298">
        <f>'Unit Savings Calculations'!P88</f>
        <v>13.577404706790121</v>
      </c>
      <c r="AP92" s="405" t="s">
        <v>764</v>
      </c>
      <c r="AQ92" s="300">
        <f t="shared" si="54"/>
        <v>0</v>
      </c>
      <c r="AR92" s="297">
        <f t="shared" si="55"/>
        <v>0</v>
      </c>
      <c r="AS92" s="295"/>
      <c r="AT92" s="295"/>
      <c r="AU92" s="298">
        <f>'Unit Savings Calculations'!Q88</f>
        <v>13.577404706790121</v>
      </c>
      <c r="AV92" s="405" t="str">
        <f t="shared" si="56"/>
        <v>n/a</v>
      </c>
      <c r="AW92" s="300">
        <f t="shared" si="57"/>
        <v>0</v>
      </c>
      <c r="AX92" s="297">
        <f t="shared" si="58"/>
        <v>0</v>
      </c>
      <c r="AY92" s="300">
        <f t="shared" si="59"/>
        <v>0</v>
      </c>
      <c r="AZ92" s="300">
        <f t="shared" si="60"/>
        <v>0</v>
      </c>
      <c r="BA92" s="300">
        <f t="shared" si="61"/>
        <v>0</v>
      </c>
      <c r="BB92" s="300">
        <f t="shared" si="62"/>
        <v>0</v>
      </c>
      <c r="BC92" s="301">
        <f t="shared" si="63"/>
        <v>0</v>
      </c>
      <c r="BD92" s="295" t="s">
        <v>764</v>
      </c>
      <c r="BE92" s="302" t="str">
        <f t="shared" si="64"/>
        <v>Exhibit 1.5A_R North Shore EEPS_Adjustable_Savings_Goal_Template.xlsx, Pipe Insulation Detail Tab</v>
      </c>
      <c r="BF92" s="304"/>
    </row>
    <row r="93" spans="1:58" ht="15.75" customHeight="1">
      <c r="A93" s="295" t="str">
        <f>'Unit Savings Calculations'!C89</f>
        <v>Res - MF Standard Rebates</v>
      </c>
      <c r="B93" s="295" t="str">
        <f>'Unit Savings Calculations'!D89</f>
        <v>Pipe Insulation - Steam - Large 5.1" to 8"</v>
      </c>
      <c r="C93" s="296">
        <f t="shared" si="66"/>
        <v>1</v>
      </c>
      <c r="D93" s="295" t="str">
        <f>'Unit Savings Calculations'!T89</f>
        <v>4.4.14</v>
      </c>
      <c r="E93" s="460">
        <f>INDEX('Unit Savings Calculations'!$H$4:$H$421,MATCH('Measure-Level Adjustments Tab'!$A93&amp;"_"&amp;'Measure-Level Adjustments Tab'!$B93,'Unit Savings Calculations'!$A$4:$A$421,0))</f>
        <v>15</v>
      </c>
      <c r="F93" s="460">
        <f>INDEX('Unit Savings Calculations'!$I$4:$I$421,MATCH('Measure-Level Adjustments Tab'!A93&amp;"_"&amp;'Measure-Level Adjustments Tab'!B93,'Unit Savings Calculations'!$A$4:$A$421,0))</f>
        <v>15</v>
      </c>
      <c r="G93" s="295" t="str">
        <f>'Unit Savings Calculations'!E89</f>
        <v>ft</v>
      </c>
      <c r="H93" s="297">
        <f>'Unit Savings Calculations'!$F89*'Unit Savings Calculations'!J89</f>
        <v>0</v>
      </c>
      <c r="I93" s="297">
        <f>'Unit Savings Calculations'!$F89*'Unit Savings Calculations'!K89</f>
        <v>0</v>
      </c>
      <c r="J93" s="297">
        <f>'Unit Savings Calculations'!$F89*'Unit Savings Calculations'!L89</f>
        <v>0</v>
      </c>
      <c r="K93" s="297">
        <f>'Unit Savings Calculations'!$F89*'Unit Savings Calculations'!M89</f>
        <v>0</v>
      </c>
      <c r="L93" s="295" t="str">
        <f>'Unit Savings Calculations'!U89</f>
        <v>CI-HVC-PINS-V04-160601</v>
      </c>
      <c r="M93" s="405" t="str">
        <f>'Unit Savings Calculations'!R89</f>
        <v>Exhibit 1.5A_R North Shore EEPS_Adjustable_Savings_Goal_Template.xlsx, Pipe Insulation Detail Tab</v>
      </c>
      <c r="N93" s="298">
        <v>30.207245887345675</v>
      </c>
      <c r="O93" s="298">
        <v>30.207245887345675</v>
      </c>
      <c r="P93" s="298">
        <v>30.207245887345675</v>
      </c>
      <c r="Q93" s="298">
        <v>30.207245887345675</v>
      </c>
      <c r="R93" s="299">
        <f>'Unit Savings Calculations'!$G89</f>
        <v>0.76</v>
      </c>
      <c r="S93" s="299">
        <f>'Unit Savings Calculations'!$G89</f>
        <v>0.76</v>
      </c>
      <c r="T93" s="299">
        <f>'Unit Savings Calculations'!$G89</f>
        <v>0.76</v>
      </c>
      <c r="U93" s="299">
        <f>'Unit Savings Calculations'!$G89</f>
        <v>0.76</v>
      </c>
      <c r="V93" s="300">
        <f t="shared" ref="V93:V155" si="67">H93*N93*R93</f>
        <v>0</v>
      </c>
      <c r="W93" s="300">
        <f t="shared" ref="W93:W157" si="68">I93*O93*S93</f>
        <v>0</v>
      </c>
      <c r="X93" s="300">
        <f t="shared" ref="X93:X157" si="69">J93*P93*T93</f>
        <v>0</v>
      </c>
      <c r="Y93" s="300">
        <f t="shared" ref="Y93:Y157" si="70">K93*Q93*U93</f>
        <v>0</v>
      </c>
      <c r="Z93" s="300">
        <f t="shared" ref="Z93:Z157" si="71">V93+W93+X93+Y93</f>
        <v>0</v>
      </c>
      <c r="AA93" s="295"/>
      <c r="AB93" s="295"/>
      <c r="AC93" s="298">
        <f>'Unit Savings Calculations'!N89</f>
        <v>30.207245887345675</v>
      </c>
      <c r="AD93" s="295"/>
      <c r="AE93" s="300">
        <f t="shared" si="49"/>
        <v>0</v>
      </c>
      <c r="AF93" s="297">
        <f t="shared" si="50"/>
        <v>0</v>
      </c>
      <c r="AG93" s="295"/>
      <c r="AH93" s="295">
        <f t="shared" si="51"/>
        <v>0</v>
      </c>
      <c r="AI93" s="298">
        <f>'Unit Savings Calculations'!O89</f>
        <v>30.207245887345675</v>
      </c>
      <c r="AJ93" s="405" t="s">
        <v>879</v>
      </c>
      <c r="AK93" s="300">
        <f t="shared" si="52"/>
        <v>0</v>
      </c>
      <c r="AL93" s="297">
        <f t="shared" si="53"/>
        <v>0</v>
      </c>
      <c r="AM93" s="295"/>
      <c r="AN93" s="295"/>
      <c r="AO93" s="298">
        <f>'Unit Savings Calculations'!P89</f>
        <v>30.207245887345675</v>
      </c>
      <c r="AP93" s="405" t="s">
        <v>764</v>
      </c>
      <c r="AQ93" s="300">
        <f t="shared" si="54"/>
        <v>0</v>
      </c>
      <c r="AR93" s="297">
        <f t="shared" si="55"/>
        <v>0</v>
      </c>
      <c r="AS93" s="295"/>
      <c r="AT93" s="295"/>
      <c r="AU93" s="298">
        <f>'Unit Savings Calculations'!Q89</f>
        <v>30.207245887345675</v>
      </c>
      <c r="AV93" s="405" t="str">
        <f t="shared" si="56"/>
        <v>n/a</v>
      </c>
      <c r="AW93" s="300">
        <f t="shared" si="57"/>
        <v>0</v>
      </c>
      <c r="AX93" s="297">
        <f t="shared" si="58"/>
        <v>0</v>
      </c>
      <c r="AY93" s="300">
        <f t="shared" si="59"/>
        <v>0</v>
      </c>
      <c r="AZ93" s="300">
        <f t="shared" si="60"/>
        <v>0</v>
      </c>
      <c r="BA93" s="300">
        <f t="shared" si="61"/>
        <v>0</v>
      </c>
      <c r="BB93" s="300">
        <f t="shared" si="62"/>
        <v>0</v>
      </c>
      <c r="BC93" s="301">
        <f t="shared" si="63"/>
        <v>0</v>
      </c>
      <c r="BD93" s="295" t="s">
        <v>764</v>
      </c>
      <c r="BE93" s="302" t="str">
        <f t="shared" si="64"/>
        <v>Exhibit 1.5A_R North Shore EEPS_Adjustable_Savings_Goal_Template.xlsx, Pipe Insulation Detail Tab</v>
      </c>
      <c r="BF93" s="304"/>
    </row>
    <row r="94" spans="1:58" ht="15.75" customHeight="1">
      <c r="A94" s="295" t="str">
        <f>'Unit Savings Calculations'!C90</f>
        <v>Res - MF Standard Rebates</v>
      </c>
      <c r="B94" s="295" t="str">
        <f>'Unit Savings Calculations'!D90</f>
        <v>Pipe Insulation - Steam - X-Large &gt;8"</v>
      </c>
      <c r="C94" s="296">
        <f t="shared" si="66"/>
        <v>1</v>
      </c>
      <c r="D94" s="295" t="str">
        <f>'Unit Savings Calculations'!T90</f>
        <v>4.4.14</v>
      </c>
      <c r="E94" s="460">
        <f>INDEX('Unit Savings Calculations'!$H$4:$H$421,MATCH('Measure-Level Adjustments Tab'!$A94&amp;"_"&amp;'Measure-Level Adjustments Tab'!$B94,'Unit Savings Calculations'!$A$4:$A$421,0))</f>
        <v>15</v>
      </c>
      <c r="F94" s="460">
        <f>INDEX('Unit Savings Calculations'!$I$4:$I$421,MATCH('Measure-Level Adjustments Tab'!A94&amp;"_"&amp;'Measure-Level Adjustments Tab'!B94,'Unit Savings Calculations'!$A$4:$A$421,0))</f>
        <v>15</v>
      </c>
      <c r="G94" s="295" t="str">
        <f>'Unit Savings Calculations'!E90</f>
        <v>ft</v>
      </c>
      <c r="H94" s="297">
        <f>'Unit Savings Calculations'!$F90*'Unit Savings Calculations'!J90</f>
        <v>0</v>
      </c>
      <c r="I94" s="297">
        <f>'Unit Savings Calculations'!$F90*'Unit Savings Calculations'!K90</f>
        <v>0</v>
      </c>
      <c r="J94" s="297">
        <f>'Unit Savings Calculations'!$F90*'Unit Savings Calculations'!L90</f>
        <v>0</v>
      </c>
      <c r="K94" s="297">
        <f>'Unit Savings Calculations'!$F90*'Unit Savings Calculations'!M90</f>
        <v>0</v>
      </c>
      <c r="L94" s="295" t="str">
        <f>'Unit Savings Calculations'!U90</f>
        <v>CI-HVC-PINS-V04-160601</v>
      </c>
      <c r="M94" s="405" t="str">
        <f>'Unit Savings Calculations'!R90</f>
        <v>Exhibit 1.5A_R North Shore EEPS_Adjustable_Savings_Goal_Template.xlsx, Pipe Insulation Detail Tab</v>
      </c>
      <c r="N94" s="298">
        <v>44.814401171573145</v>
      </c>
      <c r="O94" s="298">
        <v>44.814401171573145</v>
      </c>
      <c r="P94" s="298">
        <v>44.814401171573145</v>
      </c>
      <c r="Q94" s="298">
        <v>44.814401171573145</v>
      </c>
      <c r="R94" s="299">
        <f>'Unit Savings Calculations'!$G90</f>
        <v>0.76</v>
      </c>
      <c r="S94" s="299">
        <f>'Unit Savings Calculations'!$G90</f>
        <v>0.76</v>
      </c>
      <c r="T94" s="299">
        <f>'Unit Savings Calculations'!$G90</f>
        <v>0.76</v>
      </c>
      <c r="U94" s="299">
        <f>'Unit Savings Calculations'!$G90</f>
        <v>0.76</v>
      </c>
      <c r="V94" s="300">
        <f t="shared" si="67"/>
        <v>0</v>
      </c>
      <c r="W94" s="300">
        <f t="shared" si="68"/>
        <v>0</v>
      </c>
      <c r="X94" s="300">
        <f t="shared" si="69"/>
        <v>0</v>
      </c>
      <c r="Y94" s="300">
        <f t="shared" si="70"/>
        <v>0</v>
      </c>
      <c r="Z94" s="300">
        <f t="shared" si="71"/>
        <v>0</v>
      </c>
      <c r="AA94" s="295"/>
      <c r="AB94" s="295"/>
      <c r="AC94" s="298">
        <f>'Unit Savings Calculations'!N90</f>
        <v>44.814401171573145</v>
      </c>
      <c r="AD94" s="295"/>
      <c r="AE94" s="300">
        <f t="shared" si="49"/>
        <v>0</v>
      </c>
      <c r="AF94" s="297">
        <f t="shared" si="50"/>
        <v>0</v>
      </c>
      <c r="AG94" s="295"/>
      <c r="AH94" s="295">
        <f t="shared" si="51"/>
        <v>0</v>
      </c>
      <c r="AI94" s="298">
        <f>'Unit Savings Calculations'!O90</f>
        <v>44.814401171573145</v>
      </c>
      <c r="AJ94" s="405" t="s">
        <v>879</v>
      </c>
      <c r="AK94" s="300">
        <f t="shared" si="52"/>
        <v>0</v>
      </c>
      <c r="AL94" s="297">
        <f t="shared" si="53"/>
        <v>0</v>
      </c>
      <c r="AM94" s="295"/>
      <c r="AN94" s="295"/>
      <c r="AO94" s="298">
        <f>'Unit Savings Calculations'!P90</f>
        <v>44.814401171573145</v>
      </c>
      <c r="AP94" s="405" t="s">
        <v>764</v>
      </c>
      <c r="AQ94" s="300">
        <f t="shared" si="54"/>
        <v>0</v>
      </c>
      <c r="AR94" s="297">
        <f t="shared" si="55"/>
        <v>0</v>
      </c>
      <c r="AS94" s="295"/>
      <c r="AT94" s="295"/>
      <c r="AU94" s="298">
        <f>'Unit Savings Calculations'!Q90</f>
        <v>44.814401171573145</v>
      </c>
      <c r="AV94" s="405" t="str">
        <f t="shared" si="56"/>
        <v>n/a</v>
      </c>
      <c r="AW94" s="300">
        <f t="shared" si="57"/>
        <v>0</v>
      </c>
      <c r="AX94" s="297">
        <f t="shared" si="58"/>
        <v>0</v>
      </c>
      <c r="AY94" s="300">
        <f t="shared" si="59"/>
        <v>0</v>
      </c>
      <c r="AZ94" s="300">
        <f t="shared" si="60"/>
        <v>0</v>
      </c>
      <c r="BA94" s="300">
        <f t="shared" si="61"/>
        <v>0</v>
      </c>
      <c r="BB94" s="300">
        <f t="shared" si="62"/>
        <v>0</v>
      </c>
      <c r="BC94" s="301">
        <f t="shared" si="63"/>
        <v>0</v>
      </c>
      <c r="BD94" s="295" t="s">
        <v>764</v>
      </c>
      <c r="BE94" s="302" t="str">
        <f t="shared" si="64"/>
        <v>Exhibit 1.5A_R North Shore EEPS_Adjustable_Savings_Goal_Template.xlsx, Pipe Insulation Detail Tab</v>
      </c>
      <c r="BF94" s="304"/>
    </row>
    <row r="95" spans="1:58" ht="15.75" customHeight="1">
      <c r="A95" s="295" t="str">
        <f>'Unit Savings Calculations'!C91</f>
        <v>Res - MF Standard Rebates</v>
      </c>
      <c r="B95" s="295" t="str">
        <f>'Unit Savings Calculations'!D91</f>
        <v>Pipe Insulation - Steam Med Fitting</v>
      </c>
      <c r="C95" s="296">
        <f t="shared" si="66"/>
        <v>1</v>
      </c>
      <c r="D95" s="295" t="str">
        <f>'Unit Savings Calculations'!T91</f>
        <v>4.4.14</v>
      </c>
      <c r="E95" s="460">
        <f>INDEX('Unit Savings Calculations'!$H$4:$H$421,MATCH('Measure-Level Adjustments Tab'!$A95&amp;"_"&amp;'Measure-Level Adjustments Tab'!$B95,'Unit Savings Calculations'!$A$4:$A$421,0))</f>
        <v>15</v>
      </c>
      <c r="F95" s="460">
        <f>INDEX('Unit Savings Calculations'!$I$4:$I$421,MATCH('Measure-Level Adjustments Tab'!A95&amp;"_"&amp;'Measure-Level Adjustments Tab'!B95,'Unit Savings Calculations'!$A$4:$A$421,0))</f>
        <v>15</v>
      </c>
      <c r="G95" s="295" t="str">
        <f>'Unit Savings Calculations'!E91</f>
        <v>each</v>
      </c>
      <c r="H95" s="297">
        <f>'Unit Savings Calculations'!$F91*'Unit Savings Calculations'!J91</f>
        <v>0</v>
      </c>
      <c r="I95" s="297">
        <f>'Unit Savings Calculations'!$F91*'Unit Savings Calculations'!K91</f>
        <v>0</v>
      </c>
      <c r="J95" s="297">
        <f>'Unit Savings Calculations'!$F91*'Unit Savings Calculations'!L91</f>
        <v>0</v>
      </c>
      <c r="K95" s="297">
        <f>'Unit Savings Calculations'!$F91*'Unit Savings Calculations'!M91</f>
        <v>0</v>
      </c>
      <c r="L95" s="295" t="str">
        <f>'Unit Savings Calculations'!U91</f>
        <v>CI-HVC-PINS-V04-160601</v>
      </c>
      <c r="M95" s="405" t="str">
        <f>'Unit Savings Calculations'!R91</f>
        <v>Exhibit 1.5A_R North Shore EEPS_Adjustable_Savings_Goal_Template.xlsx, Pipe Insulation Detail Tab</v>
      </c>
      <c r="N95" s="298">
        <v>15.586033402860688</v>
      </c>
      <c r="O95" s="298">
        <v>15.586033402860688</v>
      </c>
      <c r="P95" s="298">
        <v>15.586033402860688</v>
      </c>
      <c r="Q95" s="298">
        <v>15.586033402860688</v>
      </c>
      <c r="R95" s="299">
        <f>'Unit Savings Calculations'!$G91</f>
        <v>0.76</v>
      </c>
      <c r="S95" s="299">
        <f>'Unit Savings Calculations'!$G91</f>
        <v>0.76</v>
      </c>
      <c r="T95" s="299">
        <f>'Unit Savings Calculations'!$G91</f>
        <v>0.76</v>
      </c>
      <c r="U95" s="299">
        <f>'Unit Savings Calculations'!$G91</f>
        <v>0.76</v>
      </c>
      <c r="V95" s="300">
        <f t="shared" si="67"/>
        <v>0</v>
      </c>
      <c r="W95" s="300">
        <f t="shared" si="68"/>
        <v>0</v>
      </c>
      <c r="X95" s="300">
        <f t="shared" si="69"/>
        <v>0</v>
      </c>
      <c r="Y95" s="300">
        <f t="shared" si="70"/>
        <v>0</v>
      </c>
      <c r="Z95" s="300">
        <f t="shared" si="71"/>
        <v>0</v>
      </c>
      <c r="AA95" s="295"/>
      <c r="AB95" s="295"/>
      <c r="AC95" s="298">
        <f>'Unit Savings Calculations'!N91</f>
        <v>15.586033402860688</v>
      </c>
      <c r="AD95" s="295"/>
      <c r="AE95" s="300">
        <f t="shared" si="49"/>
        <v>0</v>
      </c>
      <c r="AF95" s="297">
        <f t="shared" si="50"/>
        <v>0</v>
      </c>
      <c r="AG95" s="295"/>
      <c r="AH95" s="295">
        <f t="shared" si="51"/>
        <v>0</v>
      </c>
      <c r="AI95" s="298">
        <f>'Unit Savings Calculations'!O91</f>
        <v>15.586033402860688</v>
      </c>
      <c r="AJ95" s="405" t="s">
        <v>879</v>
      </c>
      <c r="AK95" s="300">
        <f t="shared" si="52"/>
        <v>0</v>
      </c>
      <c r="AL95" s="297">
        <f t="shared" si="53"/>
        <v>0</v>
      </c>
      <c r="AM95" s="295"/>
      <c r="AN95" s="295"/>
      <c r="AO95" s="298">
        <f>'Unit Savings Calculations'!P91</f>
        <v>15.586033402860688</v>
      </c>
      <c r="AP95" s="405" t="s">
        <v>764</v>
      </c>
      <c r="AQ95" s="300">
        <f t="shared" si="54"/>
        <v>0</v>
      </c>
      <c r="AR95" s="297">
        <f t="shared" si="55"/>
        <v>0</v>
      </c>
      <c r="AS95" s="295"/>
      <c r="AT95" s="295"/>
      <c r="AU95" s="298">
        <f>'Unit Savings Calculations'!Q91</f>
        <v>15.586033402860688</v>
      </c>
      <c r="AV95" s="405" t="str">
        <f t="shared" si="56"/>
        <v>n/a</v>
      </c>
      <c r="AW95" s="300">
        <f t="shared" si="57"/>
        <v>0</v>
      </c>
      <c r="AX95" s="297">
        <f t="shared" si="58"/>
        <v>0</v>
      </c>
      <c r="AY95" s="300">
        <f t="shared" si="59"/>
        <v>0</v>
      </c>
      <c r="AZ95" s="300">
        <f t="shared" si="60"/>
        <v>0</v>
      </c>
      <c r="BA95" s="300">
        <f t="shared" si="61"/>
        <v>0</v>
      </c>
      <c r="BB95" s="300">
        <f t="shared" si="62"/>
        <v>0</v>
      </c>
      <c r="BC95" s="301">
        <f t="shared" si="63"/>
        <v>0</v>
      </c>
      <c r="BD95" s="295" t="s">
        <v>764</v>
      </c>
      <c r="BE95" s="302" t="str">
        <f t="shared" si="64"/>
        <v>Exhibit 1.5A_R North Shore EEPS_Adjustable_Savings_Goal_Template.xlsx, Pipe Insulation Detail Tab</v>
      </c>
      <c r="BF95" s="304"/>
    </row>
    <row r="96" spans="1:58" ht="15.75" customHeight="1">
      <c r="A96" s="295" t="str">
        <f>'Unit Savings Calculations'!C92</f>
        <v>Res - MF Standard Rebates</v>
      </c>
      <c r="B96" s="295" t="str">
        <f>'Unit Savings Calculations'!D92</f>
        <v>Pipe Insulation - Steam Large Fitting</v>
      </c>
      <c r="C96" s="296">
        <f t="shared" si="66"/>
        <v>1</v>
      </c>
      <c r="D96" s="295" t="str">
        <f>'Unit Savings Calculations'!T92</f>
        <v>4.4.14</v>
      </c>
      <c r="E96" s="460">
        <f>INDEX('Unit Savings Calculations'!$H$4:$H$421,MATCH('Measure-Level Adjustments Tab'!$A96&amp;"_"&amp;'Measure-Level Adjustments Tab'!$B96,'Unit Savings Calculations'!$A$4:$A$421,0))</f>
        <v>15</v>
      </c>
      <c r="F96" s="460">
        <f>INDEX('Unit Savings Calculations'!$I$4:$I$421,MATCH('Measure-Level Adjustments Tab'!A96&amp;"_"&amp;'Measure-Level Adjustments Tab'!B96,'Unit Savings Calculations'!$A$4:$A$421,0))</f>
        <v>15</v>
      </c>
      <c r="G96" s="295" t="str">
        <f>'Unit Savings Calculations'!E92</f>
        <v>each</v>
      </c>
      <c r="H96" s="297">
        <f>'Unit Savings Calculations'!$F92*'Unit Savings Calculations'!J92</f>
        <v>0</v>
      </c>
      <c r="I96" s="297">
        <f>'Unit Savings Calculations'!$F92*'Unit Savings Calculations'!K92</f>
        <v>0</v>
      </c>
      <c r="J96" s="297">
        <f>'Unit Savings Calculations'!$F92*'Unit Savings Calculations'!L92</f>
        <v>0</v>
      </c>
      <c r="K96" s="297">
        <f>'Unit Savings Calculations'!$F92*'Unit Savings Calculations'!M92</f>
        <v>0</v>
      </c>
      <c r="L96" s="295" t="str">
        <f>'Unit Savings Calculations'!U92</f>
        <v>CI-HVC-PINS-V04-160601</v>
      </c>
      <c r="M96" s="405" t="str">
        <f>'Unit Savings Calculations'!R92</f>
        <v>Exhibit 1.5A_R North Shore EEPS_Adjustable_Savings_Goal_Template.xlsx, Pipe Insulation Detail Tab</v>
      </c>
      <c r="N96" s="298">
        <v>63.824627950912159</v>
      </c>
      <c r="O96" s="298">
        <v>63.824627950912159</v>
      </c>
      <c r="P96" s="298">
        <v>63.824627950912159</v>
      </c>
      <c r="Q96" s="298">
        <v>63.824627950912159</v>
      </c>
      <c r="R96" s="299">
        <f>'Unit Savings Calculations'!$G92</f>
        <v>0.76</v>
      </c>
      <c r="S96" s="299">
        <f>'Unit Savings Calculations'!$G92</f>
        <v>0.76</v>
      </c>
      <c r="T96" s="299">
        <f>'Unit Savings Calculations'!$G92</f>
        <v>0.76</v>
      </c>
      <c r="U96" s="299">
        <f>'Unit Savings Calculations'!$G92</f>
        <v>0.76</v>
      </c>
      <c r="V96" s="300">
        <f t="shared" si="67"/>
        <v>0</v>
      </c>
      <c r="W96" s="300">
        <f t="shared" si="68"/>
        <v>0</v>
      </c>
      <c r="X96" s="300">
        <f t="shared" si="69"/>
        <v>0</v>
      </c>
      <c r="Y96" s="300">
        <f t="shared" si="70"/>
        <v>0</v>
      </c>
      <c r="Z96" s="300">
        <f t="shared" si="71"/>
        <v>0</v>
      </c>
      <c r="AA96" s="295"/>
      <c r="AB96" s="295"/>
      <c r="AC96" s="298">
        <f>'Unit Savings Calculations'!N92</f>
        <v>63.824627950912159</v>
      </c>
      <c r="AD96" s="295"/>
      <c r="AE96" s="300">
        <f t="shared" si="49"/>
        <v>0</v>
      </c>
      <c r="AF96" s="297">
        <f t="shared" si="50"/>
        <v>0</v>
      </c>
      <c r="AG96" s="295"/>
      <c r="AH96" s="295">
        <f t="shared" si="51"/>
        <v>0</v>
      </c>
      <c r="AI96" s="298">
        <f>'Unit Savings Calculations'!O92</f>
        <v>63.824627950912159</v>
      </c>
      <c r="AJ96" s="405" t="s">
        <v>879</v>
      </c>
      <c r="AK96" s="300">
        <f t="shared" si="52"/>
        <v>0</v>
      </c>
      <c r="AL96" s="297">
        <f t="shared" si="53"/>
        <v>0</v>
      </c>
      <c r="AM96" s="295"/>
      <c r="AN96" s="295"/>
      <c r="AO96" s="298">
        <f>'Unit Savings Calculations'!P92</f>
        <v>63.824627950912159</v>
      </c>
      <c r="AP96" s="405" t="s">
        <v>764</v>
      </c>
      <c r="AQ96" s="300">
        <f t="shared" si="54"/>
        <v>0</v>
      </c>
      <c r="AR96" s="297">
        <f t="shared" si="55"/>
        <v>0</v>
      </c>
      <c r="AS96" s="295"/>
      <c r="AT96" s="295"/>
      <c r="AU96" s="298">
        <f>'Unit Savings Calculations'!Q92</f>
        <v>63.824627950912159</v>
      </c>
      <c r="AV96" s="405" t="str">
        <f t="shared" si="56"/>
        <v>n/a</v>
      </c>
      <c r="AW96" s="300">
        <f t="shared" si="57"/>
        <v>0</v>
      </c>
      <c r="AX96" s="297">
        <f t="shared" si="58"/>
        <v>0</v>
      </c>
      <c r="AY96" s="300">
        <f t="shared" si="59"/>
        <v>0</v>
      </c>
      <c r="AZ96" s="300">
        <f t="shared" si="60"/>
        <v>0</v>
      </c>
      <c r="BA96" s="300">
        <f t="shared" si="61"/>
        <v>0</v>
      </c>
      <c r="BB96" s="300">
        <f t="shared" si="62"/>
        <v>0</v>
      </c>
      <c r="BC96" s="301">
        <f t="shared" si="63"/>
        <v>0</v>
      </c>
      <c r="BD96" s="295" t="s">
        <v>764</v>
      </c>
      <c r="BE96" s="302" t="str">
        <f t="shared" si="64"/>
        <v>Exhibit 1.5A_R North Shore EEPS_Adjustable_Savings_Goal_Template.xlsx, Pipe Insulation Detail Tab</v>
      </c>
      <c r="BF96" s="304"/>
    </row>
    <row r="97" spans="1:58" ht="15.75" customHeight="1">
      <c r="A97" s="295" t="str">
        <f>'Unit Savings Calculations'!C93</f>
        <v>Res - MF Standard Rebates</v>
      </c>
      <c r="B97" s="295" t="str">
        <f>'Unit Savings Calculations'!D93</f>
        <v>Pipe Insulation - Steam X-Large Fitting</v>
      </c>
      <c r="C97" s="296">
        <f t="shared" si="66"/>
        <v>1</v>
      </c>
      <c r="D97" s="295" t="str">
        <f>'Unit Savings Calculations'!T93</f>
        <v>4.4.14</v>
      </c>
      <c r="E97" s="460">
        <f>INDEX('Unit Savings Calculations'!$H$4:$H$421,MATCH('Measure-Level Adjustments Tab'!$A97&amp;"_"&amp;'Measure-Level Adjustments Tab'!$B97,'Unit Savings Calculations'!$A$4:$A$421,0))</f>
        <v>15</v>
      </c>
      <c r="F97" s="460">
        <f>INDEX('Unit Savings Calculations'!$I$4:$I$421,MATCH('Measure-Level Adjustments Tab'!A97&amp;"_"&amp;'Measure-Level Adjustments Tab'!B97,'Unit Savings Calculations'!$A$4:$A$421,0))</f>
        <v>15</v>
      </c>
      <c r="G97" s="295" t="str">
        <f>'Unit Savings Calculations'!E93</f>
        <v>each</v>
      </c>
      <c r="H97" s="297">
        <f>'Unit Savings Calculations'!$F93*'Unit Savings Calculations'!J93</f>
        <v>0</v>
      </c>
      <c r="I97" s="297">
        <f>'Unit Savings Calculations'!$F93*'Unit Savings Calculations'!K93</f>
        <v>0</v>
      </c>
      <c r="J97" s="297">
        <f>'Unit Savings Calculations'!$F93*'Unit Savings Calculations'!L93</f>
        <v>0</v>
      </c>
      <c r="K97" s="297">
        <f>'Unit Savings Calculations'!$F93*'Unit Savings Calculations'!M93</f>
        <v>0</v>
      </c>
      <c r="L97" s="295" t="str">
        <f>'Unit Savings Calculations'!U93</f>
        <v>CI-HVC-PINS-V04-160601</v>
      </c>
      <c r="M97" s="405" t="str">
        <f>'Unit Savings Calculations'!R93</f>
        <v>Exhibit 1.5A_R North Shore EEPS_Adjustable_Savings_Goal_Template.xlsx, Pipe Insulation Detail Tab</v>
      </c>
      <c r="N97" s="298">
        <v>123.46367522768401</v>
      </c>
      <c r="O97" s="298">
        <v>123.46367522768401</v>
      </c>
      <c r="P97" s="298">
        <v>123.46367522768401</v>
      </c>
      <c r="Q97" s="298">
        <v>123.46367522768401</v>
      </c>
      <c r="R97" s="299">
        <f>'Unit Savings Calculations'!$G93</f>
        <v>0.76</v>
      </c>
      <c r="S97" s="299">
        <f>'Unit Savings Calculations'!$G93</f>
        <v>0.76</v>
      </c>
      <c r="T97" s="299">
        <f>'Unit Savings Calculations'!$G93</f>
        <v>0.76</v>
      </c>
      <c r="U97" s="299">
        <f>'Unit Savings Calculations'!$G93</f>
        <v>0.76</v>
      </c>
      <c r="V97" s="300">
        <f t="shared" si="67"/>
        <v>0</v>
      </c>
      <c r="W97" s="300">
        <f t="shared" si="68"/>
        <v>0</v>
      </c>
      <c r="X97" s="300">
        <f t="shared" si="69"/>
        <v>0</v>
      </c>
      <c r="Y97" s="300">
        <f t="shared" si="70"/>
        <v>0</v>
      </c>
      <c r="Z97" s="300">
        <f t="shared" si="71"/>
        <v>0</v>
      </c>
      <c r="AA97" s="295"/>
      <c r="AB97" s="295"/>
      <c r="AC97" s="298">
        <f>'Unit Savings Calculations'!N93</f>
        <v>123.46367522768401</v>
      </c>
      <c r="AD97" s="295"/>
      <c r="AE97" s="300">
        <f t="shared" si="49"/>
        <v>0</v>
      </c>
      <c r="AF97" s="297">
        <f t="shared" si="50"/>
        <v>0</v>
      </c>
      <c r="AG97" s="295"/>
      <c r="AH97" s="295">
        <f t="shared" si="51"/>
        <v>0</v>
      </c>
      <c r="AI97" s="298">
        <f>'Unit Savings Calculations'!O93</f>
        <v>123.46367522768401</v>
      </c>
      <c r="AJ97" s="405" t="s">
        <v>879</v>
      </c>
      <c r="AK97" s="300">
        <f t="shared" si="52"/>
        <v>0</v>
      </c>
      <c r="AL97" s="297">
        <f t="shared" si="53"/>
        <v>0</v>
      </c>
      <c r="AM97" s="295"/>
      <c r="AN97" s="295"/>
      <c r="AO97" s="298">
        <f>'Unit Savings Calculations'!P93</f>
        <v>123.46367522768401</v>
      </c>
      <c r="AP97" s="405" t="s">
        <v>764</v>
      </c>
      <c r="AQ97" s="300">
        <f t="shared" si="54"/>
        <v>0</v>
      </c>
      <c r="AR97" s="297">
        <f t="shared" si="55"/>
        <v>0</v>
      </c>
      <c r="AS97" s="295"/>
      <c r="AT97" s="295"/>
      <c r="AU97" s="298">
        <f>'Unit Savings Calculations'!Q93</f>
        <v>123.46367522768401</v>
      </c>
      <c r="AV97" s="405" t="str">
        <f t="shared" si="56"/>
        <v>n/a</v>
      </c>
      <c r="AW97" s="300">
        <f t="shared" si="57"/>
        <v>0</v>
      </c>
      <c r="AX97" s="297">
        <f t="shared" si="58"/>
        <v>0</v>
      </c>
      <c r="AY97" s="300">
        <f t="shared" si="59"/>
        <v>0</v>
      </c>
      <c r="AZ97" s="300">
        <f t="shared" si="60"/>
        <v>0</v>
      </c>
      <c r="BA97" s="300">
        <f t="shared" si="61"/>
        <v>0</v>
      </c>
      <c r="BB97" s="300">
        <f t="shared" si="62"/>
        <v>0</v>
      </c>
      <c r="BC97" s="301">
        <f t="shared" si="63"/>
        <v>0</v>
      </c>
      <c r="BD97" s="295" t="s">
        <v>764</v>
      </c>
      <c r="BE97" s="302" t="str">
        <f t="shared" si="64"/>
        <v>Exhibit 1.5A_R North Shore EEPS_Adjustable_Savings_Goal_Template.xlsx, Pipe Insulation Detail Tab</v>
      </c>
      <c r="BF97" s="304"/>
    </row>
    <row r="98" spans="1:58" ht="15.75" customHeight="1">
      <c r="A98" s="295" t="str">
        <f>'Unit Savings Calculations'!C94</f>
        <v>Res - MF Standard Rebates</v>
      </c>
      <c r="B98" s="295" t="str">
        <f>'Unit Savings Calculations'!D94</f>
        <v>Pipe Insulation - Steam Med Valve</v>
      </c>
      <c r="C98" s="296">
        <f t="shared" si="66"/>
        <v>1</v>
      </c>
      <c r="D98" s="295" t="str">
        <f>'Unit Savings Calculations'!T94</f>
        <v>4.4.14</v>
      </c>
      <c r="E98" s="460">
        <f>INDEX('Unit Savings Calculations'!$H$4:$H$421,MATCH('Measure-Level Adjustments Tab'!$A98&amp;"_"&amp;'Measure-Level Adjustments Tab'!$B98,'Unit Savings Calculations'!$A$4:$A$421,0))</f>
        <v>15</v>
      </c>
      <c r="F98" s="460">
        <f>INDEX('Unit Savings Calculations'!$I$4:$I$421,MATCH('Measure-Level Adjustments Tab'!A98&amp;"_"&amp;'Measure-Level Adjustments Tab'!B98,'Unit Savings Calculations'!$A$4:$A$421,0))</f>
        <v>15</v>
      </c>
      <c r="G98" s="295" t="str">
        <f>'Unit Savings Calculations'!E94</f>
        <v>each</v>
      </c>
      <c r="H98" s="297">
        <f>'Unit Savings Calculations'!$F94*'Unit Savings Calculations'!J94</f>
        <v>0</v>
      </c>
      <c r="I98" s="297">
        <f>'Unit Savings Calculations'!$F94*'Unit Savings Calculations'!K94</f>
        <v>0</v>
      </c>
      <c r="J98" s="297">
        <f>'Unit Savings Calculations'!$F94*'Unit Savings Calculations'!L94</f>
        <v>0</v>
      </c>
      <c r="K98" s="297">
        <f>'Unit Savings Calculations'!$F94*'Unit Savings Calculations'!M94</f>
        <v>0</v>
      </c>
      <c r="L98" s="295" t="str">
        <f>'Unit Savings Calculations'!U94</f>
        <v>CI-HVC-PINS-V04-160601</v>
      </c>
      <c r="M98" s="405" t="str">
        <f>'Unit Savings Calculations'!R94</f>
        <v>Exhibit 1.5A_R North Shore EEPS_Adjustable_Savings_Goal_Template.xlsx, Pipe Insulation Detail Tab</v>
      </c>
      <c r="N98" s="298">
        <v>46.605980670745772</v>
      </c>
      <c r="O98" s="298">
        <v>46.605980670745772</v>
      </c>
      <c r="P98" s="298">
        <v>46.605980670745772</v>
      </c>
      <c r="Q98" s="298">
        <v>46.605980670745772</v>
      </c>
      <c r="R98" s="299">
        <f>'Unit Savings Calculations'!$G94</f>
        <v>0.76</v>
      </c>
      <c r="S98" s="299">
        <f>'Unit Savings Calculations'!$G94</f>
        <v>0.76</v>
      </c>
      <c r="T98" s="299">
        <f>'Unit Savings Calculations'!$G94</f>
        <v>0.76</v>
      </c>
      <c r="U98" s="299">
        <f>'Unit Savings Calculations'!$G94</f>
        <v>0.76</v>
      </c>
      <c r="V98" s="300">
        <f t="shared" si="67"/>
        <v>0</v>
      </c>
      <c r="W98" s="300">
        <f t="shared" si="68"/>
        <v>0</v>
      </c>
      <c r="X98" s="300">
        <f t="shared" si="69"/>
        <v>0</v>
      </c>
      <c r="Y98" s="300">
        <f t="shared" si="70"/>
        <v>0</v>
      </c>
      <c r="Z98" s="300">
        <f t="shared" si="71"/>
        <v>0</v>
      </c>
      <c r="AA98" s="295"/>
      <c r="AB98" s="295"/>
      <c r="AC98" s="298">
        <f>'Unit Savings Calculations'!N94</f>
        <v>46.605980670745772</v>
      </c>
      <c r="AD98" s="295"/>
      <c r="AE98" s="300">
        <f t="shared" si="49"/>
        <v>0</v>
      </c>
      <c r="AF98" s="297">
        <f t="shared" si="50"/>
        <v>0</v>
      </c>
      <c r="AG98" s="295"/>
      <c r="AH98" s="295">
        <f t="shared" si="51"/>
        <v>0</v>
      </c>
      <c r="AI98" s="298">
        <f>'Unit Savings Calculations'!O94</f>
        <v>46.605980670745772</v>
      </c>
      <c r="AJ98" s="405" t="s">
        <v>879</v>
      </c>
      <c r="AK98" s="300">
        <f t="shared" si="52"/>
        <v>0</v>
      </c>
      <c r="AL98" s="297">
        <f t="shared" si="53"/>
        <v>0</v>
      </c>
      <c r="AM98" s="295"/>
      <c r="AN98" s="295"/>
      <c r="AO98" s="298">
        <f>'Unit Savings Calculations'!P94</f>
        <v>46.605980670745772</v>
      </c>
      <c r="AP98" s="405" t="s">
        <v>764</v>
      </c>
      <c r="AQ98" s="300">
        <f t="shared" si="54"/>
        <v>0</v>
      </c>
      <c r="AR98" s="297">
        <f t="shared" si="55"/>
        <v>0</v>
      </c>
      <c r="AS98" s="295"/>
      <c r="AT98" s="295"/>
      <c r="AU98" s="298">
        <f>'Unit Savings Calculations'!Q94</f>
        <v>46.605980670745772</v>
      </c>
      <c r="AV98" s="405" t="str">
        <f t="shared" si="56"/>
        <v>n/a</v>
      </c>
      <c r="AW98" s="300">
        <f t="shared" si="57"/>
        <v>0</v>
      </c>
      <c r="AX98" s="297">
        <f t="shared" si="58"/>
        <v>0</v>
      </c>
      <c r="AY98" s="300">
        <f t="shared" si="59"/>
        <v>0</v>
      </c>
      <c r="AZ98" s="300">
        <f t="shared" si="60"/>
        <v>0</v>
      </c>
      <c r="BA98" s="300">
        <f t="shared" si="61"/>
        <v>0</v>
      </c>
      <c r="BB98" s="300">
        <f t="shared" si="62"/>
        <v>0</v>
      </c>
      <c r="BC98" s="301">
        <f t="shared" si="63"/>
        <v>0</v>
      </c>
      <c r="BD98" s="295" t="s">
        <v>764</v>
      </c>
      <c r="BE98" s="302" t="str">
        <f t="shared" si="64"/>
        <v>Exhibit 1.5A_R North Shore EEPS_Adjustable_Savings_Goal_Template.xlsx, Pipe Insulation Detail Tab</v>
      </c>
      <c r="BF98" s="304"/>
    </row>
    <row r="99" spans="1:58" ht="15.75" customHeight="1">
      <c r="A99" s="295" t="str">
        <f>'Unit Savings Calculations'!C95</f>
        <v>Res - MF Standard Rebates</v>
      </c>
      <c r="B99" s="295" t="str">
        <f>'Unit Savings Calculations'!D95</f>
        <v>Pipe Insulation - Steam Large Valve</v>
      </c>
      <c r="C99" s="296">
        <f t="shared" si="66"/>
        <v>1</v>
      </c>
      <c r="D99" s="295" t="str">
        <f>'Unit Savings Calculations'!T95</f>
        <v>4.4.14</v>
      </c>
      <c r="E99" s="460">
        <f>INDEX('Unit Savings Calculations'!$H$4:$H$421,MATCH('Measure-Level Adjustments Tab'!$A99&amp;"_"&amp;'Measure-Level Adjustments Tab'!$B99,'Unit Savings Calculations'!$A$4:$A$421,0))</f>
        <v>15</v>
      </c>
      <c r="F99" s="460">
        <f>INDEX('Unit Savings Calculations'!$I$4:$I$421,MATCH('Measure-Level Adjustments Tab'!A99&amp;"_"&amp;'Measure-Level Adjustments Tab'!B99,'Unit Savings Calculations'!$A$4:$A$421,0))</f>
        <v>15</v>
      </c>
      <c r="G99" s="295" t="str">
        <f>'Unit Savings Calculations'!E95</f>
        <v>each</v>
      </c>
      <c r="H99" s="297">
        <f>'Unit Savings Calculations'!$F95*'Unit Savings Calculations'!J95</f>
        <v>0</v>
      </c>
      <c r="I99" s="297">
        <f>'Unit Savings Calculations'!$F95*'Unit Savings Calculations'!K95</f>
        <v>0</v>
      </c>
      <c r="J99" s="297">
        <f>'Unit Savings Calculations'!$F95*'Unit Savings Calculations'!L95</f>
        <v>0</v>
      </c>
      <c r="K99" s="297">
        <f>'Unit Savings Calculations'!$F95*'Unit Savings Calculations'!M95</f>
        <v>0</v>
      </c>
      <c r="L99" s="295" t="str">
        <f>'Unit Savings Calculations'!U95</f>
        <v>CI-HVC-PINS-V04-160601</v>
      </c>
      <c r="M99" s="405" t="str">
        <f>'Unit Savings Calculations'!R95</f>
        <v>Exhibit 1.5A_R North Shore EEPS_Adjustable_Savings_Goal_Template.xlsx, Pipe Insulation Detail Tab</v>
      </c>
      <c r="N99" s="298">
        <v>133.90978522057964</v>
      </c>
      <c r="O99" s="298">
        <v>133.90978522057964</v>
      </c>
      <c r="P99" s="298">
        <v>133.90978522057964</v>
      </c>
      <c r="Q99" s="298">
        <v>133.90978522057964</v>
      </c>
      <c r="R99" s="299">
        <f>'Unit Savings Calculations'!$G95</f>
        <v>0.76</v>
      </c>
      <c r="S99" s="299">
        <f>'Unit Savings Calculations'!$G95</f>
        <v>0.76</v>
      </c>
      <c r="T99" s="299">
        <f>'Unit Savings Calculations'!$G95</f>
        <v>0.76</v>
      </c>
      <c r="U99" s="299">
        <f>'Unit Savings Calculations'!$G95</f>
        <v>0.76</v>
      </c>
      <c r="V99" s="300">
        <f t="shared" si="67"/>
        <v>0</v>
      </c>
      <c r="W99" s="300">
        <f t="shared" si="68"/>
        <v>0</v>
      </c>
      <c r="X99" s="300">
        <f t="shared" si="69"/>
        <v>0</v>
      </c>
      <c r="Y99" s="300">
        <f t="shared" si="70"/>
        <v>0</v>
      </c>
      <c r="Z99" s="300">
        <f t="shared" si="71"/>
        <v>0</v>
      </c>
      <c r="AA99" s="295"/>
      <c r="AB99" s="295"/>
      <c r="AC99" s="298">
        <f>'Unit Savings Calculations'!N95</f>
        <v>133.90978522057964</v>
      </c>
      <c r="AD99" s="295"/>
      <c r="AE99" s="300">
        <f t="shared" si="49"/>
        <v>0</v>
      </c>
      <c r="AF99" s="297">
        <f t="shared" si="50"/>
        <v>0</v>
      </c>
      <c r="AG99" s="295"/>
      <c r="AH99" s="295">
        <f t="shared" si="51"/>
        <v>0</v>
      </c>
      <c r="AI99" s="298">
        <f>'Unit Savings Calculations'!O95</f>
        <v>133.90978522057964</v>
      </c>
      <c r="AJ99" s="405" t="s">
        <v>879</v>
      </c>
      <c r="AK99" s="300">
        <f t="shared" si="52"/>
        <v>0</v>
      </c>
      <c r="AL99" s="297">
        <f t="shared" si="53"/>
        <v>0</v>
      </c>
      <c r="AM99" s="295"/>
      <c r="AN99" s="295"/>
      <c r="AO99" s="298">
        <f>'Unit Savings Calculations'!P95</f>
        <v>133.90978522057964</v>
      </c>
      <c r="AP99" s="405" t="s">
        <v>764</v>
      </c>
      <c r="AQ99" s="300">
        <f t="shared" si="54"/>
        <v>0</v>
      </c>
      <c r="AR99" s="297">
        <f t="shared" si="55"/>
        <v>0</v>
      </c>
      <c r="AS99" s="295"/>
      <c r="AT99" s="295"/>
      <c r="AU99" s="298">
        <f>'Unit Savings Calculations'!Q95</f>
        <v>133.90978522057964</v>
      </c>
      <c r="AV99" s="405" t="str">
        <f t="shared" si="56"/>
        <v>n/a</v>
      </c>
      <c r="AW99" s="300">
        <f t="shared" si="57"/>
        <v>0</v>
      </c>
      <c r="AX99" s="297">
        <f t="shared" si="58"/>
        <v>0</v>
      </c>
      <c r="AY99" s="300">
        <f t="shared" si="59"/>
        <v>0</v>
      </c>
      <c r="AZ99" s="300">
        <f t="shared" si="60"/>
        <v>0</v>
      </c>
      <c r="BA99" s="300">
        <f t="shared" si="61"/>
        <v>0</v>
      </c>
      <c r="BB99" s="300">
        <f t="shared" si="62"/>
        <v>0</v>
      </c>
      <c r="BC99" s="301">
        <f t="shared" si="63"/>
        <v>0</v>
      </c>
      <c r="BD99" s="295" t="s">
        <v>764</v>
      </c>
      <c r="BE99" s="302" t="str">
        <f t="shared" si="64"/>
        <v>Exhibit 1.5A_R North Shore EEPS_Adjustable_Savings_Goal_Template.xlsx, Pipe Insulation Detail Tab</v>
      </c>
      <c r="BF99" s="304"/>
    </row>
    <row r="100" spans="1:58" ht="15.75" customHeight="1">
      <c r="A100" s="295" t="str">
        <f>'Unit Savings Calculations'!C96</f>
        <v>Res - MF Standard Rebates</v>
      </c>
      <c r="B100" s="295" t="str">
        <f>'Unit Savings Calculations'!D96</f>
        <v>Pipe Insulation - Steam X-Large Valve</v>
      </c>
      <c r="C100" s="296">
        <f t="shared" si="66"/>
        <v>1</v>
      </c>
      <c r="D100" s="295" t="str">
        <f>'Unit Savings Calculations'!T96</f>
        <v>4.4.14</v>
      </c>
      <c r="E100" s="460">
        <f>INDEX('Unit Savings Calculations'!$H$4:$H$421,MATCH('Measure-Level Adjustments Tab'!$A100&amp;"_"&amp;'Measure-Level Adjustments Tab'!$B100,'Unit Savings Calculations'!$A$4:$A$421,0))</f>
        <v>15</v>
      </c>
      <c r="F100" s="460">
        <f>INDEX('Unit Savings Calculations'!$I$4:$I$421,MATCH('Measure-Level Adjustments Tab'!A100&amp;"_"&amp;'Measure-Level Adjustments Tab'!B100,'Unit Savings Calculations'!$A$4:$A$421,0))</f>
        <v>15</v>
      </c>
      <c r="G100" s="295" t="str">
        <f>'Unit Savings Calculations'!E96</f>
        <v>each</v>
      </c>
      <c r="H100" s="297">
        <f>'Unit Savings Calculations'!$F96*'Unit Savings Calculations'!J96</f>
        <v>0</v>
      </c>
      <c r="I100" s="297">
        <f>'Unit Savings Calculations'!$F96*'Unit Savings Calculations'!K96</f>
        <v>0</v>
      </c>
      <c r="J100" s="297">
        <f>'Unit Savings Calculations'!$F96*'Unit Savings Calculations'!L96</f>
        <v>0</v>
      </c>
      <c r="K100" s="297">
        <f>'Unit Savings Calculations'!$F96*'Unit Savings Calculations'!M96</f>
        <v>0</v>
      </c>
      <c r="L100" s="295" t="str">
        <f>'Unit Savings Calculations'!U96</f>
        <v>CI-HVC-PINS-V04-160601</v>
      </c>
      <c r="M100" s="405" t="str">
        <f>'Unit Savings Calculations'!R96</f>
        <v>Exhibit 1.5A_R North Shore EEPS_Adjustable_Savings_Goal_Template.xlsx, Pipe Insulation Detail Tab</v>
      </c>
      <c r="N100" s="298">
        <v>218.0177023221575</v>
      </c>
      <c r="O100" s="298">
        <v>218.0177023221575</v>
      </c>
      <c r="P100" s="298">
        <v>218.0177023221575</v>
      </c>
      <c r="Q100" s="298">
        <v>218.0177023221575</v>
      </c>
      <c r="R100" s="299">
        <f>'Unit Savings Calculations'!$G96</f>
        <v>0.76</v>
      </c>
      <c r="S100" s="299">
        <f>'Unit Savings Calculations'!$G96</f>
        <v>0.76</v>
      </c>
      <c r="T100" s="299">
        <f>'Unit Savings Calculations'!$G96</f>
        <v>0.76</v>
      </c>
      <c r="U100" s="299">
        <f>'Unit Savings Calculations'!$G96</f>
        <v>0.76</v>
      </c>
      <c r="V100" s="300">
        <f t="shared" si="67"/>
        <v>0</v>
      </c>
      <c r="W100" s="300">
        <f t="shared" si="68"/>
        <v>0</v>
      </c>
      <c r="X100" s="300">
        <f t="shared" si="69"/>
        <v>0</v>
      </c>
      <c r="Y100" s="300">
        <f t="shared" si="70"/>
        <v>0</v>
      </c>
      <c r="Z100" s="300">
        <f t="shared" si="71"/>
        <v>0</v>
      </c>
      <c r="AA100" s="295"/>
      <c r="AB100" s="295"/>
      <c r="AC100" s="298">
        <f>'Unit Savings Calculations'!N96</f>
        <v>218.0177023221575</v>
      </c>
      <c r="AD100" s="295"/>
      <c r="AE100" s="300">
        <f t="shared" si="49"/>
        <v>0</v>
      </c>
      <c r="AF100" s="297">
        <f t="shared" si="50"/>
        <v>0</v>
      </c>
      <c r="AG100" s="295"/>
      <c r="AH100" s="295">
        <f t="shared" si="51"/>
        <v>0</v>
      </c>
      <c r="AI100" s="298">
        <f>'Unit Savings Calculations'!O96</f>
        <v>218.0177023221575</v>
      </c>
      <c r="AJ100" s="405" t="s">
        <v>879</v>
      </c>
      <c r="AK100" s="300">
        <f t="shared" si="52"/>
        <v>0</v>
      </c>
      <c r="AL100" s="297">
        <f t="shared" si="53"/>
        <v>0</v>
      </c>
      <c r="AM100" s="295"/>
      <c r="AN100" s="295"/>
      <c r="AO100" s="298">
        <f>'Unit Savings Calculations'!P96</f>
        <v>218.0177023221575</v>
      </c>
      <c r="AP100" s="405" t="s">
        <v>764</v>
      </c>
      <c r="AQ100" s="300">
        <f t="shared" si="54"/>
        <v>0</v>
      </c>
      <c r="AR100" s="297">
        <f t="shared" si="55"/>
        <v>0</v>
      </c>
      <c r="AS100" s="295"/>
      <c r="AT100" s="295"/>
      <c r="AU100" s="298">
        <f>'Unit Savings Calculations'!Q96</f>
        <v>218.0177023221575</v>
      </c>
      <c r="AV100" s="405" t="str">
        <f t="shared" si="56"/>
        <v>n/a</v>
      </c>
      <c r="AW100" s="300">
        <f t="shared" si="57"/>
        <v>0</v>
      </c>
      <c r="AX100" s="297">
        <f t="shared" si="58"/>
        <v>0</v>
      </c>
      <c r="AY100" s="300">
        <f t="shared" si="59"/>
        <v>0</v>
      </c>
      <c r="AZ100" s="300">
        <f t="shared" si="60"/>
        <v>0</v>
      </c>
      <c r="BA100" s="300">
        <f t="shared" si="61"/>
        <v>0</v>
      </c>
      <c r="BB100" s="300">
        <f t="shared" si="62"/>
        <v>0</v>
      </c>
      <c r="BC100" s="301">
        <f t="shared" si="63"/>
        <v>0</v>
      </c>
      <c r="BD100" s="295" t="s">
        <v>764</v>
      </c>
      <c r="BE100" s="302" t="str">
        <f t="shared" si="64"/>
        <v>Exhibit 1.5A_R North Shore EEPS_Adjustable_Savings_Goal_Template.xlsx, Pipe Insulation Detail Tab</v>
      </c>
      <c r="BF100" s="304"/>
    </row>
    <row r="101" spans="1:58" ht="15.75" customHeight="1">
      <c r="A101" s="295" t="str">
        <f>'Unit Savings Calculations'!C97</f>
        <v>Res - MF Standard Rebates</v>
      </c>
      <c r="B101" s="295" t="str">
        <f>'Unit Savings Calculations'!D97</f>
        <v>Steam Boiler ≥82% AFUE, &gt;300MBh TE</v>
      </c>
      <c r="C101" s="296">
        <f t="shared" si="66"/>
        <v>1</v>
      </c>
      <c r="D101" s="295" t="str">
        <f>'Unit Savings Calculations'!T97</f>
        <v>4.4.10</v>
      </c>
      <c r="E101" s="460">
        <f>INDEX('Unit Savings Calculations'!$H$4:$H$421,MATCH('Measure-Level Adjustments Tab'!$A101&amp;"_"&amp;'Measure-Level Adjustments Tab'!$B101,'Unit Savings Calculations'!$A$4:$A$421,0))</f>
        <v>20</v>
      </c>
      <c r="F101" s="460">
        <f>INDEX('Unit Savings Calculations'!$I$4:$I$421,MATCH('Measure-Level Adjustments Tab'!A101&amp;"_"&amp;'Measure-Level Adjustments Tab'!B101,'Unit Savings Calculations'!$A$4:$A$421,0))</f>
        <v>20</v>
      </c>
      <c r="G101" s="295" t="str">
        <f>'Unit Savings Calculations'!E97</f>
        <v>MBH</v>
      </c>
      <c r="H101" s="297">
        <f>'Unit Savings Calculations'!$F97*'Unit Savings Calculations'!J97</f>
        <v>0</v>
      </c>
      <c r="I101" s="297">
        <f>'Unit Savings Calculations'!$F97*'Unit Savings Calculations'!K97</f>
        <v>0</v>
      </c>
      <c r="J101" s="297">
        <f>'Unit Savings Calculations'!$F97*'Unit Savings Calculations'!L97</f>
        <v>0</v>
      </c>
      <c r="K101" s="297">
        <f>'Unit Savings Calculations'!$F97*'Unit Savings Calculations'!M97</f>
        <v>0</v>
      </c>
      <c r="L101" s="295" t="str">
        <f>'Unit Savings Calculations'!U97</f>
        <v>CI-HVC-BOIL-V05-150601</v>
      </c>
      <c r="M101" s="405" t="str">
        <f>'Unit Savings Calculations'!R97</f>
        <v>Exhibit 1.5A_R North Shore EEPS_Adjustable_Savings_Goal_Template.xlsx, Unit Savings Calculations Tab</v>
      </c>
      <c r="N101" s="298">
        <v>0.63987341772151718</v>
      </c>
      <c r="O101" s="298">
        <v>0.63987341772151718</v>
      </c>
      <c r="P101" s="298">
        <v>0.63987341772151718</v>
      </c>
      <c r="Q101" s="298">
        <v>0.63987341772151718</v>
      </c>
      <c r="R101" s="299">
        <f>'Unit Savings Calculations'!$G97</f>
        <v>0.76</v>
      </c>
      <c r="S101" s="299">
        <f>'Unit Savings Calculations'!$G97</f>
        <v>0.76</v>
      </c>
      <c r="T101" s="299">
        <f>'Unit Savings Calculations'!$G97</f>
        <v>0.76</v>
      </c>
      <c r="U101" s="299">
        <f>'Unit Savings Calculations'!$G97</f>
        <v>0.76</v>
      </c>
      <c r="V101" s="300">
        <f t="shared" si="67"/>
        <v>0</v>
      </c>
      <c r="W101" s="300">
        <f t="shared" si="68"/>
        <v>0</v>
      </c>
      <c r="X101" s="300">
        <f t="shared" si="69"/>
        <v>0</v>
      </c>
      <c r="Y101" s="300">
        <f t="shared" si="70"/>
        <v>0</v>
      </c>
      <c r="Z101" s="300">
        <f t="shared" si="71"/>
        <v>0</v>
      </c>
      <c r="AA101" s="295"/>
      <c r="AB101" s="295"/>
      <c r="AC101" s="298">
        <f>'Unit Savings Calculations'!N97</f>
        <v>0.67670886075949166</v>
      </c>
      <c r="AD101" s="295"/>
      <c r="AE101" s="300">
        <f t="shared" si="49"/>
        <v>0</v>
      </c>
      <c r="AF101" s="297">
        <f t="shared" si="50"/>
        <v>0</v>
      </c>
      <c r="AG101" s="295"/>
      <c r="AH101" s="295">
        <f t="shared" si="51"/>
        <v>0</v>
      </c>
      <c r="AI101" s="298">
        <f>'Unit Savings Calculations'!O97</f>
        <v>0.67670886075949166</v>
      </c>
      <c r="AJ101" s="405" t="s">
        <v>879</v>
      </c>
      <c r="AK101" s="300">
        <f t="shared" si="52"/>
        <v>0</v>
      </c>
      <c r="AL101" s="297">
        <f t="shared" si="53"/>
        <v>0</v>
      </c>
      <c r="AM101" s="295"/>
      <c r="AN101" s="295"/>
      <c r="AO101" s="298">
        <f>'Unit Savings Calculations'!P97</f>
        <v>0.67670886075949166</v>
      </c>
      <c r="AP101" s="405" t="s">
        <v>1443</v>
      </c>
      <c r="AQ101" s="300">
        <f t="shared" si="54"/>
        <v>0</v>
      </c>
      <c r="AR101" s="297">
        <f t="shared" si="55"/>
        <v>0</v>
      </c>
      <c r="AS101" s="295"/>
      <c r="AT101" s="295"/>
      <c r="AU101" s="298">
        <f>'Unit Savings Calculations'!Q97</f>
        <v>0.67670886075949166</v>
      </c>
      <c r="AV101" s="405" t="str">
        <f t="shared" si="56"/>
        <v>Updated heating EFLH</v>
      </c>
      <c r="AW101" s="300">
        <f t="shared" si="57"/>
        <v>0</v>
      </c>
      <c r="AX101" s="297">
        <f t="shared" si="58"/>
        <v>0</v>
      </c>
      <c r="AY101" s="300">
        <f t="shared" si="59"/>
        <v>0</v>
      </c>
      <c r="AZ101" s="300">
        <f t="shared" si="60"/>
        <v>0</v>
      </c>
      <c r="BA101" s="300">
        <f t="shared" si="61"/>
        <v>0</v>
      </c>
      <c r="BB101" s="300">
        <f t="shared" si="62"/>
        <v>0</v>
      </c>
      <c r="BC101" s="301">
        <f t="shared" si="63"/>
        <v>0</v>
      </c>
      <c r="BD101" s="295" t="s">
        <v>764</v>
      </c>
      <c r="BE101" s="302" t="str">
        <f t="shared" si="64"/>
        <v>Exhibit 1.5A_R North Shore EEPS_Adjustable_Savings_Goal_Template.xlsx, Unit Savings Calculations Tab</v>
      </c>
      <c r="BF101" s="304"/>
    </row>
    <row r="102" spans="1:58" ht="15.75" customHeight="1">
      <c r="A102" s="295" t="str">
        <f>'Unit Savings Calculations'!C98</f>
        <v>Res - MF Standard Rebates</v>
      </c>
      <c r="B102" s="295" t="str">
        <f>'Unit Savings Calculations'!D98</f>
        <v>Steam Boiler Averaging Controls</v>
      </c>
      <c r="C102" s="296">
        <f t="shared" si="66"/>
        <v>1</v>
      </c>
      <c r="D102" s="295" t="str">
        <f>'Unit Savings Calculations'!T98</f>
        <v>4.4.36</v>
      </c>
      <c r="E102" s="460">
        <f>INDEX('Unit Savings Calculations'!$H$4:$H$421,MATCH('Measure-Level Adjustments Tab'!$A102&amp;"_"&amp;'Measure-Level Adjustments Tab'!$B102,'Unit Savings Calculations'!$A$4:$A$421,0))</f>
        <v>20</v>
      </c>
      <c r="F102" s="460">
        <f>INDEX('Unit Savings Calculations'!$I$4:$I$421,MATCH('Measure-Level Adjustments Tab'!A102&amp;"_"&amp;'Measure-Level Adjustments Tab'!B102,'Unit Savings Calculations'!$A$4:$A$421,0))</f>
        <v>20</v>
      </c>
      <c r="G102" s="295" t="str">
        <f>'Unit Savings Calculations'!E98</f>
        <v>each</v>
      </c>
      <c r="H102" s="297">
        <f>'Unit Savings Calculations'!$F98*'Unit Savings Calculations'!J98</f>
        <v>0</v>
      </c>
      <c r="I102" s="297">
        <f>'Unit Savings Calculations'!$F98*'Unit Savings Calculations'!K98</f>
        <v>0</v>
      </c>
      <c r="J102" s="297">
        <f>'Unit Savings Calculations'!$F98*'Unit Savings Calculations'!L98</f>
        <v>0</v>
      </c>
      <c r="K102" s="297">
        <f>'Unit Savings Calculations'!$F98*'Unit Savings Calculations'!M98</f>
        <v>0</v>
      </c>
      <c r="L102" s="295" t="str">
        <f>'Unit Savings Calculations'!U98</f>
        <v>CI-HVC-SBAC-V01-160601</v>
      </c>
      <c r="M102" s="405" t="str">
        <f>'Unit Savings Calculations'!R98</f>
        <v>Exhibit 1.5A_R North Shore EEPS_Adjustable_Savings_Goal_Template.xlsx, Unit Savings Calculations Tab</v>
      </c>
      <c r="N102" s="298">
        <v>76.95</v>
      </c>
      <c r="O102" s="298">
        <v>76.95</v>
      </c>
      <c r="P102" s="298">
        <v>76.95</v>
      </c>
      <c r="Q102" s="298">
        <v>76.95</v>
      </c>
      <c r="R102" s="299">
        <f>'Unit Savings Calculations'!$G98</f>
        <v>0.76</v>
      </c>
      <c r="S102" s="299">
        <f>'Unit Savings Calculations'!$G98</f>
        <v>0.76</v>
      </c>
      <c r="T102" s="299">
        <f>'Unit Savings Calculations'!$G98</f>
        <v>0.76</v>
      </c>
      <c r="U102" s="299">
        <f>'Unit Savings Calculations'!$G98</f>
        <v>0.76</v>
      </c>
      <c r="V102" s="300">
        <f t="shared" si="67"/>
        <v>0</v>
      </c>
      <c r="W102" s="300">
        <f t="shared" si="68"/>
        <v>0</v>
      </c>
      <c r="X102" s="300">
        <f t="shared" si="69"/>
        <v>0</v>
      </c>
      <c r="Y102" s="300">
        <f t="shared" si="70"/>
        <v>0</v>
      </c>
      <c r="Z102" s="300">
        <f t="shared" si="71"/>
        <v>0</v>
      </c>
      <c r="AA102" s="295"/>
      <c r="AB102" s="295"/>
      <c r="AC102" s="298">
        <f>'Unit Savings Calculations'!N98</f>
        <v>171.15600000000001</v>
      </c>
      <c r="AD102" s="295"/>
      <c r="AE102" s="300">
        <f t="shared" si="49"/>
        <v>0</v>
      </c>
      <c r="AF102" s="297">
        <f t="shared" si="50"/>
        <v>0</v>
      </c>
      <c r="AG102" s="295"/>
      <c r="AH102" s="295">
        <f t="shared" si="51"/>
        <v>0</v>
      </c>
      <c r="AI102" s="298">
        <f>'Unit Savings Calculations'!O98</f>
        <v>171.15600000000001</v>
      </c>
      <c r="AJ102" s="405" t="s">
        <v>935</v>
      </c>
      <c r="AK102" s="300">
        <f t="shared" si="52"/>
        <v>0</v>
      </c>
      <c r="AL102" s="297">
        <f t="shared" si="53"/>
        <v>0</v>
      </c>
      <c r="AM102" s="295"/>
      <c r="AN102" s="295"/>
      <c r="AO102" s="298">
        <f>'Unit Savings Calculations'!P98</f>
        <v>171.15600000000001</v>
      </c>
      <c r="AP102" s="405" t="s">
        <v>764</v>
      </c>
      <c r="AQ102" s="300">
        <f t="shared" si="54"/>
        <v>0</v>
      </c>
      <c r="AR102" s="297">
        <f t="shared" si="55"/>
        <v>0</v>
      </c>
      <c r="AS102" s="295"/>
      <c r="AT102" s="295"/>
      <c r="AU102" s="298">
        <f>'Unit Savings Calculations'!Q98</f>
        <v>171.15600000000001</v>
      </c>
      <c r="AV102" s="405" t="str">
        <f t="shared" si="56"/>
        <v>n/a</v>
      </c>
      <c r="AW102" s="300">
        <f t="shared" si="57"/>
        <v>0</v>
      </c>
      <c r="AX102" s="297">
        <f t="shared" si="58"/>
        <v>0</v>
      </c>
      <c r="AY102" s="300">
        <f t="shared" si="59"/>
        <v>0</v>
      </c>
      <c r="AZ102" s="300">
        <f t="shared" si="60"/>
        <v>0</v>
      </c>
      <c r="BA102" s="300">
        <f t="shared" si="61"/>
        <v>0</v>
      </c>
      <c r="BB102" s="300">
        <f t="shared" si="62"/>
        <v>0</v>
      </c>
      <c r="BC102" s="301">
        <f t="shared" si="63"/>
        <v>0</v>
      </c>
      <c r="BD102" s="295" t="s">
        <v>764</v>
      </c>
      <c r="BE102" s="302" t="str">
        <f t="shared" si="64"/>
        <v>Exhibit 1.5A_R North Shore EEPS_Adjustable_Savings_Goal_Template.xlsx, Unit Savings Calculations Tab</v>
      </c>
      <c r="BF102" s="304"/>
    </row>
    <row r="103" spans="1:58" ht="15.75" customHeight="1">
      <c r="A103" s="295" t="str">
        <f>'Unit Savings Calculations'!C99</f>
        <v>Res - MF Standard Rebates</v>
      </c>
      <c r="B103" s="295" t="str">
        <f>'Unit Savings Calculations'!D99</f>
        <v>Steam Traps - Dry Cleaner/Industrial</v>
      </c>
      <c r="C103" s="296">
        <f t="shared" si="66"/>
        <v>1</v>
      </c>
      <c r="D103" s="295" t="str">
        <f>'Unit Savings Calculations'!T99</f>
        <v>4.4.16</v>
      </c>
      <c r="E103" s="460">
        <f>INDEX('Unit Savings Calculations'!$H$4:$H$421,MATCH('Measure-Level Adjustments Tab'!$A103&amp;"_"&amp;'Measure-Level Adjustments Tab'!$B103,'Unit Savings Calculations'!$A$4:$A$421,0))</f>
        <v>6</v>
      </c>
      <c r="F103" s="460">
        <f>INDEX('Unit Savings Calculations'!$I$4:$I$421,MATCH('Measure-Level Adjustments Tab'!A103&amp;"_"&amp;'Measure-Level Adjustments Tab'!B103,'Unit Savings Calculations'!$A$4:$A$421,0))</f>
        <v>6</v>
      </c>
      <c r="G103" s="295" t="str">
        <f>'Unit Savings Calculations'!E99</f>
        <v>each</v>
      </c>
      <c r="H103" s="297">
        <f>'Unit Savings Calculations'!$F99*'Unit Savings Calculations'!J99</f>
        <v>0</v>
      </c>
      <c r="I103" s="297">
        <f>'Unit Savings Calculations'!$F99*'Unit Savings Calculations'!K99</f>
        <v>0</v>
      </c>
      <c r="J103" s="297">
        <f>'Unit Savings Calculations'!$F99*'Unit Savings Calculations'!L99</f>
        <v>0</v>
      </c>
      <c r="K103" s="297">
        <f>'Unit Savings Calculations'!$F99*'Unit Savings Calculations'!M99</f>
        <v>0</v>
      </c>
      <c r="L103" s="295" t="str">
        <f>'Unit Savings Calculations'!U99</f>
        <v>CI-HVC-STRE-V05-180101</v>
      </c>
      <c r="M103" s="405" t="str">
        <f>'Unit Savings Calculations'!R99</f>
        <v>Exhibit 1.5A_R North Shore EEPS_Adjustable_Savings_Goal_Template.xlsx, Unit Savings Calculations Tab</v>
      </c>
      <c r="N103" s="298">
        <v>137.91939591078068</v>
      </c>
      <c r="O103" s="298">
        <v>137.91939591078068</v>
      </c>
      <c r="P103" s="298">
        <v>137.91939591078068</v>
      </c>
      <c r="Q103" s="298">
        <v>137.91939591078068</v>
      </c>
      <c r="R103" s="299">
        <f>'Unit Savings Calculations'!$G99</f>
        <v>0.76</v>
      </c>
      <c r="S103" s="299">
        <f>'Unit Savings Calculations'!$G99</f>
        <v>0.76</v>
      </c>
      <c r="T103" s="299">
        <f>'Unit Savings Calculations'!$G99</f>
        <v>0.76</v>
      </c>
      <c r="U103" s="299">
        <f>'Unit Savings Calculations'!$G99</f>
        <v>0.76</v>
      </c>
      <c r="V103" s="300">
        <f t="shared" si="67"/>
        <v>0</v>
      </c>
      <c r="W103" s="300">
        <f t="shared" si="68"/>
        <v>0</v>
      </c>
      <c r="X103" s="300">
        <f t="shared" si="69"/>
        <v>0</v>
      </c>
      <c r="Y103" s="300">
        <f t="shared" si="70"/>
        <v>0</v>
      </c>
      <c r="Z103" s="300">
        <f t="shared" si="71"/>
        <v>0</v>
      </c>
      <c r="AA103" s="295"/>
      <c r="AB103" s="295"/>
      <c r="AC103" s="298">
        <f>'Unit Savings Calculations'!N99</f>
        <v>137.91939591078068</v>
      </c>
      <c r="AD103" s="295"/>
      <c r="AE103" s="300">
        <f t="shared" si="49"/>
        <v>0</v>
      </c>
      <c r="AF103" s="297">
        <f t="shared" si="50"/>
        <v>0</v>
      </c>
      <c r="AG103" s="295"/>
      <c r="AH103" s="295">
        <f t="shared" si="51"/>
        <v>0</v>
      </c>
      <c r="AI103" s="298">
        <f>'Unit Savings Calculations'!O99</f>
        <v>137.91939591078068</v>
      </c>
      <c r="AJ103" s="405" t="s">
        <v>879</v>
      </c>
      <c r="AK103" s="300">
        <f t="shared" si="52"/>
        <v>0</v>
      </c>
      <c r="AL103" s="297">
        <f t="shared" si="53"/>
        <v>0</v>
      </c>
      <c r="AM103" s="295"/>
      <c r="AN103" s="295"/>
      <c r="AO103" s="298">
        <f>'Unit Savings Calculations'!P99</f>
        <v>137.91939591078068</v>
      </c>
      <c r="AP103" s="405" t="s">
        <v>764</v>
      </c>
      <c r="AQ103" s="300">
        <f t="shared" si="54"/>
        <v>0</v>
      </c>
      <c r="AR103" s="297">
        <f t="shared" si="55"/>
        <v>0</v>
      </c>
      <c r="AS103" s="295"/>
      <c r="AT103" s="295"/>
      <c r="AU103" s="298">
        <f>'Unit Savings Calculations'!Q99</f>
        <v>137.91939591078068</v>
      </c>
      <c r="AV103" s="405" t="str">
        <f t="shared" si="56"/>
        <v>n/a</v>
      </c>
      <c r="AW103" s="300">
        <f t="shared" si="57"/>
        <v>0</v>
      </c>
      <c r="AX103" s="297">
        <f t="shared" si="58"/>
        <v>0</v>
      </c>
      <c r="AY103" s="300">
        <f t="shared" si="59"/>
        <v>0</v>
      </c>
      <c r="AZ103" s="300">
        <f t="shared" si="60"/>
        <v>0</v>
      </c>
      <c r="BA103" s="300">
        <f t="shared" si="61"/>
        <v>0</v>
      </c>
      <c r="BB103" s="300">
        <f t="shared" si="62"/>
        <v>0</v>
      </c>
      <c r="BC103" s="301">
        <f t="shared" si="63"/>
        <v>0</v>
      </c>
      <c r="BD103" s="295" t="s">
        <v>764</v>
      </c>
      <c r="BE103" s="302" t="str">
        <f t="shared" si="64"/>
        <v>Exhibit 1.5A_R North Shore EEPS_Adjustable_Savings_Goal_Template.xlsx, Unit Savings Calculations Tab</v>
      </c>
      <c r="BF103" s="304"/>
    </row>
    <row r="104" spans="1:58" ht="15.75" customHeight="1">
      <c r="A104" s="295" t="str">
        <f>'Unit Savings Calculations'!C100</f>
        <v>Res - MF Standard Rebates</v>
      </c>
      <c r="B104" s="295" t="str">
        <f>'Unit Savings Calculations'!D100</f>
        <v>Steam Traps - HVAC Repair/Rep - Audit</v>
      </c>
      <c r="C104" s="296">
        <f t="shared" si="66"/>
        <v>1</v>
      </c>
      <c r="D104" s="295" t="str">
        <f>'Unit Savings Calculations'!T100</f>
        <v>4.4.16</v>
      </c>
      <c r="E104" s="460">
        <f>INDEX('Unit Savings Calculations'!$H$4:$H$421,MATCH('Measure-Level Adjustments Tab'!$A104&amp;"_"&amp;'Measure-Level Adjustments Tab'!$B104,'Unit Savings Calculations'!$A$4:$A$421,0))</f>
        <v>6</v>
      </c>
      <c r="F104" s="460">
        <f>INDEX('Unit Savings Calculations'!$I$4:$I$421,MATCH('Measure-Level Adjustments Tab'!A104&amp;"_"&amp;'Measure-Level Adjustments Tab'!B104,'Unit Savings Calculations'!$A$4:$A$421,0))</f>
        <v>6</v>
      </c>
      <c r="G104" s="295" t="str">
        <f>'Unit Savings Calculations'!E100</f>
        <v>each</v>
      </c>
      <c r="H104" s="297">
        <f>'Unit Savings Calculations'!$F100*'Unit Savings Calculations'!J100</f>
        <v>0</v>
      </c>
      <c r="I104" s="297">
        <f>'Unit Savings Calculations'!$F100*'Unit Savings Calculations'!K100</f>
        <v>0</v>
      </c>
      <c r="J104" s="297">
        <f>'Unit Savings Calculations'!$F100*'Unit Savings Calculations'!L100</f>
        <v>0</v>
      </c>
      <c r="K104" s="297">
        <f>'Unit Savings Calculations'!$F100*'Unit Savings Calculations'!M100</f>
        <v>0</v>
      </c>
      <c r="L104" s="295" t="str">
        <f>'Unit Savings Calculations'!U100</f>
        <v>CI-HVC-STRE-V05-180101</v>
      </c>
      <c r="M104" s="405" t="str">
        <f>'Unit Savings Calculations'!R100</f>
        <v>Exhibit 1.5A_R North Shore EEPS_Adjustable_Savings_Goal_Template.xlsx, Unit Savings Calculations Tab</v>
      </c>
      <c r="N104" s="298">
        <v>110.15789625000002</v>
      </c>
      <c r="O104" s="298">
        <v>110.15789625000002</v>
      </c>
      <c r="P104" s="298">
        <v>110.15789625000002</v>
      </c>
      <c r="Q104" s="298">
        <v>110.15789625000002</v>
      </c>
      <c r="R104" s="299">
        <f>'Unit Savings Calculations'!$G100</f>
        <v>0.76</v>
      </c>
      <c r="S104" s="299">
        <f>'Unit Savings Calculations'!$G100</f>
        <v>0.76</v>
      </c>
      <c r="T104" s="299">
        <f>'Unit Savings Calculations'!$G100</f>
        <v>0.76</v>
      </c>
      <c r="U104" s="299">
        <f>'Unit Savings Calculations'!$G100</f>
        <v>0.76</v>
      </c>
      <c r="V104" s="300">
        <f t="shared" si="67"/>
        <v>0</v>
      </c>
      <c r="W104" s="300">
        <f t="shared" si="68"/>
        <v>0</v>
      </c>
      <c r="X104" s="300">
        <f t="shared" si="69"/>
        <v>0</v>
      </c>
      <c r="Y104" s="300">
        <f t="shared" si="70"/>
        <v>0</v>
      </c>
      <c r="Z104" s="300">
        <f t="shared" si="71"/>
        <v>0</v>
      </c>
      <c r="AA104" s="295"/>
      <c r="AB104" s="295"/>
      <c r="AC104" s="298">
        <f>'Unit Savings Calculations'!N100</f>
        <v>110.15789625000002</v>
      </c>
      <c r="AD104" s="295"/>
      <c r="AE104" s="300">
        <f t="shared" si="49"/>
        <v>0</v>
      </c>
      <c r="AF104" s="297">
        <f t="shared" si="50"/>
        <v>0</v>
      </c>
      <c r="AG104" s="295"/>
      <c r="AH104" s="295">
        <f t="shared" si="51"/>
        <v>0</v>
      </c>
      <c r="AI104" s="298">
        <f>'Unit Savings Calculations'!O100</f>
        <v>110.15789625000002</v>
      </c>
      <c r="AJ104" s="405" t="s">
        <v>879</v>
      </c>
      <c r="AK104" s="300">
        <f t="shared" si="52"/>
        <v>0</v>
      </c>
      <c r="AL104" s="297">
        <f t="shared" si="53"/>
        <v>0</v>
      </c>
      <c r="AM104" s="295"/>
      <c r="AN104" s="295"/>
      <c r="AO104" s="298">
        <f>'Unit Savings Calculations'!P100</f>
        <v>110.15789625000002</v>
      </c>
      <c r="AP104" s="405" t="s">
        <v>764</v>
      </c>
      <c r="AQ104" s="300">
        <f t="shared" si="54"/>
        <v>0</v>
      </c>
      <c r="AR104" s="297">
        <f t="shared" si="55"/>
        <v>0</v>
      </c>
      <c r="AS104" s="295"/>
      <c r="AT104" s="295"/>
      <c r="AU104" s="298">
        <f>'Unit Savings Calculations'!Q100</f>
        <v>110.15789625000002</v>
      </c>
      <c r="AV104" s="405" t="str">
        <f t="shared" si="56"/>
        <v>n/a</v>
      </c>
      <c r="AW104" s="300">
        <f t="shared" si="57"/>
        <v>0</v>
      </c>
      <c r="AX104" s="297">
        <f t="shared" si="58"/>
        <v>0</v>
      </c>
      <c r="AY104" s="300">
        <f t="shared" si="59"/>
        <v>0</v>
      </c>
      <c r="AZ104" s="300">
        <f t="shared" si="60"/>
        <v>0</v>
      </c>
      <c r="BA104" s="300">
        <f t="shared" si="61"/>
        <v>0</v>
      </c>
      <c r="BB104" s="300">
        <f t="shared" si="62"/>
        <v>0</v>
      </c>
      <c r="BC104" s="301">
        <f t="shared" si="63"/>
        <v>0</v>
      </c>
      <c r="BD104" s="295" t="s">
        <v>764</v>
      </c>
      <c r="BE104" s="302" t="str">
        <f t="shared" si="64"/>
        <v>Exhibit 1.5A_R North Shore EEPS_Adjustable_Savings_Goal_Template.xlsx, Unit Savings Calculations Tab</v>
      </c>
      <c r="BF104" s="304"/>
    </row>
    <row r="105" spans="1:58" ht="15.75" customHeight="1">
      <c r="A105" s="295" t="str">
        <f>'Unit Savings Calculations'!C101</f>
        <v>Res - MF Standard Rebates</v>
      </c>
      <c r="B105" s="295" t="str">
        <f>'Unit Savings Calculations'!D101</f>
        <v>Steam Traps - HVAC Repair/Rep - No Audit</v>
      </c>
      <c r="C105" s="296">
        <f t="shared" si="66"/>
        <v>1</v>
      </c>
      <c r="D105" s="295" t="str">
        <f>'Unit Savings Calculations'!T101</f>
        <v>4.4.16</v>
      </c>
      <c r="E105" s="460">
        <f>INDEX('Unit Savings Calculations'!$H$4:$H$421,MATCH('Measure-Level Adjustments Tab'!$A105&amp;"_"&amp;'Measure-Level Adjustments Tab'!$B105,'Unit Savings Calculations'!$A$4:$A$421,0))</f>
        <v>6</v>
      </c>
      <c r="F105" s="460">
        <f>INDEX('Unit Savings Calculations'!$I$4:$I$421,MATCH('Measure-Level Adjustments Tab'!A105&amp;"_"&amp;'Measure-Level Adjustments Tab'!B105,'Unit Savings Calculations'!$A$4:$A$421,0))</f>
        <v>6</v>
      </c>
      <c r="G105" s="295" t="str">
        <f>'Unit Savings Calculations'!E101</f>
        <v>each</v>
      </c>
      <c r="H105" s="297">
        <f>'Unit Savings Calculations'!$F101*'Unit Savings Calculations'!J101</f>
        <v>0</v>
      </c>
      <c r="I105" s="297">
        <f>'Unit Savings Calculations'!$F101*'Unit Savings Calculations'!K101</f>
        <v>0</v>
      </c>
      <c r="J105" s="297">
        <f>'Unit Savings Calculations'!$F101*'Unit Savings Calculations'!L101</f>
        <v>0</v>
      </c>
      <c r="K105" s="297">
        <f>'Unit Savings Calculations'!$F101*'Unit Savings Calculations'!M101</f>
        <v>0</v>
      </c>
      <c r="L105" s="295" t="str">
        <f>'Unit Savings Calculations'!U101</f>
        <v>CI-HVC-STRE-V05-180101</v>
      </c>
      <c r="M105" s="405" t="str">
        <f>'Unit Savings Calculations'!R101</f>
        <v>Exhibit 1.5A_R North Shore EEPS_Adjustable_Savings_Goal_Template.xlsx, Unit Savings Calculations Tab</v>
      </c>
      <c r="N105" s="298">
        <v>110.15789625000002</v>
      </c>
      <c r="O105" s="298">
        <v>110.15789625000002</v>
      </c>
      <c r="P105" s="298">
        <v>110.15789625000002</v>
      </c>
      <c r="Q105" s="298">
        <v>110.15789625000002</v>
      </c>
      <c r="R105" s="299">
        <f>'Unit Savings Calculations'!$G101</f>
        <v>0.76</v>
      </c>
      <c r="S105" s="299">
        <f>'Unit Savings Calculations'!$G101</f>
        <v>0.76</v>
      </c>
      <c r="T105" s="299">
        <f>'Unit Savings Calculations'!$G101</f>
        <v>0.76</v>
      </c>
      <c r="U105" s="299">
        <f>'Unit Savings Calculations'!$G101</f>
        <v>0.76</v>
      </c>
      <c r="V105" s="300">
        <f t="shared" si="67"/>
        <v>0</v>
      </c>
      <c r="W105" s="300">
        <f t="shared" si="68"/>
        <v>0</v>
      </c>
      <c r="X105" s="300">
        <f t="shared" si="69"/>
        <v>0</v>
      </c>
      <c r="Y105" s="300">
        <f t="shared" si="70"/>
        <v>0</v>
      </c>
      <c r="Z105" s="300">
        <f t="shared" si="71"/>
        <v>0</v>
      </c>
      <c r="AA105" s="295"/>
      <c r="AB105" s="295"/>
      <c r="AC105" s="298">
        <f>'Unit Savings Calculations'!N101</f>
        <v>110.15789625000002</v>
      </c>
      <c r="AD105" s="295"/>
      <c r="AE105" s="300">
        <f t="shared" si="49"/>
        <v>0</v>
      </c>
      <c r="AF105" s="297">
        <f t="shared" si="50"/>
        <v>0</v>
      </c>
      <c r="AG105" s="295"/>
      <c r="AH105" s="295">
        <f t="shared" si="51"/>
        <v>0</v>
      </c>
      <c r="AI105" s="298">
        <f>'Unit Savings Calculations'!O101</f>
        <v>110.15789625000002</v>
      </c>
      <c r="AJ105" s="405" t="s">
        <v>879</v>
      </c>
      <c r="AK105" s="300">
        <f t="shared" si="52"/>
        <v>0</v>
      </c>
      <c r="AL105" s="297">
        <f t="shared" si="53"/>
        <v>0</v>
      </c>
      <c r="AM105" s="295"/>
      <c r="AN105" s="295"/>
      <c r="AO105" s="298">
        <f>'Unit Savings Calculations'!P101</f>
        <v>110.15789625000002</v>
      </c>
      <c r="AP105" s="405" t="s">
        <v>764</v>
      </c>
      <c r="AQ105" s="300">
        <f t="shared" si="54"/>
        <v>0</v>
      </c>
      <c r="AR105" s="297">
        <f t="shared" si="55"/>
        <v>0</v>
      </c>
      <c r="AS105" s="295"/>
      <c r="AT105" s="295"/>
      <c r="AU105" s="298">
        <f>'Unit Savings Calculations'!Q101</f>
        <v>110.15789625000002</v>
      </c>
      <c r="AV105" s="405" t="str">
        <f t="shared" si="56"/>
        <v>n/a</v>
      </c>
      <c r="AW105" s="300">
        <f t="shared" si="57"/>
        <v>0</v>
      </c>
      <c r="AX105" s="297">
        <f t="shared" si="58"/>
        <v>0</v>
      </c>
      <c r="AY105" s="300">
        <f t="shared" si="59"/>
        <v>0</v>
      </c>
      <c r="AZ105" s="300">
        <f t="shared" si="60"/>
        <v>0</v>
      </c>
      <c r="BA105" s="300">
        <f t="shared" si="61"/>
        <v>0</v>
      </c>
      <c r="BB105" s="300">
        <f t="shared" si="62"/>
        <v>0</v>
      </c>
      <c r="BC105" s="301">
        <f t="shared" si="63"/>
        <v>0</v>
      </c>
      <c r="BD105" s="295" t="s">
        <v>764</v>
      </c>
      <c r="BE105" s="302" t="str">
        <f t="shared" si="64"/>
        <v>Exhibit 1.5A_R North Shore EEPS_Adjustable_Savings_Goal_Template.xlsx, Unit Savings Calculations Tab</v>
      </c>
      <c r="BF105" s="304"/>
    </row>
    <row r="106" spans="1:58" ht="15.75" customHeight="1">
      <c r="A106" s="295" t="str">
        <f>'Unit Savings Calculations'!C102</f>
        <v>Res - MF Standard Rebates</v>
      </c>
      <c r="B106" s="295" t="str">
        <f>'Unit Savings Calculations'!D102</f>
        <v>Steam Traps - Test</v>
      </c>
      <c r="C106" s="296">
        <f t="shared" si="66"/>
        <v>0</v>
      </c>
      <c r="D106" s="295" t="str">
        <f>'Unit Savings Calculations'!T102</f>
        <v>Custom</v>
      </c>
      <c r="E106" s="460">
        <f>INDEX('Unit Savings Calculations'!$H$4:$H$421,MATCH('Measure-Level Adjustments Tab'!$A106&amp;"_"&amp;'Measure-Level Adjustments Tab'!$B106,'Unit Savings Calculations'!$A$4:$A$421,0))</f>
        <v>3</v>
      </c>
      <c r="F106" s="460">
        <f>INDEX('Unit Savings Calculations'!$I$4:$I$421,MATCH('Measure-Level Adjustments Tab'!A106&amp;"_"&amp;'Measure-Level Adjustments Tab'!B106,'Unit Savings Calculations'!$A$4:$A$421,0))</f>
        <v>3</v>
      </c>
      <c r="G106" s="295" t="str">
        <f>'Unit Savings Calculations'!E102</f>
        <v>each</v>
      </c>
      <c r="H106" s="297">
        <f>'Unit Savings Calculations'!$F102*'Unit Savings Calculations'!J102</f>
        <v>0</v>
      </c>
      <c r="I106" s="297">
        <f>'Unit Savings Calculations'!$F102*'Unit Savings Calculations'!K102</f>
        <v>0</v>
      </c>
      <c r="J106" s="297">
        <f>'Unit Savings Calculations'!$F102*'Unit Savings Calculations'!L102</f>
        <v>0</v>
      </c>
      <c r="K106" s="297">
        <f>'Unit Savings Calculations'!$F102*'Unit Savings Calculations'!M102</f>
        <v>0</v>
      </c>
      <c r="L106" s="295" t="str">
        <f>'Unit Savings Calculations'!U102</f>
        <v>Custom</v>
      </c>
      <c r="M106" s="405" t="str">
        <f>'Unit Savings Calculations'!R102</f>
        <v>Custom</v>
      </c>
      <c r="N106" s="298">
        <v>0</v>
      </c>
      <c r="O106" s="298">
        <v>0</v>
      </c>
      <c r="P106" s="298">
        <v>0</v>
      </c>
      <c r="Q106" s="298">
        <v>0</v>
      </c>
      <c r="R106" s="299">
        <f>'Unit Savings Calculations'!$G102</f>
        <v>0.76</v>
      </c>
      <c r="S106" s="299">
        <f>'Unit Savings Calculations'!$G102</f>
        <v>0.76</v>
      </c>
      <c r="T106" s="299">
        <f>'Unit Savings Calculations'!$G102</f>
        <v>0.76</v>
      </c>
      <c r="U106" s="299">
        <f>'Unit Savings Calculations'!$G102</f>
        <v>0.76</v>
      </c>
      <c r="V106" s="300">
        <f t="shared" si="67"/>
        <v>0</v>
      </c>
      <c r="W106" s="300">
        <f t="shared" si="68"/>
        <v>0</v>
      </c>
      <c r="X106" s="300">
        <f t="shared" si="69"/>
        <v>0</v>
      </c>
      <c r="Y106" s="300">
        <f t="shared" si="70"/>
        <v>0</v>
      </c>
      <c r="Z106" s="300">
        <f t="shared" si="71"/>
        <v>0</v>
      </c>
      <c r="AA106" s="406"/>
      <c r="AB106" s="406"/>
      <c r="AC106" s="409">
        <f>'Unit Savings Calculations'!N102</f>
        <v>0</v>
      </c>
      <c r="AD106" s="406"/>
      <c r="AE106" s="407">
        <f t="shared" si="49"/>
        <v>0</v>
      </c>
      <c r="AF106" s="408">
        <f t="shared" si="50"/>
        <v>0</v>
      </c>
      <c r="AG106" s="406"/>
      <c r="AH106" s="406">
        <f t="shared" si="51"/>
        <v>0</v>
      </c>
      <c r="AI106" s="409">
        <f>'Unit Savings Calculations'!O102</f>
        <v>0</v>
      </c>
      <c r="AJ106" s="457" t="s">
        <v>879</v>
      </c>
      <c r="AK106" s="407">
        <f t="shared" si="52"/>
        <v>0</v>
      </c>
      <c r="AL106" s="408">
        <f t="shared" si="53"/>
        <v>0</v>
      </c>
      <c r="AM106" s="406"/>
      <c r="AN106" s="406"/>
      <c r="AO106" s="409">
        <f>'Unit Savings Calculations'!P102</f>
        <v>0</v>
      </c>
      <c r="AP106" s="457" t="s">
        <v>764</v>
      </c>
      <c r="AQ106" s="407">
        <f t="shared" si="54"/>
        <v>0</v>
      </c>
      <c r="AR106" s="408">
        <f t="shared" si="55"/>
        <v>0</v>
      </c>
      <c r="AS106" s="406"/>
      <c r="AT106" s="406"/>
      <c r="AU106" s="409">
        <f>'Unit Savings Calculations'!Q102</f>
        <v>0</v>
      </c>
      <c r="AV106" s="457" t="str">
        <f t="shared" si="56"/>
        <v>n/a</v>
      </c>
      <c r="AW106" s="407">
        <f t="shared" si="57"/>
        <v>0</v>
      </c>
      <c r="AX106" s="408">
        <f t="shared" si="58"/>
        <v>0</v>
      </c>
      <c r="AY106" s="300">
        <f t="shared" si="59"/>
        <v>0</v>
      </c>
      <c r="AZ106" s="300">
        <f t="shared" si="60"/>
        <v>0</v>
      </c>
      <c r="BA106" s="300">
        <f t="shared" si="61"/>
        <v>0</v>
      </c>
      <c r="BB106" s="300">
        <f t="shared" si="62"/>
        <v>0</v>
      </c>
      <c r="BC106" s="301">
        <f t="shared" si="63"/>
        <v>0</v>
      </c>
      <c r="BD106" s="295" t="s">
        <v>764</v>
      </c>
      <c r="BE106" s="302" t="str">
        <f t="shared" si="64"/>
        <v>Custom</v>
      </c>
      <c r="BF106" s="304"/>
    </row>
    <row r="107" spans="1:58" ht="15.75" customHeight="1">
      <c r="A107" s="295" t="str">
        <f>'Unit Savings Calculations'!C103</f>
        <v>Res - MF Standard Rebates</v>
      </c>
      <c r="B107" s="295" t="str">
        <f>'Unit Savings Calculations'!D103</f>
        <v>Thermostat - Programmable</v>
      </c>
      <c r="C107" s="296">
        <f t="shared" si="66"/>
        <v>1</v>
      </c>
      <c r="D107" s="295" t="str">
        <f>'Unit Savings Calculations'!T103</f>
        <v>4.4.18</v>
      </c>
      <c r="E107" s="460">
        <f>INDEX('Unit Savings Calculations'!$H$4:$H$421,MATCH('Measure-Level Adjustments Tab'!$A107&amp;"_"&amp;'Measure-Level Adjustments Tab'!$B107,'Unit Savings Calculations'!$A$4:$A$421,0))</f>
        <v>4</v>
      </c>
      <c r="F107" s="460">
        <f>INDEX('Unit Savings Calculations'!$I$4:$I$421,MATCH('Measure-Level Adjustments Tab'!A107&amp;"_"&amp;'Measure-Level Adjustments Tab'!B107,'Unit Savings Calculations'!$A$4:$A$421,0))</f>
        <v>4</v>
      </c>
      <c r="G107" s="295" t="str">
        <f>'Unit Savings Calculations'!E103</f>
        <v>each</v>
      </c>
      <c r="H107" s="297">
        <f>'Unit Savings Calculations'!$F103*'Unit Savings Calculations'!J103</f>
        <v>0</v>
      </c>
      <c r="I107" s="297">
        <f>'Unit Savings Calculations'!$F103*'Unit Savings Calculations'!K103</f>
        <v>0</v>
      </c>
      <c r="J107" s="297">
        <f>'Unit Savings Calculations'!$F103*'Unit Savings Calculations'!L103</f>
        <v>0</v>
      </c>
      <c r="K107" s="297">
        <f>'Unit Savings Calculations'!$F103*'Unit Savings Calculations'!M103</f>
        <v>0</v>
      </c>
      <c r="L107" s="295" t="str">
        <f>'Unit Savings Calculations'!U103</f>
        <v>CI-HVC-PROG-V02-150601</v>
      </c>
      <c r="M107" s="405" t="str">
        <f>'Unit Savings Calculations'!R103</f>
        <v>Exhibit 1.5A_R North Shore EEPS_Adjustable_Savings_Goal_Template.xlsx, Thermostat Detail Tab</v>
      </c>
      <c r="N107" s="298">
        <v>124.68584320000001</v>
      </c>
      <c r="O107" s="298">
        <v>124.68584320000001</v>
      </c>
      <c r="P107" s="298">
        <v>124.68584320000001</v>
      </c>
      <c r="Q107" s="298">
        <v>124.68584320000001</v>
      </c>
      <c r="R107" s="299">
        <f>'Unit Savings Calculations'!$G103</f>
        <v>0.76</v>
      </c>
      <c r="S107" s="299">
        <f>'Unit Savings Calculations'!$G103</f>
        <v>0.76</v>
      </c>
      <c r="T107" s="299">
        <f>'Unit Savings Calculations'!$G103</f>
        <v>0.76</v>
      </c>
      <c r="U107" s="299">
        <f>'Unit Savings Calculations'!$G103</f>
        <v>0.76</v>
      </c>
      <c r="V107" s="300">
        <f t="shared" si="67"/>
        <v>0</v>
      </c>
      <c r="W107" s="300">
        <f t="shared" si="68"/>
        <v>0</v>
      </c>
      <c r="X107" s="300">
        <f t="shared" si="69"/>
        <v>0</v>
      </c>
      <c r="Y107" s="300">
        <f t="shared" si="70"/>
        <v>0</v>
      </c>
      <c r="Z107" s="300">
        <f t="shared" si="71"/>
        <v>0</v>
      </c>
      <c r="AA107" s="295"/>
      <c r="AB107" s="295"/>
      <c r="AC107" s="298">
        <f>'Unit Savings Calculations'!N103</f>
        <v>124.68584320000001</v>
      </c>
      <c r="AD107" s="295"/>
      <c r="AE107" s="300">
        <f t="shared" si="49"/>
        <v>0</v>
      </c>
      <c r="AF107" s="297">
        <f t="shared" si="50"/>
        <v>0</v>
      </c>
      <c r="AG107" s="295"/>
      <c r="AH107" s="295">
        <f t="shared" si="51"/>
        <v>0</v>
      </c>
      <c r="AI107" s="298">
        <f>'Unit Savings Calculations'!O103</f>
        <v>124.68584320000001</v>
      </c>
      <c r="AJ107" s="405" t="s">
        <v>879</v>
      </c>
      <c r="AK107" s="300">
        <f t="shared" si="52"/>
        <v>0</v>
      </c>
      <c r="AL107" s="297">
        <f t="shared" si="53"/>
        <v>0</v>
      </c>
      <c r="AM107" s="295"/>
      <c r="AN107" s="295"/>
      <c r="AO107" s="298">
        <f>'Unit Savings Calculations'!P103</f>
        <v>124.68584320000001</v>
      </c>
      <c r="AP107" s="405" t="s">
        <v>764</v>
      </c>
      <c r="AQ107" s="300">
        <f t="shared" si="54"/>
        <v>0</v>
      </c>
      <c r="AR107" s="297">
        <f t="shared" si="55"/>
        <v>0</v>
      </c>
      <c r="AS107" s="295"/>
      <c r="AT107" s="295"/>
      <c r="AU107" s="298">
        <f>'Unit Savings Calculations'!Q103</f>
        <v>124.68584320000001</v>
      </c>
      <c r="AV107" s="405" t="str">
        <f t="shared" si="56"/>
        <v>n/a</v>
      </c>
      <c r="AW107" s="300">
        <f t="shared" si="57"/>
        <v>0</v>
      </c>
      <c r="AX107" s="297">
        <f t="shared" si="58"/>
        <v>0</v>
      </c>
      <c r="AY107" s="300">
        <f t="shared" si="59"/>
        <v>0</v>
      </c>
      <c r="AZ107" s="300">
        <f t="shared" si="60"/>
        <v>0</v>
      </c>
      <c r="BA107" s="300">
        <f t="shared" si="61"/>
        <v>0</v>
      </c>
      <c r="BB107" s="300">
        <f t="shared" si="62"/>
        <v>0</v>
      </c>
      <c r="BC107" s="301">
        <f t="shared" si="63"/>
        <v>0</v>
      </c>
      <c r="BD107" s="295" t="s">
        <v>764</v>
      </c>
      <c r="BE107" s="302" t="str">
        <f t="shared" si="64"/>
        <v>Exhibit 1.5A_R North Shore EEPS_Adjustable_Savings_Goal_Template.xlsx, Thermostat Detail Tab</v>
      </c>
      <c r="BF107" s="304"/>
    </row>
    <row r="108" spans="1:58" ht="15.75" customHeight="1">
      <c r="A108" s="295" t="str">
        <f>'Unit Savings Calculations'!C104</f>
        <v>Res - MF PTA Rebates</v>
      </c>
      <c r="B108" s="295" t="str">
        <f>'Unit Savings Calculations'!D104</f>
        <v>Air Sealing</v>
      </c>
      <c r="C108" s="296">
        <f t="shared" si="66"/>
        <v>1</v>
      </c>
      <c r="D108" s="295" t="str">
        <f>'Unit Savings Calculations'!T104</f>
        <v>5.6.1</v>
      </c>
      <c r="E108" s="460">
        <f>INDEX('Unit Savings Calculations'!$H$4:$H$421,MATCH('Measure-Level Adjustments Tab'!$A108&amp;"_"&amp;'Measure-Level Adjustments Tab'!$B108,'Unit Savings Calculations'!$A$4:$A$421,0))</f>
        <v>15</v>
      </c>
      <c r="F108" s="460">
        <f>INDEX('Unit Savings Calculations'!$I$4:$I$421,MATCH('Measure-Level Adjustments Tab'!A108&amp;"_"&amp;'Measure-Level Adjustments Tab'!B108,'Unit Savings Calculations'!$A$4:$A$421,0))</f>
        <v>20</v>
      </c>
      <c r="G108" s="295" t="str">
        <f>'Unit Savings Calculations'!E104</f>
        <v>CFM_50</v>
      </c>
      <c r="H108" s="297">
        <f>'Unit Savings Calculations'!$F104*'Unit Savings Calculations'!J104</f>
        <v>0</v>
      </c>
      <c r="I108" s="297">
        <f>'Unit Savings Calculations'!$F104*'Unit Savings Calculations'!K104</f>
        <v>0</v>
      </c>
      <c r="J108" s="297">
        <f>'Unit Savings Calculations'!$F104*'Unit Savings Calculations'!L104</f>
        <v>0</v>
      </c>
      <c r="K108" s="297">
        <f>'Unit Savings Calculations'!$F104*'Unit Savings Calculations'!M104</f>
        <v>0</v>
      </c>
      <c r="L108" s="295" t="str">
        <f>'Unit Savings Calculations'!U104</f>
        <v>RS-SHL-AIRS-V06-180101</v>
      </c>
      <c r="M108" s="405" t="str">
        <f>'Unit Savings Calculations'!R104</f>
        <v>Exhibit 1.5A_R North Shore EEPS_Adjustable_Savings_Goal_Template.xlsx, Unit Savings Calculations Tab</v>
      </c>
      <c r="N108" s="298">
        <v>8.1010150034689227E-2</v>
      </c>
      <c r="O108" s="298">
        <v>8.1010150034689227E-2</v>
      </c>
      <c r="P108" s="298">
        <v>8.1010150034689227E-2</v>
      </c>
      <c r="Q108" s="298">
        <v>8.1010150034689227E-2</v>
      </c>
      <c r="R108" s="299">
        <f>'Unit Savings Calculations'!$G104</f>
        <v>0.88</v>
      </c>
      <c r="S108" s="299">
        <f>'Unit Savings Calculations'!$G104</f>
        <v>0.88</v>
      </c>
      <c r="T108" s="299">
        <f>'Unit Savings Calculations'!$G104</f>
        <v>0.88</v>
      </c>
      <c r="U108" s="299">
        <f>'Unit Savings Calculations'!$G104</f>
        <v>0.88</v>
      </c>
      <c r="V108" s="300">
        <f t="shared" si="67"/>
        <v>0</v>
      </c>
      <c r="W108" s="300">
        <f t="shared" si="68"/>
        <v>0</v>
      </c>
      <c r="X108" s="300">
        <f t="shared" si="69"/>
        <v>0</v>
      </c>
      <c r="Y108" s="300">
        <f t="shared" si="70"/>
        <v>0</v>
      </c>
      <c r="Z108" s="300">
        <f t="shared" si="71"/>
        <v>0</v>
      </c>
      <c r="AA108" s="295"/>
      <c r="AB108" s="295"/>
      <c r="AC108" s="298">
        <f>'Unit Savings Calculations'!N104</f>
        <v>5.8327308024976238E-2</v>
      </c>
      <c r="AD108" s="295"/>
      <c r="AE108" s="300">
        <f t="shared" si="49"/>
        <v>0</v>
      </c>
      <c r="AF108" s="297">
        <f t="shared" si="50"/>
        <v>0</v>
      </c>
      <c r="AG108" s="295"/>
      <c r="AH108" s="295">
        <f t="shared" si="51"/>
        <v>0</v>
      </c>
      <c r="AI108" s="298">
        <f>'Unit Savings Calculations'!O104</f>
        <v>5.8327308024976238E-2</v>
      </c>
      <c r="AJ108" s="405" t="s">
        <v>1042</v>
      </c>
      <c r="AK108" s="300">
        <f t="shared" si="52"/>
        <v>0</v>
      </c>
      <c r="AL108" s="297">
        <f t="shared" si="53"/>
        <v>0</v>
      </c>
      <c r="AM108" s="295"/>
      <c r="AN108" s="295"/>
      <c r="AO108" s="298">
        <f>'Unit Savings Calculations'!P104</f>
        <v>5.8327308024976238E-2</v>
      </c>
      <c r="AP108" s="405" t="s">
        <v>1449</v>
      </c>
      <c r="AQ108" s="300">
        <f t="shared" si="54"/>
        <v>0</v>
      </c>
      <c r="AR108" s="297">
        <f t="shared" si="55"/>
        <v>0</v>
      </c>
      <c r="AS108" s="295"/>
      <c r="AT108" s="295"/>
      <c r="AU108" s="298">
        <f>'Unit Savings Calculations'!Q104</f>
        <v>5.8327308024976238E-2</v>
      </c>
      <c r="AV108" s="405" t="str">
        <f t="shared" si="56"/>
        <v>Updated algorithm with new variables</v>
      </c>
      <c r="AW108" s="300">
        <f t="shared" si="57"/>
        <v>0</v>
      </c>
      <c r="AX108" s="297">
        <f t="shared" si="58"/>
        <v>0</v>
      </c>
      <c r="AY108" s="300">
        <f t="shared" si="59"/>
        <v>0</v>
      </c>
      <c r="AZ108" s="300">
        <f t="shared" si="60"/>
        <v>0</v>
      </c>
      <c r="BA108" s="300">
        <f t="shared" si="61"/>
        <v>0</v>
      </c>
      <c r="BB108" s="300">
        <f t="shared" si="62"/>
        <v>0</v>
      </c>
      <c r="BC108" s="301">
        <f t="shared" si="63"/>
        <v>0</v>
      </c>
      <c r="BD108" s="295" t="s">
        <v>764</v>
      </c>
      <c r="BE108" s="302" t="str">
        <f t="shared" si="64"/>
        <v>Exhibit 1.5A_R North Shore EEPS_Adjustable_Savings_Goal_Template.xlsx, Unit Savings Calculations Tab</v>
      </c>
      <c r="BF108" s="304"/>
    </row>
    <row r="109" spans="1:58" ht="15.75" customHeight="1">
      <c r="A109" s="295" t="str">
        <f>'Unit Savings Calculations'!C105</f>
        <v>Res - MF PTA Rebates</v>
      </c>
      <c r="B109" s="295" t="str">
        <f>'Unit Savings Calculations'!D105</f>
        <v>Duct Sealing</v>
      </c>
      <c r="C109" s="296">
        <f t="shared" si="66"/>
        <v>1</v>
      </c>
      <c r="D109" s="295" t="str">
        <f>'Unit Savings Calculations'!T105</f>
        <v>5.3.4</v>
      </c>
      <c r="E109" s="460">
        <f>INDEX('Unit Savings Calculations'!$H$4:$H$421,MATCH('Measure-Level Adjustments Tab'!$A109&amp;"_"&amp;'Measure-Level Adjustments Tab'!$B109,'Unit Savings Calculations'!$A$4:$A$421,0))</f>
        <v>20</v>
      </c>
      <c r="F109" s="460">
        <f>INDEX('Unit Savings Calculations'!$I$4:$I$421,MATCH('Measure-Level Adjustments Tab'!A109&amp;"_"&amp;'Measure-Level Adjustments Tab'!B109,'Unit Savings Calculations'!$A$4:$A$421,0))</f>
        <v>20</v>
      </c>
      <c r="G109" s="295" t="str">
        <f>'Unit Savings Calculations'!E105</f>
        <v>CFM_25</v>
      </c>
      <c r="H109" s="297">
        <f>'Unit Savings Calculations'!$F105*'Unit Savings Calculations'!J105</f>
        <v>0</v>
      </c>
      <c r="I109" s="297">
        <f>'Unit Savings Calculations'!$F105*'Unit Savings Calculations'!K105</f>
        <v>0</v>
      </c>
      <c r="J109" s="297">
        <f>'Unit Savings Calculations'!$F105*'Unit Savings Calculations'!L105</f>
        <v>0</v>
      </c>
      <c r="K109" s="297">
        <f>'Unit Savings Calculations'!$F105*'Unit Savings Calculations'!M105</f>
        <v>0</v>
      </c>
      <c r="L109" s="295" t="str">
        <f>'Unit Savings Calculations'!U105</f>
        <v>RS-HVC-DINS-V06-160601</v>
      </c>
      <c r="M109" s="405" t="str">
        <f>'Unit Savings Calculations'!R105</f>
        <v>Exhibit 1.5A_R North Shore EEPS_Adjustable_Savings_Goal_Template.xlsx, Unit Savings Calculations Tab</v>
      </c>
      <c r="N109" s="298">
        <v>0.70950058072009281</v>
      </c>
      <c r="O109" s="298">
        <v>0.70950058072009281</v>
      </c>
      <c r="P109" s="298">
        <v>0.70950058072009281</v>
      </c>
      <c r="Q109" s="298">
        <v>0.70950058072009281</v>
      </c>
      <c r="R109" s="299">
        <f>'Unit Savings Calculations'!$G105</f>
        <v>0.88</v>
      </c>
      <c r="S109" s="299">
        <f>'Unit Savings Calculations'!$G105</f>
        <v>0.88</v>
      </c>
      <c r="T109" s="299">
        <f>'Unit Savings Calculations'!$G105</f>
        <v>0.88</v>
      </c>
      <c r="U109" s="299">
        <f>'Unit Savings Calculations'!$G105</f>
        <v>0.88</v>
      </c>
      <c r="V109" s="300">
        <f t="shared" si="67"/>
        <v>0</v>
      </c>
      <c r="W109" s="300">
        <f t="shared" si="68"/>
        <v>0</v>
      </c>
      <c r="X109" s="300">
        <f t="shared" si="69"/>
        <v>0</v>
      </c>
      <c r="Y109" s="300">
        <f t="shared" si="70"/>
        <v>0</v>
      </c>
      <c r="Z109" s="300">
        <f t="shared" si="71"/>
        <v>0</v>
      </c>
      <c r="AA109" s="295"/>
      <c r="AB109" s="295"/>
      <c r="AC109" s="298">
        <f>'Unit Savings Calculations'!N105</f>
        <v>0.70950058072009281</v>
      </c>
      <c r="AD109" s="295"/>
      <c r="AE109" s="300">
        <f t="shared" si="49"/>
        <v>0</v>
      </c>
      <c r="AF109" s="297">
        <f t="shared" si="50"/>
        <v>0</v>
      </c>
      <c r="AG109" s="295"/>
      <c r="AH109" s="295">
        <f t="shared" si="51"/>
        <v>0</v>
      </c>
      <c r="AI109" s="298">
        <f>'Unit Savings Calculations'!O105</f>
        <v>0.70950058072009281</v>
      </c>
      <c r="AJ109" s="405" t="s">
        <v>879</v>
      </c>
      <c r="AK109" s="300">
        <f t="shared" si="52"/>
        <v>0</v>
      </c>
      <c r="AL109" s="297">
        <f t="shared" si="53"/>
        <v>0</v>
      </c>
      <c r="AM109" s="295"/>
      <c r="AN109" s="295"/>
      <c r="AO109" s="298">
        <f>'Unit Savings Calculations'!P105</f>
        <v>0.70950058072009281</v>
      </c>
      <c r="AP109" s="405" t="s">
        <v>764</v>
      </c>
      <c r="AQ109" s="300">
        <f t="shared" si="54"/>
        <v>0</v>
      </c>
      <c r="AR109" s="297">
        <f t="shared" si="55"/>
        <v>0</v>
      </c>
      <c r="AS109" s="295"/>
      <c r="AT109" s="295"/>
      <c r="AU109" s="298">
        <f>'Unit Savings Calculations'!Q105</f>
        <v>0.70950058072009281</v>
      </c>
      <c r="AV109" s="405" t="str">
        <f t="shared" si="56"/>
        <v>n/a</v>
      </c>
      <c r="AW109" s="300">
        <f t="shared" si="57"/>
        <v>0</v>
      </c>
      <c r="AX109" s="297">
        <f t="shared" si="58"/>
        <v>0</v>
      </c>
      <c r="AY109" s="300">
        <f t="shared" si="59"/>
        <v>0</v>
      </c>
      <c r="AZ109" s="300">
        <f t="shared" si="60"/>
        <v>0</v>
      </c>
      <c r="BA109" s="300">
        <f t="shared" si="61"/>
        <v>0</v>
      </c>
      <c r="BB109" s="300">
        <f t="shared" si="62"/>
        <v>0</v>
      </c>
      <c r="BC109" s="301">
        <f t="shared" si="63"/>
        <v>0</v>
      </c>
      <c r="BD109" s="295" t="s">
        <v>764</v>
      </c>
      <c r="BE109" s="302" t="str">
        <f t="shared" si="64"/>
        <v>Exhibit 1.5A_R North Shore EEPS_Adjustable_Savings_Goal_Template.xlsx, Unit Savings Calculations Tab</v>
      </c>
      <c r="BF109" s="304"/>
    </row>
    <row r="110" spans="1:58" ht="15.75" customHeight="1">
      <c r="A110" s="295" t="str">
        <f>'Unit Savings Calculations'!C106</f>
        <v>Res - MF PTA Rebates</v>
      </c>
      <c r="B110" s="295" t="str">
        <f>'Unit Savings Calculations'!D106</f>
        <v>Boiler ≥88% AFUE, &lt;300MBh</v>
      </c>
      <c r="C110" s="296">
        <f t="shared" si="66"/>
        <v>1</v>
      </c>
      <c r="D110" s="295" t="str">
        <f>'Unit Savings Calculations'!T106</f>
        <v>4.4.10</v>
      </c>
      <c r="E110" s="460">
        <f>INDEX('Unit Savings Calculations'!$H$4:$H$421,MATCH('Measure-Level Adjustments Tab'!$A110&amp;"_"&amp;'Measure-Level Adjustments Tab'!$B110,'Unit Savings Calculations'!$A$4:$A$421,0))</f>
        <v>20</v>
      </c>
      <c r="F110" s="460">
        <f>INDEX('Unit Savings Calculations'!$I$4:$I$421,MATCH('Measure-Level Adjustments Tab'!A110&amp;"_"&amp;'Measure-Level Adjustments Tab'!B110,'Unit Savings Calculations'!$A$4:$A$421,0))</f>
        <v>20</v>
      </c>
      <c r="G110" s="295" t="str">
        <f>'Unit Savings Calculations'!E106</f>
        <v>MBH</v>
      </c>
      <c r="H110" s="297">
        <f>'Unit Savings Calculations'!$F106*'Unit Savings Calculations'!J106</f>
        <v>0</v>
      </c>
      <c r="I110" s="297">
        <f>'Unit Savings Calculations'!$F106*'Unit Savings Calculations'!K106</f>
        <v>0</v>
      </c>
      <c r="J110" s="297">
        <f>'Unit Savings Calculations'!$F106*'Unit Savings Calculations'!L106</f>
        <v>0</v>
      </c>
      <c r="K110" s="297">
        <f>'Unit Savings Calculations'!$F106*'Unit Savings Calculations'!M106</f>
        <v>0</v>
      </c>
      <c r="L110" s="295" t="str">
        <f>'Unit Savings Calculations'!U106</f>
        <v>CI-HVC-BOIL-V05-150601</v>
      </c>
      <c r="M110" s="405" t="str">
        <f>'Unit Savings Calculations'!R106</f>
        <v>Exhibit 1.5A_R North Shore EEPS_Adjustable_Savings_Goal_Template.xlsx, Unit Savings Calculations Tab</v>
      </c>
      <c r="N110" s="298">
        <v>1.2329268292682938</v>
      </c>
      <c r="O110" s="298">
        <v>1.2329268292682938</v>
      </c>
      <c r="P110" s="298">
        <v>1.2329268292682938</v>
      </c>
      <c r="Q110" s="298">
        <v>1.2329268292682938</v>
      </c>
      <c r="R110" s="299">
        <f>'Unit Savings Calculations'!$G106</f>
        <v>0.88</v>
      </c>
      <c r="S110" s="299">
        <f>'Unit Savings Calculations'!$G106</f>
        <v>0.88</v>
      </c>
      <c r="T110" s="299">
        <f>'Unit Savings Calculations'!$G106</f>
        <v>0.88</v>
      </c>
      <c r="U110" s="299">
        <f>'Unit Savings Calculations'!$G106</f>
        <v>0.88</v>
      </c>
      <c r="V110" s="300">
        <f t="shared" si="67"/>
        <v>0</v>
      </c>
      <c r="W110" s="300">
        <f t="shared" si="68"/>
        <v>0</v>
      </c>
      <c r="X110" s="300">
        <f t="shared" si="69"/>
        <v>0</v>
      </c>
      <c r="Y110" s="300">
        <f t="shared" si="70"/>
        <v>0</v>
      </c>
      <c r="Z110" s="300">
        <f t="shared" si="71"/>
        <v>0</v>
      </c>
      <c r="AA110" s="295"/>
      <c r="AB110" s="295"/>
      <c r="AC110" s="298">
        <f>'Unit Savings Calculations'!N106</f>
        <v>1.3039024390243914</v>
      </c>
      <c r="AD110" s="295"/>
      <c r="AE110" s="300">
        <f t="shared" si="49"/>
        <v>0</v>
      </c>
      <c r="AF110" s="297">
        <f t="shared" si="50"/>
        <v>0</v>
      </c>
      <c r="AG110" s="295"/>
      <c r="AH110" s="295">
        <f t="shared" si="51"/>
        <v>0</v>
      </c>
      <c r="AI110" s="298">
        <f>'Unit Savings Calculations'!O106</f>
        <v>1.3039024390243914</v>
      </c>
      <c r="AJ110" s="405" t="s">
        <v>879</v>
      </c>
      <c r="AK110" s="300">
        <f t="shared" si="52"/>
        <v>0</v>
      </c>
      <c r="AL110" s="297">
        <f t="shared" si="53"/>
        <v>0</v>
      </c>
      <c r="AM110" s="295"/>
      <c r="AN110" s="295"/>
      <c r="AO110" s="298">
        <f>'Unit Savings Calculations'!P106</f>
        <v>1.3039024390243914</v>
      </c>
      <c r="AP110" s="405" t="s">
        <v>1443</v>
      </c>
      <c r="AQ110" s="300">
        <f t="shared" si="54"/>
        <v>0</v>
      </c>
      <c r="AR110" s="297">
        <f t="shared" si="55"/>
        <v>0</v>
      </c>
      <c r="AS110" s="295"/>
      <c r="AT110" s="295"/>
      <c r="AU110" s="298">
        <f>'Unit Savings Calculations'!Q106</f>
        <v>1.3039024390243914</v>
      </c>
      <c r="AV110" s="405" t="str">
        <f t="shared" si="56"/>
        <v>Updated heating EFLH</v>
      </c>
      <c r="AW110" s="300">
        <f t="shared" si="57"/>
        <v>0</v>
      </c>
      <c r="AX110" s="297">
        <f t="shared" si="58"/>
        <v>0</v>
      </c>
      <c r="AY110" s="300">
        <f t="shared" si="59"/>
        <v>0</v>
      </c>
      <c r="AZ110" s="300">
        <f t="shared" si="60"/>
        <v>0</v>
      </c>
      <c r="BA110" s="300">
        <f t="shared" si="61"/>
        <v>0</v>
      </c>
      <c r="BB110" s="300">
        <f t="shared" si="62"/>
        <v>0</v>
      </c>
      <c r="BC110" s="301">
        <f t="shared" si="63"/>
        <v>0</v>
      </c>
      <c r="BD110" s="295" t="s">
        <v>764</v>
      </c>
      <c r="BE110" s="302" t="str">
        <f t="shared" si="64"/>
        <v>Exhibit 1.5A_R North Shore EEPS_Adjustable_Savings_Goal_Template.xlsx, Unit Savings Calculations Tab</v>
      </c>
      <c r="BF110" s="304"/>
    </row>
    <row r="111" spans="1:58" ht="15.75" customHeight="1">
      <c r="A111" s="295" t="str">
        <f>'Unit Savings Calculations'!C107</f>
        <v>Res - MF PTA Rebates</v>
      </c>
      <c r="B111" s="295" t="str">
        <f>'Unit Savings Calculations'!D107</f>
        <v>Boiler ≥88% AFUE, ≥300MBh TE</v>
      </c>
      <c r="C111" s="296">
        <f t="shared" si="66"/>
        <v>1</v>
      </c>
      <c r="D111" s="295" t="str">
        <f>'Unit Savings Calculations'!T107</f>
        <v>4.4.10</v>
      </c>
      <c r="E111" s="460">
        <f>INDEX('Unit Savings Calculations'!$H$4:$H$421,MATCH('Measure-Level Adjustments Tab'!$A111&amp;"_"&amp;'Measure-Level Adjustments Tab'!$B111,'Unit Savings Calculations'!$A$4:$A$421,0))</f>
        <v>20</v>
      </c>
      <c r="F111" s="460">
        <f>INDEX('Unit Savings Calculations'!$I$4:$I$421,MATCH('Measure-Level Adjustments Tab'!A111&amp;"_"&amp;'Measure-Level Adjustments Tab'!B111,'Unit Savings Calculations'!$A$4:$A$421,0))</f>
        <v>20</v>
      </c>
      <c r="G111" s="295" t="str">
        <f>'Unit Savings Calculations'!E107</f>
        <v>MBH</v>
      </c>
      <c r="H111" s="297">
        <f>'Unit Savings Calculations'!$F107*'Unit Savings Calculations'!J107</f>
        <v>0</v>
      </c>
      <c r="I111" s="297">
        <f>'Unit Savings Calculations'!$F107*'Unit Savings Calculations'!K107</f>
        <v>0</v>
      </c>
      <c r="J111" s="297">
        <f>'Unit Savings Calculations'!$F107*'Unit Savings Calculations'!L107</f>
        <v>0</v>
      </c>
      <c r="K111" s="297">
        <f>'Unit Savings Calculations'!$F107*'Unit Savings Calculations'!M107</f>
        <v>0</v>
      </c>
      <c r="L111" s="295" t="str">
        <f>'Unit Savings Calculations'!U107</f>
        <v>CI-HVC-BOIL-V05-150601</v>
      </c>
      <c r="M111" s="405" t="str">
        <f>'Unit Savings Calculations'!R107</f>
        <v>Exhibit 1.5A_R North Shore EEPS_Adjustable_Savings_Goal_Template.xlsx, Unit Savings Calculations Tab</v>
      </c>
      <c r="N111" s="298">
        <v>1.6849999999999989</v>
      </c>
      <c r="O111" s="298">
        <v>1.6849999999999989</v>
      </c>
      <c r="P111" s="298">
        <v>1.6849999999999989</v>
      </c>
      <c r="Q111" s="298">
        <v>1.6849999999999989</v>
      </c>
      <c r="R111" s="299">
        <f>'Unit Savings Calculations'!$G107</f>
        <v>0.88</v>
      </c>
      <c r="S111" s="299">
        <f>'Unit Savings Calculations'!$G107</f>
        <v>0.88</v>
      </c>
      <c r="T111" s="299">
        <f>'Unit Savings Calculations'!$G107</f>
        <v>0.88</v>
      </c>
      <c r="U111" s="299">
        <f>'Unit Savings Calculations'!$G107</f>
        <v>0.88</v>
      </c>
      <c r="V111" s="300">
        <f t="shared" si="67"/>
        <v>0</v>
      </c>
      <c r="W111" s="300">
        <f t="shared" si="68"/>
        <v>0</v>
      </c>
      <c r="X111" s="300">
        <f t="shared" si="69"/>
        <v>0</v>
      </c>
      <c r="Y111" s="300">
        <f t="shared" si="70"/>
        <v>0</v>
      </c>
      <c r="Z111" s="300">
        <f t="shared" si="71"/>
        <v>0</v>
      </c>
      <c r="AA111" s="295"/>
      <c r="AB111" s="295"/>
      <c r="AC111" s="298">
        <f>'Unit Savings Calculations'!N107</f>
        <v>1.7819999999999991</v>
      </c>
      <c r="AD111" s="295"/>
      <c r="AE111" s="300">
        <f t="shared" si="49"/>
        <v>0</v>
      </c>
      <c r="AF111" s="297">
        <f t="shared" si="50"/>
        <v>0</v>
      </c>
      <c r="AG111" s="295"/>
      <c r="AH111" s="295">
        <f t="shared" si="51"/>
        <v>0</v>
      </c>
      <c r="AI111" s="298">
        <f>'Unit Savings Calculations'!O107</f>
        <v>1.7819999999999991</v>
      </c>
      <c r="AJ111" s="405" t="s">
        <v>879</v>
      </c>
      <c r="AK111" s="300">
        <f t="shared" si="52"/>
        <v>0</v>
      </c>
      <c r="AL111" s="297">
        <f t="shared" si="53"/>
        <v>0</v>
      </c>
      <c r="AM111" s="295"/>
      <c r="AN111" s="295"/>
      <c r="AO111" s="298">
        <f>'Unit Savings Calculations'!P107</f>
        <v>1.7819999999999991</v>
      </c>
      <c r="AP111" s="405" t="s">
        <v>1443</v>
      </c>
      <c r="AQ111" s="300">
        <f t="shared" si="54"/>
        <v>0</v>
      </c>
      <c r="AR111" s="297">
        <f t="shared" si="55"/>
        <v>0</v>
      </c>
      <c r="AS111" s="295"/>
      <c r="AT111" s="295"/>
      <c r="AU111" s="298">
        <f>'Unit Savings Calculations'!Q107</f>
        <v>1.7819999999999991</v>
      </c>
      <c r="AV111" s="405" t="str">
        <f t="shared" si="56"/>
        <v>Updated heating EFLH</v>
      </c>
      <c r="AW111" s="300">
        <f t="shared" si="57"/>
        <v>0</v>
      </c>
      <c r="AX111" s="297">
        <f t="shared" si="58"/>
        <v>0</v>
      </c>
      <c r="AY111" s="300">
        <f t="shared" si="59"/>
        <v>0</v>
      </c>
      <c r="AZ111" s="300">
        <f t="shared" si="60"/>
        <v>0</v>
      </c>
      <c r="BA111" s="300">
        <f t="shared" si="61"/>
        <v>0</v>
      </c>
      <c r="BB111" s="300">
        <f t="shared" si="62"/>
        <v>0</v>
      </c>
      <c r="BC111" s="301">
        <f t="shared" si="63"/>
        <v>0</v>
      </c>
      <c r="BD111" s="295" t="s">
        <v>764</v>
      </c>
      <c r="BE111" s="302" t="str">
        <f t="shared" si="64"/>
        <v>Exhibit 1.5A_R North Shore EEPS_Adjustable_Savings_Goal_Template.xlsx, Unit Savings Calculations Tab</v>
      </c>
      <c r="BF111" s="304"/>
    </row>
    <row r="112" spans="1:58" ht="15.75" customHeight="1">
      <c r="A112" s="295" t="str">
        <f>'Unit Savings Calculations'!C108</f>
        <v>Res - MF PTA Rebates</v>
      </c>
      <c r="B112" s="295" t="str">
        <f>'Unit Savings Calculations'!D108</f>
        <v>Boiler Reset Controls</v>
      </c>
      <c r="C112" s="296">
        <f t="shared" si="66"/>
        <v>1</v>
      </c>
      <c r="D112" s="295" t="str">
        <f>'Unit Savings Calculations'!T108</f>
        <v>4.4.4</v>
      </c>
      <c r="E112" s="460">
        <f>INDEX('Unit Savings Calculations'!$H$4:$H$421,MATCH('Measure-Level Adjustments Tab'!$A112&amp;"_"&amp;'Measure-Level Adjustments Tab'!$B112,'Unit Savings Calculations'!$A$4:$A$421,0))</f>
        <v>20</v>
      </c>
      <c r="F112" s="460">
        <f>INDEX('Unit Savings Calculations'!$I$4:$I$421,MATCH('Measure-Level Adjustments Tab'!A112&amp;"_"&amp;'Measure-Level Adjustments Tab'!B112,'Unit Savings Calculations'!$A$4:$A$421,0))</f>
        <v>20</v>
      </c>
      <c r="G112" s="295" t="str">
        <f>'Unit Savings Calculations'!E108</f>
        <v>each</v>
      </c>
      <c r="H112" s="297">
        <f>'Unit Savings Calculations'!$F108*'Unit Savings Calculations'!J108</f>
        <v>2800</v>
      </c>
      <c r="I112" s="297">
        <f>'Unit Savings Calculations'!$F108*'Unit Savings Calculations'!K108</f>
        <v>2800</v>
      </c>
      <c r="J112" s="297">
        <f>'Unit Savings Calculations'!$F108*'Unit Savings Calculations'!L108</f>
        <v>2800</v>
      </c>
      <c r="K112" s="297">
        <f>'Unit Savings Calculations'!$F108*'Unit Savings Calculations'!M108</f>
        <v>2800</v>
      </c>
      <c r="L112" s="295" t="str">
        <f>'Unit Savings Calculations'!U108</f>
        <v>CI-HVC-BLRC-V03-150601</v>
      </c>
      <c r="M112" s="405" t="str">
        <f>'Unit Savings Calculations'!R108</f>
        <v>Exhibit 1.5A_R North Shore EEPS_Adjustable_Savings_Goal_Template.xlsx, Unit Savings Calculations Tab</v>
      </c>
      <c r="N112" s="298">
        <v>1.3480000000000001</v>
      </c>
      <c r="O112" s="298">
        <v>1.3480000000000001</v>
      </c>
      <c r="P112" s="298">
        <v>1.3480000000000001</v>
      </c>
      <c r="Q112" s="298">
        <v>1.3480000000000001</v>
      </c>
      <c r="R112" s="299">
        <f>'Unit Savings Calculations'!$G108</f>
        <v>0.88</v>
      </c>
      <c r="S112" s="299">
        <f>'Unit Savings Calculations'!$G108</f>
        <v>0.88</v>
      </c>
      <c r="T112" s="299">
        <f>'Unit Savings Calculations'!$G108</f>
        <v>0.88</v>
      </c>
      <c r="U112" s="299">
        <f>'Unit Savings Calculations'!$G108</f>
        <v>0.88</v>
      </c>
      <c r="V112" s="300">
        <f t="shared" si="67"/>
        <v>3321.4720000000002</v>
      </c>
      <c r="W112" s="300">
        <f t="shared" si="68"/>
        <v>3321.4720000000002</v>
      </c>
      <c r="X112" s="300">
        <f t="shared" si="69"/>
        <v>3321.4720000000002</v>
      </c>
      <c r="Y112" s="300">
        <f t="shared" si="70"/>
        <v>3321.4720000000002</v>
      </c>
      <c r="Z112" s="300">
        <f t="shared" si="71"/>
        <v>13285.888000000001</v>
      </c>
      <c r="AA112" s="295"/>
      <c r="AB112" s="295"/>
      <c r="AC112" s="298">
        <f>'Unit Savings Calculations'!N108</f>
        <v>1.4256</v>
      </c>
      <c r="AD112" s="295"/>
      <c r="AE112" s="300">
        <f t="shared" si="49"/>
        <v>3512.6783999999998</v>
      </c>
      <c r="AF112" s="297">
        <f t="shared" si="50"/>
        <v>191.20639999999958</v>
      </c>
      <c r="AG112" s="295"/>
      <c r="AH112" s="295">
        <f t="shared" si="51"/>
        <v>0</v>
      </c>
      <c r="AI112" s="298">
        <f>'Unit Savings Calculations'!O108</f>
        <v>1.4256</v>
      </c>
      <c r="AJ112" s="405" t="s">
        <v>879</v>
      </c>
      <c r="AK112" s="300">
        <f t="shared" si="52"/>
        <v>3512.6783999999998</v>
      </c>
      <c r="AL112" s="297">
        <f t="shared" si="53"/>
        <v>191.20639999999958</v>
      </c>
      <c r="AM112" s="295"/>
      <c r="AN112" s="295"/>
      <c r="AO112" s="298">
        <f>'Unit Savings Calculations'!P108</f>
        <v>1.4256</v>
      </c>
      <c r="AP112" s="405" t="s">
        <v>1443</v>
      </c>
      <c r="AQ112" s="300">
        <f t="shared" si="54"/>
        <v>3512.6783999999998</v>
      </c>
      <c r="AR112" s="297">
        <f t="shared" si="55"/>
        <v>191.20639999999958</v>
      </c>
      <c r="AS112" s="295"/>
      <c r="AT112" s="295"/>
      <c r="AU112" s="298">
        <f>'Unit Savings Calculations'!Q108</f>
        <v>1.4256</v>
      </c>
      <c r="AV112" s="405" t="str">
        <f t="shared" si="56"/>
        <v>Updated heating EFLH</v>
      </c>
      <c r="AW112" s="300">
        <f t="shared" si="57"/>
        <v>3512.6783999999998</v>
      </c>
      <c r="AX112" s="297">
        <f t="shared" si="58"/>
        <v>191.20639999999958</v>
      </c>
      <c r="AY112" s="300">
        <f t="shared" si="59"/>
        <v>3512.6783999999998</v>
      </c>
      <c r="AZ112" s="300">
        <f t="shared" si="60"/>
        <v>3512.6783999999998</v>
      </c>
      <c r="BA112" s="300">
        <f t="shared" si="61"/>
        <v>3512.6783999999998</v>
      </c>
      <c r="BB112" s="300">
        <f t="shared" si="62"/>
        <v>3512.6783999999998</v>
      </c>
      <c r="BC112" s="301">
        <f t="shared" si="63"/>
        <v>14050.713599999999</v>
      </c>
      <c r="BD112" s="295" t="s">
        <v>764</v>
      </c>
      <c r="BE112" s="302" t="str">
        <f t="shared" si="64"/>
        <v>Exhibit 1.5A_R North Shore EEPS_Adjustable_Savings_Goal_Template.xlsx, Unit Savings Calculations Tab</v>
      </c>
      <c r="BF112" s="304"/>
    </row>
    <row r="113" spans="1:58" ht="15.75" customHeight="1">
      <c r="A113" s="295" t="str">
        <f>'Unit Savings Calculations'!C109</f>
        <v>Res - MF PTA Rebates</v>
      </c>
      <c r="B113" s="295" t="str">
        <f>'Unit Savings Calculations'!D109</f>
        <v>Boiler Tune Up - Process</v>
      </c>
      <c r="C113" s="296">
        <f t="shared" si="66"/>
        <v>1</v>
      </c>
      <c r="D113" s="295" t="str">
        <f>'Unit Savings Calculations'!T109</f>
        <v>4.4.3</v>
      </c>
      <c r="E113" s="460">
        <f>INDEX('Unit Savings Calculations'!$H$4:$H$421,MATCH('Measure-Level Adjustments Tab'!$A113&amp;"_"&amp;'Measure-Level Adjustments Tab'!$B113,'Unit Savings Calculations'!$A$4:$A$421,0))</f>
        <v>3</v>
      </c>
      <c r="F113" s="460">
        <f>INDEX('Unit Savings Calculations'!$I$4:$I$421,MATCH('Measure-Level Adjustments Tab'!A113&amp;"_"&amp;'Measure-Level Adjustments Tab'!B113,'Unit Savings Calculations'!$A$4:$A$421,0))</f>
        <v>3</v>
      </c>
      <c r="G113" s="295" t="str">
        <f>'Unit Savings Calculations'!E109</f>
        <v>MBH</v>
      </c>
      <c r="H113" s="297">
        <f>'Unit Savings Calculations'!$F109*'Unit Savings Calculations'!J109</f>
        <v>2600</v>
      </c>
      <c r="I113" s="297">
        <f>'Unit Savings Calculations'!$F109*'Unit Savings Calculations'!K109</f>
        <v>2600</v>
      </c>
      <c r="J113" s="297">
        <f>'Unit Savings Calculations'!$F109*'Unit Savings Calculations'!L109</f>
        <v>2600</v>
      </c>
      <c r="K113" s="297">
        <f>'Unit Savings Calculations'!$F109*'Unit Savings Calculations'!M109</f>
        <v>2600</v>
      </c>
      <c r="L113" s="295" t="str">
        <f>'Unit Savings Calculations'!U109</f>
        <v>CI-HVC-PBTU-V05-160601</v>
      </c>
      <c r="M113" s="405" t="str">
        <f>'Unit Savings Calculations'!R109</f>
        <v>Exhibit 1.5A_R North Shore EEPS_Adjustable_Savings_Goal_Template.xlsx, Unit Savings Calculations Tab</v>
      </c>
      <c r="N113" s="298">
        <v>0.83823507428978783</v>
      </c>
      <c r="O113" s="298">
        <v>0.83823507428978783</v>
      </c>
      <c r="P113" s="298">
        <v>0.83823507428978783</v>
      </c>
      <c r="Q113" s="298">
        <v>0.83823507428978783</v>
      </c>
      <c r="R113" s="299">
        <f>'Unit Savings Calculations'!$G109</f>
        <v>0.88</v>
      </c>
      <c r="S113" s="299">
        <f>'Unit Savings Calculations'!$G109</f>
        <v>0.88</v>
      </c>
      <c r="T113" s="299">
        <f>'Unit Savings Calculations'!$G109</f>
        <v>0.88</v>
      </c>
      <c r="U113" s="299">
        <f>'Unit Savings Calculations'!$G109</f>
        <v>0.88</v>
      </c>
      <c r="V113" s="300">
        <f t="shared" si="67"/>
        <v>1917.8818499750346</v>
      </c>
      <c r="W113" s="300">
        <f t="shared" si="68"/>
        <v>1917.8818499750346</v>
      </c>
      <c r="X113" s="300">
        <f t="shared" si="69"/>
        <v>1917.8818499750346</v>
      </c>
      <c r="Y113" s="300">
        <f t="shared" si="70"/>
        <v>1917.8818499750346</v>
      </c>
      <c r="Z113" s="300">
        <f t="shared" si="71"/>
        <v>7671.5273999001383</v>
      </c>
      <c r="AA113" s="295"/>
      <c r="AB113" s="295"/>
      <c r="AC113" s="298">
        <f>'Unit Savings Calculations'!N109</f>
        <v>0.83823507428978783</v>
      </c>
      <c r="AD113" s="295"/>
      <c r="AE113" s="300">
        <f t="shared" si="49"/>
        <v>1917.8818499750346</v>
      </c>
      <c r="AF113" s="297">
        <f t="shared" si="50"/>
        <v>0</v>
      </c>
      <c r="AG113" s="295"/>
      <c r="AH113" s="295">
        <f t="shared" si="51"/>
        <v>0</v>
      </c>
      <c r="AI113" s="298">
        <f>'Unit Savings Calculations'!O109</f>
        <v>0.83823507428978783</v>
      </c>
      <c r="AJ113" s="405" t="s">
        <v>879</v>
      </c>
      <c r="AK113" s="300">
        <f t="shared" si="52"/>
        <v>1917.8818499750346</v>
      </c>
      <c r="AL113" s="297">
        <f t="shared" si="53"/>
        <v>0</v>
      </c>
      <c r="AM113" s="295"/>
      <c r="AN113" s="295"/>
      <c r="AO113" s="298">
        <f>'Unit Savings Calculations'!P109</f>
        <v>0.83823507428978783</v>
      </c>
      <c r="AP113" s="405" t="s">
        <v>764</v>
      </c>
      <c r="AQ113" s="300">
        <f t="shared" si="54"/>
        <v>1917.8818499750346</v>
      </c>
      <c r="AR113" s="297">
        <f t="shared" si="55"/>
        <v>0</v>
      </c>
      <c r="AS113" s="295"/>
      <c r="AT113" s="295"/>
      <c r="AU113" s="298">
        <f>'Unit Savings Calculations'!Q109</f>
        <v>0.83823507428978783</v>
      </c>
      <c r="AV113" s="405" t="str">
        <f t="shared" si="56"/>
        <v>n/a</v>
      </c>
      <c r="AW113" s="300">
        <f t="shared" si="57"/>
        <v>1917.8818499750346</v>
      </c>
      <c r="AX113" s="297">
        <f t="shared" si="58"/>
        <v>0</v>
      </c>
      <c r="AY113" s="300">
        <f t="shared" si="59"/>
        <v>1917.8818499750346</v>
      </c>
      <c r="AZ113" s="300">
        <f t="shared" si="60"/>
        <v>1917.8818499750346</v>
      </c>
      <c r="BA113" s="300">
        <f t="shared" si="61"/>
        <v>1917.8818499750346</v>
      </c>
      <c r="BB113" s="300">
        <f t="shared" si="62"/>
        <v>1917.8818499750346</v>
      </c>
      <c r="BC113" s="301">
        <f t="shared" si="63"/>
        <v>7671.5273999001383</v>
      </c>
      <c r="BD113" s="295" t="s">
        <v>764</v>
      </c>
      <c r="BE113" s="302" t="str">
        <f t="shared" si="64"/>
        <v>Exhibit 1.5A_R North Shore EEPS_Adjustable_Savings_Goal_Template.xlsx, Unit Savings Calculations Tab</v>
      </c>
      <c r="BF113" s="304"/>
    </row>
    <row r="114" spans="1:58" ht="15.75" customHeight="1">
      <c r="A114" s="295" t="str">
        <f>'Unit Savings Calculations'!C110</f>
        <v>Res - MF PTA Rebates</v>
      </c>
      <c r="B114" s="295" t="str">
        <f>'Unit Savings Calculations'!D110</f>
        <v>Boiler Tune Up - Space Heating</v>
      </c>
      <c r="C114" s="296">
        <f t="shared" si="66"/>
        <v>1</v>
      </c>
      <c r="D114" s="295" t="str">
        <f>'Unit Savings Calculations'!T110</f>
        <v>4.4.2</v>
      </c>
      <c r="E114" s="460">
        <f>INDEX('Unit Savings Calculations'!$H$4:$H$421,MATCH('Measure-Level Adjustments Tab'!$A114&amp;"_"&amp;'Measure-Level Adjustments Tab'!$B114,'Unit Savings Calculations'!$A$4:$A$421,0))</f>
        <v>3</v>
      </c>
      <c r="F114" s="460">
        <f>INDEX('Unit Savings Calculations'!$I$4:$I$421,MATCH('Measure-Level Adjustments Tab'!A114&amp;"_"&amp;'Measure-Level Adjustments Tab'!B114,'Unit Savings Calculations'!$A$4:$A$421,0))</f>
        <v>3</v>
      </c>
      <c r="G114" s="295" t="str">
        <f>'Unit Savings Calculations'!E110</f>
        <v>MBH</v>
      </c>
      <c r="H114" s="297">
        <f>'Unit Savings Calculations'!$F110*'Unit Savings Calculations'!J110</f>
        <v>2600</v>
      </c>
      <c r="I114" s="297">
        <f>'Unit Savings Calculations'!$F110*'Unit Savings Calculations'!K110</f>
        <v>2600</v>
      </c>
      <c r="J114" s="297">
        <f>'Unit Savings Calculations'!$F110*'Unit Savings Calculations'!L110</f>
        <v>2600</v>
      </c>
      <c r="K114" s="297">
        <f>'Unit Savings Calculations'!$F110*'Unit Savings Calculations'!M110</f>
        <v>2600</v>
      </c>
      <c r="L114" s="295" t="str">
        <f>'Unit Savings Calculations'!U110</f>
        <v>CI-HVC-BLRT-V06-160601</v>
      </c>
      <c r="M114" s="405" t="str">
        <f>'Unit Savings Calculations'!R110</f>
        <v>Exhibit 1.5A_R North Shore EEPS_Adjustable_Savings_Goal_Template.xlsx, Unit Savings Calculations Tab</v>
      </c>
      <c r="N114" s="298">
        <v>0.393528767789805</v>
      </c>
      <c r="O114" s="298">
        <v>0.393528767789805</v>
      </c>
      <c r="P114" s="298">
        <v>0.393528767789805</v>
      </c>
      <c r="Q114" s="298">
        <v>0.393528767789805</v>
      </c>
      <c r="R114" s="299">
        <f>'Unit Savings Calculations'!$G110</f>
        <v>0.88</v>
      </c>
      <c r="S114" s="299">
        <f>'Unit Savings Calculations'!$G110</f>
        <v>0.88</v>
      </c>
      <c r="T114" s="299">
        <f>'Unit Savings Calculations'!$G110</f>
        <v>0.88</v>
      </c>
      <c r="U114" s="299">
        <f>'Unit Savings Calculations'!$G110</f>
        <v>0.88</v>
      </c>
      <c r="V114" s="300">
        <f t="shared" si="67"/>
        <v>900.39382070307386</v>
      </c>
      <c r="W114" s="300">
        <f t="shared" si="68"/>
        <v>900.39382070307386</v>
      </c>
      <c r="X114" s="300">
        <f t="shared" si="69"/>
        <v>900.39382070307386</v>
      </c>
      <c r="Y114" s="300">
        <f t="shared" si="70"/>
        <v>900.39382070307386</v>
      </c>
      <c r="Z114" s="300">
        <f t="shared" si="71"/>
        <v>3601.5752828122954</v>
      </c>
      <c r="AA114" s="295"/>
      <c r="AB114" s="295"/>
      <c r="AC114" s="298">
        <f>'Unit Savings Calculations'!N110</f>
        <v>0.41618294611360979</v>
      </c>
      <c r="AD114" s="295"/>
      <c r="AE114" s="300">
        <f t="shared" si="49"/>
        <v>952.22658070793909</v>
      </c>
      <c r="AF114" s="297">
        <f t="shared" si="50"/>
        <v>51.832760004865236</v>
      </c>
      <c r="AG114" s="295"/>
      <c r="AH114" s="295">
        <f t="shared" si="51"/>
        <v>0</v>
      </c>
      <c r="AI114" s="298">
        <f>'Unit Savings Calculations'!O110</f>
        <v>0.41618294611360979</v>
      </c>
      <c r="AJ114" s="405" t="s">
        <v>879</v>
      </c>
      <c r="AK114" s="300">
        <f t="shared" si="52"/>
        <v>952.22658070793909</v>
      </c>
      <c r="AL114" s="297">
        <f t="shared" si="53"/>
        <v>51.832760004865236</v>
      </c>
      <c r="AM114" s="295"/>
      <c r="AN114" s="295"/>
      <c r="AO114" s="298">
        <f>'Unit Savings Calculations'!P110</f>
        <v>0.41618294611360979</v>
      </c>
      <c r="AP114" s="405" t="s">
        <v>1443</v>
      </c>
      <c r="AQ114" s="300">
        <f t="shared" si="54"/>
        <v>952.22658070793909</v>
      </c>
      <c r="AR114" s="297">
        <f t="shared" si="55"/>
        <v>51.832760004865236</v>
      </c>
      <c r="AS114" s="295"/>
      <c r="AT114" s="295"/>
      <c r="AU114" s="298">
        <f>'Unit Savings Calculations'!Q110</f>
        <v>0.41618294611360979</v>
      </c>
      <c r="AV114" s="405" t="str">
        <f t="shared" si="56"/>
        <v>Updated heating EFLH</v>
      </c>
      <c r="AW114" s="300">
        <f t="shared" si="57"/>
        <v>952.22658070793909</v>
      </c>
      <c r="AX114" s="297">
        <f t="shared" si="58"/>
        <v>51.832760004865236</v>
      </c>
      <c r="AY114" s="300">
        <f t="shared" si="59"/>
        <v>952.22658070793909</v>
      </c>
      <c r="AZ114" s="300">
        <f t="shared" si="60"/>
        <v>952.22658070793909</v>
      </c>
      <c r="BA114" s="300">
        <f t="shared" si="61"/>
        <v>952.22658070793909</v>
      </c>
      <c r="BB114" s="300">
        <f t="shared" si="62"/>
        <v>952.22658070793909</v>
      </c>
      <c r="BC114" s="301">
        <f t="shared" si="63"/>
        <v>3808.9063228317564</v>
      </c>
      <c r="BD114" s="295" t="s">
        <v>764</v>
      </c>
      <c r="BE114" s="302" t="str">
        <f t="shared" si="64"/>
        <v>Exhibit 1.5A_R North Shore EEPS_Adjustable_Savings_Goal_Template.xlsx, Unit Savings Calculations Tab</v>
      </c>
      <c r="BF114" s="304"/>
    </row>
    <row r="115" spans="1:58" ht="15.75" customHeight="1">
      <c r="A115" s="295" t="str">
        <f>'Unit Savings Calculations'!C111</f>
        <v>Res - MF PTA Rebates</v>
      </c>
      <c r="B115" s="295" t="str">
        <f>'Unit Savings Calculations'!D111</f>
        <v>Condensing Unit Heater</v>
      </c>
      <c r="C115" s="296">
        <f t="shared" si="66"/>
        <v>1</v>
      </c>
      <c r="D115" s="295" t="str">
        <f>'Unit Savings Calculations'!T111</f>
        <v>4.4.5</v>
      </c>
      <c r="E115" s="460">
        <f>INDEX('Unit Savings Calculations'!$H$4:$H$421,MATCH('Measure-Level Adjustments Tab'!$A115&amp;"_"&amp;'Measure-Level Adjustments Tab'!$B115,'Unit Savings Calculations'!$A$4:$A$421,0))</f>
        <v>12</v>
      </c>
      <c r="F115" s="460">
        <f>INDEX('Unit Savings Calculations'!$I$4:$I$421,MATCH('Measure-Level Adjustments Tab'!A115&amp;"_"&amp;'Measure-Level Adjustments Tab'!B115,'Unit Savings Calculations'!$A$4:$A$421,0))</f>
        <v>12</v>
      </c>
      <c r="G115" s="295" t="str">
        <f>'Unit Savings Calculations'!E111</f>
        <v>MBH</v>
      </c>
      <c r="H115" s="297">
        <f>'Unit Savings Calculations'!$F111*'Unit Savings Calculations'!J111</f>
        <v>0</v>
      </c>
      <c r="I115" s="297">
        <f>'Unit Savings Calculations'!$F111*'Unit Savings Calculations'!K111</f>
        <v>0</v>
      </c>
      <c r="J115" s="297">
        <f>'Unit Savings Calculations'!$F111*'Unit Savings Calculations'!L111</f>
        <v>0</v>
      </c>
      <c r="K115" s="297">
        <f>'Unit Savings Calculations'!$F111*'Unit Savings Calculations'!M111</f>
        <v>0</v>
      </c>
      <c r="L115" s="295" t="str">
        <f>'Unit Savings Calculations'!U111</f>
        <v>CI-HVC-CUHT-V01-120601</v>
      </c>
      <c r="M115" s="405" t="str">
        <f>'Unit Savings Calculations'!R111</f>
        <v>Exhibit 1.5A_R North Shore EEPS_Adjustable_Savings_Goal_Template.xlsx, Unit Savings Calculations Tab</v>
      </c>
      <c r="N115" s="298">
        <v>1.7733333333333334</v>
      </c>
      <c r="O115" s="298">
        <v>1.7733333333333334</v>
      </c>
      <c r="P115" s="298">
        <v>1.7733333333333334</v>
      </c>
      <c r="Q115" s="298">
        <v>1.7733333333333334</v>
      </c>
      <c r="R115" s="299">
        <f>'Unit Savings Calculations'!$G111</f>
        <v>0.88</v>
      </c>
      <c r="S115" s="299">
        <f>'Unit Savings Calculations'!$G111</f>
        <v>0.88</v>
      </c>
      <c r="T115" s="299">
        <f>'Unit Savings Calculations'!$G111</f>
        <v>0.88</v>
      </c>
      <c r="U115" s="299">
        <f>'Unit Savings Calculations'!$G111</f>
        <v>0.88</v>
      </c>
      <c r="V115" s="300">
        <f t="shared" si="67"/>
        <v>0</v>
      </c>
      <c r="W115" s="300">
        <f t="shared" si="68"/>
        <v>0</v>
      </c>
      <c r="X115" s="300">
        <f t="shared" si="69"/>
        <v>0</v>
      </c>
      <c r="Y115" s="300">
        <f t="shared" si="70"/>
        <v>0</v>
      </c>
      <c r="Z115" s="300">
        <f t="shared" si="71"/>
        <v>0</v>
      </c>
      <c r="AA115" s="295"/>
      <c r="AB115" s="295"/>
      <c r="AC115" s="298">
        <f>'Unit Savings Calculations'!N111</f>
        <v>1.7733333333333334</v>
      </c>
      <c r="AD115" s="295"/>
      <c r="AE115" s="300">
        <f t="shared" si="49"/>
        <v>0</v>
      </c>
      <c r="AF115" s="297">
        <f t="shared" si="50"/>
        <v>0</v>
      </c>
      <c r="AG115" s="295"/>
      <c r="AH115" s="295">
        <f t="shared" si="51"/>
        <v>0</v>
      </c>
      <c r="AI115" s="298">
        <f>'Unit Savings Calculations'!O111</f>
        <v>1.7733333333333334</v>
      </c>
      <c r="AJ115" s="405" t="s">
        <v>879</v>
      </c>
      <c r="AK115" s="300">
        <f t="shared" si="52"/>
        <v>0</v>
      </c>
      <c r="AL115" s="297">
        <f t="shared" si="53"/>
        <v>0</v>
      </c>
      <c r="AM115" s="295"/>
      <c r="AN115" s="295"/>
      <c r="AO115" s="298">
        <f>'Unit Savings Calculations'!P111</f>
        <v>1.7733333333333334</v>
      </c>
      <c r="AP115" s="405" t="s">
        <v>764</v>
      </c>
      <c r="AQ115" s="300">
        <f t="shared" si="54"/>
        <v>0</v>
      </c>
      <c r="AR115" s="297">
        <f t="shared" si="55"/>
        <v>0</v>
      </c>
      <c r="AS115" s="295"/>
      <c r="AT115" s="295"/>
      <c r="AU115" s="298">
        <f>'Unit Savings Calculations'!Q111</f>
        <v>1.7733333333333334</v>
      </c>
      <c r="AV115" s="405" t="str">
        <f t="shared" si="56"/>
        <v>n/a</v>
      </c>
      <c r="AW115" s="300">
        <f t="shared" si="57"/>
        <v>0</v>
      </c>
      <c r="AX115" s="297">
        <f t="shared" si="58"/>
        <v>0</v>
      </c>
      <c r="AY115" s="300">
        <f t="shared" si="59"/>
        <v>0</v>
      </c>
      <c r="AZ115" s="300">
        <f t="shared" si="60"/>
        <v>0</v>
      </c>
      <c r="BA115" s="300">
        <f t="shared" si="61"/>
        <v>0</v>
      </c>
      <c r="BB115" s="300">
        <f t="shared" si="62"/>
        <v>0</v>
      </c>
      <c r="BC115" s="301">
        <f t="shared" si="63"/>
        <v>0</v>
      </c>
      <c r="BD115" s="295" t="s">
        <v>764</v>
      </c>
      <c r="BE115" s="302" t="str">
        <f t="shared" si="64"/>
        <v>Exhibit 1.5A_R North Shore EEPS_Adjustable_Savings_Goal_Template.xlsx, Unit Savings Calculations Tab</v>
      </c>
      <c r="BF115" s="304"/>
    </row>
    <row r="116" spans="1:58" ht="15.75" customHeight="1">
      <c r="A116" s="295" t="str">
        <f>'Unit Savings Calculations'!C112</f>
        <v>Res - MF PTA Rebates</v>
      </c>
      <c r="B116" s="295" t="str">
        <f>'Unit Savings Calculations'!D112</f>
        <v>Direct Fired Heaters</v>
      </c>
      <c r="C116" s="296">
        <f t="shared" si="66"/>
        <v>0</v>
      </c>
      <c r="D116" s="295" t="str">
        <f>'Unit Savings Calculations'!T112</f>
        <v>Custom</v>
      </c>
      <c r="E116" s="460">
        <f>INDEX('Unit Savings Calculations'!$H$4:$H$421,MATCH('Measure-Level Adjustments Tab'!$A116&amp;"_"&amp;'Measure-Level Adjustments Tab'!$B116,'Unit Savings Calculations'!$A$4:$A$421,0))</f>
        <v>20</v>
      </c>
      <c r="F116" s="460">
        <f>INDEX('Unit Savings Calculations'!$I$4:$I$421,MATCH('Measure-Level Adjustments Tab'!A116&amp;"_"&amp;'Measure-Level Adjustments Tab'!B116,'Unit Savings Calculations'!$A$4:$A$421,0))</f>
        <v>20</v>
      </c>
      <c r="G116" s="295" t="str">
        <f>'Unit Savings Calculations'!E112</f>
        <v>MBH</v>
      </c>
      <c r="H116" s="297">
        <f>'Unit Savings Calculations'!$F112*'Unit Savings Calculations'!J112</f>
        <v>0</v>
      </c>
      <c r="I116" s="297">
        <f>'Unit Savings Calculations'!$F112*'Unit Savings Calculations'!K112</f>
        <v>0</v>
      </c>
      <c r="J116" s="297">
        <f>'Unit Savings Calculations'!$F112*'Unit Savings Calculations'!L112</f>
        <v>0</v>
      </c>
      <c r="K116" s="297">
        <f>'Unit Savings Calculations'!$F112*'Unit Savings Calculations'!M112</f>
        <v>0</v>
      </c>
      <c r="L116" s="295" t="str">
        <f>'Unit Savings Calculations'!U112</f>
        <v>Custom</v>
      </c>
      <c r="M116" s="405" t="str">
        <f>'Unit Savings Calculations'!R112</f>
        <v>Custom</v>
      </c>
      <c r="N116" s="298">
        <v>2.3932499999999983</v>
      </c>
      <c r="O116" s="298">
        <v>2.3932499999999983</v>
      </c>
      <c r="P116" s="298">
        <v>2.3932499999999983</v>
      </c>
      <c r="Q116" s="298">
        <v>2.3932499999999983</v>
      </c>
      <c r="R116" s="299">
        <f>'Unit Savings Calculations'!$G112</f>
        <v>0.88</v>
      </c>
      <c r="S116" s="299">
        <f>'Unit Savings Calculations'!$G112</f>
        <v>0.88</v>
      </c>
      <c r="T116" s="299">
        <f>'Unit Savings Calculations'!$G112</f>
        <v>0.88</v>
      </c>
      <c r="U116" s="299">
        <f>'Unit Savings Calculations'!$G112</f>
        <v>0.88</v>
      </c>
      <c r="V116" s="300">
        <f t="shared" si="67"/>
        <v>0</v>
      </c>
      <c r="W116" s="300">
        <f t="shared" si="68"/>
        <v>0</v>
      </c>
      <c r="X116" s="300">
        <f t="shared" si="69"/>
        <v>0</v>
      </c>
      <c r="Y116" s="300">
        <f t="shared" si="70"/>
        <v>0</v>
      </c>
      <c r="Z116" s="300">
        <f t="shared" si="71"/>
        <v>0</v>
      </c>
      <c r="AA116" s="406"/>
      <c r="AB116" s="406"/>
      <c r="AC116" s="409">
        <f>'Unit Savings Calculations'!N112</f>
        <v>2.4914999999999985</v>
      </c>
      <c r="AD116" s="406"/>
      <c r="AE116" s="407">
        <f t="shared" si="49"/>
        <v>0</v>
      </c>
      <c r="AF116" s="408">
        <f t="shared" si="50"/>
        <v>0</v>
      </c>
      <c r="AG116" s="406"/>
      <c r="AH116" s="406">
        <f t="shared" si="51"/>
        <v>0</v>
      </c>
      <c r="AI116" s="409">
        <f>'Unit Savings Calculations'!O112</f>
        <v>2.4914999999999985</v>
      </c>
      <c r="AJ116" s="457" t="s">
        <v>879</v>
      </c>
      <c r="AK116" s="407">
        <f t="shared" si="52"/>
        <v>0</v>
      </c>
      <c r="AL116" s="408">
        <f t="shared" si="53"/>
        <v>0</v>
      </c>
      <c r="AM116" s="406"/>
      <c r="AN116" s="406"/>
      <c r="AO116" s="409">
        <f>'Unit Savings Calculations'!P112</f>
        <v>2.4914999999999985</v>
      </c>
      <c r="AP116" s="457" t="s">
        <v>1443</v>
      </c>
      <c r="AQ116" s="407">
        <f t="shared" si="54"/>
        <v>0</v>
      </c>
      <c r="AR116" s="408">
        <f t="shared" si="55"/>
        <v>0</v>
      </c>
      <c r="AS116" s="406"/>
      <c r="AT116" s="406"/>
      <c r="AU116" s="409">
        <f>'Unit Savings Calculations'!Q112</f>
        <v>2.4914999999999985</v>
      </c>
      <c r="AV116" s="457" t="str">
        <f t="shared" si="56"/>
        <v>Updated heating EFLH</v>
      </c>
      <c r="AW116" s="407">
        <f t="shared" si="57"/>
        <v>0</v>
      </c>
      <c r="AX116" s="408">
        <f t="shared" si="58"/>
        <v>0</v>
      </c>
      <c r="AY116" s="300">
        <f t="shared" si="59"/>
        <v>0</v>
      </c>
      <c r="AZ116" s="300">
        <f t="shared" si="60"/>
        <v>0</v>
      </c>
      <c r="BA116" s="300">
        <f t="shared" si="61"/>
        <v>0</v>
      </c>
      <c r="BB116" s="300">
        <f t="shared" si="62"/>
        <v>0</v>
      </c>
      <c r="BC116" s="301">
        <f t="shared" si="63"/>
        <v>0</v>
      </c>
      <c r="BD116" s="295" t="s">
        <v>764</v>
      </c>
      <c r="BE116" s="302" t="str">
        <f t="shared" si="64"/>
        <v>Custom</v>
      </c>
      <c r="BF116" s="304"/>
    </row>
    <row r="117" spans="1:58" ht="15.75" customHeight="1">
      <c r="A117" s="295" t="str">
        <f>'Unit Savings Calculations'!C113</f>
        <v>Res - MF PTA Rebates</v>
      </c>
      <c r="B117" s="295" t="str">
        <f>'Unit Savings Calculations'!D113</f>
        <v>Furnace &gt;95% AFUE</v>
      </c>
      <c r="C117" s="296">
        <f t="shared" si="66"/>
        <v>1</v>
      </c>
      <c r="D117" s="295" t="str">
        <f>'Unit Savings Calculations'!T113</f>
        <v>4.4.11</v>
      </c>
      <c r="E117" s="460">
        <f>INDEX('Unit Savings Calculations'!$H$4:$H$421,MATCH('Measure-Level Adjustments Tab'!$A117&amp;"_"&amp;'Measure-Level Adjustments Tab'!$B117,'Unit Savings Calculations'!$A$4:$A$421,0))</f>
        <v>16</v>
      </c>
      <c r="F117" s="460">
        <f>INDEX('Unit Savings Calculations'!$I$4:$I$421,MATCH('Measure-Level Adjustments Tab'!A117&amp;"_"&amp;'Measure-Level Adjustments Tab'!B117,'Unit Savings Calculations'!$A$4:$A$421,0))</f>
        <v>16</v>
      </c>
      <c r="G117" s="295" t="str">
        <f>'Unit Savings Calculations'!E113</f>
        <v>each</v>
      </c>
      <c r="H117" s="297">
        <f>'Unit Savings Calculations'!$F113*'Unit Savings Calculations'!J113</f>
        <v>4</v>
      </c>
      <c r="I117" s="297">
        <f>'Unit Savings Calculations'!$F113*'Unit Savings Calculations'!K113</f>
        <v>4</v>
      </c>
      <c r="J117" s="297">
        <f>'Unit Savings Calculations'!$F113*'Unit Savings Calculations'!L113</f>
        <v>4</v>
      </c>
      <c r="K117" s="297">
        <f>'Unit Savings Calculations'!$F113*'Unit Savings Calculations'!M113</f>
        <v>4</v>
      </c>
      <c r="L117" s="295" t="str">
        <f>'Unit Savings Calculations'!U113</f>
        <v>CI-HVC-FRNC-V07-180101</v>
      </c>
      <c r="M117" s="405" t="str">
        <f>'Unit Savings Calculations'!R113</f>
        <v>Exhibit 1.5A_R North Shore EEPS_Adjustable_Savings_Goal_Template.xlsx, Unit Savings Calculations Tab</v>
      </c>
      <c r="N117" s="298">
        <v>240.11249999999984</v>
      </c>
      <c r="O117" s="298">
        <v>240.11249999999984</v>
      </c>
      <c r="P117" s="298">
        <v>240.11249999999984</v>
      </c>
      <c r="Q117" s="298">
        <v>240.11249999999984</v>
      </c>
      <c r="R117" s="299">
        <f>'Unit Savings Calculations'!$G113</f>
        <v>0.88</v>
      </c>
      <c r="S117" s="299">
        <f>'Unit Savings Calculations'!$G113</f>
        <v>0.88</v>
      </c>
      <c r="T117" s="299">
        <f>'Unit Savings Calculations'!$G113</f>
        <v>0.88</v>
      </c>
      <c r="U117" s="299">
        <f>'Unit Savings Calculations'!$G113</f>
        <v>0.88</v>
      </c>
      <c r="V117" s="300">
        <f t="shared" si="67"/>
        <v>845.19599999999946</v>
      </c>
      <c r="W117" s="300">
        <f t="shared" si="68"/>
        <v>845.19599999999946</v>
      </c>
      <c r="X117" s="300">
        <f t="shared" si="69"/>
        <v>845.19599999999946</v>
      </c>
      <c r="Y117" s="300">
        <f t="shared" si="70"/>
        <v>845.19599999999946</v>
      </c>
      <c r="Z117" s="300">
        <f t="shared" si="71"/>
        <v>3380.7839999999978</v>
      </c>
      <c r="AA117" s="295"/>
      <c r="AB117" s="295"/>
      <c r="AC117" s="298">
        <f>'Unit Savings Calculations'!N113</f>
        <v>253.93499999999986</v>
      </c>
      <c r="AD117" s="295"/>
      <c r="AE117" s="300">
        <f t="shared" si="49"/>
        <v>893.85119999999949</v>
      </c>
      <c r="AF117" s="297">
        <f t="shared" si="50"/>
        <v>48.655200000000036</v>
      </c>
      <c r="AG117" s="295"/>
      <c r="AH117" s="295">
        <f t="shared" si="51"/>
        <v>0</v>
      </c>
      <c r="AI117" s="298">
        <f>'Unit Savings Calculations'!O113</f>
        <v>253.93499999999986</v>
      </c>
      <c r="AJ117" s="405" t="s">
        <v>879</v>
      </c>
      <c r="AK117" s="300">
        <f t="shared" si="52"/>
        <v>893.85119999999949</v>
      </c>
      <c r="AL117" s="297">
        <f t="shared" si="53"/>
        <v>48.655200000000036</v>
      </c>
      <c r="AM117" s="295"/>
      <c r="AN117" s="295"/>
      <c r="AO117" s="298">
        <f>'Unit Savings Calculations'!P113</f>
        <v>253.93499999999986</v>
      </c>
      <c r="AP117" s="405" t="s">
        <v>1443</v>
      </c>
      <c r="AQ117" s="300">
        <f t="shared" si="54"/>
        <v>893.85119999999949</v>
      </c>
      <c r="AR117" s="297">
        <f t="shared" si="55"/>
        <v>48.655200000000036</v>
      </c>
      <c r="AS117" s="295"/>
      <c r="AT117" s="295"/>
      <c r="AU117" s="298">
        <f>'Unit Savings Calculations'!Q113</f>
        <v>253.93499999999986</v>
      </c>
      <c r="AV117" s="405" t="str">
        <f t="shared" si="56"/>
        <v>Updated heating EFLH</v>
      </c>
      <c r="AW117" s="300">
        <f t="shared" si="57"/>
        <v>893.85119999999949</v>
      </c>
      <c r="AX117" s="297">
        <f t="shared" si="58"/>
        <v>48.655200000000036</v>
      </c>
      <c r="AY117" s="300">
        <f t="shared" si="59"/>
        <v>893.85119999999949</v>
      </c>
      <c r="AZ117" s="300">
        <f t="shared" si="60"/>
        <v>893.85119999999949</v>
      </c>
      <c r="BA117" s="300">
        <f t="shared" si="61"/>
        <v>893.85119999999949</v>
      </c>
      <c r="BB117" s="300">
        <f t="shared" si="62"/>
        <v>893.85119999999949</v>
      </c>
      <c r="BC117" s="301">
        <f t="shared" si="63"/>
        <v>3575.404799999998</v>
      </c>
      <c r="BD117" s="295" t="s">
        <v>764</v>
      </c>
      <c r="BE117" s="302" t="str">
        <f t="shared" si="64"/>
        <v>Exhibit 1.5A_R North Shore EEPS_Adjustable_Savings_Goal_Template.xlsx, Unit Savings Calculations Tab</v>
      </c>
      <c r="BF117" s="304"/>
    </row>
    <row r="118" spans="1:58" ht="15.75" customHeight="1">
      <c r="A118" s="295" t="str">
        <f>'Unit Savings Calculations'!C114</f>
        <v>Res - MF PTA Rebates</v>
      </c>
      <c r="B118" s="295" t="str">
        <f>'Unit Savings Calculations'!D114</f>
        <v>Furnace &gt;95% AFUE (MF Unit)</v>
      </c>
      <c r="C118" s="296">
        <f t="shared" si="66"/>
        <v>1</v>
      </c>
      <c r="D118" s="295" t="str">
        <f>'Unit Savings Calculations'!T114</f>
        <v>5.3.7</v>
      </c>
      <c r="E118" s="460">
        <f>INDEX('Unit Savings Calculations'!$H$4:$H$421,MATCH('Measure-Level Adjustments Tab'!$A118&amp;"_"&amp;'Measure-Level Adjustments Tab'!$B118,'Unit Savings Calculations'!$A$4:$A$421,0))</f>
        <v>20</v>
      </c>
      <c r="F118" s="460">
        <f>INDEX('Unit Savings Calculations'!$I$4:$I$421,MATCH('Measure-Level Adjustments Tab'!A118&amp;"_"&amp;'Measure-Level Adjustments Tab'!B118,'Unit Savings Calculations'!$A$4:$A$421,0))</f>
        <v>20</v>
      </c>
      <c r="G118" s="295" t="str">
        <f>'Unit Savings Calculations'!E114</f>
        <v>each</v>
      </c>
      <c r="H118" s="297">
        <f>'Unit Savings Calculations'!$F114*'Unit Savings Calculations'!J114</f>
        <v>0</v>
      </c>
      <c r="I118" s="297">
        <f>'Unit Savings Calculations'!$F114*'Unit Savings Calculations'!K114</f>
        <v>0</v>
      </c>
      <c r="J118" s="297">
        <f>'Unit Savings Calculations'!$F114*'Unit Savings Calculations'!L114</f>
        <v>0</v>
      </c>
      <c r="K118" s="297">
        <f>'Unit Savings Calculations'!$F114*'Unit Savings Calculations'!M114</f>
        <v>0</v>
      </c>
      <c r="L118" s="295" t="str">
        <f>'Unit Savings Calculations'!U114</f>
        <v>RS-HVC-GHEF-V07-180101</v>
      </c>
      <c r="M118" s="405" t="str">
        <f>'Unit Savings Calculations'!R114</f>
        <v>Exhibit 1.5A_R North Shore EEPS_Adjustable_Savings_Goal_Template.xlsx, Unit Savings Calculations Tab</v>
      </c>
      <c r="N118" s="298">
        <v>114.30921052631565</v>
      </c>
      <c r="O118" s="298">
        <v>114.30921052631565</v>
      </c>
      <c r="P118" s="298">
        <v>114.30921052631565</v>
      </c>
      <c r="Q118" s="298">
        <v>114.30921052631565</v>
      </c>
      <c r="R118" s="299">
        <f>'Unit Savings Calculations'!$G114</f>
        <v>0.88</v>
      </c>
      <c r="S118" s="299">
        <f>'Unit Savings Calculations'!$G114</f>
        <v>0.88</v>
      </c>
      <c r="T118" s="299">
        <f>'Unit Savings Calculations'!$G114</f>
        <v>0.88</v>
      </c>
      <c r="U118" s="299">
        <f>'Unit Savings Calculations'!$G114</f>
        <v>0.88</v>
      </c>
      <c r="V118" s="300">
        <f t="shared" si="67"/>
        <v>0</v>
      </c>
      <c r="W118" s="300">
        <f t="shared" si="68"/>
        <v>0</v>
      </c>
      <c r="X118" s="300">
        <f t="shared" si="69"/>
        <v>0</v>
      </c>
      <c r="Y118" s="300">
        <f t="shared" si="70"/>
        <v>0</v>
      </c>
      <c r="Z118" s="300">
        <f t="shared" si="71"/>
        <v>0</v>
      </c>
      <c r="AA118" s="295"/>
      <c r="AB118" s="295"/>
      <c r="AC118" s="298">
        <f>'Unit Savings Calculations'!N114</f>
        <v>156.41025641025624</v>
      </c>
      <c r="AD118" s="295"/>
      <c r="AE118" s="300">
        <f t="shared" si="49"/>
        <v>0</v>
      </c>
      <c r="AF118" s="297">
        <f t="shared" si="50"/>
        <v>0</v>
      </c>
      <c r="AG118" s="295"/>
      <c r="AH118" s="295">
        <f t="shared" si="51"/>
        <v>0</v>
      </c>
      <c r="AI118" s="298">
        <f>'Unit Savings Calculations'!O114</f>
        <v>156.41025641025624</v>
      </c>
      <c r="AJ118" s="405" t="s">
        <v>1001</v>
      </c>
      <c r="AK118" s="300">
        <f t="shared" si="52"/>
        <v>0</v>
      </c>
      <c r="AL118" s="297">
        <f t="shared" si="53"/>
        <v>0</v>
      </c>
      <c r="AM118" s="295"/>
      <c r="AN118" s="295"/>
      <c r="AO118" s="298">
        <f>'Unit Savings Calculations'!P114</f>
        <v>156.41025641025624</v>
      </c>
      <c r="AP118" s="405" t="s">
        <v>764</v>
      </c>
      <c r="AQ118" s="300">
        <f t="shared" si="54"/>
        <v>0</v>
      </c>
      <c r="AR118" s="297">
        <f t="shared" si="55"/>
        <v>0</v>
      </c>
      <c r="AS118" s="295"/>
      <c r="AT118" s="295"/>
      <c r="AU118" s="298">
        <f>'Unit Savings Calculations'!Q114</f>
        <v>156.41025641025624</v>
      </c>
      <c r="AV118" s="405" t="str">
        <f t="shared" si="56"/>
        <v>n/a</v>
      </c>
      <c r="AW118" s="300">
        <f t="shared" si="57"/>
        <v>0</v>
      </c>
      <c r="AX118" s="297">
        <f t="shared" si="58"/>
        <v>0</v>
      </c>
      <c r="AY118" s="300">
        <f t="shared" si="59"/>
        <v>0</v>
      </c>
      <c r="AZ118" s="300">
        <f t="shared" si="60"/>
        <v>0</v>
      </c>
      <c r="BA118" s="300">
        <f t="shared" si="61"/>
        <v>0</v>
      </c>
      <c r="BB118" s="300">
        <f t="shared" si="62"/>
        <v>0</v>
      </c>
      <c r="BC118" s="301">
        <f t="shared" si="63"/>
        <v>0</v>
      </c>
      <c r="BD118" s="295" t="s">
        <v>764</v>
      </c>
      <c r="BE118" s="302" t="str">
        <f t="shared" si="64"/>
        <v>Exhibit 1.5A_R North Shore EEPS_Adjustable_Savings_Goal_Template.xlsx, Unit Savings Calculations Tab</v>
      </c>
      <c r="BF118" s="304"/>
    </row>
    <row r="119" spans="1:58" ht="15.75" customHeight="1">
      <c r="A119" s="295" t="str">
        <f>'Unit Savings Calculations'!C115</f>
        <v>Res - MF PTA Rebates</v>
      </c>
      <c r="B119" s="295" t="str">
        <f>'Unit Savings Calculations'!D115</f>
        <v>High Speed Washer</v>
      </c>
      <c r="C119" s="296">
        <f t="shared" si="66"/>
        <v>1</v>
      </c>
      <c r="D119" s="295" t="str">
        <f>'Unit Savings Calculations'!T115</f>
        <v>4.8.5</v>
      </c>
      <c r="E119" s="460">
        <f>INDEX('Unit Savings Calculations'!$H$4:$H$421,MATCH('Measure-Level Adjustments Tab'!$A119&amp;"_"&amp;'Measure-Level Adjustments Tab'!$B119,'Unit Savings Calculations'!$A$4:$A$421,0))</f>
        <v>7</v>
      </c>
      <c r="F119" s="460">
        <f>INDEX('Unit Savings Calculations'!$I$4:$I$421,MATCH('Measure-Level Adjustments Tab'!A119&amp;"_"&amp;'Measure-Level Adjustments Tab'!B119,'Unit Savings Calculations'!$A$4:$A$421,0))</f>
        <v>7</v>
      </c>
      <c r="G119" s="295" t="str">
        <f>'Unit Savings Calculations'!E115</f>
        <v>lb-capacity</v>
      </c>
      <c r="H119" s="297">
        <f>'Unit Savings Calculations'!$F115*'Unit Savings Calculations'!J115</f>
        <v>0</v>
      </c>
      <c r="I119" s="297">
        <f>'Unit Savings Calculations'!$F115*'Unit Savings Calculations'!K115</f>
        <v>0</v>
      </c>
      <c r="J119" s="297">
        <f>'Unit Savings Calculations'!$F115*'Unit Savings Calculations'!L115</f>
        <v>0</v>
      </c>
      <c r="K119" s="297">
        <f>'Unit Savings Calculations'!$F115*'Unit Savings Calculations'!M115</f>
        <v>0</v>
      </c>
      <c r="L119" s="295" t="str">
        <f>'Unit Savings Calculations'!U115</f>
        <v>CI-MSC-HSCW-V01-180101</v>
      </c>
      <c r="M119" s="405" t="str">
        <f>'Unit Savings Calculations'!R115</f>
        <v>Exhibit 1.5A_R North Shore EEPS_Adjustable_Savings_Goal_Template.xlsx, Unit Savings Calculations Tab</v>
      </c>
      <c r="N119" s="298">
        <v>3.6756720000000001</v>
      </c>
      <c r="O119" s="298">
        <v>3.6756720000000001</v>
      </c>
      <c r="P119" s="298">
        <v>3.6756720000000001</v>
      </c>
      <c r="Q119" s="298">
        <v>3.6756720000000001</v>
      </c>
      <c r="R119" s="299">
        <f>'Unit Savings Calculations'!$G115</f>
        <v>0.88</v>
      </c>
      <c r="S119" s="299">
        <f>'Unit Savings Calculations'!$G115</f>
        <v>0.88</v>
      </c>
      <c r="T119" s="299">
        <f>'Unit Savings Calculations'!$G115</f>
        <v>0.88</v>
      </c>
      <c r="U119" s="299">
        <f>'Unit Savings Calculations'!$G115</f>
        <v>0.88</v>
      </c>
      <c r="V119" s="300">
        <f t="shared" si="67"/>
        <v>0</v>
      </c>
      <c r="W119" s="300">
        <f t="shared" si="68"/>
        <v>0</v>
      </c>
      <c r="X119" s="300">
        <f t="shared" si="69"/>
        <v>0</v>
      </c>
      <c r="Y119" s="300">
        <f t="shared" si="70"/>
        <v>0</v>
      </c>
      <c r="Z119" s="300">
        <f t="shared" si="71"/>
        <v>0</v>
      </c>
      <c r="AA119" s="295"/>
      <c r="AB119" s="295"/>
      <c r="AC119" s="298">
        <f>'Unit Savings Calculations'!N115</f>
        <v>3.6756720000000001</v>
      </c>
      <c r="AD119" s="295"/>
      <c r="AE119" s="300">
        <f t="shared" si="49"/>
        <v>0</v>
      </c>
      <c r="AF119" s="297">
        <f t="shared" si="50"/>
        <v>0</v>
      </c>
      <c r="AG119" s="295"/>
      <c r="AH119" s="295">
        <f t="shared" si="51"/>
        <v>0</v>
      </c>
      <c r="AI119" s="298">
        <f>'Unit Savings Calculations'!O115</f>
        <v>3.6756720000000001</v>
      </c>
      <c r="AJ119" s="405" t="s">
        <v>879</v>
      </c>
      <c r="AK119" s="300">
        <f t="shared" si="52"/>
        <v>0</v>
      </c>
      <c r="AL119" s="297">
        <f t="shared" si="53"/>
        <v>0</v>
      </c>
      <c r="AM119" s="295"/>
      <c r="AN119" s="295"/>
      <c r="AO119" s="298">
        <f>'Unit Savings Calculations'!P115</f>
        <v>3.6756720000000001</v>
      </c>
      <c r="AP119" s="405" t="s">
        <v>764</v>
      </c>
      <c r="AQ119" s="300">
        <f t="shared" si="54"/>
        <v>0</v>
      </c>
      <c r="AR119" s="297">
        <f t="shared" si="55"/>
        <v>0</v>
      </c>
      <c r="AS119" s="295"/>
      <c r="AT119" s="295"/>
      <c r="AU119" s="298">
        <f>'Unit Savings Calculations'!Q115</f>
        <v>3.6756720000000001</v>
      </c>
      <c r="AV119" s="405" t="str">
        <f t="shared" si="56"/>
        <v>n/a</v>
      </c>
      <c r="AW119" s="300">
        <f t="shared" si="57"/>
        <v>0</v>
      </c>
      <c r="AX119" s="297">
        <f t="shared" si="58"/>
        <v>0</v>
      </c>
      <c r="AY119" s="300">
        <f t="shared" si="59"/>
        <v>0</v>
      </c>
      <c r="AZ119" s="300">
        <f t="shared" si="60"/>
        <v>0</v>
      </c>
      <c r="BA119" s="300">
        <f t="shared" si="61"/>
        <v>0</v>
      </c>
      <c r="BB119" s="300">
        <f t="shared" si="62"/>
        <v>0</v>
      </c>
      <c r="BC119" s="301">
        <f t="shared" si="63"/>
        <v>0</v>
      </c>
      <c r="BD119" s="295" t="s">
        <v>764</v>
      </c>
      <c r="BE119" s="302" t="str">
        <f t="shared" si="64"/>
        <v>Exhibit 1.5A_R North Shore EEPS_Adjustable_Savings_Goal_Template.xlsx, Unit Savings Calculations Tab</v>
      </c>
      <c r="BF119" s="304"/>
    </row>
    <row r="120" spans="1:58" ht="15.75" customHeight="1">
      <c r="A120" s="295" t="str">
        <f>'Unit Savings Calculations'!C116</f>
        <v>Res - MF PTA Rebates</v>
      </c>
      <c r="B120" s="295" t="str">
        <f>'Unit Savings Calculations'!D116</f>
        <v>Infrared Heater</v>
      </c>
      <c r="C120" s="296">
        <f t="shared" si="66"/>
        <v>1</v>
      </c>
      <c r="D120" s="295" t="str">
        <f>'Unit Savings Calculations'!T116</f>
        <v>4.4.12</v>
      </c>
      <c r="E120" s="460">
        <f>INDEX('Unit Savings Calculations'!$H$4:$H$421,MATCH('Measure-Level Adjustments Tab'!$A120&amp;"_"&amp;'Measure-Level Adjustments Tab'!$B120,'Unit Savings Calculations'!$A$4:$A$421,0))</f>
        <v>12</v>
      </c>
      <c r="F120" s="460">
        <f>INDEX('Unit Savings Calculations'!$I$4:$I$421,MATCH('Measure-Level Adjustments Tab'!A120&amp;"_"&amp;'Measure-Level Adjustments Tab'!B120,'Unit Savings Calculations'!$A$4:$A$421,0))</f>
        <v>12</v>
      </c>
      <c r="G120" s="295" t="str">
        <f>'Unit Savings Calculations'!E116</f>
        <v>MBH</v>
      </c>
      <c r="H120" s="297">
        <f>'Unit Savings Calculations'!$F116*'Unit Savings Calculations'!J116</f>
        <v>0</v>
      </c>
      <c r="I120" s="297">
        <f>'Unit Savings Calculations'!$F116*'Unit Savings Calculations'!K116</f>
        <v>0</v>
      </c>
      <c r="J120" s="297">
        <f>'Unit Savings Calculations'!$F116*'Unit Savings Calculations'!L116</f>
        <v>0</v>
      </c>
      <c r="K120" s="297">
        <f>'Unit Savings Calculations'!$F116*'Unit Savings Calculations'!M116</f>
        <v>0</v>
      </c>
      <c r="L120" s="295" t="str">
        <f>'Unit Savings Calculations'!U116</f>
        <v>CI-HVC-IRHT-V01-120601</v>
      </c>
      <c r="M120" s="405" t="str">
        <f>'Unit Savings Calculations'!R116</f>
        <v>Exhibit 1.5A_R North Shore EEPS_Adjustable_Savings_Goal_Template.xlsx, Unit Savings Calculations Tab</v>
      </c>
      <c r="N120" s="298">
        <v>3.0066666666666668</v>
      </c>
      <c r="O120" s="298">
        <v>3.0066666666666668</v>
      </c>
      <c r="P120" s="298">
        <v>3.0066666666666668</v>
      </c>
      <c r="Q120" s="298">
        <v>3.0066666666666668</v>
      </c>
      <c r="R120" s="299">
        <f>'Unit Savings Calculations'!$G116</f>
        <v>0.88</v>
      </c>
      <c r="S120" s="299">
        <f>'Unit Savings Calculations'!$G116</f>
        <v>0.88</v>
      </c>
      <c r="T120" s="299">
        <f>'Unit Savings Calculations'!$G116</f>
        <v>0.88</v>
      </c>
      <c r="U120" s="299">
        <f>'Unit Savings Calculations'!$G116</f>
        <v>0.88</v>
      </c>
      <c r="V120" s="300">
        <f t="shared" si="67"/>
        <v>0</v>
      </c>
      <c r="W120" s="300">
        <f t="shared" si="68"/>
        <v>0</v>
      </c>
      <c r="X120" s="300">
        <f t="shared" si="69"/>
        <v>0</v>
      </c>
      <c r="Y120" s="300">
        <f t="shared" si="70"/>
        <v>0</v>
      </c>
      <c r="Z120" s="300">
        <f t="shared" si="71"/>
        <v>0</v>
      </c>
      <c r="AA120" s="295"/>
      <c r="AB120" s="295"/>
      <c r="AC120" s="298">
        <f>'Unit Savings Calculations'!N116</f>
        <v>3.0066666666666668</v>
      </c>
      <c r="AD120" s="295"/>
      <c r="AE120" s="300">
        <f t="shared" si="49"/>
        <v>0</v>
      </c>
      <c r="AF120" s="297">
        <f t="shared" si="50"/>
        <v>0</v>
      </c>
      <c r="AG120" s="295"/>
      <c r="AH120" s="295">
        <f t="shared" si="51"/>
        <v>0</v>
      </c>
      <c r="AI120" s="298">
        <f>'Unit Savings Calculations'!O116</f>
        <v>3.0066666666666668</v>
      </c>
      <c r="AJ120" s="405" t="s">
        <v>879</v>
      </c>
      <c r="AK120" s="300">
        <f t="shared" si="52"/>
        <v>0</v>
      </c>
      <c r="AL120" s="297">
        <f t="shared" si="53"/>
        <v>0</v>
      </c>
      <c r="AM120" s="295"/>
      <c r="AN120" s="295"/>
      <c r="AO120" s="298">
        <f>'Unit Savings Calculations'!P116</f>
        <v>3.0066666666666668</v>
      </c>
      <c r="AP120" s="405" t="s">
        <v>764</v>
      </c>
      <c r="AQ120" s="300">
        <f t="shared" si="54"/>
        <v>0</v>
      </c>
      <c r="AR120" s="297">
        <f t="shared" si="55"/>
        <v>0</v>
      </c>
      <c r="AS120" s="295"/>
      <c r="AT120" s="295"/>
      <c r="AU120" s="298">
        <f>'Unit Savings Calculations'!Q116</f>
        <v>3.0066666666666668</v>
      </c>
      <c r="AV120" s="405" t="str">
        <f t="shared" si="56"/>
        <v>n/a</v>
      </c>
      <c r="AW120" s="300">
        <f t="shared" si="57"/>
        <v>0</v>
      </c>
      <c r="AX120" s="297">
        <f t="shared" si="58"/>
        <v>0</v>
      </c>
      <c r="AY120" s="300">
        <f t="shared" si="59"/>
        <v>0</v>
      </c>
      <c r="AZ120" s="300">
        <f t="shared" si="60"/>
        <v>0</v>
      </c>
      <c r="BA120" s="300">
        <f t="shared" si="61"/>
        <v>0</v>
      </c>
      <c r="BB120" s="300">
        <f t="shared" si="62"/>
        <v>0</v>
      </c>
      <c r="BC120" s="301">
        <f t="shared" si="63"/>
        <v>0</v>
      </c>
      <c r="BD120" s="295" t="s">
        <v>764</v>
      </c>
      <c r="BE120" s="302" t="str">
        <f t="shared" si="64"/>
        <v>Exhibit 1.5A_R North Shore EEPS_Adjustable_Savings_Goal_Template.xlsx, Unit Savings Calculations Tab</v>
      </c>
      <c r="BF120" s="304"/>
    </row>
    <row r="121" spans="1:58" ht="15.75" customHeight="1">
      <c r="A121" s="295" t="str">
        <f>'Unit Savings Calculations'!C117</f>
        <v>Res - MF PTA Rebates</v>
      </c>
      <c r="B121" s="295" t="str">
        <f>'Unit Savings Calculations'!D117</f>
        <v>Ozone Laundry</v>
      </c>
      <c r="C121" s="296">
        <f t="shared" si="66"/>
        <v>1</v>
      </c>
      <c r="D121" s="295" t="str">
        <f>'Unit Savings Calculations'!T117</f>
        <v>4.3.6</v>
      </c>
      <c r="E121" s="460">
        <f>INDEX('Unit Savings Calculations'!$H$4:$H$421,MATCH('Measure-Level Adjustments Tab'!$A121&amp;"_"&amp;'Measure-Level Adjustments Tab'!$B121,'Unit Savings Calculations'!$A$4:$A$421,0))</f>
        <v>10</v>
      </c>
      <c r="F121" s="460">
        <f>INDEX('Unit Savings Calculations'!$I$4:$I$421,MATCH('Measure-Level Adjustments Tab'!A121&amp;"_"&amp;'Measure-Level Adjustments Tab'!B121,'Unit Savings Calculations'!$A$4:$A$421,0))</f>
        <v>10</v>
      </c>
      <c r="G121" s="295" t="str">
        <f>'Unit Savings Calculations'!E117</f>
        <v>lb-capacity</v>
      </c>
      <c r="H121" s="297">
        <f>'Unit Savings Calculations'!$F117*'Unit Savings Calculations'!J117</f>
        <v>0</v>
      </c>
      <c r="I121" s="297">
        <f>'Unit Savings Calculations'!$F117*'Unit Savings Calculations'!K117</f>
        <v>0</v>
      </c>
      <c r="J121" s="297">
        <f>'Unit Savings Calculations'!$F117*'Unit Savings Calculations'!L117</f>
        <v>0</v>
      </c>
      <c r="K121" s="297">
        <f>'Unit Savings Calculations'!$F117*'Unit Savings Calculations'!M117</f>
        <v>0</v>
      </c>
      <c r="L121" s="295" t="str">
        <f>'Unit Savings Calculations'!U117</f>
        <v>CI-HW-OZLD-VO1-140601</v>
      </c>
      <c r="M121" s="405" t="str">
        <f>'Unit Savings Calculations'!R117</f>
        <v>Exhibit 1.5A_R North Shore EEPS_Adjustable_Savings_Goal_Template.xlsx, Unit Savings Calculations Tab</v>
      </c>
      <c r="N121" s="298">
        <v>30.722664192350027</v>
      </c>
      <c r="O121" s="298">
        <v>30.722664192350027</v>
      </c>
      <c r="P121" s="298">
        <v>30.722664192350027</v>
      </c>
      <c r="Q121" s="298">
        <v>30.722664192350027</v>
      </c>
      <c r="R121" s="299">
        <f>'Unit Savings Calculations'!$G117</f>
        <v>0.88</v>
      </c>
      <c r="S121" s="299">
        <f>'Unit Savings Calculations'!$G117</f>
        <v>0.88</v>
      </c>
      <c r="T121" s="299">
        <f>'Unit Savings Calculations'!$G117</f>
        <v>0.88</v>
      </c>
      <c r="U121" s="299">
        <f>'Unit Savings Calculations'!$G117</f>
        <v>0.88</v>
      </c>
      <c r="V121" s="300">
        <f t="shared" si="67"/>
        <v>0</v>
      </c>
      <c r="W121" s="300">
        <f t="shared" si="68"/>
        <v>0</v>
      </c>
      <c r="X121" s="300">
        <f t="shared" si="69"/>
        <v>0</v>
      </c>
      <c r="Y121" s="300">
        <f t="shared" si="70"/>
        <v>0</v>
      </c>
      <c r="Z121" s="300">
        <f t="shared" si="71"/>
        <v>0</v>
      </c>
      <c r="AA121" s="295"/>
      <c r="AB121" s="295"/>
      <c r="AC121" s="298">
        <f>'Unit Savings Calculations'!N117</f>
        <v>13.190532978680915</v>
      </c>
      <c r="AD121" s="295"/>
      <c r="AE121" s="300">
        <f t="shared" si="49"/>
        <v>0</v>
      </c>
      <c r="AF121" s="297">
        <f t="shared" si="50"/>
        <v>0</v>
      </c>
      <c r="AG121" s="295"/>
      <c r="AH121" s="295">
        <f t="shared" si="51"/>
        <v>0</v>
      </c>
      <c r="AI121" s="298">
        <f>'Unit Savings Calculations'!O117</f>
        <v>13.190532978680915</v>
      </c>
      <c r="AJ121" s="405" t="s">
        <v>879</v>
      </c>
      <c r="AK121" s="300">
        <f t="shared" si="52"/>
        <v>0</v>
      </c>
      <c r="AL121" s="297">
        <f t="shared" si="53"/>
        <v>0</v>
      </c>
      <c r="AM121" s="295"/>
      <c r="AN121" s="295"/>
      <c r="AO121" s="298">
        <f>'Unit Savings Calculations'!P117</f>
        <v>13.190532978680915</v>
      </c>
      <c r="AP121" s="405" t="s">
        <v>764</v>
      </c>
      <c r="AQ121" s="300">
        <f t="shared" si="54"/>
        <v>0</v>
      </c>
      <c r="AR121" s="297">
        <f t="shared" si="55"/>
        <v>0</v>
      </c>
      <c r="AS121" s="295"/>
      <c r="AT121" s="295"/>
      <c r="AU121" s="298">
        <f>'Unit Savings Calculations'!Q117</f>
        <v>13.190532978680915</v>
      </c>
      <c r="AV121" s="405" t="str">
        <f t="shared" si="56"/>
        <v>n/a</v>
      </c>
      <c r="AW121" s="300">
        <f t="shared" si="57"/>
        <v>0</v>
      </c>
      <c r="AX121" s="297">
        <f t="shared" si="58"/>
        <v>0</v>
      </c>
      <c r="AY121" s="300">
        <f t="shared" si="59"/>
        <v>0</v>
      </c>
      <c r="AZ121" s="300">
        <f t="shared" si="60"/>
        <v>0</v>
      </c>
      <c r="BA121" s="300">
        <f t="shared" si="61"/>
        <v>0</v>
      </c>
      <c r="BB121" s="300">
        <f t="shared" si="62"/>
        <v>0</v>
      </c>
      <c r="BC121" s="301">
        <f t="shared" si="63"/>
        <v>0</v>
      </c>
      <c r="BD121" s="295" t="s">
        <v>764</v>
      </c>
      <c r="BE121" s="302" t="str">
        <f t="shared" si="64"/>
        <v>Exhibit 1.5A_R North Shore EEPS_Adjustable_Savings_Goal_Template.xlsx, Unit Savings Calculations Tab</v>
      </c>
      <c r="BF121" s="304"/>
    </row>
    <row r="122" spans="1:58" ht="15.75" customHeight="1">
      <c r="A122" s="295" t="str">
        <f>'Unit Savings Calculations'!C118</f>
        <v>Res - MF PTA Rebates</v>
      </c>
      <c r="B122" s="295" t="str">
        <f>'Unit Savings Calculations'!D118</f>
        <v>Pipe Insulation - Hyd. Boiler Sm &lt;=1.25"</v>
      </c>
      <c r="C122" s="296">
        <f t="shared" si="66"/>
        <v>1</v>
      </c>
      <c r="D122" s="295" t="str">
        <f>'Unit Savings Calculations'!T118</f>
        <v>4.4.14</v>
      </c>
      <c r="E122" s="460">
        <f>INDEX('Unit Savings Calculations'!$H$4:$H$421,MATCH('Measure-Level Adjustments Tab'!$A122&amp;"_"&amp;'Measure-Level Adjustments Tab'!$B122,'Unit Savings Calculations'!$A$4:$A$421,0))</f>
        <v>15</v>
      </c>
      <c r="F122" s="460">
        <f>INDEX('Unit Savings Calculations'!$I$4:$I$421,MATCH('Measure-Level Adjustments Tab'!A122&amp;"_"&amp;'Measure-Level Adjustments Tab'!B122,'Unit Savings Calculations'!$A$4:$A$421,0))</f>
        <v>15</v>
      </c>
      <c r="G122" s="295" t="str">
        <f>'Unit Savings Calculations'!E118</f>
        <v>ft</v>
      </c>
      <c r="H122" s="297">
        <f>'Unit Savings Calculations'!$F118*'Unit Savings Calculations'!J118</f>
        <v>0</v>
      </c>
      <c r="I122" s="297">
        <f>'Unit Savings Calculations'!$F118*'Unit Savings Calculations'!K118</f>
        <v>0</v>
      </c>
      <c r="J122" s="297">
        <f>'Unit Savings Calculations'!$F118*'Unit Savings Calculations'!L118</f>
        <v>0</v>
      </c>
      <c r="K122" s="297">
        <f>'Unit Savings Calculations'!$F118*'Unit Savings Calculations'!M118</f>
        <v>0</v>
      </c>
      <c r="L122" s="295" t="str">
        <f>'Unit Savings Calculations'!U118</f>
        <v>CI-HVC-PINS-V04-160601</v>
      </c>
      <c r="M122" s="405" t="str">
        <f>'Unit Savings Calculations'!R118</f>
        <v>Exhibit 1.5A_R North Shore EEPS_Adjustable_Savings_Goal_Template.xlsx, Pipe Insulation Detail Tab</v>
      </c>
      <c r="N122" s="298">
        <v>2.3011493874643869</v>
      </c>
      <c r="O122" s="298">
        <v>2.3011493874643869</v>
      </c>
      <c r="P122" s="298">
        <v>2.3011493874643869</v>
      </c>
      <c r="Q122" s="298">
        <v>2.3011493874643869</v>
      </c>
      <c r="R122" s="299">
        <f>'Unit Savings Calculations'!$G118</f>
        <v>0.88</v>
      </c>
      <c r="S122" s="299">
        <f>'Unit Savings Calculations'!$G118</f>
        <v>0.88</v>
      </c>
      <c r="T122" s="299">
        <f>'Unit Savings Calculations'!$G118</f>
        <v>0.88</v>
      </c>
      <c r="U122" s="299">
        <f>'Unit Savings Calculations'!$G118</f>
        <v>0.88</v>
      </c>
      <c r="V122" s="300">
        <f t="shared" si="67"/>
        <v>0</v>
      </c>
      <c r="W122" s="300">
        <f t="shared" si="68"/>
        <v>0</v>
      </c>
      <c r="X122" s="300">
        <f t="shared" si="69"/>
        <v>0</v>
      </c>
      <c r="Y122" s="300">
        <f t="shared" si="70"/>
        <v>0</v>
      </c>
      <c r="Z122" s="300">
        <f t="shared" si="71"/>
        <v>0</v>
      </c>
      <c r="AA122" s="295"/>
      <c r="AB122" s="295"/>
      <c r="AC122" s="298">
        <f>'Unit Savings Calculations'!N118</f>
        <v>2.3011493874643869</v>
      </c>
      <c r="AD122" s="295"/>
      <c r="AE122" s="300">
        <f t="shared" si="49"/>
        <v>0</v>
      </c>
      <c r="AF122" s="297">
        <f t="shared" si="50"/>
        <v>0</v>
      </c>
      <c r="AG122" s="295"/>
      <c r="AH122" s="295">
        <f t="shared" si="51"/>
        <v>0</v>
      </c>
      <c r="AI122" s="298">
        <f>'Unit Savings Calculations'!O118</f>
        <v>2.3011493874643869</v>
      </c>
      <c r="AJ122" s="405" t="s">
        <v>879</v>
      </c>
      <c r="AK122" s="300">
        <f t="shared" si="52"/>
        <v>0</v>
      </c>
      <c r="AL122" s="297">
        <f t="shared" si="53"/>
        <v>0</v>
      </c>
      <c r="AM122" s="295"/>
      <c r="AN122" s="295"/>
      <c r="AO122" s="298">
        <f>'Unit Savings Calculations'!P118</f>
        <v>2.3011493874643869</v>
      </c>
      <c r="AP122" s="405" t="s">
        <v>764</v>
      </c>
      <c r="AQ122" s="300">
        <f t="shared" si="54"/>
        <v>0</v>
      </c>
      <c r="AR122" s="297">
        <f t="shared" si="55"/>
        <v>0</v>
      </c>
      <c r="AS122" s="295"/>
      <c r="AT122" s="295"/>
      <c r="AU122" s="298">
        <f>'Unit Savings Calculations'!Q118</f>
        <v>2.3011493874643869</v>
      </c>
      <c r="AV122" s="405" t="str">
        <f t="shared" si="56"/>
        <v>n/a</v>
      </c>
      <c r="AW122" s="300">
        <f t="shared" si="57"/>
        <v>0</v>
      </c>
      <c r="AX122" s="297">
        <f t="shared" si="58"/>
        <v>0</v>
      </c>
      <c r="AY122" s="300">
        <f t="shared" si="59"/>
        <v>0</v>
      </c>
      <c r="AZ122" s="300">
        <f t="shared" si="60"/>
        <v>0</v>
      </c>
      <c r="BA122" s="300">
        <f t="shared" si="61"/>
        <v>0</v>
      </c>
      <c r="BB122" s="300">
        <f t="shared" si="62"/>
        <v>0</v>
      </c>
      <c r="BC122" s="301">
        <f t="shared" si="63"/>
        <v>0</v>
      </c>
      <c r="BD122" s="295" t="s">
        <v>764</v>
      </c>
      <c r="BE122" s="302" t="str">
        <f t="shared" si="64"/>
        <v>Exhibit 1.5A_R North Shore EEPS_Adjustable_Savings_Goal_Template.xlsx, Pipe Insulation Detail Tab</v>
      </c>
      <c r="BF122" s="304"/>
    </row>
    <row r="123" spans="1:58" ht="15.75" customHeight="1">
      <c r="A123" s="295" t="str">
        <f>'Unit Savings Calculations'!C119</f>
        <v>Res - MF PTA Rebates</v>
      </c>
      <c r="B123" s="295" t="str">
        <f>'Unit Savings Calculations'!D119</f>
        <v>Pipe Insulation - Hyd. Boiler Med 1.25-2"</v>
      </c>
      <c r="C123" s="296">
        <f t="shared" si="66"/>
        <v>1</v>
      </c>
      <c r="D123" s="295" t="str">
        <f>'Unit Savings Calculations'!T119</f>
        <v>4.4.14</v>
      </c>
      <c r="E123" s="460">
        <f>INDEX('Unit Savings Calculations'!$H$4:$H$421,MATCH('Measure-Level Adjustments Tab'!$A123&amp;"_"&amp;'Measure-Level Adjustments Tab'!$B123,'Unit Savings Calculations'!$A$4:$A$421,0))</f>
        <v>15</v>
      </c>
      <c r="F123" s="460">
        <f>INDEX('Unit Savings Calculations'!$I$4:$I$421,MATCH('Measure-Level Adjustments Tab'!A123&amp;"_"&amp;'Measure-Level Adjustments Tab'!B123,'Unit Savings Calculations'!$A$4:$A$421,0))</f>
        <v>15</v>
      </c>
      <c r="G123" s="295" t="str">
        <f>'Unit Savings Calculations'!E119</f>
        <v>ft</v>
      </c>
      <c r="H123" s="297">
        <f>'Unit Savings Calculations'!$F119*'Unit Savings Calculations'!J119</f>
        <v>0</v>
      </c>
      <c r="I123" s="297">
        <f>'Unit Savings Calculations'!$F119*'Unit Savings Calculations'!K119</f>
        <v>0</v>
      </c>
      <c r="J123" s="297">
        <f>'Unit Savings Calculations'!$F119*'Unit Savings Calculations'!L119</f>
        <v>0</v>
      </c>
      <c r="K123" s="297">
        <f>'Unit Savings Calculations'!$F119*'Unit Savings Calculations'!M119</f>
        <v>0</v>
      </c>
      <c r="L123" s="295" t="str">
        <f>'Unit Savings Calculations'!U119</f>
        <v>CI-HVC-PINS-V04-160601</v>
      </c>
      <c r="M123" s="405" t="str">
        <f>'Unit Savings Calculations'!R119</f>
        <v>Exhibit 1.5A_R North Shore EEPS_Adjustable_Savings_Goal_Template.xlsx, Pipe Insulation Detail Tab</v>
      </c>
      <c r="N123" s="298">
        <v>3.6034773504273505</v>
      </c>
      <c r="O123" s="298">
        <v>3.6034773504273505</v>
      </c>
      <c r="P123" s="298">
        <v>3.6034773504273505</v>
      </c>
      <c r="Q123" s="298">
        <v>3.6034773504273505</v>
      </c>
      <c r="R123" s="299">
        <f>'Unit Savings Calculations'!$G119</f>
        <v>0.88</v>
      </c>
      <c r="S123" s="299">
        <f>'Unit Savings Calculations'!$G119</f>
        <v>0.88</v>
      </c>
      <c r="T123" s="299">
        <f>'Unit Savings Calculations'!$G119</f>
        <v>0.88</v>
      </c>
      <c r="U123" s="299">
        <f>'Unit Savings Calculations'!$G119</f>
        <v>0.88</v>
      </c>
      <c r="V123" s="300">
        <f t="shared" si="67"/>
        <v>0</v>
      </c>
      <c r="W123" s="300">
        <f t="shared" si="68"/>
        <v>0</v>
      </c>
      <c r="X123" s="300">
        <f t="shared" si="69"/>
        <v>0</v>
      </c>
      <c r="Y123" s="300">
        <f t="shared" si="70"/>
        <v>0</v>
      </c>
      <c r="Z123" s="300">
        <f t="shared" si="71"/>
        <v>0</v>
      </c>
      <c r="AA123" s="295"/>
      <c r="AB123" s="295"/>
      <c r="AC123" s="298">
        <f>'Unit Savings Calculations'!N119</f>
        <v>3.6034773504273505</v>
      </c>
      <c r="AD123" s="295"/>
      <c r="AE123" s="300">
        <f t="shared" si="49"/>
        <v>0</v>
      </c>
      <c r="AF123" s="297">
        <f t="shared" si="50"/>
        <v>0</v>
      </c>
      <c r="AG123" s="295"/>
      <c r="AH123" s="295">
        <f t="shared" si="51"/>
        <v>0</v>
      </c>
      <c r="AI123" s="298">
        <f>'Unit Savings Calculations'!O119</f>
        <v>3.6034773504273505</v>
      </c>
      <c r="AJ123" s="405" t="s">
        <v>879</v>
      </c>
      <c r="AK123" s="300">
        <f t="shared" si="52"/>
        <v>0</v>
      </c>
      <c r="AL123" s="297">
        <f t="shared" si="53"/>
        <v>0</v>
      </c>
      <c r="AM123" s="295"/>
      <c r="AN123" s="295"/>
      <c r="AO123" s="298">
        <f>'Unit Savings Calculations'!P119</f>
        <v>3.6034773504273505</v>
      </c>
      <c r="AP123" s="405" t="s">
        <v>764</v>
      </c>
      <c r="AQ123" s="300">
        <f t="shared" si="54"/>
        <v>0</v>
      </c>
      <c r="AR123" s="297">
        <f t="shared" si="55"/>
        <v>0</v>
      </c>
      <c r="AS123" s="295"/>
      <c r="AT123" s="295"/>
      <c r="AU123" s="298">
        <f>'Unit Savings Calculations'!Q119</f>
        <v>3.6034773504273505</v>
      </c>
      <c r="AV123" s="405" t="str">
        <f t="shared" si="56"/>
        <v>n/a</v>
      </c>
      <c r="AW123" s="300">
        <f t="shared" si="57"/>
        <v>0</v>
      </c>
      <c r="AX123" s="297">
        <f t="shared" si="58"/>
        <v>0</v>
      </c>
      <c r="AY123" s="300">
        <f t="shared" si="59"/>
        <v>0</v>
      </c>
      <c r="AZ123" s="300">
        <f t="shared" si="60"/>
        <v>0</v>
      </c>
      <c r="BA123" s="300">
        <f t="shared" si="61"/>
        <v>0</v>
      </c>
      <c r="BB123" s="300">
        <f t="shared" si="62"/>
        <v>0</v>
      </c>
      <c r="BC123" s="301">
        <f t="shared" si="63"/>
        <v>0</v>
      </c>
      <c r="BD123" s="295" t="s">
        <v>764</v>
      </c>
      <c r="BE123" s="302" t="str">
        <f t="shared" si="64"/>
        <v>Exhibit 1.5A_R North Shore EEPS_Adjustable_Savings_Goal_Template.xlsx, Pipe Insulation Detail Tab</v>
      </c>
      <c r="BF123" s="304"/>
    </row>
    <row r="124" spans="1:58" ht="15.75" customHeight="1">
      <c r="A124" s="295" t="str">
        <f>'Unit Savings Calculations'!C120</f>
        <v>Res - MF PTA Rebates</v>
      </c>
      <c r="B124" s="295" t="str">
        <f>'Unit Savings Calculations'!D120</f>
        <v>Pipe Insulation - Hyd. Boiler Large ≥2"</v>
      </c>
      <c r="C124" s="296">
        <f t="shared" si="66"/>
        <v>1</v>
      </c>
      <c r="D124" s="295" t="str">
        <f>'Unit Savings Calculations'!T120</f>
        <v>4.4.14</v>
      </c>
      <c r="E124" s="460">
        <f>INDEX('Unit Savings Calculations'!$H$4:$H$421,MATCH('Measure-Level Adjustments Tab'!$A124&amp;"_"&amp;'Measure-Level Adjustments Tab'!$B124,'Unit Savings Calculations'!$A$4:$A$421,0))</f>
        <v>15</v>
      </c>
      <c r="F124" s="460">
        <f>INDEX('Unit Savings Calculations'!$I$4:$I$421,MATCH('Measure-Level Adjustments Tab'!A124&amp;"_"&amp;'Measure-Level Adjustments Tab'!B124,'Unit Savings Calculations'!$A$4:$A$421,0))</f>
        <v>15</v>
      </c>
      <c r="G124" s="295" t="str">
        <f>'Unit Savings Calculations'!E120</f>
        <v>ft</v>
      </c>
      <c r="H124" s="297">
        <f>'Unit Savings Calculations'!$F120*'Unit Savings Calculations'!J120</f>
        <v>525</v>
      </c>
      <c r="I124" s="297">
        <f>'Unit Savings Calculations'!$F120*'Unit Savings Calculations'!K120</f>
        <v>525</v>
      </c>
      <c r="J124" s="297">
        <f>'Unit Savings Calculations'!$F120*'Unit Savings Calculations'!L120</f>
        <v>525</v>
      </c>
      <c r="K124" s="297">
        <f>'Unit Savings Calculations'!$F120*'Unit Savings Calculations'!M120</f>
        <v>525</v>
      </c>
      <c r="L124" s="295" t="str">
        <f>'Unit Savings Calculations'!U120</f>
        <v>CI-HVC-PINS-V04-160601</v>
      </c>
      <c r="M124" s="405" t="str">
        <f>'Unit Savings Calculations'!R120</f>
        <v>Exhibit 1.5A_R North Shore EEPS_Adjustable_Savings_Goal_Template.xlsx, Pipe Insulation Detail Tab</v>
      </c>
      <c r="N124" s="298">
        <v>6.1867824786324785</v>
      </c>
      <c r="O124" s="298">
        <v>6.1867824786324785</v>
      </c>
      <c r="P124" s="298">
        <v>6.1867824786324785</v>
      </c>
      <c r="Q124" s="298">
        <v>6.1867824786324785</v>
      </c>
      <c r="R124" s="299">
        <f>'Unit Savings Calculations'!$G120</f>
        <v>0.88</v>
      </c>
      <c r="S124" s="299">
        <f>'Unit Savings Calculations'!$G120</f>
        <v>0.88</v>
      </c>
      <c r="T124" s="299">
        <f>'Unit Savings Calculations'!$G120</f>
        <v>0.88</v>
      </c>
      <c r="U124" s="299">
        <f>'Unit Savings Calculations'!$G120</f>
        <v>0.88</v>
      </c>
      <c r="V124" s="300">
        <f t="shared" si="67"/>
        <v>2858.2935051282052</v>
      </c>
      <c r="W124" s="300">
        <f t="shared" si="68"/>
        <v>2858.2935051282052</v>
      </c>
      <c r="X124" s="300">
        <f t="shared" si="69"/>
        <v>2858.2935051282052</v>
      </c>
      <c r="Y124" s="300">
        <f t="shared" si="70"/>
        <v>2858.2935051282052</v>
      </c>
      <c r="Z124" s="300">
        <f t="shared" si="71"/>
        <v>11433.174020512821</v>
      </c>
      <c r="AA124" s="295"/>
      <c r="AB124" s="295"/>
      <c r="AC124" s="298">
        <f>'Unit Savings Calculations'!N120</f>
        <v>6.1867824786324785</v>
      </c>
      <c r="AD124" s="295"/>
      <c r="AE124" s="300">
        <f t="shared" si="49"/>
        <v>2858.2935051282052</v>
      </c>
      <c r="AF124" s="297">
        <f t="shared" si="50"/>
        <v>0</v>
      </c>
      <c r="AG124" s="295"/>
      <c r="AH124" s="295">
        <f t="shared" si="51"/>
        <v>0</v>
      </c>
      <c r="AI124" s="298">
        <f>'Unit Savings Calculations'!O120</f>
        <v>6.1867824786324785</v>
      </c>
      <c r="AJ124" s="405" t="s">
        <v>879</v>
      </c>
      <c r="AK124" s="300">
        <f t="shared" si="52"/>
        <v>2858.2935051282052</v>
      </c>
      <c r="AL124" s="297">
        <f t="shared" si="53"/>
        <v>0</v>
      </c>
      <c r="AM124" s="295"/>
      <c r="AN124" s="295"/>
      <c r="AO124" s="298">
        <f>'Unit Savings Calculations'!P120</f>
        <v>6.1867824786324785</v>
      </c>
      <c r="AP124" s="405" t="s">
        <v>764</v>
      </c>
      <c r="AQ124" s="300">
        <f t="shared" si="54"/>
        <v>2858.2935051282052</v>
      </c>
      <c r="AR124" s="297">
        <f t="shared" si="55"/>
        <v>0</v>
      </c>
      <c r="AS124" s="295"/>
      <c r="AT124" s="295"/>
      <c r="AU124" s="298">
        <f>'Unit Savings Calculations'!Q120</f>
        <v>6.1867824786324785</v>
      </c>
      <c r="AV124" s="405" t="str">
        <f t="shared" si="56"/>
        <v>n/a</v>
      </c>
      <c r="AW124" s="300">
        <f t="shared" si="57"/>
        <v>2858.2935051282052</v>
      </c>
      <c r="AX124" s="297">
        <f t="shared" si="58"/>
        <v>0</v>
      </c>
      <c r="AY124" s="300">
        <f t="shared" si="59"/>
        <v>2858.2935051282052</v>
      </c>
      <c r="AZ124" s="300">
        <f t="shared" si="60"/>
        <v>2858.2935051282052</v>
      </c>
      <c r="BA124" s="300">
        <f t="shared" si="61"/>
        <v>2858.2935051282052</v>
      </c>
      <c r="BB124" s="300">
        <f t="shared" si="62"/>
        <v>2858.2935051282052</v>
      </c>
      <c r="BC124" s="301">
        <f t="shared" si="63"/>
        <v>11433.174020512821</v>
      </c>
      <c r="BD124" s="295" t="s">
        <v>764</v>
      </c>
      <c r="BE124" s="302" t="str">
        <f t="shared" si="64"/>
        <v>Exhibit 1.5A_R North Shore EEPS_Adjustable_Savings_Goal_Template.xlsx, Pipe Insulation Detail Tab</v>
      </c>
      <c r="BF124" s="304"/>
    </row>
    <row r="125" spans="1:58" ht="15.75" customHeight="1">
      <c r="A125" s="295" t="str">
        <f>'Unit Savings Calculations'!C121</f>
        <v>Res - MF PTA Rebates</v>
      </c>
      <c r="B125" s="295" t="str">
        <f>'Unit Savings Calculations'!D121</f>
        <v>Pipe Insulation - HW Small 1" to 2"</v>
      </c>
      <c r="C125" s="296">
        <f t="shared" si="66"/>
        <v>1</v>
      </c>
      <c r="D125" s="295" t="str">
        <f>'Unit Savings Calculations'!T121</f>
        <v>4.4.14</v>
      </c>
      <c r="E125" s="460">
        <f>INDEX('Unit Savings Calculations'!$H$4:$H$421,MATCH('Measure-Level Adjustments Tab'!$A125&amp;"_"&amp;'Measure-Level Adjustments Tab'!$B125,'Unit Savings Calculations'!$A$4:$A$421,0))</f>
        <v>15</v>
      </c>
      <c r="F125" s="460">
        <f>INDEX('Unit Savings Calculations'!$I$4:$I$421,MATCH('Measure-Level Adjustments Tab'!A125&amp;"_"&amp;'Measure-Level Adjustments Tab'!B125,'Unit Savings Calculations'!$A$4:$A$421,0))</f>
        <v>15</v>
      </c>
      <c r="G125" s="295" t="str">
        <f>'Unit Savings Calculations'!E121</f>
        <v>ft</v>
      </c>
      <c r="H125" s="297">
        <f>'Unit Savings Calculations'!$F121*'Unit Savings Calculations'!J121</f>
        <v>300</v>
      </c>
      <c r="I125" s="297">
        <f>'Unit Savings Calculations'!$F121*'Unit Savings Calculations'!K121</f>
        <v>300</v>
      </c>
      <c r="J125" s="297">
        <f>'Unit Savings Calculations'!$F121*'Unit Savings Calculations'!L121</f>
        <v>300</v>
      </c>
      <c r="K125" s="297">
        <f>'Unit Savings Calculations'!$F121*'Unit Savings Calculations'!M121</f>
        <v>300</v>
      </c>
      <c r="L125" s="295" t="str">
        <f>'Unit Savings Calculations'!U121</f>
        <v>CI-HVC-PINS-V04-160601</v>
      </c>
      <c r="M125" s="405" t="str">
        <f>'Unit Savings Calculations'!R121</f>
        <v>Exhibit 1.5A_R North Shore EEPS_Adjustable_Savings_Goal_Template.xlsx, Pipe Insulation Detail Tab</v>
      </c>
      <c r="N125" s="298">
        <v>3.1358228800964363</v>
      </c>
      <c r="O125" s="298">
        <v>3.1358228800964363</v>
      </c>
      <c r="P125" s="298">
        <v>3.1358228800964363</v>
      </c>
      <c r="Q125" s="298">
        <v>3.1358228800964363</v>
      </c>
      <c r="R125" s="299">
        <f>'Unit Savings Calculations'!$G121</f>
        <v>0.88</v>
      </c>
      <c r="S125" s="299">
        <f>'Unit Savings Calculations'!$G121</f>
        <v>0.88</v>
      </c>
      <c r="T125" s="299">
        <f>'Unit Savings Calculations'!$G121</f>
        <v>0.88</v>
      </c>
      <c r="U125" s="299">
        <f>'Unit Savings Calculations'!$G121</f>
        <v>0.88</v>
      </c>
      <c r="V125" s="300">
        <f t="shared" si="67"/>
        <v>827.85724034545922</v>
      </c>
      <c r="W125" s="300">
        <f t="shared" si="68"/>
        <v>827.85724034545922</v>
      </c>
      <c r="X125" s="300">
        <f t="shared" si="69"/>
        <v>827.85724034545922</v>
      </c>
      <c r="Y125" s="300">
        <f t="shared" si="70"/>
        <v>827.85724034545922</v>
      </c>
      <c r="Z125" s="300">
        <f t="shared" si="71"/>
        <v>3311.4289613818369</v>
      </c>
      <c r="AA125" s="295"/>
      <c r="AB125" s="295"/>
      <c r="AC125" s="298">
        <f>'Unit Savings Calculations'!N121</f>
        <v>3.1358228800964363</v>
      </c>
      <c r="AD125" s="295"/>
      <c r="AE125" s="300">
        <f t="shared" si="49"/>
        <v>827.85724034545922</v>
      </c>
      <c r="AF125" s="297">
        <f t="shared" si="50"/>
        <v>0</v>
      </c>
      <c r="AG125" s="295"/>
      <c r="AH125" s="295">
        <f t="shared" si="51"/>
        <v>0</v>
      </c>
      <c r="AI125" s="298">
        <f>'Unit Savings Calculations'!O121</f>
        <v>3.1358228800964363</v>
      </c>
      <c r="AJ125" s="405" t="s">
        <v>879</v>
      </c>
      <c r="AK125" s="300">
        <f t="shared" si="52"/>
        <v>827.85724034545922</v>
      </c>
      <c r="AL125" s="297">
        <f t="shared" si="53"/>
        <v>0</v>
      </c>
      <c r="AM125" s="295"/>
      <c r="AN125" s="295"/>
      <c r="AO125" s="298">
        <f>'Unit Savings Calculations'!P121</f>
        <v>3.1358228800964363</v>
      </c>
      <c r="AP125" s="405" t="s">
        <v>764</v>
      </c>
      <c r="AQ125" s="300">
        <f t="shared" si="54"/>
        <v>827.85724034545922</v>
      </c>
      <c r="AR125" s="297">
        <f t="shared" si="55"/>
        <v>0</v>
      </c>
      <c r="AS125" s="295"/>
      <c r="AT125" s="295"/>
      <c r="AU125" s="298">
        <f>'Unit Savings Calculations'!Q121</f>
        <v>3.1358228800964363</v>
      </c>
      <c r="AV125" s="405" t="str">
        <f t="shared" si="56"/>
        <v>n/a</v>
      </c>
      <c r="AW125" s="300">
        <f t="shared" si="57"/>
        <v>827.85724034545922</v>
      </c>
      <c r="AX125" s="297">
        <f t="shared" si="58"/>
        <v>0</v>
      </c>
      <c r="AY125" s="300">
        <f t="shared" si="59"/>
        <v>827.85724034545922</v>
      </c>
      <c r="AZ125" s="300">
        <f t="shared" si="60"/>
        <v>827.85724034545922</v>
      </c>
      <c r="BA125" s="300">
        <f t="shared" si="61"/>
        <v>827.85724034545922</v>
      </c>
      <c r="BB125" s="300">
        <f t="shared" si="62"/>
        <v>827.85724034545922</v>
      </c>
      <c r="BC125" s="301">
        <f t="shared" si="63"/>
        <v>3311.4289613818369</v>
      </c>
      <c r="BD125" s="295" t="s">
        <v>764</v>
      </c>
      <c r="BE125" s="302" t="str">
        <f t="shared" si="64"/>
        <v>Exhibit 1.5A_R North Shore EEPS_Adjustable_Savings_Goal_Template.xlsx, Pipe Insulation Detail Tab</v>
      </c>
      <c r="BF125" s="304"/>
    </row>
    <row r="126" spans="1:58" ht="15.75" customHeight="1">
      <c r="A126" s="295" t="str">
        <f>'Unit Savings Calculations'!C122</f>
        <v>Res - MF PTA Rebates</v>
      </c>
      <c r="B126" s="295" t="str">
        <f>'Unit Savings Calculations'!D122</f>
        <v>Pipe Insulation - HW Medium 2.1" to 4"</v>
      </c>
      <c r="C126" s="296">
        <f t="shared" si="66"/>
        <v>1</v>
      </c>
      <c r="D126" s="295" t="str">
        <f>'Unit Savings Calculations'!T122</f>
        <v>4.4.14</v>
      </c>
      <c r="E126" s="460">
        <f>INDEX('Unit Savings Calculations'!$H$4:$H$421,MATCH('Measure-Level Adjustments Tab'!$A126&amp;"_"&amp;'Measure-Level Adjustments Tab'!$B126,'Unit Savings Calculations'!$A$4:$A$421,0))</f>
        <v>15</v>
      </c>
      <c r="F126" s="460">
        <f>INDEX('Unit Savings Calculations'!$I$4:$I$421,MATCH('Measure-Level Adjustments Tab'!A126&amp;"_"&amp;'Measure-Level Adjustments Tab'!B126,'Unit Savings Calculations'!$A$4:$A$421,0))</f>
        <v>15</v>
      </c>
      <c r="G126" s="295" t="str">
        <f>'Unit Savings Calculations'!E122</f>
        <v>ft</v>
      </c>
      <c r="H126" s="297">
        <f>'Unit Savings Calculations'!$F122*'Unit Savings Calculations'!J122</f>
        <v>0</v>
      </c>
      <c r="I126" s="297">
        <f>'Unit Savings Calculations'!$F122*'Unit Savings Calculations'!K122</f>
        <v>0</v>
      </c>
      <c r="J126" s="297">
        <f>'Unit Savings Calculations'!$F122*'Unit Savings Calculations'!L122</f>
        <v>0</v>
      </c>
      <c r="K126" s="297">
        <f>'Unit Savings Calculations'!$F122*'Unit Savings Calculations'!M122</f>
        <v>0</v>
      </c>
      <c r="L126" s="295" t="str">
        <f>'Unit Savings Calculations'!U122</f>
        <v>CI-HVC-PINS-V04-160601</v>
      </c>
      <c r="M126" s="405" t="str">
        <f>'Unit Savings Calculations'!R122</f>
        <v>Exhibit 1.5A_R North Shore EEPS_Adjustable_Savings_Goal_Template.xlsx, Pipe Insulation Detail Tab</v>
      </c>
      <c r="N126" s="298">
        <v>6.1942373572810965</v>
      </c>
      <c r="O126" s="298">
        <v>6.1942373572810965</v>
      </c>
      <c r="P126" s="298">
        <v>6.1942373572810965</v>
      </c>
      <c r="Q126" s="298">
        <v>6.1942373572810965</v>
      </c>
      <c r="R126" s="299">
        <f>'Unit Savings Calculations'!$G122</f>
        <v>0.88</v>
      </c>
      <c r="S126" s="299">
        <f>'Unit Savings Calculations'!$G122</f>
        <v>0.88</v>
      </c>
      <c r="T126" s="299">
        <f>'Unit Savings Calculations'!$G122</f>
        <v>0.88</v>
      </c>
      <c r="U126" s="299">
        <f>'Unit Savings Calculations'!$G122</f>
        <v>0.88</v>
      </c>
      <c r="V126" s="300">
        <f t="shared" si="67"/>
        <v>0</v>
      </c>
      <c r="W126" s="300">
        <f t="shared" si="68"/>
        <v>0</v>
      </c>
      <c r="X126" s="300">
        <f t="shared" si="69"/>
        <v>0</v>
      </c>
      <c r="Y126" s="300">
        <f t="shared" si="70"/>
        <v>0</v>
      </c>
      <c r="Z126" s="300">
        <f t="shared" si="71"/>
        <v>0</v>
      </c>
      <c r="AA126" s="295"/>
      <c r="AB126" s="295"/>
      <c r="AC126" s="298">
        <f>'Unit Savings Calculations'!N122</f>
        <v>6.1942373572810965</v>
      </c>
      <c r="AD126" s="295"/>
      <c r="AE126" s="300">
        <f t="shared" si="49"/>
        <v>0</v>
      </c>
      <c r="AF126" s="297">
        <f t="shared" si="50"/>
        <v>0</v>
      </c>
      <c r="AG126" s="295"/>
      <c r="AH126" s="295">
        <f t="shared" si="51"/>
        <v>0</v>
      </c>
      <c r="AI126" s="298">
        <f>'Unit Savings Calculations'!O122</f>
        <v>6.1942373572810965</v>
      </c>
      <c r="AJ126" s="405" t="s">
        <v>879</v>
      </c>
      <c r="AK126" s="300">
        <f t="shared" si="52"/>
        <v>0</v>
      </c>
      <c r="AL126" s="297">
        <f t="shared" si="53"/>
        <v>0</v>
      </c>
      <c r="AM126" s="295"/>
      <c r="AN126" s="295"/>
      <c r="AO126" s="298">
        <f>'Unit Savings Calculations'!P122</f>
        <v>6.1942373572810965</v>
      </c>
      <c r="AP126" s="405" t="s">
        <v>764</v>
      </c>
      <c r="AQ126" s="300">
        <f t="shared" si="54"/>
        <v>0</v>
      </c>
      <c r="AR126" s="297">
        <f t="shared" si="55"/>
        <v>0</v>
      </c>
      <c r="AS126" s="295"/>
      <c r="AT126" s="295"/>
      <c r="AU126" s="298">
        <f>'Unit Savings Calculations'!Q122</f>
        <v>6.1942373572810965</v>
      </c>
      <c r="AV126" s="405" t="str">
        <f t="shared" si="56"/>
        <v>n/a</v>
      </c>
      <c r="AW126" s="300">
        <f t="shared" si="57"/>
        <v>0</v>
      </c>
      <c r="AX126" s="297">
        <f t="shared" si="58"/>
        <v>0</v>
      </c>
      <c r="AY126" s="300">
        <f t="shared" si="59"/>
        <v>0</v>
      </c>
      <c r="AZ126" s="300">
        <f t="shared" si="60"/>
        <v>0</v>
      </c>
      <c r="BA126" s="300">
        <f t="shared" si="61"/>
        <v>0</v>
      </c>
      <c r="BB126" s="300">
        <f t="shared" si="62"/>
        <v>0</v>
      </c>
      <c r="BC126" s="301">
        <f t="shared" si="63"/>
        <v>0</v>
      </c>
      <c r="BD126" s="295" t="s">
        <v>764</v>
      </c>
      <c r="BE126" s="302" t="str">
        <f t="shared" si="64"/>
        <v>Exhibit 1.5A_R North Shore EEPS_Adjustable_Savings_Goal_Template.xlsx, Pipe Insulation Detail Tab</v>
      </c>
      <c r="BF126" s="304"/>
    </row>
    <row r="127" spans="1:58" ht="15.75" customHeight="1">
      <c r="A127" s="295" t="str">
        <f>'Unit Savings Calculations'!C123</f>
        <v>Res - MF PTA Rebates</v>
      </c>
      <c r="B127" s="295" t="str">
        <f>'Unit Savings Calculations'!D123</f>
        <v>Pipe Insulation - HW Large &gt;4"</v>
      </c>
      <c r="C127" s="296">
        <f t="shared" si="66"/>
        <v>1</v>
      </c>
      <c r="D127" s="295" t="str">
        <f>'Unit Savings Calculations'!T123</f>
        <v>4.4.14</v>
      </c>
      <c r="E127" s="460">
        <f>INDEX('Unit Savings Calculations'!$H$4:$H$421,MATCH('Measure-Level Adjustments Tab'!$A127&amp;"_"&amp;'Measure-Level Adjustments Tab'!$B127,'Unit Savings Calculations'!$A$4:$A$421,0))</f>
        <v>15</v>
      </c>
      <c r="F127" s="460">
        <f>INDEX('Unit Savings Calculations'!$I$4:$I$421,MATCH('Measure-Level Adjustments Tab'!A127&amp;"_"&amp;'Measure-Level Adjustments Tab'!B127,'Unit Savings Calculations'!$A$4:$A$421,0))</f>
        <v>15</v>
      </c>
      <c r="G127" s="295" t="str">
        <f>'Unit Savings Calculations'!E123</f>
        <v>ft</v>
      </c>
      <c r="H127" s="297">
        <f>'Unit Savings Calculations'!$F123*'Unit Savings Calculations'!J123</f>
        <v>0</v>
      </c>
      <c r="I127" s="297">
        <f>'Unit Savings Calculations'!$F123*'Unit Savings Calculations'!K123</f>
        <v>0</v>
      </c>
      <c r="J127" s="297">
        <f>'Unit Savings Calculations'!$F123*'Unit Savings Calculations'!L123</f>
        <v>0</v>
      </c>
      <c r="K127" s="297">
        <f>'Unit Savings Calculations'!$F123*'Unit Savings Calculations'!M123</f>
        <v>0</v>
      </c>
      <c r="L127" s="295" t="str">
        <f>'Unit Savings Calculations'!U123</f>
        <v>CI-HVC-PINS-V04-160601</v>
      </c>
      <c r="M127" s="405" t="str">
        <f>'Unit Savings Calculations'!R123</f>
        <v>Exhibit 1.5A_R North Shore EEPS_Adjustable_Savings_Goal_Template.xlsx, Pipe Insulation Detail Tab</v>
      </c>
      <c r="N127" s="298">
        <v>10.672873287490331</v>
      </c>
      <c r="O127" s="298">
        <v>10.672873287490331</v>
      </c>
      <c r="P127" s="298">
        <v>10.672873287490331</v>
      </c>
      <c r="Q127" s="298">
        <v>10.672873287490331</v>
      </c>
      <c r="R127" s="299">
        <f>'Unit Savings Calculations'!$G123</f>
        <v>0.88</v>
      </c>
      <c r="S127" s="299">
        <f>'Unit Savings Calculations'!$G123</f>
        <v>0.88</v>
      </c>
      <c r="T127" s="299">
        <f>'Unit Savings Calculations'!$G123</f>
        <v>0.88</v>
      </c>
      <c r="U127" s="299">
        <f>'Unit Savings Calculations'!$G123</f>
        <v>0.88</v>
      </c>
      <c r="V127" s="300">
        <f t="shared" si="67"/>
        <v>0</v>
      </c>
      <c r="W127" s="300">
        <f t="shared" si="68"/>
        <v>0</v>
      </c>
      <c r="X127" s="300">
        <f t="shared" si="69"/>
        <v>0</v>
      </c>
      <c r="Y127" s="300">
        <f t="shared" si="70"/>
        <v>0</v>
      </c>
      <c r="Z127" s="300">
        <f t="shared" si="71"/>
        <v>0</v>
      </c>
      <c r="AA127" s="295"/>
      <c r="AB127" s="295"/>
      <c r="AC127" s="298">
        <f>'Unit Savings Calculations'!N123</f>
        <v>10.672873287490331</v>
      </c>
      <c r="AD127" s="295"/>
      <c r="AE127" s="300">
        <f t="shared" si="49"/>
        <v>0</v>
      </c>
      <c r="AF127" s="297">
        <f t="shared" si="50"/>
        <v>0</v>
      </c>
      <c r="AG127" s="295"/>
      <c r="AH127" s="295">
        <f t="shared" si="51"/>
        <v>0</v>
      </c>
      <c r="AI127" s="298">
        <f>'Unit Savings Calculations'!O123</f>
        <v>10.672873287490331</v>
      </c>
      <c r="AJ127" s="405" t="s">
        <v>879</v>
      </c>
      <c r="AK127" s="300">
        <f t="shared" si="52"/>
        <v>0</v>
      </c>
      <c r="AL127" s="297">
        <f t="shared" si="53"/>
        <v>0</v>
      </c>
      <c r="AM127" s="295"/>
      <c r="AN127" s="295"/>
      <c r="AO127" s="298">
        <f>'Unit Savings Calculations'!P123</f>
        <v>10.672873287490331</v>
      </c>
      <c r="AP127" s="405" t="s">
        <v>764</v>
      </c>
      <c r="AQ127" s="300">
        <f t="shared" si="54"/>
        <v>0</v>
      </c>
      <c r="AR127" s="297">
        <f t="shared" si="55"/>
        <v>0</v>
      </c>
      <c r="AS127" s="295"/>
      <c r="AT127" s="295"/>
      <c r="AU127" s="298">
        <f>'Unit Savings Calculations'!Q123</f>
        <v>10.672873287490331</v>
      </c>
      <c r="AV127" s="405" t="str">
        <f t="shared" si="56"/>
        <v>n/a</v>
      </c>
      <c r="AW127" s="300">
        <f t="shared" si="57"/>
        <v>0</v>
      </c>
      <c r="AX127" s="297">
        <f t="shared" si="58"/>
        <v>0</v>
      </c>
      <c r="AY127" s="300">
        <f t="shared" si="59"/>
        <v>0</v>
      </c>
      <c r="AZ127" s="300">
        <f t="shared" si="60"/>
        <v>0</v>
      </c>
      <c r="BA127" s="300">
        <f t="shared" si="61"/>
        <v>0</v>
      </c>
      <c r="BB127" s="300">
        <f t="shared" si="62"/>
        <v>0</v>
      </c>
      <c r="BC127" s="301">
        <f t="shared" si="63"/>
        <v>0</v>
      </c>
      <c r="BD127" s="295" t="s">
        <v>764</v>
      </c>
      <c r="BE127" s="302" t="str">
        <f t="shared" si="64"/>
        <v>Exhibit 1.5A_R North Shore EEPS_Adjustable_Savings_Goal_Template.xlsx, Pipe Insulation Detail Tab</v>
      </c>
      <c r="BF127" s="304"/>
    </row>
    <row r="128" spans="1:58" ht="15.75" customHeight="1">
      <c r="A128" s="295" t="str">
        <f>'Unit Savings Calculations'!C124</f>
        <v>Res - MF PTA Rebates</v>
      </c>
      <c r="B128" s="295" t="str">
        <f>'Unit Savings Calculations'!D124</f>
        <v>Pipe Insulation - Steam - Small 1" to 2"</v>
      </c>
      <c r="C128" s="296">
        <f t="shared" si="66"/>
        <v>1</v>
      </c>
      <c r="D128" s="295" t="str">
        <f>'Unit Savings Calculations'!T124</f>
        <v>4.4.14</v>
      </c>
      <c r="E128" s="460">
        <f>INDEX('Unit Savings Calculations'!$H$4:$H$421,MATCH('Measure-Level Adjustments Tab'!$A128&amp;"_"&amp;'Measure-Level Adjustments Tab'!$B128,'Unit Savings Calculations'!$A$4:$A$421,0))</f>
        <v>15</v>
      </c>
      <c r="F128" s="460">
        <f>INDEX('Unit Savings Calculations'!$I$4:$I$421,MATCH('Measure-Level Adjustments Tab'!A128&amp;"_"&amp;'Measure-Level Adjustments Tab'!B128,'Unit Savings Calculations'!$A$4:$A$421,0))</f>
        <v>15</v>
      </c>
      <c r="G128" s="295" t="str">
        <f>'Unit Savings Calculations'!E124</f>
        <v>ft</v>
      </c>
      <c r="H128" s="297">
        <f>'Unit Savings Calculations'!$F124*'Unit Savings Calculations'!J124</f>
        <v>375</v>
      </c>
      <c r="I128" s="297">
        <f>'Unit Savings Calculations'!$F124*'Unit Savings Calculations'!K124</f>
        <v>375</v>
      </c>
      <c r="J128" s="297">
        <f>'Unit Savings Calculations'!$F124*'Unit Savings Calculations'!L124</f>
        <v>375</v>
      </c>
      <c r="K128" s="297">
        <f>'Unit Savings Calculations'!$F124*'Unit Savings Calculations'!M124</f>
        <v>375</v>
      </c>
      <c r="L128" s="295" t="str">
        <f>'Unit Savings Calculations'!U124</f>
        <v>CI-HVC-PINS-V04-160601</v>
      </c>
      <c r="M128" s="405" t="str">
        <f>'Unit Savings Calculations'!R124</f>
        <v>Exhibit 1.5A_R North Shore EEPS_Adjustable_Savings_Goal_Template.xlsx, Pipe Insulation Detail Tab</v>
      </c>
      <c r="N128" s="298">
        <v>3.967097058288509</v>
      </c>
      <c r="O128" s="298">
        <v>3.967097058288509</v>
      </c>
      <c r="P128" s="298">
        <v>3.967097058288509</v>
      </c>
      <c r="Q128" s="298">
        <v>3.967097058288509</v>
      </c>
      <c r="R128" s="299">
        <f>'Unit Savings Calculations'!$G124</f>
        <v>0.88</v>
      </c>
      <c r="S128" s="299">
        <f>'Unit Savings Calculations'!$G124</f>
        <v>0.88</v>
      </c>
      <c r="T128" s="299">
        <f>'Unit Savings Calculations'!$G124</f>
        <v>0.88</v>
      </c>
      <c r="U128" s="299">
        <f>'Unit Savings Calculations'!$G124</f>
        <v>0.88</v>
      </c>
      <c r="V128" s="300">
        <f t="shared" si="67"/>
        <v>1309.1420292352082</v>
      </c>
      <c r="W128" s="300">
        <f t="shared" si="68"/>
        <v>1309.1420292352082</v>
      </c>
      <c r="X128" s="300">
        <f t="shared" si="69"/>
        <v>1309.1420292352082</v>
      </c>
      <c r="Y128" s="300">
        <f t="shared" si="70"/>
        <v>1309.1420292352082</v>
      </c>
      <c r="Z128" s="300">
        <f t="shared" si="71"/>
        <v>5236.5681169408326</v>
      </c>
      <c r="AA128" s="295"/>
      <c r="AB128" s="295"/>
      <c r="AC128" s="298">
        <f>'Unit Savings Calculations'!N124</f>
        <v>3.967097058288509</v>
      </c>
      <c r="AD128" s="295"/>
      <c r="AE128" s="300">
        <f t="shared" si="49"/>
        <v>1309.1420292352082</v>
      </c>
      <c r="AF128" s="297">
        <f t="shared" si="50"/>
        <v>0</v>
      </c>
      <c r="AG128" s="295"/>
      <c r="AH128" s="295">
        <f t="shared" si="51"/>
        <v>0</v>
      </c>
      <c r="AI128" s="298">
        <f>'Unit Savings Calculations'!O124</f>
        <v>3.967097058288509</v>
      </c>
      <c r="AJ128" s="405" t="s">
        <v>879</v>
      </c>
      <c r="AK128" s="300">
        <f t="shared" si="52"/>
        <v>1309.1420292352082</v>
      </c>
      <c r="AL128" s="297">
        <f t="shared" si="53"/>
        <v>0</v>
      </c>
      <c r="AM128" s="295"/>
      <c r="AN128" s="295"/>
      <c r="AO128" s="298">
        <f>'Unit Savings Calculations'!P124</f>
        <v>3.967097058288509</v>
      </c>
      <c r="AP128" s="405" t="s">
        <v>764</v>
      </c>
      <c r="AQ128" s="300">
        <f t="shared" si="54"/>
        <v>1309.1420292352082</v>
      </c>
      <c r="AR128" s="297">
        <f t="shared" si="55"/>
        <v>0</v>
      </c>
      <c r="AS128" s="295"/>
      <c r="AT128" s="295"/>
      <c r="AU128" s="298">
        <f>'Unit Savings Calculations'!Q124</f>
        <v>3.967097058288509</v>
      </c>
      <c r="AV128" s="405" t="str">
        <f t="shared" si="56"/>
        <v>n/a</v>
      </c>
      <c r="AW128" s="300">
        <f t="shared" si="57"/>
        <v>1309.1420292352082</v>
      </c>
      <c r="AX128" s="297">
        <f t="shared" si="58"/>
        <v>0</v>
      </c>
      <c r="AY128" s="300">
        <f t="shared" si="59"/>
        <v>1309.1420292352082</v>
      </c>
      <c r="AZ128" s="300">
        <f t="shared" si="60"/>
        <v>1309.1420292352082</v>
      </c>
      <c r="BA128" s="300">
        <f t="shared" si="61"/>
        <v>1309.1420292352082</v>
      </c>
      <c r="BB128" s="300">
        <f t="shared" si="62"/>
        <v>1309.1420292352082</v>
      </c>
      <c r="BC128" s="301">
        <f t="shared" si="63"/>
        <v>5236.5681169408326</v>
      </c>
      <c r="BD128" s="295" t="s">
        <v>764</v>
      </c>
      <c r="BE128" s="302" t="str">
        <f t="shared" si="64"/>
        <v>Exhibit 1.5A_R North Shore EEPS_Adjustable_Savings_Goal_Template.xlsx, Pipe Insulation Detail Tab</v>
      </c>
      <c r="BF128" s="304"/>
    </row>
    <row r="129" spans="1:58" ht="15.75" customHeight="1">
      <c r="A129" s="295" t="str">
        <f>'Unit Savings Calculations'!C125</f>
        <v>Res - MF PTA Rebates</v>
      </c>
      <c r="B129" s="295" t="str">
        <f>'Unit Savings Calculations'!D125</f>
        <v>Pipe Insulation - Steam - Med 2.1" to 5"</v>
      </c>
      <c r="C129" s="296">
        <f t="shared" si="66"/>
        <v>1</v>
      </c>
      <c r="D129" s="295" t="str">
        <f>'Unit Savings Calculations'!T125</f>
        <v>4.4.14</v>
      </c>
      <c r="E129" s="460">
        <f>INDEX('Unit Savings Calculations'!$H$4:$H$421,MATCH('Measure-Level Adjustments Tab'!$A129&amp;"_"&amp;'Measure-Level Adjustments Tab'!$B129,'Unit Savings Calculations'!$A$4:$A$421,0))</f>
        <v>15</v>
      </c>
      <c r="F129" s="460">
        <f>INDEX('Unit Savings Calculations'!$I$4:$I$421,MATCH('Measure-Level Adjustments Tab'!A129&amp;"_"&amp;'Measure-Level Adjustments Tab'!B129,'Unit Savings Calculations'!$A$4:$A$421,0))</f>
        <v>15</v>
      </c>
      <c r="G129" s="295" t="str">
        <f>'Unit Savings Calculations'!E125</f>
        <v>ft</v>
      </c>
      <c r="H129" s="297">
        <f>'Unit Savings Calculations'!$F125*'Unit Savings Calculations'!J125</f>
        <v>150</v>
      </c>
      <c r="I129" s="297">
        <f>'Unit Savings Calculations'!$F125*'Unit Savings Calculations'!K125</f>
        <v>150</v>
      </c>
      <c r="J129" s="297">
        <f>'Unit Savings Calculations'!$F125*'Unit Savings Calculations'!L125</f>
        <v>150</v>
      </c>
      <c r="K129" s="297">
        <f>'Unit Savings Calculations'!$F125*'Unit Savings Calculations'!M125</f>
        <v>150</v>
      </c>
      <c r="L129" s="295" t="str">
        <f>'Unit Savings Calculations'!U125</f>
        <v>CI-HVC-PINS-V04-160601</v>
      </c>
      <c r="M129" s="405" t="str">
        <f>'Unit Savings Calculations'!R125</f>
        <v>Exhibit 1.5A_R North Shore EEPS_Adjustable_Savings_Goal_Template.xlsx, Pipe Insulation Detail Tab</v>
      </c>
      <c r="N129" s="298">
        <v>13.577404706790121</v>
      </c>
      <c r="O129" s="298">
        <v>13.577404706790121</v>
      </c>
      <c r="P129" s="298">
        <v>13.577404706790121</v>
      </c>
      <c r="Q129" s="298">
        <v>13.577404706790121</v>
      </c>
      <c r="R129" s="299">
        <f>'Unit Savings Calculations'!$G125</f>
        <v>0.88</v>
      </c>
      <c r="S129" s="299">
        <f>'Unit Savings Calculations'!$G125</f>
        <v>0.88</v>
      </c>
      <c r="T129" s="299">
        <f>'Unit Savings Calculations'!$G125</f>
        <v>0.88</v>
      </c>
      <c r="U129" s="299">
        <f>'Unit Savings Calculations'!$G125</f>
        <v>0.88</v>
      </c>
      <c r="V129" s="300">
        <f t="shared" si="67"/>
        <v>1792.2174212962959</v>
      </c>
      <c r="W129" s="300">
        <f t="shared" si="68"/>
        <v>1792.2174212962959</v>
      </c>
      <c r="X129" s="300">
        <f t="shared" si="69"/>
        <v>1792.2174212962959</v>
      </c>
      <c r="Y129" s="300">
        <f t="shared" si="70"/>
        <v>1792.2174212962959</v>
      </c>
      <c r="Z129" s="300">
        <f t="shared" si="71"/>
        <v>7168.8696851851837</v>
      </c>
      <c r="AA129" s="295"/>
      <c r="AB129" s="295"/>
      <c r="AC129" s="298">
        <f>'Unit Savings Calculations'!N125</f>
        <v>13.577404706790121</v>
      </c>
      <c r="AD129" s="295"/>
      <c r="AE129" s="300">
        <f t="shared" si="49"/>
        <v>1792.2174212962959</v>
      </c>
      <c r="AF129" s="297">
        <f t="shared" si="50"/>
        <v>0</v>
      </c>
      <c r="AG129" s="295"/>
      <c r="AH129" s="295">
        <f t="shared" si="51"/>
        <v>0</v>
      </c>
      <c r="AI129" s="298">
        <f>'Unit Savings Calculations'!O125</f>
        <v>13.577404706790121</v>
      </c>
      <c r="AJ129" s="405" t="s">
        <v>879</v>
      </c>
      <c r="AK129" s="300">
        <f t="shared" si="52"/>
        <v>1792.2174212962959</v>
      </c>
      <c r="AL129" s="297">
        <f t="shared" si="53"/>
        <v>0</v>
      </c>
      <c r="AM129" s="295"/>
      <c r="AN129" s="295"/>
      <c r="AO129" s="298">
        <f>'Unit Savings Calculations'!P125</f>
        <v>13.577404706790121</v>
      </c>
      <c r="AP129" s="405" t="s">
        <v>764</v>
      </c>
      <c r="AQ129" s="300">
        <f t="shared" si="54"/>
        <v>1792.2174212962959</v>
      </c>
      <c r="AR129" s="297">
        <f t="shared" si="55"/>
        <v>0</v>
      </c>
      <c r="AS129" s="295"/>
      <c r="AT129" s="295"/>
      <c r="AU129" s="298">
        <f>'Unit Savings Calculations'!Q125</f>
        <v>13.577404706790121</v>
      </c>
      <c r="AV129" s="405" t="str">
        <f t="shared" si="56"/>
        <v>n/a</v>
      </c>
      <c r="AW129" s="300">
        <f t="shared" si="57"/>
        <v>1792.2174212962959</v>
      </c>
      <c r="AX129" s="297">
        <f t="shared" si="58"/>
        <v>0</v>
      </c>
      <c r="AY129" s="300">
        <f t="shared" si="59"/>
        <v>1792.2174212962959</v>
      </c>
      <c r="AZ129" s="300">
        <f t="shared" si="60"/>
        <v>1792.2174212962959</v>
      </c>
      <c r="BA129" s="300">
        <f t="shared" si="61"/>
        <v>1792.2174212962959</v>
      </c>
      <c r="BB129" s="300">
        <f t="shared" si="62"/>
        <v>1792.2174212962959</v>
      </c>
      <c r="BC129" s="301">
        <f t="shared" si="63"/>
        <v>7168.8696851851837</v>
      </c>
      <c r="BD129" s="295" t="s">
        <v>764</v>
      </c>
      <c r="BE129" s="302" t="str">
        <f t="shared" si="64"/>
        <v>Exhibit 1.5A_R North Shore EEPS_Adjustable_Savings_Goal_Template.xlsx, Pipe Insulation Detail Tab</v>
      </c>
      <c r="BF129" s="304"/>
    </row>
    <row r="130" spans="1:58" ht="15.75" customHeight="1">
      <c r="A130" s="295" t="str">
        <f>'Unit Savings Calculations'!C126</f>
        <v>Res - MF PTA Rebates</v>
      </c>
      <c r="B130" s="295" t="str">
        <f>'Unit Savings Calculations'!D126</f>
        <v>Pipe Insulation - Steam - Large 5.1" to 8"</v>
      </c>
      <c r="C130" s="296">
        <f t="shared" si="66"/>
        <v>1</v>
      </c>
      <c r="D130" s="295" t="str">
        <f>'Unit Savings Calculations'!T126</f>
        <v>4.4.14</v>
      </c>
      <c r="E130" s="460">
        <f>INDEX('Unit Savings Calculations'!$H$4:$H$421,MATCH('Measure-Level Adjustments Tab'!$A130&amp;"_"&amp;'Measure-Level Adjustments Tab'!$B130,'Unit Savings Calculations'!$A$4:$A$421,0))</f>
        <v>15</v>
      </c>
      <c r="F130" s="460">
        <f>INDEX('Unit Savings Calculations'!$I$4:$I$421,MATCH('Measure-Level Adjustments Tab'!A130&amp;"_"&amp;'Measure-Level Adjustments Tab'!B130,'Unit Savings Calculations'!$A$4:$A$421,0))</f>
        <v>15</v>
      </c>
      <c r="G130" s="295" t="str">
        <f>'Unit Savings Calculations'!E126</f>
        <v>ft</v>
      </c>
      <c r="H130" s="297">
        <f>'Unit Savings Calculations'!$F126*'Unit Savings Calculations'!J126</f>
        <v>0</v>
      </c>
      <c r="I130" s="297">
        <f>'Unit Savings Calculations'!$F126*'Unit Savings Calculations'!K126</f>
        <v>0</v>
      </c>
      <c r="J130" s="297">
        <f>'Unit Savings Calculations'!$F126*'Unit Savings Calculations'!L126</f>
        <v>0</v>
      </c>
      <c r="K130" s="297">
        <f>'Unit Savings Calculations'!$F126*'Unit Savings Calculations'!M126</f>
        <v>0</v>
      </c>
      <c r="L130" s="295" t="str">
        <f>'Unit Savings Calculations'!U126</f>
        <v>CI-HVC-PINS-V04-160601</v>
      </c>
      <c r="M130" s="405" t="str">
        <f>'Unit Savings Calculations'!R126</f>
        <v>Exhibit 1.5A_R North Shore EEPS_Adjustable_Savings_Goal_Template.xlsx, Pipe Insulation Detail Tab</v>
      </c>
      <c r="N130" s="298">
        <v>30.207245887345675</v>
      </c>
      <c r="O130" s="298">
        <v>30.207245887345675</v>
      </c>
      <c r="P130" s="298">
        <v>30.207245887345675</v>
      </c>
      <c r="Q130" s="298">
        <v>30.207245887345675</v>
      </c>
      <c r="R130" s="299">
        <f>'Unit Savings Calculations'!$G126</f>
        <v>0.88</v>
      </c>
      <c r="S130" s="299">
        <f>'Unit Savings Calculations'!$G126</f>
        <v>0.88</v>
      </c>
      <c r="T130" s="299">
        <f>'Unit Savings Calculations'!$G126</f>
        <v>0.88</v>
      </c>
      <c r="U130" s="299">
        <f>'Unit Savings Calculations'!$G126</f>
        <v>0.88</v>
      </c>
      <c r="V130" s="300">
        <f t="shared" si="67"/>
        <v>0</v>
      </c>
      <c r="W130" s="300">
        <f t="shared" si="68"/>
        <v>0</v>
      </c>
      <c r="X130" s="300">
        <f t="shared" si="69"/>
        <v>0</v>
      </c>
      <c r="Y130" s="300">
        <f t="shared" si="70"/>
        <v>0</v>
      </c>
      <c r="Z130" s="300">
        <f t="shared" si="71"/>
        <v>0</v>
      </c>
      <c r="AA130" s="295"/>
      <c r="AB130" s="295"/>
      <c r="AC130" s="298">
        <f>'Unit Savings Calculations'!N126</f>
        <v>30.207245887345675</v>
      </c>
      <c r="AD130" s="295"/>
      <c r="AE130" s="300">
        <f t="shared" si="49"/>
        <v>0</v>
      </c>
      <c r="AF130" s="297">
        <f t="shared" si="50"/>
        <v>0</v>
      </c>
      <c r="AG130" s="295"/>
      <c r="AH130" s="295">
        <f t="shared" si="51"/>
        <v>0</v>
      </c>
      <c r="AI130" s="298">
        <f>'Unit Savings Calculations'!O126</f>
        <v>30.207245887345675</v>
      </c>
      <c r="AJ130" s="405" t="s">
        <v>879</v>
      </c>
      <c r="AK130" s="300">
        <f t="shared" si="52"/>
        <v>0</v>
      </c>
      <c r="AL130" s="297">
        <f t="shared" si="53"/>
        <v>0</v>
      </c>
      <c r="AM130" s="295"/>
      <c r="AN130" s="295"/>
      <c r="AO130" s="298">
        <f>'Unit Savings Calculations'!P126</f>
        <v>30.207245887345675</v>
      </c>
      <c r="AP130" s="405" t="s">
        <v>764</v>
      </c>
      <c r="AQ130" s="300">
        <f t="shared" si="54"/>
        <v>0</v>
      </c>
      <c r="AR130" s="297">
        <f t="shared" si="55"/>
        <v>0</v>
      </c>
      <c r="AS130" s="295"/>
      <c r="AT130" s="295"/>
      <c r="AU130" s="298">
        <f>'Unit Savings Calculations'!Q126</f>
        <v>30.207245887345675</v>
      </c>
      <c r="AV130" s="405" t="str">
        <f t="shared" si="56"/>
        <v>n/a</v>
      </c>
      <c r="AW130" s="300">
        <f t="shared" si="57"/>
        <v>0</v>
      </c>
      <c r="AX130" s="297">
        <f t="shared" si="58"/>
        <v>0</v>
      </c>
      <c r="AY130" s="300">
        <f t="shared" si="59"/>
        <v>0</v>
      </c>
      <c r="AZ130" s="300">
        <f t="shared" si="60"/>
        <v>0</v>
      </c>
      <c r="BA130" s="300">
        <f t="shared" si="61"/>
        <v>0</v>
      </c>
      <c r="BB130" s="300">
        <f t="shared" si="62"/>
        <v>0</v>
      </c>
      <c r="BC130" s="301">
        <f t="shared" si="63"/>
        <v>0</v>
      </c>
      <c r="BD130" s="295" t="s">
        <v>764</v>
      </c>
      <c r="BE130" s="302" t="str">
        <f t="shared" si="64"/>
        <v>Exhibit 1.5A_R North Shore EEPS_Adjustable_Savings_Goal_Template.xlsx, Pipe Insulation Detail Tab</v>
      </c>
      <c r="BF130" s="304"/>
    </row>
    <row r="131" spans="1:58" ht="15.75" customHeight="1">
      <c r="A131" s="295" t="str">
        <f>'Unit Savings Calculations'!C127</f>
        <v>Res - MF PTA Rebates</v>
      </c>
      <c r="B131" s="295" t="str">
        <f>'Unit Savings Calculations'!D127</f>
        <v>Pipe Insulation - Steam - X-Large &gt;8"</v>
      </c>
      <c r="C131" s="296">
        <f t="shared" si="66"/>
        <v>1</v>
      </c>
      <c r="D131" s="295" t="str">
        <f>'Unit Savings Calculations'!T127</f>
        <v>4.4.14</v>
      </c>
      <c r="E131" s="460">
        <f>INDEX('Unit Savings Calculations'!$H$4:$H$421,MATCH('Measure-Level Adjustments Tab'!$A131&amp;"_"&amp;'Measure-Level Adjustments Tab'!$B131,'Unit Savings Calculations'!$A$4:$A$421,0))</f>
        <v>15</v>
      </c>
      <c r="F131" s="460">
        <f>INDEX('Unit Savings Calculations'!$I$4:$I$421,MATCH('Measure-Level Adjustments Tab'!A131&amp;"_"&amp;'Measure-Level Adjustments Tab'!B131,'Unit Savings Calculations'!$A$4:$A$421,0))</f>
        <v>15</v>
      </c>
      <c r="G131" s="295" t="str">
        <f>'Unit Savings Calculations'!E127</f>
        <v>ft</v>
      </c>
      <c r="H131" s="297">
        <f>'Unit Savings Calculations'!$F127*'Unit Savings Calculations'!J127</f>
        <v>0</v>
      </c>
      <c r="I131" s="297">
        <f>'Unit Savings Calculations'!$F127*'Unit Savings Calculations'!K127</f>
        <v>0</v>
      </c>
      <c r="J131" s="297">
        <f>'Unit Savings Calculations'!$F127*'Unit Savings Calculations'!L127</f>
        <v>0</v>
      </c>
      <c r="K131" s="297">
        <f>'Unit Savings Calculations'!$F127*'Unit Savings Calculations'!M127</f>
        <v>0</v>
      </c>
      <c r="L131" s="295" t="str">
        <f>'Unit Savings Calculations'!U127</f>
        <v>CI-HVC-PINS-V04-160601</v>
      </c>
      <c r="M131" s="405" t="str">
        <f>'Unit Savings Calculations'!R127</f>
        <v>Exhibit 1.5A_R North Shore EEPS_Adjustable_Savings_Goal_Template.xlsx, Pipe Insulation Detail Tab</v>
      </c>
      <c r="N131" s="298">
        <v>44.814401171573145</v>
      </c>
      <c r="O131" s="298">
        <v>44.814401171573145</v>
      </c>
      <c r="P131" s="298">
        <v>44.814401171573145</v>
      </c>
      <c r="Q131" s="298">
        <v>44.814401171573145</v>
      </c>
      <c r="R131" s="299">
        <f>'Unit Savings Calculations'!$G127</f>
        <v>0.88</v>
      </c>
      <c r="S131" s="299">
        <f>'Unit Savings Calculations'!$G127</f>
        <v>0.88</v>
      </c>
      <c r="T131" s="299">
        <f>'Unit Savings Calculations'!$G127</f>
        <v>0.88</v>
      </c>
      <c r="U131" s="299">
        <f>'Unit Savings Calculations'!$G127</f>
        <v>0.88</v>
      </c>
      <c r="V131" s="300">
        <f t="shared" si="67"/>
        <v>0</v>
      </c>
      <c r="W131" s="300">
        <f t="shared" si="68"/>
        <v>0</v>
      </c>
      <c r="X131" s="300">
        <f t="shared" si="69"/>
        <v>0</v>
      </c>
      <c r="Y131" s="300">
        <f t="shared" si="70"/>
        <v>0</v>
      </c>
      <c r="Z131" s="300">
        <f t="shared" si="71"/>
        <v>0</v>
      </c>
      <c r="AA131" s="295"/>
      <c r="AB131" s="295"/>
      <c r="AC131" s="298">
        <f>'Unit Savings Calculations'!N127</f>
        <v>44.814401171573145</v>
      </c>
      <c r="AD131" s="295"/>
      <c r="AE131" s="300">
        <f t="shared" si="49"/>
        <v>0</v>
      </c>
      <c r="AF131" s="297">
        <f t="shared" si="50"/>
        <v>0</v>
      </c>
      <c r="AG131" s="295"/>
      <c r="AH131" s="295">
        <f t="shared" si="51"/>
        <v>0</v>
      </c>
      <c r="AI131" s="298">
        <f>'Unit Savings Calculations'!O127</f>
        <v>44.814401171573145</v>
      </c>
      <c r="AJ131" s="405" t="s">
        <v>879</v>
      </c>
      <c r="AK131" s="300">
        <f t="shared" si="52"/>
        <v>0</v>
      </c>
      <c r="AL131" s="297">
        <f t="shared" si="53"/>
        <v>0</v>
      </c>
      <c r="AM131" s="295"/>
      <c r="AN131" s="295"/>
      <c r="AO131" s="298">
        <f>'Unit Savings Calculations'!P127</f>
        <v>44.814401171573145</v>
      </c>
      <c r="AP131" s="405" t="s">
        <v>764</v>
      </c>
      <c r="AQ131" s="300">
        <f t="shared" si="54"/>
        <v>0</v>
      </c>
      <c r="AR131" s="297">
        <f t="shared" si="55"/>
        <v>0</v>
      </c>
      <c r="AS131" s="295"/>
      <c r="AT131" s="295"/>
      <c r="AU131" s="298">
        <f>'Unit Savings Calculations'!Q127</f>
        <v>44.814401171573145</v>
      </c>
      <c r="AV131" s="405" t="str">
        <f t="shared" si="56"/>
        <v>n/a</v>
      </c>
      <c r="AW131" s="300">
        <f t="shared" si="57"/>
        <v>0</v>
      </c>
      <c r="AX131" s="297">
        <f t="shared" si="58"/>
        <v>0</v>
      </c>
      <c r="AY131" s="300">
        <f t="shared" si="59"/>
        <v>0</v>
      </c>
      <c r="AZ131" s="300">
        <f t="shared" si="60"/>
        <v>0</v>
      </c>
      <c r="BA131" s="300">
        <f t="shared" si="61"/>
        <v>0</v>
      </c>
      <c r="BB131" s="300">
        <f t="shared" si="62"/>
        <v>0</v>
      </c>
      <c r="BC131" s="301">
        <f t="shared" si="63"/>
        <v>0</v>
      </c>
      <c r="BD131" s="295" t="s">
        <v>764</v>
      </c>
      <c r="BE131" s="302" t="str">
        <f t="shared" si="64"/>
        <v>Exhibit 1.5A_R North Shore EEPS_Adjustable_Savings_Goal_Template.xlsx, Pipe Insulation Detail Tab</v>
      </c>
      <c r="BF131" s="304"/>
    </row>
    <row r="132" spans="1:58" ht="15.75" customHeight="1">
      <c r="A132" s="295" t="str">
        <f>'Unit Savings Calculations'!C128</f>
        <v>Res - MF PTA Rebates</v>
      </c>
      <c r="B132" s="295" t="str">
        <f>'Unit Savings Calculations'!D128</f>
        <v>Pipe Insulation - Steam Med Fitting</v>
      </c>
      <c r="C132" s="296">
        <f t="shared" si="66"/>
        <v>1</v>
      </c>
      <c r="D132" s="295" t="str">
        <f>'Unit Savings Calculations'!T128</f>
        <v>4.4.14</v>
      </c>
      <c r="E132" s="460">
        <f>INDEX('Unit Savings Calculations'!$H$4:$H$421,MATCH('Measure-Level Adjustments Tab'!$A132&amp;"_"&amp;'Measure-Level Adjustments Tab'!$B132,'Unit Savings Calculations'!$A$4:$A$421,0))</f>
        <v>15</v>
      </c>
      <c r="F132" s="460">
        <f>INDEX('Unit Savings Calculations'!$I$4:$I$421,MATCH('Measure-Level Adjustments Tab'!A132&amp;"_"&amp;'Measure-Level Adjustments Tab'!B132,'Unit Savings Calculations'!$A$4:$A$421,0))</f>
        <v>15</v>
      </c>
      <c r="G132" s="295" t="str">
        <f>'Unit Savings Calculations'!E128</f>
        <v>each</v>
      </c>
      <c r="H132" s="297">
        <f>'Unit Savings Calculations'!$F128*'Unit Savings Calculations'!J128</f>
        <v>0</v>
      </c>
      <c r="I132" s="297">
        <f>'Unit Savings Calculations'!$F128*'Unit Savings Calculations'!K128</f>
        <v>0</v>
      </c>
      <c r="J132" s="297">
        <f>'Unit Savings Calculations'!$F128*'Unit Savings Calculations'!L128</f>
        <v>0</v>
      </c>
      <c r="K132" s="297">
        <f>'Unit Savings Calculations'!$F128*'Unit Savings Calculations'!M128</f>
        <v>0</v>
      </c>
      <c r="L132" s="295" t="str">
        <f>'Unit Savings Calculations'!U128</f>
        <v>CI-HVC-PINS-V04-160601</v>
      </c>
      <c r="M132" s="405" t="str">
        <f>'Unit Savings Calculations'!R128</f>
        <v>Exhibit 1.5A_R North Shore EEPS_Adjustable_Savings_Goal_Template.xlsx, Pipe Insulation Detail Tab</v>
      </c>
      <c r="N132" s="298">
        <v>15.586033402860688</v>
      </c>
      <c r="O132" s="298">
        <v>15.586033402860688</v>
      </c>
      <c r="P132" s="298">
        <v>15.586033402860688</v>
      </c>
      <c r="Q132" s="298">
        <v>15.586033402860688</v>
      </c>
      <c r="R132" s="299">
        <f>'Unit Savings Calculations'!$G128</f>
        <v>0.88</v>
      </c>
      <c r="S132" s="299">
        <f>'Unit Savings Calculations'!$G128</f>
        <v>0.88</v>
      </c>
      <c r="T132" s="299">
        <f>'Unit Savings Calculations'!$G128</f>
        <v>0.88</v>
      </c>
      <c r="U132" s="299">
        <f>'Unit Savings Calculations'!$G128</f>
        <v>0.88</v>
      </c>
      <c r="V132" s="300">
        <f t="shared" si="67"/>
        <v>0</v>
      </c>
      <c r="W132" s="300">
        <f t="shared" si="68"/>
        <v>0</v>
      </c>
      <c r="X132" s="300">
        <f t="shared" si="69"/>
        <v>0</v>
      </c>
      <c r="Y132" s="300">
        <f t="shared" si="70"/>
        <v>0</v>
      </c>
      <c r="Z132" s="300">
        <f t="shared" si="71"/>
        <v>0</v>
      </c>
      <c r="AA132" s="295"/>
      <c r="AB132" s="295"/>
      <c r="AC132" s="298">
        <f>'Unit Savings Calculations'!N128</f>
        <v>15.586033402860688</v>
      </c>
      <c r="AD132" s="295"/>
      <c r="AE132" s="300">
        <f t="shared" si="49"/>
        <v>0</v>
      </c>
      <c r="AF132" s="297">
        <f t="shared" si="50"/>
        <v>0</v>
      </c>
      <c r="AG132" s="295"/>
      <c r="AH132" s="295">
        <f t="shared" si="51"/>
        <v>0</v>
      </c>
      <c r="AI132" s="298">
        <f>'Unit Savings Calculations'!O128</f>
        <v>15.586033402860688</v>
      </c>
      <c r="AJ132" s="405" t="s">
        <v>879</v>
      </c>
      <c r="AK132" s="300">
        <f t="shared" si="52"/>
        <v>0</v>
      </c>
      <c r="AL132" s="297">
        <f t="shared" si="53"/>
        <v>0</v>
      </c>
      <c r="AM132" s="295"/>
      <c r="AN132" s="295"/>
      <c r="AO132" s="298">
        <f>'Unit Savings Calculations'!P128</f>
        <v>15.586033402860688</v>
      </c>
      <c r="AP132" s="405" t="s">
        <v>764</v>
      </c>
      <c r="AQ132" s="300">
        <f t="shared" si="54"/>
        <v>0</v>
      </c>
      <c r="AR132" s="297">
        <f t="shared" si="55"/>
        <v>0</v>
      </c>
      <c r="AS132" s="295"/>
      <c r="AT132" s="295"/>
      <c r="AU132" s="298">
        <f>'Unit Savings Calculations'!Q128</f>
        <v>15.586033402860688</v>
      </c>
      <c r="AV132" s="405" t="str">
        <f t="shared" si="56"/>
        <v>n/a</v>
      </c>
      <c r="AW132" s="300">
        <f t="shared" si="57"/>
        <v>0</v>
      </c>
      <c r="AX132" s="297">
        <f t="shared" si="58"/>
        <v>0</v>
      </c>
      <c r="AY132" s="300">
        <f t="shared" si="59"/>
        <v>0</v>
      </c>
      <c r="AZ132" s="300">
        <f t="shared" si="60"/>
        <v>0</v>
      </c>
      <c r="BA132" s="300">
        <f t="shared" si="61"/>
        <v>0</v>
      </c>
      <c r="BB132" s="300">
        <f t="shared" si="62"/>
        <v>0</v>
      </c>
      <c r="BC132" s="301">
        <f t="shared" si="63"/>
        <v>0</v>
      </c>
      <c r="BD132" s="295" t="s">
        <v>764</v>
      </c>
      <c r="BE132" s="302" t="str">
        <f t="shared" si="64"/>
        <v>Exhibit 1.5A_R North Shore EEPS_Adjustable_Savings_Goal_Template.xlsx, Pipe Insulation Detail Tab</v>
      </c>
      <c r="BF132" s="304"/>
    </row>
    <row r="133" spans="1:58" ht="15.75" customHeight="1">
      <c r="A133" s="295" t="str">
        <f>'Unit Savings Calculations'!C129</f>
        <v>Res - MF PTA Rebates</v>
      </c>
      <c r="B133" s="295" t="str">
        <f>'Unit Savings Calculations'!D129</f>
        <v>Pipe Insulation - Steam Large Fitting</v>
      </c>
      <c r="C133" s="296">
        <f t="shared" si="66"/>
        <v>1</v>
      </c>
      <c r="D133" s="295" t="str">
        <f>'Unit Savings Calculations'!T129</f>
        <v>4.4.14</v>
      </c>
      <c r="E133" s="460">
        <f>INDEX('Unit Savings Calculations'!$H$4:$H$421,MATCH('Measure-Level Adjustments Tab'!$A133&amp;"_"&amp;'Measure-Level Adjustments Tab'!$B133,'Unit Savings Calculations'!$A$4:$A$421,0))</f>
        <v>15</v>
      </c>
      <c r="F133" s="460">
        <f>INDEX('Unit Savings Calculations'!$I$4:$I$421,MATCH('Measure-Level Adjustments Tab'!A133&amp;"_"&amp;'Measure-Level Adjustments Tab'!B133,'Unit Savings Calculations'!$A$4:$A$421,0))</f>
        <v>15</v>
      </c>
      <c r="G133" s="295" t="str">
        <f>'Unit Savings Calculations'!E129</f>
        <v>each</v>
      </c>
      <c r="H133" s="297">
        <f>'Unit Savings Calculations'!$F129*'Unit Savings Calculations'!J129</f>
        <v>0</v>
      </c>
      <c r="I133" s="297">
        <f>'Unit Savings Calculations'!$F129*'Unit Savings Calculations'!K129</f>
        <v>0</v>
      </c>
      <c r="J133" s="297">
        <f>'Unit Savings Calculations'!$F129*'Unit Savings Calculations'!L129</f>
        <v>0</v>
      </c>
      <c r="K133" s="297">
        <f>'Unit Savings Calculations'!$F129*'Unit Savings Calculations'!M129</f>
        <v>0</v>
      </c>
      <c r="L133" s="295" t="str">
        <f>'Unit Savings Calculations'!U129</f>
        <v>CI-HVC-PINS-V04-160601</v>
      </c>
      <c r="M133" s="405" t="str">
        <f>'Unit Savings Calculations'!R129</f>
        <v>Exhibit 1.5A_R North Shore EEPS_Adjustable_Savings_Goal_Template.xlsx, Pipe Insulation Detail Tab</v>
      </c>
      <c r="N133" s="298">
        <v>63.824627950912159</v>
      </c>
      <c r="O133" s="298">
        <v>63.824627950912159</v>
      </c>
      <c r="P133" s="298">
        <v>63.824627950912159</v>
      </c>
      <c r="Q133" s="298">
        <v>63.824627950912159</v>
      </c>
      <c r="R133" s="299">
        <f>'Unit Savings Calculations'!$G129</f>
        <v>0.88</v>
      </c>
      <c r="S133" s="299">
        <f>'Unit Savings Calculations'!$G129</f>
        <v>0.88</v>
      </c>
      <c r="T133" s="299">
        <f>'Unit Savings Calculations'!$G129</f>
        <v>0.88</v>
      </c>
      <c r="U133" s="299">
        <f>'Unit Savings Calculations'!$G129</f>
        <v>0.88</v>
      </c>
      <c r="V133" s="300">
        <f t="shared" si="67"/>
        <v>0</v>
      </c>
      <c r="W133" s="300">
        <f t="shared" si="68"/>
        <v>0</v>
      </c>
      <c r="X133" s="300">
        <f t="shared" si="69"/>
        <v>0</v>
      </c>
      <c r="Y133" s="300">
        <f t="shared" si="70"/>
        <v>0</v>
      </c>
      <c r="Z133" s="300">
        <f t="shared" si="71"/>
        <v>0</v>
      </c>
      <c r="AA133" s="295"/>
      <c r="AB133" s="295"/>
      <c r="AC133" s="298">
        <f>'Unit Savings Calculations'!N129</f>
        <v>63.824627950912159</v>
      </c>
      <c r="AD133" s="295"/>
      <c r="AE133" s="300">
        <f t="shared" si="49"/>
        <v>0</v>
      </c>
      <c r="AF133" s="297">
        <f t="shared" si="50"/>
        <v>0</v>
      </c>
      <c r="AG133" s="295"/>
      <c r="AH133" s="295">
        <f t="shared" si="51"/>
        <v>0</v>
      </c>
      <c r="AI133" s="298">
        <f>'Unit Savings Calculations'!O129</f>
        <v>63.824627950912159</v>
      </c>
      <c r="AJ133" s="405" t="s">
        <v>879</v>
      </c>
      <c r="AK133" s="300">
        <f t="shared" si="52"/>
        <v>0</v>
      </c>
      <c r="AL133" s="297">
        <f t="shared" si="53"/>
        <v>0</v>
      </c>
      <c r="AM133" s="295"/>
      <c r="AN133" s="295"/>
      <c r="AO133" s="298">
        <f>'Unit Savings Calculations'!P129</f>
        <v>63.824627950912159</v>
      </c>
      <c r="AP133" s="405" t="s">
        <v>764</v>
      </c>
      <c r="AQ133" s="300">
        <f t="shared" si="54"/>
        <v>0</v>
      </c>
      <c r="AR133" s="297">
        <f t="shared" si="55"/>
        <v>0</v>
      </c>
      <c r="AS133" s="295"/>
      <c r="AT133" s="295"/>
      <c r="AU133" s="298">
        <f>'Unit Savings Calculations'!Q129</f>
        <v>63.824627950912159</v>
      </c>
      <c r="AV133" s="405" t="str">
        <f t="shared" si="56"/>
        <v>n/a</v>
      </c>
      <c r="AW133" s="300">
        <f t="shared" si="57"/>
        <v>0</v>
      </c>
      <c r="AX133" s="297">
        <f t="shared" si="58"/>
        <v>0</v>
      </c>
      <c r="AY133" s="300">
        <f t="shared" si="59"/>
        <v>0</v>
      </c>
      <c r="AZ133" s="300">
        <f t="shared" si="60"/>
        <v>0</v>
      </c>
      <c r="BA133" s="300">
        <f t="shared" si="61"/>
        <v>0</v>
      </c>
      <c r="BB133" s="300">
        <f t="shared" si="62"/>
        <v>0</v>
      </c>
      <c r="BC133" s="301">
        <f t="shared" si="63"/>
        <v>0</v>
      </c>
      <c r="BD133" s="295" t="s">
        <v>764</v>
      </c>
      <c r="BE133" s="302" t="str">
        <f t="shared" si="64"/>
        <v>Exhibit 1.5A_R North Shore EEPS_Adjustable_Savings_Goal_Template.xlsx, Pipe Insulation Detail Tab</v>
      </c>
      <c r="BF133" s="304"/>
    </row>
    <row r="134" spans="1:58" ht="15.75" customHeight="1">
      <c r="A134" s="295" t="str">
        <f>'Unit Savings Calculations'!C130</f>
        <v>Res - MF PTA Rebates</v>
      </c>
      <c r="B134" s="295" t="str">
        <f>'Unit Savings Calculations'!D130</f>
        <v>Pipe Insulation - Steam X-Large Fitting</v>
      </c>
      <c r="C134" s="296">
        <f t="shared" si="66"/>
        <v>1</v>
      </c>
      <c r="D134" s="295" t="str">
        <f>'Unit Savings Calculations'!T130</f>
        <v>4.4.14</v>
      </c>
      <c r="E134" s="460">
        <f>INDEX('Unit Savings Calculations'!$H$4:$H$421,MATCH('Measure-Level Adjustments Tab'!$A134&amp;"_"&amp;'Measure-Level Adjustments Tab'!$B134,'Unit Savings Calculations'!$A$4:$A$421,0))</f>
        <v>15</v>
      </c>
      <c r="F134" s="460">
        <f>INDEX('Unit Savings Calculations'!$I$4:$I$421,MATCH('Measure-Level Adjustments Tab'!A134&amp;"_"&amp;'Measure-Level Adjustments Tab'!B134,'Unit Savings Calculations'!$A$4:$A$421,0))</f>
        <v>15</v>
      </c>
      <c r="G134" s="295" t="str">
        <f>'Unit Savings Calculations'!E130</f>
        <v>each</v>
      </c>
      <c r="H134" s="297">
        <f>'Unit Savings Calculations'!$F130*'Unit Savings Calculations'!J130</f>
        <v>0</v>
      </c>
      <c r="I134" s="297">
        <f>'Unit Savings Calculations'!$F130*'Unit Savings Calculations'!K130</f>
        <v>0</v>
      </c>
      <c r="J134" s="297">
        <f>'Unit Savings Calculations'!$F130*'Unit Savings Calculations'!L130</f>
        <v>0</v>
      </c>
      <c r="K134" s="297">
        <f>'Unit Savings Calculations'!$F130*'Unit Savings Calculations'!M130</f>
        <v>0</v>
      </c>
      <c r="L134" s="295" t="str">
        <f>'Unit Savings Calculations'!U130</f>
        <v>CI-HVC-PINS-V04-160601</v>
      </c>
      <c r="M134" s="405" t="str">
        <f>'Unit Savings Calculations'!R130</f>
        <v>Exhibit 1.5A_R North Shore EEPS_Adjustable_Savings_Goal_Template.xlsx, Pipe Insulation Detail Tab</v>
      </c>
      <c r="N134" s="298">
        <v>123.46367522768401</v>
      </c>
      <c r="O134" s="298">
        <v>123.46367522768401</v>
      </c>
      <c r="P134" s="298">
        <v>123.46367522768401</v>
      </c>
      <c r="Q134" s="298">
        <v>123.46367522768401</v>
      </c>
      <c r="R134" s="299">
        <f>'Unit Savings Calculations'!$G130</f>
        <v>0.88</v>
      </c>
      <c r="S134" s="299">
        <f>'Unit Savings Calculations'!$G130</f>
        <v>0.88</v>
      </c>
      <c r="T134" s="299">
        <f>'Unit Savings Calculations'!$G130</f>
        <v>0.88</v>
      </c>
      <c r="U134" s="299">
        <f>'Unit Savings Calculations'!$G130</f>
        <v>0.88</v>
      </c>
      <c r="V134" s="300">
        <f t="shared" si="67"/>
        <v>0</v>
      </c>
      <c r="W134" s="300">
        <f t="shared" si="68"/>
        <v>0</v>
      </c>
      <c r="X134" s="300">
        <f t="shared" si="69"/>
        <v>0</v>
      </c>
      <c r="Y134" s="300">
        <f t="shared" si="70"/>
        <v>0</v>
      </c>
      <c r="Z134" s="300">
        <f t="shared" si="71"/>
        <v>0</v>
      </c>
      <c r="AA134" s="295"/>
      <c r="AB134" s="295"/>
      <c r="AC134" s="298">
        <f>'Unit Savings Calculations'!N130</f>
        <v>123.46367522768401</v>
      </c>
      <c r="AD134" s="295"/>
      <c r="AE134" s="300">
        <f t="shared" si="49"/>
        <v>0</v>
      </c>
      <c r="AF134" s="297">
        <f t="shared" si="50"/>
        <v>0</v>
      </c>
      <c r="AG134" s="295"/>
      <c r="AH134" s="295">
        <f t="shared" si="51"/>
        <v>0</v>
      </c>
      <c r="AI134" s="298">
        <f>'Unit Savings Calculations'!O130</f>
        <v>123.46367522768401</v>
      </c>
      <c r="AJ134" s="405" t="s">
        <v>879</v>
      </c>
      <c r="AK134" s="300">
        <f t="shared" si="52"/>
        <v>0</v>
      </c>
      <c r="AL134" s="297">
        <f t="shared" si="53"/>
        <v>0</v>
      </c>
      <c r="AM134" s="295"/>
      <c r="AN134" s="295"/>
      <c r="AO134" s="298">
        <f>'Unit Savings Calculations'!P130</f>
        <v>123.46367522768401</v>
      </c>
      <c r="AP134" s="405" t="s">
        <v>764</v>
      </c>
      <c r="AQ134" s="300">
        <f t="shared" si="54"/>
        <v>0</v>
      </c>
      <c r="AR134" s="297">
        <f t="shared" si="55"/>
        <v>0</v>
      </c>
      <c r="AS134" s="295"/>
      <c r="AT134" s="295"/>
      <c r="AU134" s="298">
        <f>'Unit Savings Calculations'!Q130</f>
        <v>123.46367522768401</v>
      </c>
      <c r="AV134" s="405" t="str">
        <f t="shared" si="56"/>
        <v>n/a</v>
      </c>
      <c r="AW134" s="300">
        <f t="shared" si="57"/>
        <v>0</v>
      </c>
      <c r="AX134" s="297">
        <f t="shared" si="58"/>
        <v>0</v>
      </c>
      <c r="AY134" s="300">
        <f t="shared" si="59"/>
        <v>0</v>
      </c>
      <c r="AZ134" s="300">
        <f t="shared" si="60"/>
        <v>0</v>
      </c>
      <c r="BA134" s="300">
        <f t="shared" si="61"/>
        <v>0</v>
      </c>
      <c r="BB134" s="300">
        <f t="shared" si="62"/>
        <v>0</v>
      </c>
      <c r="BC134" s="301">
        <f t="shared" si="63"/>
        <v>0</v>
      </c>
      <c r="BD134" s="295" t="s">
        <v>764</v>
      </c>
      <c r="BE134" s="302" t="str">
        <f t="shared" si="64"/>
        <v>Exhibit 1.5A_R North Shore EEPS_Adjustable_Savings_Goal_Template.xlsx, Pipe Insulation Detail Tab</v>
      </c>
      <c r="BF134" s="304"/>
    </row>
    <row r="135" spans="1:58" ht="15.75" customHeight="1">
      <c r="A135" s="295" t="str">
        <f>'Unit Savings Calculations'!C131</f>
        <v>Res - MF PTA Rebates</v>
      </c>
      <c r="B135" s="295" t="str">
        <f>'Unit Savings Calculations'!D131</f>
        <v>Pipe Insulation - Steam Med Valve</v>
      </c>
      <c r="C135" s="296">
        <f t="shared" si="66"/>
        <v>1</v>
      </c>
      <c r="D135" s="295" t="str">
        <f>'Unit Savings Calculations'!T131</f>
        <v>4.4.14</v>
      </c>
      <c r="E135" s="460">
        <f>INDEX('Unit Savings Calculations'!$H$4:$H$421,MATCH('Measure-Level Adjustments Tab'!$A135&amp;"_"&amp;'Measure-Level Adjustments Tab'!$B135,'Unit Savings Calculations'!$A$4:$A$421,0))</f>
        <v>15</v>
      </c>
      <c r="F135" s="460">
        <f>INDEX('Unit Savings Calculations'!$I$4:$I$421,MATCH('Measure-Level Adjustments Tab'!A135&amp;"_"&amp;'Measure-Level Adjustments Tab'!B135,'Unit Savings Calculations'!$A$4:$A$421,0))</f>
        <v>15</v>
      </c>
      <c r="G135" s="295" t="str">
        <f>'Unit Savings Calculations'!E131</f>
        <v>each</v>
      </c>
      <c r="H135" s="297">
        <f>'Unit Savings Calculations'!$F131*'Unit Savings Calculations'!J131</f>
        <v>0</v>
      </c>
      <c r="I135" s="297">
        <f>'Unit Savings Calculations'!$F131*'Unit Savings Calculations'!K131</f>
        <v>0</v>
      </c>
      <c r="J135" s="297">
        <f>'Unit Savings Calculations'!$F131*'Unit Savings Calculations'!L131</f>
        <v>0</v>
      </c>
      <c r="K135" s="297">
        <f>'Unit Savings Calculations'!$F131*'Unit Savings Calculations'!M131</f>
        <v>0</v>
      </c>
      <c r="L135" s="295" t="str">
        <f>'Unit Savings Calculations'!U131</f>
        <v>CI-HVC-PINS-V04-160601</v>
      </c>
      <c r="M135" s="405" t="str">
        <f>'Unit Savings Calculations'!R131</f>
        <v>Exhibit 1.5A_R North Shore EEPS_Adjustable_Savings_Goal_Template.xlsx, Pipe Insulation Detail Tab</v>
      </c>
      <c r="N135" s="298">
        <v>46.605980670745772</v>
      </c>
      <c r="O135" s="298">
        <v>46.605980670745772</v>
      </c>
      <c r="P135" s="298">
        <v>46.605980670745772</v>
      </c>
      <c r="Q135" s="298">
        <v>46.605980670745772</v>
      </c>
      <c r="R135" s="299">
        <f>'Unit Savings Calculations'!$G131</f>
        <v>0.88</v>
      </c>
      <c r="S135" s="299">
        <f>'Unit Savings Calculations'!$G131</f>
        <v>0.88</v>
      </c>
      <c r="T135" s="299">
        <f>'Unit Savings Calculations'!$G131</f>
        <v>0.88</v>
      </c>
      <c r="U135" s="299">
        <f>'Unit Savings Calculations'!$G131</f>
        <v>0.88</v>
      </c>
      <c r="V135" s="300">
        <f t="shared" si="67"/>
        <v>0</v>
      </c>
      <c r="W135" s="300">
        <f t="shared" si="68"/>
        <v>0</v>
      </c>
      <c r="X135" s="300">
        <f t="shared" si="69"/>
        <v>0</v>
      </c>
      <c r="Y135" s="300">
        <f t="shared" si="70"/>
        <v>0</v>
      </c>
      <c r="Z135" s="300">
        <f t="shared" si="71"/>
        <v>0</v>
      </c>
      <c r="AA135" s="295"/>
      <c r="AB135" s="295"/>
      <c r="AC135" s="298">
        <f>'Unit Savings Calculations'!N131</f>
        <v>46.605980670745772</v>
      </c>
      <c r="AD135" s="295"/>
      <c r="AE135" s="300">
        <f t="shared" si="49"/>
        <v>0</v>
      </c>
      <c r="AF135" s="297">
        <f t="shared" si="50"/>
        <v>0</v>
      </c>
      <c r="AG135" s="295"/>
      <c r="AH135" s="295">
        <f t="shared" si="51"/>
        <v>0</v>
      </c>
      <c r="AI135" s="298">
        <f>'Unit Savings Calculations'!O131</f>
        <v>46.605980670745772</v>
      </c>
      <c r="AJ135" s="405" t="s">
        <v>879</v>
      </c>
      <c r="AK135" s="300">
        <f t="shared" si="52"/>
        <v>0</v>
      </c>
      <c r="AL135" s="297">
        <f t="shared" si="53"/>
        <v>0</v>
      </c>
      <c r="AM135" s="295"/>
      <c r="AN135" s="295"/>
      <c r="AO135" s="298">
        <f>'Unit Savings Calculations'!P131</f>
        <v>46.605980670745772</v>
      </c>
      <c r="AP135" s="405" t="s">
        <v>764</v>
      </c>
      <c r="AQ135" s="300">
        <f t="shared" si="54"/>
        <v>0</v>
      </c>
      <c r="AR135" s="297">
        <f t="shared" si="55"/>
        <v>0</v>
      </c>
      <c r="AS135" s="295"/>
      <c r="AT135" s="295"/>
      <c r="AU135" s="298">
        <f>'Unit Savings Calculations'!Q131</f>
        <v>46.605980670745772</v>
      </c>
      <c r="AV135" s="405" t="str">
        <f t="shared" si="56"/>
        <v>n/a</v>
      </c>
      <c r="AW135" s="300">
        <f t="shared" si="57"/>
        <v>0</v>
      </c>
      <c r="AX135" s="297">
        <f t="shared" si="58"/>
        <v>0</v>
      </c>
      <c r="AY135" s="300">
        <f t="shared" si="59"/>
        <v>0</v>
      </c>
      <c r="AZ135" s="300">
        <f t="shared" si="60"/>
        <v>0</v>
      </c>
      <c r="BA135" s="300">
        <f t="shared" si="61"/>
        <v>0</v>
      </c>
      <c r="BB135" s="300">
        <f t="shared" si="62"/>
        <v>0</v>
      </c>
      <c r="BC135" s="301">
        <f t="shared" si="63"/>
        <v>0</v>
      </c>
      <c r="BD135" s="295" t="s">
        <v>764</v>
      </c>
      <c r="BE135" s="302" t="str">
        <f t="shared" si="64"/>
        <v>Exhibit 1.5A_R North Shore EEPS_Adjustable_Savings_Goal_Template.xlsx, Pipe Insulation Detail Tab</v>
      </c>
      <c r="BF135" s="304"/>
    </row>
    <row r="136" spans="1:58" ht="15.75" customHeight="1">
      <c r="A136" s="295" t="str">
        <f>'Unit Savings Calculations'!C132</f>
        <v>Res - MF PTA Rebates</v>
      </c>
      <c r="B136" s="295" t="str">
        <f>'Unit Savings Calculations'!D132</f>
        <v>Pipe Insulation - Steam Large Valve</v>
      </c>
      <c r="C136" s="296">
        <f t="shared" si="66"/>
        <v>1</v>
      </c>
      <c r="D136" s="295" t="str">
        <f>'Unit Savings Calculations'!T132</f>
        <v>4.4.14</v>
      </c>
      <c r="E136" s="460">
        <f>INDEX('Unit Savings Calculations'!$H$4:$H$421,MATCH('Measure-Level Adjustments Tab'!$A136&amp;"_"&amp;'Measure-Level Adjustments Tab'!$B136,'Unit Savings Calculations'!$A$4:$A$421,0))</f>
        <v>15</v>
      </c>
      <c r="F136" s="460">
        <f>INDEX('Unit Savings Calculations'!$I$4:$I$421,MATCH('Measure-Level Adjustments Tab'!A136&amp;"_"&amp;'Measure-Level Adjustments Tab'!B136,'Unit Savings Calculations'!$A$4:$A$421,0))</f>
        <v>15</v>
      </c>
      <c r="G136" s="295" t="str">
        <f>'Unit Savings Calculations'!E132</f>
        <v>each</v>
      </c>
      <c r="H136" s="297">
        <f>'Unit Savings Calculations'!$F132*'Unit Savings Calculations'!J132</f>
        <v>0</v>
      </c>
      <c r="I136" s="297">
        <f>'Unit Savings Calculations'!$F132*'Unit Savings Calculations'!K132</f>
        <v>0</v>
      </c>
      <c r="J136" s="297">
        <f>'Unit Savings Calculations'!$F132*'Unit Savings Calculations'!L132</f>
        <v>0</v>
      </c>
      <c r="K136" s="297">
        <f>'Unit Savings Calculations'!$F132*'Unit Savings Calculations'!M132</f>
        <v>0</v>
      </c>
      <c r="L136" s="295" t="str">
        <f>'Unit Savings Calculations'!U132</f>
        <v>CI-HVC-PINS-V04-160601</v>
      </c>
      <c r="M136" s="405" t="str">
        <f>'Unit Savings Calculations'!R132</f>
        <v>Exhibit 1.5A_R North Shore EEPS_Adjustable_Savings_Goal_Template.xlsx, Pipe Insulation Detail Tab</v>
      </c>
      <c r="N136" s="298">
        <v>133.90978522057964</v>
      </c>
      <c r="O136" s="298">
        <v>133.90978522057964</v>
      </c>
      <c r="P136" s="298">
        <v>133.90978522057964</v>
      </c>
      <c r="Q136" s="298">
        <v>133.90978522057964</v>
      </c>
      <c r="R136" s="299">
        <f>'Unit Savings Calculations'!$G132</f>
        <v>0.88</v>
      </c>
      <c r="S136" s="299">
        <f>'Unit Savings Calculations'!$G132</f>
        <v>0.88</v>
      </c>
      <c r="T136" s="299">
        <f>'Unit Savings Calculations'!$G132</f>
        <v>0.88</v>
      </c>
      <c r="U136" s="299">
        <f>'Unit Savings Calculations'!$G132</f>
        <v>0.88</v>
      </c>
      <c r="V136" s="300">
        <f t="shared" si="67"/>
        <v>0</v>
      </c>
      <c r="W136" s="300">
        <f t="shared" si="68"/>
        <v>0</v>
      </c>
      <c r="X136" s="300">
        <f t="shared" si="69"/>
        <v>0</v>
      </c>
      <c r="Y136" s="300">
        <f t="shared" si="70"/>
        <v>0</v>
      </c>
      <c r="Z136" s="300">
        <f t="shared" si="71"/>
        <v>0</v>
      </c>
      <c r="AA136" s="295"/>
      <c r="AB136" s="295"/>
      <c r="AC136" s="298">
        <f>'Unit Savings Calculations'!N132</f>
        <v>133.90978522057964</v>
      </c>
      <c r="AD136" s="295"/>
      <c r="AE136" s="300">
        <f t="shared" si="49"/>
        <v>0</v>
      </c>
      <c r="AF136" s="297">
        <f t="shared" si="50"/>
        <v>0</v>
      </c>
      <c r="AG136" s="295"/>
      <c r="AH136" s="295">
        <f t="shared" si="51"/>
        <v>0</v>
      </c>
      <c r="AI136" s="298">
        <f>'Unit Savings Calculations'!O132</f>
        <v>133.90978522057964</v>
      </c>
      <c r="AJ136" s="405" t="s">
        <v>879</v>
      </c>
      <c r="AK136" s="300">
        <f t="shared" si="52"/>
        <v>0</v>
      </c>
      <c r="AL136" s="297">
        <f t="shared" si="53"/>
        <v>0</v>
      </c>
      <c r="AM136" s="295"/>
      <c r="AN136" s="295"/>
      <c r="AO136" s="298">
        <f>'Unit Savings Calculations'!P132</f>
        <v>133.90978522057964</v>
      </c>
      <c r="AP136" s="405" t="s">
        <v>764</v>
      </c>
      <c r="AQ136" s="300">
        <f t="shared" si="54"/>
        <v>0</v>
      </c>
      <c r="AR136" s="297">
        <f t="shared" si="55"/>
        <v>0</v>
      </c>
      <c r="AS136" s="295"/>
      <c r="AT136" s="295"/>
      <c r="AU136" s="298">
        <f>'Unit Savings Calculations'!Q132</f>
        <v>133.90978522057964</v>
      </c>
      <c r="AV136" s="405" t="str">
        <f t="shared" si="56"/>
        <v>n/a</v>
      </c>
      <c r="AW136" s="300">
        <f t="shared" si="57"/>
        <v>0</v>
      </c>
      <c r="AX136" s="297">
        <f t="shared" si="58"/>
        <v>0</v>
      </c>
      <c r="AY136" s="300">
        <f t="shared" si="59"/>
        <v>0</v>
      </c>
      <c r="AZ136" s="300">
        <f t="shared" si="60"/>
        <v>0</v>
      </c>
      <c r="BA136" s="300">
        <f t="shared" si="61"/>
        <v>0</v>
      </c>
      <c r="BB136" s="300">
        <f t="shared" si="62"/>
        <v>0</v>
      </c>
      <c r="BC136" s="301">
        <f t="shared" si="63"/>
        <v>0</v>
      </c>
      <c r="BD136" s="295" t="s">
        <v>764</v>
      </c>
      <c r="BE136" s="302" t="str">
        <f t="shared" si="64"/>
        <v>Exhibit 1.5A_R North Shore EEPS_Adjustable_Savings_Goal_Template.xlsx, Pipe Insulation Detail Tab</v>
      </c>
      <c r="BF136" s="304"/>
    </row>
    <row r="137" spans="1:58" ht="15.75" customHeight="1">
      <c r="A137" s="295" t="str">
        <f>'Unit Savings Calculations'!C133</f>
        <v>Res - MF PTA Rebates</v>
      </c>
      <c r="B137" s="295" t="str">
        <f>'Unit Savings Calculations'!D133</f>
        <v>Pipe Insulation - Steam X-Large Valve</v>
      </c>
      <c r="C137" s="296">
        <f t="shared" si="66"/>
        <v>1</v>
      </c>
      <c r="D137" s="295" t="str">
        <f>'Unit Savings Calculations'!T133</f>
        <v>4.4.14</v>
      </c>
      <c r="E137" s="460">
        <f>INDEX('Unit Savings Calculations'!$H$4:$H$421,MATCH('Measure-Level Adjustments Tab'!$A137&amp;"_"&amp;'Measure-Level Adjustments Tab'!$B137,'Unit Savings Calculations'!$A$4:$A$421,0))</f>
        <v>15</v>
      </c>
      <c r="F137" s="460">
        <f>INDEX('Unit Savings Calculations'!$I$4:$I$421,MATCH('Measure-Level Adjustments Tab'!A137&amp;"_"&amp;'Measure-Level Adjustments Tab'!B137,'Unit Savings Calculations'!$A$4:$A$421,0))</f>
        <v>15</v>
      </c>
      <c r="G137" s="295" t="str">
        <f>'Unit Savings Calculations'!E133</f>
        <v>each</v>
      </c>
      <c r="H137" s="297">
        <f>'Unit Savings Calculations'!$F133*'Unit Savings Calculations'!J133</f>
        <v>0</v>
      </c>
      <c r="I137" s="297">
        <f>'Unit Savings Calculations'!$F133*'Unit Savings Calculations'!K133</f>
        <v>0</v>
      </c>
      <c r="J137" s="297">
        <f>'Unit Savings Calculations'!$F133*'Unit Savings Calculations'!L133</f>
        <v>0</v>
      </c>
      <c r="K137" s="297">
        <f>'Unit Savings Calculations'!$F133*'Unit Savings Calculations'!M133</f>
        <v>0</v>
      </c>
      <c r="L137" s="295" t="str">
        <f>'Unit Savings Calculations'!U133</f>
        <v>CI-HVC-PINS-V04-160601</v>
      </c>
      <c r="M137" s="405" t="str">
        <f>'Unit Savings Calculations'!R133</f>
        <v>Exhibit 1.5A_R North Shore EEPS_Adjustable_Savings_Goal_Template.xlsx, Pipe Insulation Detail Tab</v>
      </c>
      <c r="N137" s="298">
        <v>218.0177023221575</v>
      </c>
      <c r="O137" s="298">
        <v>218.0177023221575</v>
      </c>
      <c r="P137" s="298">
        <v>218.0177023221575</v>
      </c>
      <c r="Q137" s="298">
        <v>218.0177023221575</v>
      </c>
      <c r="R137" s="299">
        <f>'Unit Savings Calculations'!$G133</f>
        <v>0.88</v>
      </c>
      <c r="S137" s="299">
        <f>'Unit Savings Calculations'!$G133</f>
        <v>0.88</v>
      </c>
      <c r="T137" s="299">
        <f>'Unit Savings Calculations'!$G133</f>
        <v>0.88</v>
      </c>
      <c r="U137" s="299">
        <f>'Unit Savings Calculations'!$G133</f>
        <v>0.88</v>
      </c>
      <c r="V137" s="300">
        <f t="shared" si="67"/>
        <v>0</v>
      </c>
      <c r="W137" s="300">
        <f t="shared" si="68"/>
        <v>0</v>
      </c>
      <c r="X137" s="300">
        <f t="shared" si="69"/>
        <v>0</v>
      </c>
      <c r="Y137" s="300">
        <f t="shared" si="70"/>
        <v>0</v>
      </c>
      <c r="Z137" s="300">
        <f t="shared" si="71"/>
        <v>0</v>
      </c>
      <c r="AA137" s="295"/>
      <c r="AB137" s="295"/>
      <c r="AC137" s="298">
        <f>'Unit Savings Calculations'!N133</f>
        <v>218.0177023221575</v>
      </c>
      <c r="AD137" s="295"/>
      <c r="AE137" s="300">
        <f t="shared" ref="AE137:AE201" si="72">H137*AC137*R137</f>
        <v>0</v>
      </c>
      <c r="AF137" s="297">
        <f t="shared" ref="AF137:AF201" si="73">AE137-V137</f>
        <v>0</v>
      </c>
      <c r="AG137" s="295"/>
      <c r="AH137" s="295">
        <f t="shared" ref="AH137:AH201" si="74">AB137</f>
        <v>0</v>
      </c>
      <c r="AI137" s="298">
        <f>'Unit Savings Calculations'!O133</f>
        <v>218.0177023221575</v>
      </c>
      <c r="AJ137" s="405" t="s">
        <v>879</v>
      </c>
      <c r="AK137" s="300">
        <f t="shared" ref="AK137:AK201" si="75">I137*AI137*S137</f>
        <v>0</v>
      </c>
      <c r="AL137" s="297">
        <f t="shared" ref="AL137:AL201" si="76">AK137-W137</f>
        <v>0</v>
      </c>
      <c r="AM137" s="295"/>
      <c r="AN137" s="295"/>
      <c r="AO137" s="298">
        <f>'Unit Savings Calculations'!P133</f>
        <v>218.0177023221575</v>
      </c>
      <c r="AP137" s="405" t="s">
        <v>764</v>
      </c>
      <c r="AQ137" s="300">
        <f t="shared" ref="AQ137:AQ201" si="77">J137*AO137*T137</f>
        <v>0</v>
      </c>
      <c r="AR137" s="297">
        <f t="shared" ref="AR137:AR201" si="78">AQ137-X137</f>
        <v>0</v>
      </c>
      <c r="AS137" s="295"/>
      <c r="AT137" s="295"/>
      <c r="AU137" s="298">
        <f>'Unit Savings Calculations'!Q133</f>
        <v>218.0177023221575</v>
      </c>
      <c r="AV137" s="405" t="str">
        <f t="shared" ref="AV137:AV200" si="79">AP137</f>
        <v>n/a</v>
      </c>
      <c r="AW137" s="300">
        <f t="shared" ref="AW137:AW201" si="80">K137*AU137*U137</f>
        <v>0</v>
      </c>
      <c r="AX137" s="297">
        <f t="shared" ref="AX137:AX201" si="81">AW137-Y137</f>
        <v>0</v>
      </c>
      <c r="AY137" s="300">
        <f t="shared" ref="AY137:AY200" si="82">IF(C137=1,AE137,V137)</f>
        <v>0</v>
      </c>
      <c r="AZ137" s="300">
        <f t="shared" ref="AZ137:AZ200" si="83">IF(C137=1,AK137,W137)</f>
        <v>0</v>
      </c>
      <c r="BA137" s="300">
        <f t="shared" ref="BA137:BA200" si="84">IF(C137=1,AQ137,X137)</f>
        <v>0</v>
      </c>
      <c r="BB137" s="300">
        <f t="shared" ref="BB137:BB200" si="85">IF(C137=1,AW137,Y137)</f>
        <v>0</v>
      </c>
      <c r="BC137" s="301">
        <f t="shared" ref="BC137:BC200" si="86">AY137+AZ137+BA137+BB137</f>
        <v>0</v>
      </c>
      <c r="BD137" s="295" t="s">
        <v>764</v>
      </c>
      <c r="BE137" s="302" t="str">
        <f t="shared" ref="BE137:BE200" si="87">M137</f>
        <v>Exhibit 1.5A_R North Shore EEPS_Adjustable_Savings_Goal_Template.xlsx, Pipe Insulation Detail Tab</v>
      </c>
      <c r="BF137" s="304"/>
    </row>
    <row r="138" spans="1:58" ht="15.75" customHeight="1">
      <c r="A138" s="295" t="str">
        <f>'Unit Savings Calculations'!C134</f>
        <v>Res - MF PTA Rebates</v>
      </c>
      <c r="B138" s="295" t="str">
        <f>'Unit Savings Calculations'!D134</f>
        <v>Steam Boiler ≥82% AFUE, &gt;300MBh TE</v>
      </c>
      <c r="C138" s="296">
        <f t="shared" si="66"/>
        <v>1</v>
      </c>
      <c r="D138" s="295" t="str">
        <f>'Unit Savings Calculations'!T134</f>
        <v>4.4.10</v>
      </c>
      <c r="E138" s="460">
        <f>INDEX('Unit Savings Calculations'!$H$4:$H$421,MATCH('Measure-Level Adjustments Tab'!$A138&amp;"_"&amp;'Measure-Level Adjustments Tab'!$B138,'Unit Savings Calculations'!$A$4:$A$421,0))</f>
        <v>20</v>
      </c>
      <c r="F138" s="460">
        <f>INDEX('Unit Savings Calculations'!$I$4:$I$421,MATCH('Measure-Level Adjustments Tab'!A138&amp;"_"&amp;'Measure-Level Adjustments Tab'!B138,'Unit Savings Calculations'!$A$4:$A$421,0))</f>
        <v>20</v>
      </c>
      <c r="G138" s="295" t="str">
        <f>'Unit Savings Calculations'!E134</f>
        <v>MBH</v>
      </c>
      <c r="H138" s="297">
        <f>'Unit Savings Calculations'!$F134*'Unit Savings Calculations'!J134</f>
        <v>0</v>
      </c>
      <c r="I138" s="297">
        <f>'Unit Savings Calculations'!$F134*'Unit Savings Calculations'!K134</f>
        <v>0</v>
      </c>
      <c r="J138" s="297">
        <f>'Unit Savings Calculations'!$F134*'Unit Savings Calculations'!L134</f>
        <v>0</v>
      </c>
      <c r="K138" s="297">
        <f>'Unit Savings Calculations'!$F134*'Unit Savings Calculations'!M134</f>
        <v>0</v>
      </c>
      <c r="L138" s="295" t="str">
        <f>'Unit Savings Calculations'!U134</f>
        <v>CI-HVC-BOIL-V05-150601</v>
      </c>
      <c r="M138" s="405" t="str">
        <f>'Unit Savings Calculations'!R134</f>
        <v>Exhibit 1.5A_R North Shore EEPS_Adjustable_Savings_Goal_Template.xlsx, Unit Savings Calculations Tab</v>
      </c>
      <c r="N138" s="298">
        <v>0.63987341772151718</v>
      </c>
      <c r="O138" s="298">
        <v>0.63987341772151718</v>
      </c>
      <c r="P138" s="298">
        <v>0.63987341772151718</v>
      </c>
      <c r="Q138" s="298">
        <v>0.63987341772151718</v>
      </c>
      <c r="R138" s="299">
        <f>'Unit Savings Calculations'!$G134</f>
        <v>0.88</v>
      </c>
      <c r="S138" s="299">
        <f>'Unit Savings Calculations'!$G134</f>
        <v>0.88</v>
      </c>
      <c r="T138" s="299">
        <f>'Unit Savings Calculations'!$G134</f>
        <v>0.88</v>
      </c>
      <c r="U138" s="299">
        <f>'Unit Savings Calculations'!$G134</f>
        <v>0.88</v>
      </c>
      <c r="V138" s="300">
        <f t="shared" si="67"/>
        <v>0</v>
      </c>
      <c r="W138" s="300">
        <f t="shared" si="68"/>
        <v>0</v>
      </c>
      <c r="X138" s="300">
        <f t="shared" si="69"/>
        <v>0</v>
      </c>
      <c r="Y138" s="300">
        <f t="shared" si="70"/>
        <v>0</v>
      </c>
      <c r="Z138" s="300">
        <f t="shared" si="71"/>
        <v>0</v>
      </c>
      <c r="AA138" s="295"/>
      <c r="AB138" s="295"/>
      <c r="AC138" s="298">
        <f>'Unit Savings Calculations'!N134</f>
        <v>0.67670886075949166</v>
      </c>
      <c r="AD138" s="295"/>
      <c r="AE138" s="300">
        <f t="shared" si="72"/>
        <v>0</v>
      </c>
      <c r="AF138" s="297">
        <f t="shared" si="73"/>
        <v>0</v>
      </c>
      <c r="AG138" s="295"/>
      <c r="AH138" s="295">
        <f t="shared" si="74"/>
        <v>0</v>
      </c>
      <c r="AI138" s="298">
        <f>'Unit Savings Calculations'!O134</f>
        <v>0.67670886075949166</v>
      </c>
      <c r="AJ138" s="405" t="s">
        <v>879</v>
      </c>
      <c r="AK138" s="300">
        <f t="shared" si="75"/>
        <v>0</v>
      </c>
      <c r="AL138" s="297">
        <f t="shared" si="76"/>
        <v>0</v>
      </c>
      <c r="AM138" s="295"/>
      <c r="AN138" s="295"/>
      <c r="AO138" s="298">
        <f>'Unit Savings Calculations'!P134</f>
        <v>0.67670886075949166</v>
      </c>
      <c r="AP138" s="405" t="s">
        <v>1443</v>
      </c>
      <c r="AQ138" s="300">
        <f t="shared" si="77"/>
        <v>0</v>
      </c>
      <c r="AR138" s="297">
        <f t="shared" si="78"/>
        <v>0</v>
      </c>
      <c r="AS138" s="295"/>
      <c r="AT138" s="295"/>
      <c r="AU138" s="298">
        <f>'Unit Savings Calculations'!Q134</f>
        <v>0.67670886075949166</v>
      </c>
      <c r="AV138" s="405" t="str">
        <f t="shared" si="79"/>
        <v>Updated heating EFLH</v>
      </c>
      <c r="AW138" s="300">
        <f t="shared" si="80"/>
        <v>0</v>
      </c>
      <c r="AX138" s="297">
        <f t="shared" si="81"/>
        <v>0</v>
      </c>
      <c r="AY138" s="300">
        <f t="shared" si="82"/>
        <v>0</v>
      </c>
      <c r="AZ138" s="300">
        <f t="shared" si="83"/>
        <v>0</v>
      </c>
      <c r="BA138" s="300">
        <f t="shared" si="84"/>
        <v>0</v>
      </c>
      <c r="BB138" s="300">
        <f t="shared" si="85"/>
        <v>0</v>
      </c>
      <c r="BC138" s="301">
        <f t="shared" si="86"/>
        <v>0</v>
      </c>
      <c r="BD138" s="295" t="s">
        <v>764</v>
      </c>
      <c r="BE138" s="302" t="str">
        <f t="shared" si="87"/>
        <v>Exhibit 1.5A_R North Shore EEPS_Adjustable_Savings_Goal_Template.xlsx, Unit Savings Calculations Tab</v>
      </c>
      <c r="BF138" s="304"/>
    </row>
    <row r="139" spans="1:58" ht="15.75" customHeight="1">
      <c r="A139" s="295" t="str">
        <f>'Unit Savings Calculations'!C135</f>
        <v>Res - MF PTA Rebates</v>
      </c>
      <c r="B139" s="295" t="str">
        <f>'Unit Savings Calculations'!D135</f>
        <v>Steam Boiler Averaging Controls</v>
      </c>
      <c r="C139" s="296">
        <f t="shared" si="66"/>
        <v>1</v>
      </c>
      <c r="D139" s="295" t="str">
        <f>'Unit Savings Calculations'!T135</f>
        <v>4.4.36</v>
      </c>
      <c r="E139" s="460">
        <f>INDEX('Unit Savings Calculations'!$H$4:$H$421,MATCH('Measure-Level Adjustments Tab'!$A139&amp;"_"&amp;'Measure-Level Adjustments Tab'!$B139,'Unit Savings Calculations'!$A$4:$A$421,0))</f>
        <v>20</v>
      </c>
      <c r="F139" s="460">
        <f>INDEX('Unit Savings Calculations'!$I$4:$I$421,MATCH('Measure-Level Adjustments Tab'!A139&amp;"_"&amp;'Measure-Level Adjustments Tab'!B139,'Unit Savings Calculations'!$A$4:$A$421,0))</f>
        <v>20</v>
      </c>
      <c r="G139" s="295" t="str">
        <f>'Unit Savings Calculations'!E135</f>
        <v>each</v>
      </c>
      <c r="H139" s="297">
        <f>'Unit Savings Calculations'!$F135*'Unit Savings Calculations'!J135</f>
        <v>0</v>
      </c>
      <c r="I139" s="297">
        <f>'Unit Savings Calculations'!$F135*'Unit Savings Calculations'!K135</f>
        <v>0</v>
      </c>
      <c r="J139" s="297">
        <f>'Unit Savings Calculations'!$F135*'Unit Savings Calculations'!L135</f>
        <v>0</v>
      </c>
      <c r="K139" s="297">
        <f>'Unit Savings Calculations'!$F135*'Unit Savings Calculations'!M135</f>
        <v>0</v>
      </c>
      <c r="L139" s="295" t="str">
        <f>'Unit Savings Calculations'!U135</f>
        <v>CI-HVC-SBAC-V01-160601</v>
      </c>
      <c r="M139" s="405" t="str">
        <f>'Unit Savings Calculations'!R135</f>
        <v>Exhibit 1.5A_R North Shore EEPS_Adjustable_Savings_Goal_Template.xlsx, Unit Savings Calculations Tab</v>
      </c>
      <c r="N139" s="298">
        <v>76.95</v>
      </c>
      <c r="O139" s="298">
        <v>76.95</v>
      </c>
      <c r="P139" s="298">
        <v>76.95</v>
      </c>
      <c r="Q139" s="298">
        <v>76.95</v>
      </c>
      <c r="R139" s="299">
        <f>'Unit Savings Calculations'!$G135</f>
        <v>0.88</v>
      </c>
      <c r="S139" s="299">
        <f>'Unit Savings Calculations'!$G135</f>
        <v>0.88</v>
      </c>
      <c r="T139" s="299">
        <f>'Unit Savings Calculations'!$G135</f>
        <v>0.88</v>
      </c>
      <c r="U139" s="299">
        <f>'Unit Savings Calculations'!$G135</f>
        <v>0.88</v>
      </c>
      <c r="V139" s="300">
        <f t="shared" si="67"/>
        <v>0</v>
      </c>
      <c r="W139" s="300">
        <f t="shared" si="68"/>
        <v>0</v>
      </c>
      <c r="X139" s="300">
        <f t="shared" si="69"/>
        <v>0</v>
      </c>
      <c r="Y139" s="300">
        <f t="shared" si="70"/>
        <v>0</v>
      </c>
      <c r="Z139" s="300">
        <f t="shared" si="71"/>
        <v>0</v>
      </c>
      <c r="AA139" s="295"/>
      <c r="AB139" s="295"/>
      <c r="AC139" s="298">
        <f>'Unit Savings Calculations'!N135</f>
        <v>171.15600000000001</v>
      </c>
      <c r="AD139" s="295"/>
      <c r="AE139" s="300">
        <f t="shared" si="72"/>
        <v>0</v>
      </c>
      <c r="AF139" s="297">
        <f t="shared" si="73"/>
        <v>0</v>
      </c>
      <c r="AG139" s="295"/>
      <c r="AH139" s="295">
        <f t="shared" si="74"/>
        <v>0</v>
      </c>
      <c r="AI139" s="298">
        <f>'Unit Savings Calculations'!O135</f>
        <v>171.15600000000001</v>
      </c>
      <c r="AJ139" s="405" t="s">
        <v>935</v>
      </c>
      <c r="AK139" s="300">
        <f t="shared" si="75"/>
        <v>0</v>
      </c>
      <c r="AL139" s="297">
        <f t="shared" si="76"/>
        <v>0</v>
      </c>
      <c r="AM139" s="295"/>
      <c r="AN139" s="295"/>
      <c r="AO139" s="298">
        <f>'Unit Savings Calculations'!P135</f>
        <v>171.15600000000001</v>
      </c>
      <c r="AP139" s="405" t="s">
        <v>764</v>
      </c>
      <c r="AQ139" s="300">
        <f t="shared" si="77"/>
        <v>0</v>
      </c>
      <c r="AR139" s="297">
        <f t="shared" si="78"/>
        <v>0</v>
      </c>
      <c r="AS139" s="295"/>
      <c r="AT139" s="295"/>
      <c r="AU139" s="298">
        <f>'Unit Savings Calculations'!Q135</f>
        <v>171.15600000000001</v>
      </c>
      <c r="AV139" s="405" t="str">
        <f t="shared" si="79"/>
        <v>n/a</v>
      </c>
      <c r="AW139" s="300">
        <f t="shared" si="80"/>
        <v>0</v>
      </c>
      <c r="AX139" s="297">
        <f t="shared" si="81"/>
        <v>0</v>
      </c>
      <c r="AY139" s="300">
        <f t="shared" si="82"/>
        <v>0</v>
      </c>
      <c r="AZ139" s="300">
        <f t="shared" si="83"/>
        <v>0</v>
      </c>
      <c r="BA139" s="300">
        <f t="shared" si="84"/>
        <v>0</v>
      </c>
      <c r="BB139" s="300">
        <f t="shared" si="85"/>
        <v>0</v>
      </c>
      <c r="BC139" s="301">
        <f t="shared" si="86"/>
        <v>0</v>
      </c>
      <c r="BD139" s="295" t="s">
        <v>764</v>
      </c>
      <c r="BE139" s="302" t="str">
        <f t="shared" si="87"/>
        <v>Exhibit 1.5A_R North Shore EEPS_Adjustable_Savings_Goal_Template.xlsx, Unit Savings Calculations Tab</v>
      </c>
      <c r="BF139" s="304"/>
    </row>
    <row r="140" spans="1:58" ht="15.75" customHeight="1">
      <c r="A140" s="295" t="str">
        <f>'Unit Savings Calculations'!C136</f>
        <v>Res - MF PTA Rebates</v>
      </c>
      <c r="B140" s="295" t="str">
        <f>'Unit Savings Calculations'!D136</f>
        <v>Steam Traps - Dry Cleaner/Industrial</v>
      </c>
      <c r="C140" s="296">
        <f t="shared" si="66"/>
        <v>1</v>
      </c>
      <c r="D140" s="295" t="str">
        <f>'Unit Savings Calculations'!T136</f>
        <v>4.4.16</v>
      </c>
      <c r="E140" s="460">
        <f>INDEX('Unit Savings Calculations'!$H$4:$H$421,MATCH('Measure-Level Adjustments Tab'!$A140&amp;"_"&amp;'Measure-Level Adjustments Tab'!$B140,'Unit Savings Calculations'!$A$4:$A$421,0))</f>
        <v>6</v>
      </c>
      <c r="F140" s="460">
        <f>INDEX('Unit Savings Calculations'!$I$4:$I$421,MATCH('Measure-Level Adjustments Tab'!A140&amp;"_"&amp;'Measure-Level Adjustments Tab'!B140,'Unit Savings Calculations'!$A$4:$A$421,0))</f>
        <v>6</v>
      </c>
      <c r="G140" s="295" t="str">
        <f>'Unit Savings Calculations'!E136</f>
        <v>each</v>
      </c>
      <c r="H140" s="297">
        <f>'Unit Savings Calculations'!$F136*'Unit Savings Calculations'!J136</f>
        <v>0</v>
      </c>
      <c r="I140" s="297">
        <f>'Unit Savings Calculations'!$F136*'Unit Savings Calculations'!K136</f>
        <v>0</v>
      </c>
      <c r="J140" s="297">
        <f>'Unit Savings Calculations'!$F136*'Unit Savings Calculations'!L136</f>
        <v>0</v>
      </c>
      <c r="K140" s="297">
        <f>'Unit Savings Calculations'!$F136*'Unit Savings Calculations'!M136</f>
        <v>0</v>
      </c>
      <c r="L140" s="295" t="str">
        <f>'Unit Savings Calculations'!U136</f>
        <v>CI-HVC-STRE-V05-180101</v>
      </c>
      <c r="M140" s="405" t="str">
        <f>'Unit Savings Calculations'!R136</f>
        <v>Exhibit 1.5A_R North Shore EEPS_Adjustable_Savings_Goal_Template.xlsx, Unit Savings Calculations Tab</v>
      </c>
      <c r="N140" s="298">
        <v>137.91939591078068</v>
      </c>
      <c r="O140" s="298">
        <v>137.91939591078068</v>
      </c>
      <c r="P140" s="298">
        <v>137.91939591078068</v>
      </c>
      <c r="Q140" s="298">
        <v>137.91939591078068</v>
      </c>
      <c r="R140" s="299">
        <f>'Unit Savings Calculations'!$G136</f>
        <v>0.88</v>
      </c>
      <c r="S140" s="299">
        <f>'Unit Savings Calculations'!$G136</f>
        <v>0.88</v>
      </c>
      <c r="T140" s="299">
        <f>'Unit Savings Calculations'!$G136</f>
        <v>0.88</v>
      </c>
      <c r="U140" s="299">
        <f>'Unit Savings Calculations'!$G136</f>
        <v>0.88</v>
      </c>
      <c r="V140" s="300">
        <f t="shared" si="67"/>
        <v>0</v>
      </c>
      <c r="W140" s="300">
        <f t="shared" si="68"/>
        <v>0</v>
      </c>
      <c r="X140" s="300">
        <f t="shared" si="69"/>
        <v>0</v>
      </c>
      <c r="Y140" s="300">
        <f t="shared" si="70"/>
        <v>0</v>
      </c>
      <c r="Z140" s="300">
        <f t="shared" si="71"/>
        <v>0</v>
      </c>
      <c r="AA140" s="295"/>
      <c r="AB140" s="295"/>
      <c r="AC140" s="298">
        <f>'Unit Savings Calculations'!N136</f>
        <v>137.91939591078068</v>
      </c>
      <c r="AD140" s="295"/>
      <c r="AE140" s="300">
        <f t="shared" si="72"/>
        <v>0</v>
      </c>
      <c r="AF140" s="297">
        <f t="shared" si="73"/>
        <v>0</v>
      </c>
      <c r="AG140" s="295"/>
      <c r="AH140" s="295">
        <f t="shared" si="74"/>
        <v>0</v>
      </c>
      <c r="AI140" s="298">
        <f>'Unit Savings Calculations'!O136</f>
        <v>137.91939591078068</v>
      </c>
      <c r="AJ140" s="405" t="s">
        <v>879</v>
      </c>
      <c r="AK140" s="300">
        <f t="shared" si="75"/>
        <v>0</v>
      </c>
      <c r="AL140" s="297">
        <f t="shared" si="76"/>
        <v>0</v>
      </c>
      <c r="AM140" s="295"/>
      <c r="AN140" s="295"/>
      <c r="AO140" s="298">
        <f>'Unit Savings Calculations'!P136</f>
        <v>137.91939591078068</v>
      </c>
      <c r="AP140" s="405" t="s">
        <v>764</v>
      </c>
      <c r="AQ140" s="300">
        <f t="shared" si="77"/>
        <v>0</v>
      </c>
      <c r="AR140" s="297">
        <f t="shared" si="78"/>
        <v>0</v>
      </c>
      <c r="AS140" s="295"/>
      <c r="AT140" s="295"/>
      <c r="AU140" s="298">
        <f>'Unit Savings Calculations'!Q136</f>
        <v>137.91939591078068</v>
      </c>
      <c r="AV140" s="405" t="str">
        <f t="shared" si="79"/>
        <v>n/a</v>
      </c>
      <c r="AW140" s="300">
        <f t="shared" si="80"/>
        <v>0</v>
      </c>
      <c r="AX140" s="297">
        <f t="shared" si="81"/>
        <v>0</v>
      </c>
      <c r="AY140" s="300">
        <f t="shared" si="82"/>
        <v>0</v>
      </c>
      <c r="AZ140" s="300">
        <f t="shared" si="83"/>
        <v>0</v>
      </c>
      <c r="BA140" s="300">
        <f t="shared" si="84"/>
        <v>0</v>
      </c>
      <c r="BB140" s="300">
        <f t="shared" si="85"/>
        <v>0</v>
      </c>
      <c r="BC140" s="301">
        <f t="shared" si="86"/>
        <v>0</v>
      </c>
      <c r="BD140" s="295" t="s">
        <v>764</v>
      </c>
      <c r="BE140" s="302" t="str">
        <f t="shared" si="87"/>
        <v>Exhibit 1.5A_R North Shore EEPS_Adjustable_Savings_Goal_Template.xlsx, Unit Savings Calculations Tab</v>
      </c>
      <c r="BF140" s="304"/>
    </row>
    <row r="141" spans="1:58" ht="15.75" customHeight="1">
      <c r="A141" s="295" t="str">
        <f>'Unit Savings Calculations'!C137</f>
        <v>Res - MF PTA Rebates</v>
      </c>
      <c r="B141" s="295" t="str">
        <f>'Unit Savings Calculations'!D137</f>
        <v>Steam Traps - HVAC Repair/Rep - Audit</v>
      </c>
      <c r="C141" s="296">
        <f t="shared" si="66"/>
        <v>1</v>
      </c>
      <c r="D141" s="295" t="str">
        <f>'Unit Savings Calculations'!T137</f>
        <v>4.4.16</v>
      </c>
      <c r="E141" s="460">
        <f>INDEX('Unit Savings Calculations'!$H$4:$H$421,MATCH('Measure-Level Adjustments Tab'!$A141&amp;"_"&amp;'Measure-Level Adjustments Tab'!$B141,'Unit Savings Calculations'!$A$4:$A$421,0))</f>
        <v>6</v>
      </c>
      <c r="F141" s="460">
        <f>INDEX('Unit Savings Calculations'!$I$4:$I$421,MATCH('Measure-Level Adjustments Tab'!A141&amp;"_"&amp;'Measure-Level Adjustments Tab'!B141,'Unit Savings Calculations'!$A$4:$A$421,0))</f>
        <v>6</v>
      </c>
      <c r="G141" s="295" t="str">
        <f>'Unit Savings Calculations'!E137</f>
        <v>each</v>
      </c>
      <c r="H141" s="297">
        <f>'Unit Savings Calculations'!$F137*'Unit Savings Calculations'!J137</f>
        <v>0</v>
      </c>
      <c r="I141" s="297">
        <f>'Unit Savings Calculations'!$F137*'Unit Savings Calculations'!K137</f>
        <v>0</v>
      </c>
      <c r="J141" s="297">
        <f>'Unit Savings Calculations'!$F137*'Unit Savings Calculations'!L137</f>
        <v>0</v>
      </c>
      <c r="K141" s="297">
        <f>'Unit Savings Calculations'!$F137*'Unit Savings Calculations'!M137</f>
        <v>0</v>
      </c>
      <c r="L141" s="295" t="str">
        <f>'Unit Savings Calculations'!U137</f>
        <v>CI-HVC-STRE-V05-180101</v>
      </c>
      <c r="M141" s="405" t="str">
        <f>'Unit Savings Calculations'!R137</f>
        <v>Exhibit 1.5A_R North Shore EEPS_Adjustable_Savings_Goal_Template.xlsx, Unit Savings Calculations Tab</v>
      </c>
      <c r="N141" s="298">
        <v>110.15789625000002</v>
      </c>
      <c r="O141" s="298">
        <v>110.15789625000002</v>
      </c>
      <c r="P141" s="298">
        <v>110.15789625000002</v>
      </c>
      <c r="Q141" s="298">
        <v>110.15789625000002</v>
      </c>
      <c r="R141" s="299">
        <f>'Unit Savings Calculations'!$G137</f>
        <v>0.88</v>
      </c>
      <c r="S141" s="299">
        <f>'Unit Savings Calculations'!$G137</f>
        <v>0.88</v>
      </c>
      <c r="T141" s="299">
        <f>'Unit Savings Calculations'!$G137</f>
        <v>0.88</v>
      </c>
      <c r="U141" s="299">
        <f>'Unit Savings Calculations'!$G137</f>
        <v>0.88</v>
      </c>
      <c r="V141" s="300">
        <f t="shared" si="67"/>
        <v>0</v>
      </c>
      <c r="W141" s="300">
        <f t="shared" si="68"/>
        <v>0</v>
      </c>
      <c r="X141" s="300">
        <f t="shared" si="69"/>
        <v>0</v>
      </c>
      <c r="Y141" s="300">
        <f t="shared" si="70"/>
        <v>0</v>
      </c>
      <c r="Z141" s="300">
        <f t="shared" si="71"/>
        <v>0</v>
      </c>
      <c r="AA141" s="295"/>
      <c r="AB141" s="295"/>
      <c r="AC141" s="298">
        <f>'Unit Savings Calculations'!N137</f>
        <v>110.15789625000002</v>
      </c>
      <c r="AD141" s="295"/>
      <c r="AE141" s="300">
        <f t="shared" si="72"/>
        <v>0</v>
      </c>
      <c r="AF141" s="297">
        <f t="shared" si="73"/>
        <v>0</v>
      </c>
      <c r="AG141" s="295"/>
      <c r="AH141" s="295">
        <f t="shared" si="74"/>
        <v>0</v>
      </c>
      <c r="AI141" s="298">
        <f>'Unit Savings Calculations'!O137</f>
        <v>110.15789625000002</v>
      </c>
      <c r="AJ141" s="405" t="s">
        <v>879</v>
      </c>
      <c r="AK141" s="300">
        <f t="shared" si="75"/>
        <v>0</v>
      </c>
      <c r="AL141" s="297">
        <f t="shared" si="76"/>
        <v>0</v>
      </c>
      <c r="AM141" s="295"/>
      <c r="AN141" s="295"/>
      <c r="AO141" s="298">
        <f>'Unit Savings Calculations'!P137</f>
        <v>110.15789625000002</v>
      </c>
      <c r="AP141" s="405" t="s">
        <v>764</v>
      </c>
      <c r="AQ141" s="300">
        <f t="shared" si="77"/>
        <v>0</v>
      </c>
      <c r="AR141" s="297">
        <f t="shared" si="78"/>
        <v>0</v>
      </c>
      <c r="AS141" s="295"/>
      <c r="AT141" s="295"/>
      <c r="AU141" s="298">
        <f>'Unit Savings Calculations'!Q137</f>
        <v>110.15789625000002</v>
      </c>
      <c r="AV141" s="405" t="str">
        <f t="shared" si="79"/>
        <v>n/a</v>
      </c>
      <c r="AW141" s="300">
        <f t="shared" si="80"/>
        <v>0</v>
      </c>
      <c r="AX141" s="297">
        <f t="shared" si="81"/>
        <v>0</v>
      </c>
      <c r="AY141" s="300">
        <f t="shared" si="82"/>
        <v>0</v>
      </c>
      <c r="AZ141" s="300">
        <f t="shared" si="83"/>
        <v>0</v>
      </c>
      <c r="BA141" s="300">
        <f t="shared" si="84"/>
        <v>0</v>
      </c>
      <c r="BB141" s="300">
        <f t="shared" si="85"/>
        <v>0</v>
      </c>
      <c r="BC141" s="301">
        <f t="shared" si="86"/>
        <v>0</v>
      </c>
      <c r="BD141" s="295" t="s">
        <v>764</v>
      </c>
      <c r="BE141" s="302" t="str">
        <f t="shared" si="87"/>
        <v>Exhibit 1.5A_R North Shore EEPS_Adjustable_Savings_Goal_Template.xlsx, Unit Savings Calculations Tab</v>
      </c>
      <c r="BF141" s="304"/>
    </row>
    <row r="142" spans="1:58" ht="15.75" customHeight="1">
      <c r="A142" s="295" t="str">
        <f>'Unit Savings Calculations'!C138</f>
        <v>Res - MF PTA Rebates</v>
      </c>
      <c r="B142" s="295" t="str">
        <f>'Unit Savings Calculations'!D138</f>
        <v>Steam Traps - HVAC Repair/Rep - No Audit</v>
      </c>
      <c r="C142" s="296">
        <f t="shared" si="66"/>
        <v>1</v>
      </c>
      <c r="D142" s="295" t="str">
        <f>'Unit Savings Calculations'!T138</f>
        <v>4.4.16</v>
      </c>
      <c r="E142" s="460">
        <f>INDEX('Unit Savings Calculations'!$H$4:$H$421,MATCH('Measure-Level Adjustments Tab'!$A142&amp;"_"&amp;'Measure-Level Adjustments Tab'!$B142,'Unit Savings Calculations'!$A$4:$A$421,0))</f>
        <v>6</v>
      </c>
      <c r="F142" s="460">
        <f>INDEX('Unit Savings Calculations'!$I$4:$I$421,MATCH('Measure-Level Adjustments Tab'!A142&amp;"_"&amp;'Measure-Level Adjustments Tab'!B142,'Unit Savings Calculations'!$A$4:$A$421,0))</f>
        <v>6</v>
      </c>
      <c r="G142" s="295" t="str">
        <f>'Unit Savings Calculations'!E138</f>
        <v>each</v>
      </c>
      <c r="H142" s="297">
        <f>'Unit Savings Calculations'!$F138*'Unit Savings Calculations'!J138</f>
        <v>0</v>
      </c>
      <c r="I142" s="297">
        <f>'Unit Savings Calculations'!$F138*'Unit Savings Calculations'!K138</f>
        <v>0</v>
      </c>
      <c r="J142" s="297">
        <f>'Unit Savings Calculations'!$F138*'Unit Savings Calculations'!L138</f>
        <v>0</v>
      </c>
      <c r="K142" s="297">
        <f>'Unit Savings Calculations'!$F138*'Unit Savings Calculations'!M138</f>
        <v>0</v>
      </c>
      <c r="L142" s="295" t="str">
        <f>'Unit Savings Calculations'!U138</f>
        <v>CI-HVC-STRE-V05-180101</v>
      </c>
      <c r="M142" s="405" t="str">
        <f>'Unit Savings Calculations'!R138</f>
        <v>Exhibit 1.5A_R North Shore EEPS_Adjustable_Savings_Goal_Template.xlsx, Unit Savings Calculations Tab</v>
      </c>
      <c r="N142" s="298">
        <v>110.15789625000002</v>
      </c>
      <c r="O142" s="298">
        <v>110.15789625000002</v>
      </c>
      <c r="P142" s="298">
        <v>110.15789625000002</v>
      </c>
      <c r="Q142" s="298">
        <v>110.15789625000002</v>
      </c>
      <c r="R142" s="299">
        <f>'Unit Savings Calculations'!$G138</f>
        <v>0.88</v>
      </c>
      <c r="S142" s="299">
        <f>'Unit Savings Calculations'!$G138</f>
        <v>0.88</v>
      </c>
      <c r="T142" s="299">
        <f>'Unit Savings Calculations'!$G138</f>
        <v>0.88</v>
      </c>
      <c r="U142" s="299">
        <f>'Unit Savings Calculations'!$G138</f>
        <v>0.88</v>
      </c>
      <c r="V142" s="300">
        <f t="shared" si="67"/>
        <v>0</v>
      </c>
      <c r="W142" s="300">
        <f t="shared" si="68"/>
        <v>0</v>
      </c>
      <c r="X142" s="300">
        <f t="shared" si="69"/>
        <v>0</v>
      </c>
      <c r="Y142" s="300">
        <f t="shared" si="70"/>
        <v>0</v>
      </c>
      <c r="Z142" s="300">
        <f t="shared" si="71"/>
        <v>0</v>
      </c>
      <c r="AA142" s="295"/>
      <c r="AB142" s="295"/>
      <c r="AC142" s="298">
        <f>'Unit Savings Calculations'!N138</f>
        <v>110.15789625000002</v>
      </c>
      <c r="AD142" s="295"/>
      <c r="AE142" s="300">
        <f t="shared" si="72"/>
        <v>0</v>
      </c>
      <c r="AF142" s="297">
        <f t="shared" si="73"/>
        <v>0</v>
      </c>
      <c r="AG142" s="295"/>
      <c r="AH142" s="295">
        <f t="shared" si="74"/>
        <v>0</v>
      </c>
      <c r="AI142" s="298">
        <f>'Unit Savings Calculations'!O138</f>
        <v>110.15789625000002</v>
      </c>
      <c r="AJ142" s="405" t="s">
        <v>879</v>
      </c>
      <c r="AK142" s="300">
        <f t="shared" si="75"/>
        <v>0</v>
      </c>
      <c r="AL142" s="297">
        <f t="shared" si="76"/>
        <v>0</v>
      </c>
      <c r="AM142" s="295"/>
      <c r="AN142" s="295"/>
      <c r="AO142" s="298">
        <f>'Unit Savings Calculations'!P138</f>
        <v>110.15789625000002</v>
      </c>
      <c r="AP142" s="405" t="s">
        <v>764</v>
      </c>
      <c r="AQ142" s="300">
        <f t="shared" si="77"/>
        <v>0</v>
      </c>
      <c r="AR142" s="297">
        <f t="shared" si="78"/>
        <v>0</v>
      </c>
      <c r="AS142" s="295"/>
      <c r="AT142" s="295"/>
      <c r="AU142" s="298">
        <f>'Unit Savings Calculations'!Q138</f>
        <v>110.15789625000002</v>
      </c>
      <c r="AV142" s="405" t="str">
        <f t="shared" si="79"/>
        <v>n/a</v>
      </c>
      <c r="AW142" s="300">
        <f t="shared" si="80"/>
        <v>0</v>
      </c>
      <c r="AX142" s="297">
        <f t="shared" si="81"/>
        <v>0</v>
      </c>
      <c r="AY142" s="300">
        <f t="shared" si="82"/>
        <v>0</v>
      </c>
      <c r="AZ142" s="300">
        <f t="shared" si="83"/>
        <v>0</v>
      </c>
      <c r="BA142" s="300">
        <f t="shared" si="84"/>
        <v>0</v>
      </c>
      <c r="BB142" s="300">
        <f t="shared" si="85"/>
        <v>0</v>
      </c>
      <c r="BC142" s="301">
        <f t="shared" si="86"/>
        <v>0</v>
      </c>
      <c r="BD142" s="295" t="s">
        <v>764</v>
      </c>
      <c r="BE142" s="302" t="str">
        <f t="shared" si="87"/>
        <v>Exhibit 1.5A_R North Shore EEPS_Adjustable_Savings_Goal_Template.xlsx, Unit Savings Calculations Tab</v>
      </c>
      <c r="BF142" s="304"/>
    </row>
    <row r="143" spans="1:58" ht="15.75" customHeight="1">
      <c r="A143" s="295" t="str">
        <f>'Unit Savings Calculations'!C139</f>
        <v>Res - MF PTA Rebates</v>
      </c>
      <c r="B143" s="295" t="str">
        <f>'Unit Savings Calculations'!D139</f>
        <v>Steam Traps - Test</v>
      </c>
      <c r="C143" s="296">
        <f t="shared" si="66"/>
        <v>0</v>
      </c>
      <c r="D143" s="295" t="str">
        <f>'Unit Savings Calculations'!T139</f>
        <v>Custom</v>
      </c>
      <c r="E143" s="460">
        <f>INDEX('Unit Savings Calculations'!$H$4:$H$421,MATCH('Measure-Level Adjustments Tab'!$A143&amp;"_"&amp;'Measure-Level Adjustments Tab'!$B143,'Unit Savings Calculations'!$A$4:$A$421,0))</f>
        <v>3</v>
      </c>
      <c r="F143" s="460">
        <f>INDEX('Unit Savings Calculations'!$I$4:$I$421,MATCH('Measure-Level Adjustments Tab'!A143&amp;"_"&amp;'Measure-Level Adjustments Tab'!B143,'Unit Savings Calculations'!$A$4:$A$421,0))</f>
        <v>3</v>
      </c>
      <c r="G143" s="295" t="str">
        <f>'Unit Savings Calculations'!E139</f>
        <v>each</v>
      </c>
      <c r="H143" s="297">
        <f>'Unit Savings Calculations'!$F139*'Unit Savings Calculations'!J139</f>
        <v>0</v>
      </c>
      <c r="I143" s="297">
        <f>'Unit Savings Calculations'!$F139*'Unit Savings Calculations'!K139</f>
        <v>0</v>
      </c>
      <c r="J143" s="297">
        <f>'Unit Savings Calculations'!$F139*'Unit Savings Calculations'!L139</f>
        <v>0</v>
      </c>
      <c r="K143" s="297">
        <f>'Unit Savings Calculations'!$F139*'Unit Savings Calculations'!M139</f>
        <v>0</v>
      </c>
      <c r="L143" s="295" t="str">
        <f>'Unit Savings Calculations'!U139</f>
        <v>Custom</v>
      </c>
      <c r="M143" s="405" t="str">
        <f>'Unit Savings Calculations'!R139</f>
        <v>Custom</v>
      </c>
      <c r="N143" s="298">
        <v>0</v>
      </c>
      <c r="O143" s="298">
        <v>0</v>
      </c>
      <c r="P143" s="298">
        <v>0</v>
      </c>
      <c r="Q143" s="298">
        <v>0</v>
      </c>
      <c r="R143" s="299">
        <f>'Unit Savings Calculations'!$G139</f>
        <v>0.88</v>
      </c>
      <c r="S143" s="299">
        <f>'Unit Savings Calculations'!$G139</f>
        <v>0.88</v>
      </c>
      <c r="T143" s="299">
        <f>'Unit Savings Calculations'!$G139</f>
        <v>0.88</v>
      </c>
      <c r="U143" s="299">
        <f>'Unit Savings Calculations'!$G139</f>
        <v>0.88</v>
      </c>
      <c r="V143" s="300">
        <f t="shared" si="67"/>
        <v>0</v>
      </c>
      <c r="W143" s="300">
        <f t="shared" si="68"/>
        <v>0</v>
      </c>
      <c r="X143" s="300">
        <f t="shared" si="69"/>
        <v>0</v>
      </c>
      <c r="Y143" s="300">
        <f t="shared" si="70"/>
        <v>0</v>
      </c>
      <c r="Z143" s="300">
        <f t="shared" si="71"/>
        <v>0</v>
      </c>
      <c r="AA143" s="406"/>
      <c r="AB143" s="406"/>
      <c r="AC143" s="409">
        <f>'Unit Savings Calculations'!N139</f>
        <v>0</v>
      </c>
      <c r="AD143" s="406"/>
      <c r="AE143" s="407">
        <f t="shared" si="72"/>
        <v>0</v>
      </c>
      <c r="AF143" s="408">
        <f t="shared" si="73"/>
        <v>0</v>
      </c>
      <c r="AG143" s="406"/>
      <c r="AH143" s="406">
        <f t="shared" si="74"/>
        <v>0</v>
      </c>
      <c r="AI143" s="409">
        <f>'Unit Savings Calculations'!O139</f>
        <v>0</v>
      </c>
      <c r="AJ143" s="457" t="s">
        <v>879</v>
      </c>
      <c r="AK143" s="407">
        <f t="shared" si="75"/>
        <v>0</v>
      </c>
      <c r="AL143" s="408">
        <f t="shared" si="76"/>
        <v>0</v>
      </c>
      <c r="AM143" s="406"/>
      <c r="AN143" s="406"/>
      <c r="AO143" s="409">
        <f>'Unit Savings Calculations'!P139</f>
        <v>0</v>
      </c>
      <c r="AP143" s="457" t="s">
        <v>764</v>
      </c>
      <c r="AQ143" s="407">
        <f t="shared" si="77"/>
        <v>0</v>
      </c>
      <c r="AR143" s="408">
        <f t="shared" si="78"/>
        <v>0</v>
      </c>
      <c r="AS143" s="406"/>
      <c r="AT143" s="406"/>
      <c r="AU143" s="409">
        <f>'Unit Savings Calculations'!Q139</f>
        <v>0</v>
      </c>
      <c r="AV143" s="457" t="str">
        <f t="shared" si="79"/>
        <v>n/a</v>
      </c>
      <c r="AW143" s="407">
        <f t="shared" si="80"/>
        <v>0</v>
      </c>
      <c r="AX143" s="408">
        <f t="shared" si="81"/>
        <v>0</v>
      </c>
      <c r="AY143" s="300">
        <f t="shared" si="82"/>
        <v>0</v>
      </c>
      <c r="AZ143" s="300">
        <f t="shared" si="83"/>
        <v>0</v>
      </c>
      <c r="BA143" s="300">
        <f t="shared" si="84"/>
        <v>0</v>
      </c>
      <c r="BB143" s="300">
        <f t="shared" si="85"/>
        <v>0</v>
      </c>
      <c r="BC143" s="301">
        <f t="shared" si="86"/>
        <v>0</v>
      </c>
      <c r="BD143" s="295" t="s">
        <v>764</v>
      </c>
      <c r="BE143" s="302" t="str">
        <f t="shared" si="87"/>
        <v>Custom</v>
      </c>
      <c r="BF143" s="304"/>
    </row>
    <row r="144" spans="1:58" ht="15.75" customHeight="1">
      <c r="A144" s="295" t="str">
        <f>'Unit Savings Calculations'!C140</f>
        <v>Res - MF PTA Rebates</v>
      </c>
      <c r="B144" s="295" t="str">
        <f>'Unit Savings Calculations'!D140</f>
        <v>Thermostat - Programmable</v>
      </c>
      <c r="C144" s="296">
        <f t="shared" si="66"/>
        <v>1</v>
      </c>
      <c r="D144" s="295" t="str">
        <f>'Unit Savings Calculations'!T140</f>
        <v>4.4.18</v>
      </c>
      <c r="E144" s="460">
        <f>INDEX('Unit Savings Calculations'!$H$4:$H$421,MATCH('Measure-Level Adjustments Tab'!$A144&amp;"_"&amp;'Measure-Level Adjustments Tab'!$B144,'Unit Savings Calculations'!$A$4:$A$421,0))</f>
        <v>4</v>
      </c>
      <c r="F144" s="460">
        <f>INDEX('Unit Savings Calculations'!$I$4:$I$421,MATCH('Measure-Level Adjustments Tab'!A144&amp;"_"&amp;'Measure-Level Adjustments Tab'!B144,'Unit Savings Calculations'!$A$4:$A$421,0))</f>
        <v>4</v>
      </c>
      <c r="G144" s="295" t="str">
        <f>'Unit Savings Calculations'!E140</f>
        <v>each</v>
      </c>
      <c r="H144" s="297">
        <f>'Unit Savings Calculations'!$F140*'Unit Savings Calculations'!J140</f>
        <v>0</v>
      </c>
      <c r="I144" s="297">
        <f>'Unit Savings Calculations'!$F140*'Unit Savings Calculations'!K140</f>
        <v>0</v>
      </c>
      <c r="J144" s="297">
        <f>'Unit Savings Calculations'!$F140*'Unit Savings Calculations'!L140</f>
        <v>0</v>
      </c>
      <c r="K144" s="297">
        <f>'Unit Savings Calculations'!$F140*'Unit Savings Calculations'!M140</f>
        <v>0</v>
      </c>
      <c r="L144" s="295" t="str">
        <f>'Unit Savings Calculations'!U140</f>
        <v>CI-HVC-PROG-V02-150601</v>
      </c>
      <c r="M144" s="405" t="str">
        <f>'Unit Savings Calculations'!R140</f>
        <v>Exhibit 1.5A_R North Shore EEPS_Adjustable_Savings_Goal_Template.xlsx, Thermostat Detail Tab</v>
      </c>
      <c r="N144" s="298">
        <v>124.68584320000001</v>
      </c>
      <c r="O144" s="298">
        <v>124.68584320000001</v>
      </c>
      <c r="P144" s="298">
        <v>124.68584320000001</v>
      </c>
      <c r="Q144" s="298">
        <v>124.68584320000001</v>
      </c>
      <c r="R144" s="299">
        <f>'Unit Savings Calculations'!$G140</f>
        <v>0.88</v>
      </c>
      <c r="S144" s="299">
        <f>'Unit Savings Calculations'!$G140</f>
        <v>0.88</v>
      </c>
      <c r="T144" s="299">
        <f>'Unit Savings Calculations'!$G140</f>
        <v>0.88</v>
      </c>
      <c r="U144" s="299">
        <f>'Unit Savings Calculations'!$G140</f>
        <v>0.88</v>
      </c>
      <c r="V144" s="300">
        <f t="shared" si="67"/>
        <v>0</v>
      </c>
      <c r="W144" s="300">
        <f t="shared" si="68"/>
        <v>0</v>
      </c>
      <c r="X144" s="300">
        <f t="shared" si="69"/>
        <v>0</v>
      </c>
      <c r="Y144" s="300">
        <f t="shared" si="70"/>
        <v>0</v>
      </c>
      <c r="Z144" s="300">
        <f t="shared" si="71"/>
        <v>0</v>
      </c>
      <c r="AA144" s="295"/>
      <c r="AB144" s="295"/>
      <c r="AC144" s="298">
        <f>'Unit Savings Calculations'!N140</f>
        <v>124.68584320000001</v>
      </c>
      <c r="AD144" s="295"/>
      <c r="AE144" s="300">
        <f t="shared" si="72"/>
        <v>0</v>
      </c>
      <c r="AF144" s="297">
        <f t="shared" si="73"/>
        <v>0</v>
      </c>
      <c r="AG144" s="295"/>
      <c r="AH144" s="295">
        <f t="shared" si="74"/>
        <v>0</v>
      </c>
      <c r="AI144" s="298">
        <f>'Unit Savings Calculations'!O140</f>
        <v>124.68584320000001</v>
      </c>
      <c r="AJ144" s="405" t="s">
        <v>879</v>
      </c>
      <c r="AK144" s="300">
        <f t="shared" si="75"/>
        <v>0</v>
      </c>
      <c r="AL144" s="297">
        <f t="shared" si="76"/>
        <v>0</v>
      </c>
      <c r="AM144" s="295"/>
      <c r="AN144" s="295"/>
      <c r="AO144" s="298">
        <f>'Unit Savings Calculations'!P140</f>
        <v>124.68584320000001</v>
      </c>
      <c r="AP144" s="405" t="s">
        <v>764</v>
      </c>
      <c r="AQ144" s="300">
        <f t="shared" si="77"/>
        <v>0</v>
      </c>
      <c r="AR144" s="297">
        <f t="shared" si="78"/>
        <v>0</v>
      </c>
      <c r="AS144" s="295"/>
      <c r="AT144" s="295"/>
      <c r="AU144" s="298">
        <f>'Unit Savings Calculations'!Q140</f>
        <v>124.68584320000001</v>
      </c>
      <c r="AV144" s="405" t="str">
        <f t="shared" si="79"/>
        <v>n/a</v>
      </c>
      <c r="AW144" s="300">
        <f t="shared" si="80"/>
        <v>0</v>
      </c>
      <c r="AX144" s="297">
        <f t="shared" si="81"/>
        <v>0</v>
      </c>
      <c r="AY144" s="300">
        <f t="shared" si="82"/>
        <v>0</v>
      </c>
      <c r="AZ144" s="300">
        <f t="shared" si="83"/>
        <v>0</v>
      </c>
      <c r="BA144" s="300">
        <f t="shared" si="84"/>
        <v>0</v>
      </c>
      <c r="BB144" s="300">
        <f t="shared" si="85"/>
        <v>0</v>
      </c>
      <c r="BC144" s="301">
        <f t="shared" si="86"/>
        <v>0</v>
      </c>
      <c r="BD144" s="295" t="s">
        <v>764</v>
      </c>
      <c r="BE144" s="302" t="str">
        <f t="shared" si="87"/>
        <v>Exhibit 1.5A_R North Shore EEPS_Adjustable_Savings_Goal_Template.xlsx, Thermostat Detail Tab</v>
      </c>
      <c r="BF144" s="304"/>
    </row>
    <row r="145" spans="1:58" ht="15.75" customHeight="1">
      <c r="A145" s="295" t="str">
        <f>'Unit Savings Calculations'!C141</f>
        <v>Res - MF Rebates</v>
      </c>
      <c r="B145" s="295" t="str">
        <f>'Unit Savings Calculations'!D141</f>
        <v>Multifamily Custom</v>
      </c>
      <c r="C145" s="296">
        <f t="shared" si="66"/>
        <v>0</v>
      </c>
      <c r="D145" s="295" t="str">
        <f>'Unit Savings Calculations'!T141</f>
        <v>Custom</v>
      </c>
      <c r="E145" s="460">
        <f>INDEX('Unit Savings Calculations'!$H$4:$H$421,MATCH('Measure-Level Adjustments Tab'!$A145&amp;"_"&amp;'Measure-Level Adjustments Tab'!$B145,'Unit Savings Calculations'!$A$4:$A$421,0))</f>
        <v>15</v>
      </c>
      <c r="F145" s="460">
        <f>INDEX('Unit Savings Calculations'!$I$4:$I$421,MATCH('Measure-Level Adjustments Tab'!A145&amp;"_"&amp;'Measure-Level Adjustments Tab'!B145,'Unit Savings Calculations'!$A$4:$A$421,0))</f>
        <v>15</v>
      </c>
      <c r="G145" s="295" t="str">
        <f>'Unit Savings Calculations'!E141</f>
        <v>each</v>
      </c>
      <c r="H145" s="297">
        <f>'Unit Savings Calculations'!$F141*'Unit Savings Calculations'!J141</f>
        <v>3900</v>
      </c>
      <c r="I145" s="297">
        <f>'Unit Savings Calculations'!$F141*'Unit Savings Calculations'!K141</f>
        <v>3900</v>
      </c>
      <c r="J145" s="297">
        <f>'Unit Savings Calculations'!$F141*'Unit Savings Calculations'!L141</f>
        <v>1300</v>
      </c>
      <c r="K145" s="297">
        <f>'Unit Savings Calculations'!$F141*'Unit Savings Calculations'!M141</f>
        <v>3900</v>
      </c>
      <c r="L145" s="295" t="str">
        <f>'Unit Savings Calculations'!U141</f>
        <v>Custom</v>
      </c>
      <c r="M145" s="405" t="str">
        <f>'Unit Savings Calculations'!R141</f>
        <v>Custom</v>
      </c>
      <c r="N145" s="298">
        <v>1</v>
      </c>
      <c r="O145" s="298">
        <v>1</v>
      </c>
      <c r="P145" s="298">
        <v>1</v>
      </c>
      <c r="Q145" s="298">
        <v>1</v>
      </c>
      <c r="R145" s="299">
        <f>'Unit Savings Calculations'!$G141</f>
        <v>0.72</v>
      </c>
      <c r="S145" s="299">
        <f>'Unit Savings Calculations'!$G141</f>
        <v>0.72</v>
      </c>
      <c r="T145" s="299">
        <f>'Unit Savings Calculations'!$G141</f>
        <v>0.72</v>
      </c>
      <c r="U145" s="299">
        <f>'Unit Savings Calculations'!$G141</f>
        <v>0.72</v>
      </c>
      <c r="V145" s="300">
        <f t="shared" si="67"/>
        <v>2808</v>
      </c>
      <c r="W145" s="300">
        <f t="shared" si="68"/>
        <v>2808</v>
      </c>
      <c r="X145" s="300">
        <f t="shared" si="69"/>
        <v>936</v>
      </c>
      <c r="Y145" s="300">
        <f t="shared" si="70"/>
        <v>2808</v>
      </c>
      <c r="Z145" s="300">
        <f t="shared" si="71"/>
        <v>9360</v>
      </c>
      <c r="AA145" s="406"/>
      <c r="AB145" s="406"/>
      <c r="AC145" s="409">
        <f>'Unit Savings Calculations'!N141</f>
        <v>1</v>
      </c>
      <c r="AD145" s="406"/>
      <c r="AE145" s="407">
        <f t="shared" si="72"/>
        <v>2808</v>
      </c>
      <c r="AF145" s="408">
        <f t="shared" si="73"/>
        <v>0</v>
      </c>
      <c r="AG145" s="406"/>
      <c r="AH145" s="406">
        <f t="shared" si="74"/>
        <v>0</v>
      </c>
      <c r="AI145" s="409">
        <f>'Unit Savings Calculations'!O141</f>
        <v>1</v>
      </c>
      <c r="AJ145" s="457" t="s">
        <v>879</v>
      </c>
      <c r="AK145" s="407">
        <f t="shared" si="75"/>
        <v>2808</v>
      </c>
      <c r="AL145" s="408">
        <f t="shared" si="76"/>
        <v>0</v>
      </c>
      <c r="AM145" s="406"/>
      <c r="AN145" s="406"/>
      <c r="AO145" s="409">
        <f>'Unit Savings Calculations'!P141</f>
        <v>1</v>
      </c>
      <c r="AP145" s="457" t="s">
        <v>764</v>
      </c>
      <c r="AQ145" s="407">
        <f t="shared" si="77"/>
        <v>936</v>
      </c>
      <c r="AR145" s="408">
        <f t="shared" si="78"/>
        <v>0</v>
      </c>
      <c r="AS145" s="406"/>
      <c r="AT145" s="406"/>
      <c r="AU145" s="409">
        <f>'Unit Savings Calculations'!Q141</f>
        <v>1</v>
      </c>
      <c r="AV145" s="457" t="str">
        <f t="shared" si="79"/>
        <v>n/a</v>
      </c>
      <c r="AW145" s="407">
        <f t="shared" si="80"/>
        <v>2808</v>
      </c>
      <c r="AX145" s="408">
        <f t="shared" si="81"/>
        <v>0</v>
      </c>
      <c r="AY145" s="300">
        <f t="shared" si="82"/>
        <v>2808</v>
      </c>
      <c r="AZ145" s="300">
        <f t="shared" si="83"/>
        <v>2808</v>
      </c>
      <c r="BA145" s="300">
        <f t="shared" si="84"/>
        <v>936</v>
      </c>
      <c r="BB145" s="300">
        <f t="shared" si="85"/>
        <v>2808</v>
      </c>
      <c r="BC145" s="301">
        <f t="shared" si="86"/>
        <v>9360</v>
      </c>
      <c r="BD145" s="295" t="s">
        <v>764</v>
      </c>
      <c r="BE145" s="302" t="str">
        <f t="shared" si="87"/>
        <v>Custom</v>
      </c>
      <c r="BF145" s="304"/>
    </row>
    <row r="146" spans="1:58" ht="15.75" customHeight="1">
      <c r="A146" s="295" t="str">
        <f>'Unit Savings Calculations'!C142</f>
        <v>Bus - CI Assessments</v>
      </c>
      <c r="B146" s="295" t="str">
        <f>'Unit Savings Calculations'!D142</f>
        <v>Aerator - Bathroom</v>
      </c>
      <c r="C146" s="296">
        <f t="shared" si="66"/>
        <v>1</v>
      </c>
      <c r="D146" s="295" t="str">
        <f>'Unit Savings Calculations'!T142</f>
        <v>4.3.2</v>
      </c>
      <c r="E146" s="460">
        <f>INDEX('Unit Savings Calculations'!$H$4:$H$421,MATCH('Measure-Level Adjustments Tab'!$A146&amp;"_"&amp;'Measure-Level Adjustments Tab'!$B146,'Unit Savings Calculations'!$A$4:$A$421,0))</f>
        <v>9</v>
      </c>
      <c r="F146" s="460">
        <f>INDEX('Unit Savings Calculations'!$I$4:$I$421,MATCH('Measure-Level Adjustments Tab'!A146&amp;"_"&amp;'Measure-Level Adjustments Tab'!B146,'Unit Savings Calculations'!$A$4:$A$421,0))</f>
        <v>10</v>
      </c>
      <c r="G146" s="295" t="str">
        <f>'Unit Savings Calculations'!E142</f>
        <v>each</v>
      </c>
      <c r="H146" s="297">
        <f>'Unit Savings Calculations'!$F142*'Unit Savings Calculations'!J142</f>
        <v>35</v>
      </c>
      <c r="I146" s="297">
        <f>'Unit Savings Calculations'!$F142*'Unit Savings Calculations'!K142</f>
        <v>35</v>
      </c>
      <c r="J146" s="297">
        <f>'Unit Savings Calculations'!$F142*'Unit Savings Calculations'!L142</f>
        <v>35</v>
      </c>
      <c r="K146" s="297">
        <f>'Unit Savings Calculations'!$F142*'Unit Savings Calculations'!M142</f>
        <v>35</v>
      </c>
      <c r="L146" s="295" t="str">
        <f>'Unit Savings Calculations'!U142</f>
        <v>CI-HWE-LFFA-V07-180101</v>
      </c>
      <c r="M146" s="405" t="str">
        <f>'Unit Savings Calculations'!R142</f>
        <v>Exhibit 1.5A_R North Shore EEPS_Adjustable_Savings_Goal_Template.xlsx, Unit Savings Calculations Tab</v>
      </c>
      <c r="N146" s="298">
        <v>6.1049460431654667</v>
      </c>
      <c r="O146" s="298">
        <v>6.1049460431654667</v>
      </c>
      <c r="P146" s="298">
        <v>6.1049460431654667</v>
      </c>
      <c r="Q146" s="298">
        <v>6.1049460431654667</v>
      </c>
      <c r="R146" s="299">
        <f>'Unit Savings Calculations'!$G142</f>
        <v>0.79</v>
      </c>
      <c r="S146" s="299">
        <f>'Unit Savings Calculations'!$G142</f>
        <v>0.79</v>
      </c>
      <c r="T146" s="299">
        <f>'Unit Savings Calculations'!$G142</f>
        <v>0.79</v>
      </c>
      <c r="U146" s="299">
        <f>'Unit Savings Calculations'!$G142</f>
        <v>0.79</v>
      </c>
      <c r="V146" s="300">
        <f t="shared" si="67"/>
        <v>168.80175809352517</v>
      </c>
      <c r="W146" s="300">
        <f t="shared" si="68"/>
        <v>168.80175809352517</v>
      </c>
      <c r="X146" s="300">
        <f t="shared" si="69"/>
        <v>168.80175809352517</v>
      </c>
      <c r="Y146" s="300">
        <f t="shared" si="70"/>
        <v>168.80175809352517</v>
      </c>
      <c r="Z146" s="300">
        <f t="shared" si="71"/>
        <v>675.20703237410066</v>
      </c>
      <c r="AA146" s="295"/>
      <c r="AB146" s="295"/>
      <c r="AC146" s="298">
        <f>'Unit Savings Calculations'!N142</f>
        <v>6.1049460431654667</v>
      </c>
      <c r="AD146" s="295"/>
      <c r="AE146" s="300">
        <f t="shared" si="72"/>
        <v>168.80175809352517</v>
      </c>
      <c r="AF146" s="297">
        <f t="shared" si="73"/>
        <v>0</v>
      </c>
      <c r="AG146" s="295"/>
      <c r="AH146" s="295">
        <f t="shared" si="74"/>
        <v>0</v>
      </c>
      <c r="AI146" s="298">
        <f>'Unit Savings Calculations'!O142</f>
        <v>6.1049460431654667</v>
      </c>
      <c r="AJ146" s="405" t="s">
        <v>879</v>
      </c>
      <c r="AK146" s="300">
        <f t="shared" si="75"/>
        <v>168.80175809352517</v>
      </c>
      <c r="AL146" s="297">
        <f t="shared" si="76"/>
        <v>0</v>
      </c>
      <c r="AM146" s="295"/>
      <c r="AN146" s="295"/>
      <c r="AO146" s="298">
        <f>'Unit Savings Calculations'!P142</f>
        <v>6.1049460431654667</v>
      </c>
      <c r="AP146" s="405" t="s">
        <v>764</v>
      </c>
      <c r="AQ146" s="300">
        <f t="shared" si="77"/>
        <v>168.80175809352517</v>
      </c>
      <c r="AR146" s="297">
        <f t="shared" si="78"/>
        <v>0</v>
      </c>
      <c r="AS146" s="295"/>
      <c r="AT146" s="295"/>
      <c r="AU146" s="298">
        <f>'Unit Savings Calculations'!Q142</f>
        <v>6.1049460431654667</v>
      </c>
      <c r="AV146" s="405" t="str">
        <f t="shared" si="79"/>
        <v>n/a</v>
      </c>
      <c r="AW146" s="300">
        <f t="shared" si="80"/>
        <v>168.80175809352517</v>
      </c>
      <c r="AX146" s="297">
        <f t="shared" si="81"/>
        <v>0</v>
      </c>
      <c r="AY146" s="300">
        <f t="shared" si="82"/>
        <v>168.80175809352517</v>
      </c>
      <c r="AZ146" s="300">
        <f t="shared" si="83"/>
        <v>168.80175809352517</v>
      </c>
      <c r="BA146" s="300">
        <f t="shared" si="84"/>
        <v>168.80175809352517</v>
      </c>
      <c r="BB146" s="300">
        <f t="shared" si="85"/>
        <v>168.80175809352517</v>
      </c>
      <c r="BC146" s="301">
        <f t="shared" si="86"/>
        <v>675.20703237410066</v>
      </c>
      <c r="BD146" s="295" t="s">
        <v>764</v>
      </c>
      <c r="BE146" s="302" t="str">
        <f t="shared" si="87"/>
        <v>Exhibit 1.5A_R North Shore EEPS_Adjustable_Savings_Goal_Template.xlsx, Unit Savings Calculations Tab</v>
      </c>
      <c r="BF146" s="304"/>
    </row>
    <row r="147" spans="1:58" ht="15.75" customHeight="1">
      <c r="A147" s="295" t="str">
        <f>'Unit Savings Calculations'!C143</f>
        <v>Bus - CI Assessments</v>
      </c>
      <c r="B147" s="295" t="str">
        <f>'Unit Savings Calculations'!D143</f>
        <v>Aerator - Kitchen</v>
      </c>
      <c r="C147" s="296">
        <f t="shared" si="66"/>
        <v>1</v>
      </c>
      <c r="D147" s="295" t="str">
        <f>'Unit Savings Calculations'!T143</f>
        <v>4.3.2</v>
      </c>
      <c r="E147" s="460">
        <f>INDEX('Unit Savings Calculations'!$H$4:$H$421,MATCH('Measure-Level Adjustments Tab'!$A147&amp;"_"&amp;'Measure-Level Adjustments Tab'!$B147,'Unit Savings Calculations'!$A$4:$A$421,0))</f>
        <v>9</v>
      </c>
      <c r="F147" s="460">
        <f>INDEX('Unit Savings Calculations'!$I$4:$I$421,MATCH('Measure-Level Adjustments Tab'!A147&amp;"_"&amp;'Measure-Level Adjustments Tab'!B147,'Unit Savings Calculations'!$A$4:$A$421,0))</f>
        <v>10</v>
      </c>
      <c r="G147" s="295" t="str">
        <f>'Unit Savings Calculations'!E143</f>
        <v>each</v>
      </c>
      <c r="H147" s="297">
        <f>'Unit Savings Calculations'!$F143*'Unit Savings Calculations'!J143</f>
        <v>8</v>
      </c>
      <c r="I147" s="297">
        <f>'Unit Savings Calculations'!$F143*'Unit Savings Calculations'!K143</f>
        <v>8</v>
      </c>
      <c r="J147" s="297">
        <f>'Unit Savings Calculations'!$F143*'Unit Savings Calculations'!L143</f>
        <v>8</v>
      </c>
      <c r="K147" s="297">
        <f>'Unit Savings Calculations'!$F143*'Unit Savings Calculations'!M143</f>
        <v>8</v>
      </c>
      <c r="L147" s="295" t="str">
        <f>'Unit Savings Calculations'!U143</f>
        <v>CI-HWE-LFFA-V07-180101</v>
      </c>
      <c r="M147" s="405" t="str">
        <f>'Unit Savings Calculations'!R143</f>
        <v>Exhibit 1.5A_R North Shore EEPS_Adjustable_Savings_Goal_Template.xlsx, Unit Savings Calculations Tab</v>
      </c>
      <c r="N147" s="298">
        <v>7.4428057553956819</v>
      </c>
      <c r="O147" s="298">
        <v>7.4428057553956819</v>
      </c>
      <c r="P147" s="298">
        <v>7.4428057553956819</v>
      </c>
      <c r="Q147" s="298">
        <v>7.4428057553956819</v>
      </c>
      <c r="R147" s="299">
        <f>'Unit Savings Calculations'!$G143</f>
        <v>0.79</v>
      </c>
      <c r="S147" s="299">
        <f>'Unit Savings Calculations'!$G143</f>
        <v>0.79</v>
      </c>
      <c r="T147" s="299">
        <f>'Unit Savings Calculations'!$G143</f>
        <v>0.79</v>
      </c>
      <c r="U147" s="299">
        <f>'Unit Savings Calculations'!$G143</f>
        <v>0.79</v>
      </c>
      <c r="V147" s="300">
        <f t="shared" si="67"/>
        <v>47.038532374100711</v>
      </c>
      <c r="W147" s="300">
        <f t="shared" si="68"/>
        <v>47.038532374100711</v>
      </c>
      <c r="X147" s="300">
        <f t="shared" si="69"/>
        <v>47.038532374100711</v>
      </c>
      <c r="Y147" s="300">
        <f t="shared" si="70"/>
        <v>47.038532374100711</v>
      </c>
      <c r="Z147" s="300">
        <f t="shared" si="71"/>
        <v>188.15412949640285</v>
      </c>
      <c r="AA147" s="295"/>
      <c r="AB147" s="295"/>
      <c r="AC147" s="298">
        <f>'Unit Savings Calculations'!N143</f>
        <v>7.4428057553956819</v>
      </c>
      <c r="AD147" s="295"/>
      <c r="AE147" s="300">
        <f t="shared" si="72"/>
        <v>47.038532374100711</v>
      </c>
      <c r="AF147" s="297">
        <f t="shared" si="73"/>
        <v>0</v>
      </c>
      <c r="AG147" s="295"/>
      <c r="AH147" s="295">
        <f t="shared" si="74"/>
        <v>0</v>
      </c>
      <c r="AI147" s="298">
        <f>'Unit Savings Calculations'!O143</f>
        <v>7.4428057553956819</v>
      </c>
      <c r="AJ147" s="405" t="s">
        <v>879</v>
      </c>
      <c r="AK147" s="300">
        <f t="shared" si="75"/>
        <v>47.038532374100711</v>
      </c>
      <c r="AL147" s="297">
        <f t="shared" si="76"/>
        <v>0</v>
      </c>
      <c r="AM147" s="295"/>
      <c r="AN147" s="295"/>
      <c r="AO147" s="298">
        <f>'Unit Savings Calculations'!P143</f>
        <v>7.4428057553956819</v>
      </c>
      <c r="AP147" s="405" t="s">
        <v>764</v>
      </c>
      <c r="AQ147" s="300">
        <f t="shared" si="77"/>
        <v>47.038532374100711</v>
      </c>
      <c r="AR147" s="297">
        <f t="shared" si="78"/>
        <v>0</v>
      </c>
      <c r="AS147" s="295"/>
      <c r="AT147" s="295"/>
      <c r="AU147" s="298">
        <f>'Unit Savings Calculations'!Q143</f>
        <v>7.4428057553956819</v>
      </c>
      <c r="AV147" s="405" t="str">
        <f t="shared" si="79"/>
        <v>n/a</v>
      </c>
      <c r="AW147" s="300">
        <f t="shared" si="80"/>
        <v>47.038532374100711</v>
      </c>
      <c r="AX147" s="297">
        <f t="shared" si="81"/>
        <v>0</v>
      </c>
      <c r="AY147" s="300">
        <f t="shared" si="82"/>
        <v>47.038532374100711</v>
      </c>
      <c r="AZ147" s="300">
        <f t="shared" si="83"/>
        <v>47.038532374100711</v>
      </c>
      <c r="BA147" s="300">
        <f t="shared" si="84"/>
        <v>47.038532374100711</v>
      </c>
      <c r="BB147" s="300">
        <f t="shared" si="85"/>
        <v>47.038532374100711</v>
      </c>
      <c r="BC147" s="301">
        <f t="shared" si="86"/>
        <v>188.15412949640285</v>
      </c>
      <c r="BD147" s="295" t="s">
        <v>764</v>
      </c>
      <c r="BE147" s="302" t="str">
        <f t="shared" si="87"/>
        <v>Exhibit 1.5A_R North Shore EEPS_Adjustable_Savings_Goal_Template.xlsx, Unit Savings Calculations Tab</v>
      </c>
      <c r="BF147" s="304"/>
    </row>
    <row r="148" spans="1:58" ht="15.75" customHeight="1">
      <c r="A148" s="295" t="str">
        <f>'Unit Savings Calculations'!C144</f>
        <v>Bus - CI Assessments</v>
      </c>
      <c r="B148" s="295" t="str">
        <f>'Unit Savings Calculations'!D144</f>
        <v>Showerhead</v>
      </c>
      <c r="C148" s="296">
        <f t="shared" si="66"/>
        <v>1</v>
      </c>
      <c r="D148" s="295" t="str">
        <f>'Unit Savings Calculations'!T144</f>
        <v>4.3.3</v>
      </c>
      <c r="E148" s="460">
        <f>INDEX('Unit Savings Calculations'!$H$4:$H$421,MATCH('Measure-Level Adjustments Tab'!$A148&amp;"_"&amp;'Measure-Level Adjustments Tab'!$B148,'Unit Savings Calculations'!$A$4:$A$421,0))</f>
        <v>10</v>
      </c>
      <c r="F148" s="460">
        <f>INDEX('Unit Savings Calculations'!$I$4:$I$421,MATCH('Measure-Level Adjustments Tab'!A148&amp;"_"&amp;'Measure-Level Adjustments Tab'!B148,'Unit Savings Calculations'!$A$4:$A$421,0))</f>
        <v>10</v>
      </c>
      <c r="G148" s="295" t="str">
        <f>'Unit Savings Calculations'!E144</f>
        <v>each</v>
      </c>
      <c r="H148" s="297">
        <f>'Unit Savings Calculations'!$F144*'Unit Savings Calculations'!J144</f>
        <v>1</v>
      </c>
      <c r="I148" s="297">
        <f>'Unit Savings Calculations'!$F144*'Unit Savings Calculations'!K144</f>
        <v>1</v>
      </c>
      <c r="J148" s="297">
        <f>'Unit Savings Calculations'!$F144*'Unit Savings Calculations'!L144</f>
        <v>1</v>
      </c>
      <c r="K148" s="297">
        <f>'Unit Savings Calculations'!$F144*'Unit Savings Calculations'!M144</f>
        <v>1</v>
      </c>
      <c r="L148" s="295" t="str">
        <f>'Unit Savings Calculations'!U144</f>
        <v>RS-HWE-LFSH-V04-180101</v>
      </c>
      <c r="M148" s="405" t="str">
        <f>'Unit Savings Calculations'!R144</f>
        <v>Exhibit 1.5A_R North Shore EEPS_Adjustable_Savings_Goal_Template.xlsx, Unit Savings Calculations Tab</v>
      </c>
      <c r="N148" s="298">
        <v>21.634983278999997</v>
      </c>
      <c r="O148" s="298">
        <v>21.634983278999997</v>
      </c>
      <c r="P148" s="298">
        <v>21.634983278999997</v>
      </c>
      <c r="Q148" s="298">
        <v>21.634983278999997</v>
      </c>
      <c r="R148" s="299">
        <f>'Unit Savings Calculations'!$G144</f>
        <v>0.79</v>
      </c>
      <c r="S148" s="299">
        <f>'Unit Savings Calculations'!$G144</f>
        <v>0.79</v>
      </c>
      <c r="T148" s="299">
        <f>'Unit Savings Calculations'!$G144</f>
        <v>0.79</v>
      </c>
      <c r="U148" s="299">
        <f>'Unit Savings Calculations'!$G144</f>
        <v>0.79</v>
      </c>
      <c r="V148" s="300">
        <f t="shared" si="67"/>
        <v>17.091636790409996</v>
      </c>
      <c r="W148" s="300">
        <f t="shared" si="68"/>
        <v>17.091636790409996</v>
      </c>
      <c r="X148" s="300">
        <f t="shared" si="69"/>
        <v>17.091636790409996</v>
      </c>
      <c r="Y148" s="300">
        <f t="shared" si="70"/>
        <v>17.091636790409996</v>
      </c>
      <c r="Z148" s="300">
        <f t="shared" si="71"/>
        <v>68.366547161639986</v>
      </c>
      <c r="AA148" s="295"/>
      <c r="AB148" s="295"/>
      <c r="AC148" s="298">
        <f>'Unit Savings Calculations'!N144</f>
        <v>19.917921113999995</v>
      </c>
      <c r="AD148" s="295"/>
      <c r="AE148" s="300">
        <f t="shared" si="72"/>
        <v>15.735157680059997</v>
      </c>
      <c r="AF148" s="297">
        <f t="shared" si="73"/>
        <v>-1.3564791103499996</v>
      </c>
      <c r="AG148" s="295"/>
      <c r="AH148" s="295">
        <f t="shared" si="74"/>
        <v>0</v>
      </c>
      <c r="AI148" s="298">
        <f>'Unit Savings Calculations'!O144</f>
        <v>19.917921113999995</v>
      </c>
      <c r="AJ148" s="405" t="s">
        <v>879</v>
      </c>
      <c r="AK148" s="300">
        <f t="shared" si="75"/>
        <v>15.735157680059997</v>
      </c>
      <c r="AL148" s="297">
        <f t="shared" si="76"/>
        <v>-1.3564791103499996</v>
      </c>
      <c r="AM148" s="295"/>
      <c r="AN148" s="295"/>
      <c r="AO148" s="298">
        <f>'Unit Savings Calculations'!P144</f>
        <v>19.917921113999995</v>
      </c>
      <c r="AP148" s="405" t="s">
        <v>1431</v>
      </c>
      <c r="AQ148" s="300">
        <f t="shared" si="77"/>
        <v>15.735157680059997</v>
      </c>
      <c r="AR148" s="297">
        <f t="shared" si="78"/>
        <v>-1.3564791103499996</v>
      </c>
      <c r="AS148" s="295"/>
      <c r="AT148" s="295"/>
      <c r="AU148" s="298">
        <f>'Unit Savings Calculations'!Q144</f>
        <v>19.917921113999995</v>
      </c>
      <c r="AV148" s="405" t="str">
        <f t="shared" si="79"/>
        <v>Updated EPG_gas</v>
      </c>
      <c r="AW148" s="300">
        <f t="shared" si="80"/>
        <v>15.735157680059997</v>
      </c>
      <c r="AX148" s="297">
        <f t="shared" si="81"/>
        <v>-1.3564791103499996</v>
      </c>
      <c r="AY148" s="300">
        <f t="shared" si="82"/>
        <v>15.735157680059997</v>
      </c>
      <c r="AZ148" s="300">
        <f t="shared" si="83"/>
        <v>15.735157680059997</v>
      </c>
      <c r="BA148" s="300">
        <f t="shared" si="84"/>
        <v>15.735157680059997</v>
      </c>
      <c r="BB148" s="300">
        <f t="shared" si="85"/>
        <v>15.735157680059997</v>
      </c>
      <c r="BC148" s="301">
        <f t="shared" si="86"/>
        <v>62.940630720239987</v>
      </c>
      <c r="BD148" s="295" t="s">
        <v>764</v>
      </c>
      <c r="BE148" s="302" t="str">
        <f t="shared" si="87"/>
        <v>Exhibit 1.5A_R North Shore EEPS_Adjustable_Savings_Goal_Template.xlsx, Unit Savings Calculations Tab</v>
      </c>
      <c r="BF148" s="304"/>
    </row>
    <row r="149" spans="1:58" ht="15.75" customHeight="1">
      <c r="A149" s="295" t="str">
        <f>'Unit Savings Calculations'!C145</f>
        <v>Bus - CI Assessments</v>
      </c>
      <c r="B149" s="295" t="str">
        <f>'Unit Savings Calculations'!D145</f>
        <v>Pre Rinse Sprayer</v>
      </c>
      <c r="C149" s="296">
        <f t="shared" si="66"/>
        <v>1</v>
      </c>
      <c r="D149" s="295" t="str">
        <f>'Unit Savings Calculations'!T145</f>
        <v>4.2.11</v>
      </c>
      <c r="E149" s="460">
        <f>INDEX('Unit Savings Calculations'!$H$4:$H$421,MATCH('Measure-Level Adjustments Tab'!$A149&amp;"_"&amp;'Measure-Level Adjustments Tab'!$B149,'Unit Savings Calculations'!$A$4:$A$421,0))</f>
        <v>5</v>
      </c>
      <c r="F149" s="460">
        <f>INDEX('Unit Savings Calculations'!$I$4:$I$421,MATCH('Measure-Level Adjustments Tab'!A149&amp;"_"&amp;'Measure-Level Adjustments Tab'!B149,'Unit Savings Calculations'!$A$4:$A$421,0))</f>
        <v>5</v>
      </c>
      <c r="G149" s="295" t="str">
        <f>'Unit Savings Calculations'!E145</f>
        <v>each</v>
      </c>
      <c r="H149" s="297">
        <f>'Unit Savings Calculations'!$F145*'Unit Savings Calculations'!J145</f>
        <v>0</v>
      </c>
      <c r="I149" s="297">
        <f>'Unit Savings Calculations'!$F145*'Unit Savings Calculations'!K145</f>
        <v>0</v>
      </c>
      <c r="J149" s="297">
        <f>'Unit Savings Calculations'!$F145*'Unit Savings Calculations'!L145</f>
        <v>0</v>
      </c>
      <c r="K149" s="297">
        <f>'Unit Savings Calculations'!$F145*'Unit Savings Calculations'!M145</f>
        <v>0</v>
      </c>
      <c r="L149" s="295" t="str">
        <f>'Unit Savings Calculations'!U145</f>
        <v>CI-FSE-SPRY-V04-180101</v>
      </c>
      <c r="M149" s="405" t="str">
        <f>'Unit Savings Calculations'!R145</f>
        <v>Exhibit 1.5A_R North Shore EEPS_Adjustable_Savings_Goal_Template.xlsx, Unit Savings Calculations Tab</v>
      </c>
      <c r="N149" s="298">
        <v>343.84240799999998</v>
      </c>
      <c r="O149" s="298">
        <v>343.84240799999998</v>
      </c>
      <c r="P149" s="298">
        <v>343.84240799999998</v>
      </c>
      <c r="Q149" s="298">
        <v>343.84240799999998</v>
      </c>
      <c r="R149" s="299">
        <f>'Unit Savings Calculations'!$G145</f>
        <v>0.79</v>
      </c>
      <c r="S149" s="299">
        <f>'Unit Savings Calculations'!$G145</f>
        <v>0.79</v>
      </c>
      <c r="T149" s="299">
        <f>'Unit Savings Calculations'!$G145</f>
        <v>0.79</v>
      </c>
      <c r="U149" s="299">
        <f>'Unit Savings Calculations'!$G145</f>
        <v>0.79</v>
      </c>
      <c r="V149" s="300">
        <f t="shared" si="67"/>
        <v>0</v>
      </c>
      <c r="W149" s="300">
        <f t="shared" si="68"/>
        <v>0</v>
      </c>
      <c r="X149" s="300">
        <f t="shared" si="69"/>
        <v>0</v>
      </c>
      <c r="Y149" s="300">
        <f t="shared" si="70"/>
        <v>0</v>
      </c>
      <c r="Z149" s="300">
        <f t="shared" si="71"/>
        <v>0</v>
      </c>
      <c r="AA149" s="295"/>
      <c r="AB149" s="295"/>
      <c r="AC149" s="298">
        <f>'Unit Savings Calculations'!N145</f>
        <v>474.829992</v>
      </c>
      <c r="AD149" s="295"/>
      <c r="AE149" s="300">
        <f t="shared" si="72"/>
        <v>0</v>
      </c>
      <c r="AF149" s="297">
        <f t="shared" si="73"/>
        <v>0</v>
      </c>
      <c r="AG149" s="295"/>
      <c r="AH149" s="295">
        <f t="shared" si="74"/>
        <v>0</v>
      </c>
      <c r="AI149" s="298">
        <f>'Unit Savings Calculations'!O145</f>
        <v>474.829992</v>
      </c>
      <c r="AJ149" s="405" t="s">
        <v>879</v>
      </c>
      <c r="AK149" s="300">
        <f t="shared" si="75"/>
        <v>0</v>
      </c>
      <c r="AL149" s="297">
        <f t="shared" si="76"/>
        <v>0</v>
      </c>
      <c r="AM149" s="295"/>
      <c r="AN149" s="295"/>
      <c r="AO149" s="298">
        <f>'Unit Savings Calculations'!P145</f>
        <v>474.829992</v>
      </c>
      <c r="AP149" s="405" t="s">
        <v>1429</v>
      </c>
      <c r="AQ149" s="300">
        <f t="shared" si="77"/>
        <v>0</v>
      </c>
      <c r="AR149" s="297">
        <f t="shared" si="78"/>
        <v>0</v>
      </c>
      <c r="AS149" s="295"/>
      <c r="AT149" s="295"/>
      <c r="AU149" s="298">
        <f>'Unit Savings Calculations'!Q145</f>
        <v>474.829992</v>
      </c>
      <c r="AV149" s="405" t="str">
        <f t="shared" si="79"/>
        <v>Updated base and EE flow rates</v>
      </c>
      <c r="AW149" s="300">
        <f t="shared" si="80"/>
        <v>0</v>
      </c>
      <c r="AX149" s="297">
        <f t="shared" si="81"/>
        <v>0</v>
      </c>
      <c r="AY149" s="300">
        <f t="shared" si="82"/>
        <v>0</v>
      </c>
      <c r="AZ149" s="300">
        <f t="shared" si="83"/>
        <v>0</v>
      </c>
      <c r="BA149" s="300">
        <f t="shared" si="84"/>
        <v>0</v>
      </c>
      <c r="BB149" s="300">
        <f t="shared" si="85"/>
        <v>0</v>
      </c>
      <c r="BC149" s="301">
        <f t="shared" si="86"/>
        <v>0</v>
      </c>
      <c r="BD149" s="295" t="s">
        <v>764</v>
      </c>
      <c r="BE149" s="302" t="str">
        <f t="shared" si="87"/>
        <v>Exhibit 1.5A_R North Shore EEPS_Adjustable_Savings_Goal_Template.xlsx, Unit Savings Calculations Tab</v>
      </c>
      <c r="BF149" s="304"/>
    </row>
    <row r="150" spans="1:58" ht="15.75" customHeight="1">
      <c r="A150" s="295" t="str">
        <f>'Unit Savings Calculations'!C146</f>
        <v>Bus - CI Assessments</v>
      </c>
      <c r="B150" s="295" t="str">
        <f>'Unit Savings Calculations'!D146</f>
        <v>Laminar</v>
      </c>
      <c r="C150" s="296">
        <f t="shared" si="66"/>
        <v>0</v>
      </c>
      <c r="D150" s="295" t="str">
        <f>'Unit Savings Calculations'!T146</f>
        <v>Custom</v>
      </c>
      <c r="E150" s="460">
        <f>INDEX('Unit Savings Calculations'!$H$4:$H$421,MATCH('Measure-Level Adjustments Tab'!$A150&amp;"_"&amp;'Measure-Level Adjustments Tab'!$B150,'Unit Savings Calculations'!$A$4:$A$421,0))</f>
        <v>9</v>
      </c>
      <c r="F150" s="460">
        <f>INDEX('Unit Savings Calculations'!$I$4:$I$421,MATCH('Measure-Level Adjustments Tab'!A150&amp;"_"&amp;'Measure-Level Adjustments Tab'!B150,'Unit Savings Calculations'!$A$4:$A$421,0))</f>
        <v>9</v>
      </c>
      <c r="G150" s="295" t="str">
        <f>'Unit Savings Calculations'!E146</f>
        <v>each</v>
      </c>
      <c r="H150" s="297">
        <f>'Unit Savings Calculations'!$F146*'Unit Savings Calculations'!J146</f>
        <v>400</v>
      </c>
      <c r="I150" s="297">
        <f>'Unit Savings Calculations'!$F146*'Unit Savings Calculations'!K146</f>
        <v>400</v>
      </c>
      <c r="J150" s="297">
        <f>'Unit Savings Calculations'!$F146*'Unit Savings Calculations'!L146</f>
        <v>400</v>
      </c>
      <c r="K150" s="297">
        <f>'Unit Savings Calculations'!$F146*'Unit Savings Calculations'!M146</f>
        <v>400</v>
      </c>
      <c r="L150" s="295" t="str">
        <f>'Unit Savings Calculations'!U146</f>
        <v>Custom</v>
      </c>
      <c r="M150" s="405" t="str">
        <f>'Unit Savings Calculations'!R146</f>
        <v>Custom</v>
      </c>
      <c r="N150" s="298">
        <v>17.892857142857142</v>
      </c>
      <c r="O150" s="298">
        <v>17.892857142857142</v>
      </c>
      <c r="P150" s="298">
        <v>17.892857142857142</v>
      </c>
      <c r="Q150" s="298">
        <v>17.892857142857142</v>
      </c>
      <c r="R150" s="299">
        <f>'Unit Savings Calculations'!$G146</f>
        <v>0.79</v>
      </c>
      <c r="S150" s="299">
        <f>'Unit Savings Calculations'!$G146</f>
        <v>0.79</v>
      </c>
      <c r="T150" s="299">
        <f>'Unit Savings Calculations'!$G146</f>
        <v>0.79</v>
      </c>
      <c r="U150" s="299">
        <f>'Unit Savings Calculations'!$G146</f>
        <v>0.79</v>
      </c>
      <c r="V150" s="300">
        <f t="shared" si="67"/>
        <v>5654.1428571428569</v>
      </c>
      <c r="W150" s="300">
        <f t="shared" si="68"/>
        <v>5654.1428571428569</v>
      </c>
      <c r="X150" s="300">
        <f t="shared" si="69"/>
        <v>5654.1428571428569</v>
      </c>
      <c r="Y150" s="300">
        <f t="shared" si="70"/>
        <v>5654.1428571428569</v>
      </c>
      <c r="Z150" s="300">
        <f t="shared" si="71"/>
        <v>22616.571428571428</v>
      </c>
      <c r="AA150" s="406"/>
      <c r="AB150" s="406"/>
      <c r="AC150" s="409">
        <f>'Unit Savings Calculations'!N146</f>
        <v>17.892857142857142</v>
      </c>
      <c r="AD150" s="406"/>
      <c r="AE150" s="407">
        <f t="shared" si="72"/>
        <v>5654.1428571428569</v>
      </c>
      <c r="AF150" s="408">
        <f t="shared" si="73"/>
        <v>0</v>
      </c>
      <c r="AG150" s="406"/>
      <c r="AH150" s="406">
        <f t="shared" si="74"/>
        <v>0</v>
      </c>
      <c r="AI150" s="409">
        <f>'Unit Savings Calculations'!O146</f>
        <v>17.892857142857142</v>
      </c>
      <c r="AJ150" s="457" t="s">
        <v>879</v>
      </c>
      <c r="AK150" s="407">
        <f t="shared" si="75"/>
        <v>5654.1428571428569</v>
      </c>
      <c r="AL150" s="408">
        <f t="shared" si="76"/>
        <v>0</v>
      </c>
      <c r="AM150" s="406"/>
      <c r="AN150" s="406"/>
      <c r="AO150" s="409">
        <f>'Unit Savings Calculations'!P146</f>
        <v>17.892857142857142</v>
      </c>
      <c r="AP150" s="457" t="s">
        <v>764</v>
      </c>
      <c r="AQ150" s="407">
        <f t="shared" si="77"/>
        <v>5654.1428571428569</v>
      </c>
      <c r="AR150" s="408">
        <f t="shared" si="78"/>
        <v>0</v>
      </c>
      <c r="AS150" s="406"/>
      <c r="AT150" s="406"/>
      <c r="AU150" s="409">
        <f>'Unit Savings Calculations'!Q146</f>
        <v>17.892857142857142</v>
      </c>
      <c r="AV150" s="457" t="str">
        <f t="shared" si="79"/>
        <v>n/a</v>
      </c>
      <c r="AW150" s="407">
        <f t="shared" si="80"/>
        <v>5654.1428571428569</v>
      </c>
      <c r="AX150" s="408">
        <f t="shared" si="81"/>
        <v>0</v>
      </c>
      <c r="AY150" s="300">
        <f t="shared" si="82"/>
        <v>5654.1428571428569</v>
      </c>
      <c r="AZ150" s="300">
        <f t="shared" si="83"/>
        <v>5654.1428571428569</v>
      </c>
      <c r="BA150" s="300">
        <f t="shared" si="84"/>
        <v>5654.1428571428569</v>
      </c>
      <c r="BB150" s="300">
        <f t="shared" si="85"/>
        <v>5654.1428571428569</v>
      </c>
      <c r="BC150" s="301">
        <f t="shared" si="86"/>
        <v>22616.571428571428</v>
      </c>
      <c r="BD150" s="295" t="s">
        <v>764</v>
      </c>
      <c r="BE150" s="302" t="str">
        <f t="shared" si="87"/>
        <v>Custom</v>
      </c>
      <c r="BF150" s="304"/>
    </row>
    <row r="151" spans="1:58" ht="15.75" customHeight="1">
      <c r="A151" s="295" t="str">
        <f>'Unit Savings Calculations'!C147</f>
        <v>Bus - SB Assessments</v>
      </c>
      <c r="B151" s="295" t="str">
        <f>'Unit Savings Calculations'!D147</f>
        <v>Aerator - Bathroom</v>
      </c>
      <c r="C151" s="296">
        <f t="shared" ref="C151:C215" si="88">IF(D151="Custom",0,1)</f>
        <v>1</v>
      </c>
      <c r="D151" s="295" t="str">
        <f>'Unit Savings Calculations'!T147</f>
        <v>4.3.2</v>
      </c>
      <c r="E151" s="460">
        <f>INDEX('Unit Savings Calculations'!$H$4:$H$421,MATCH('Measure-Level Adjustments Tab'!$A151&amp;"_"&amp;'Measure-Level Adjustments Tab'!$B151,'Unit Savings Calculations'!$A$4:$A$421,0))</f>
        <v>9</v>
      </c>
      <c r="F151" s="460">
        <f>INDEX('Unit Savings Calculations'!$I$4:$I$421,MATCH('Measure-Level Adjustments Tab'!A151&amp;"_"&amp;'Measure-Level Adjustments Tab'!B151,'Unit Savings Calculations'!$A$4:$A$421,0))</f>
        <v>10</v>
      </c>
      <c r="G151" s="295" t="str">
        <f>'Unit Savings Calculations'!E147</f>
        <v>each</v>
      </c>
      <c r="H151" s="297">
        <f>'Unit Savings Calculations'!$F147*'Unit Savings Calculations'!J147</f>
        <v>72</v>
      </c>
      <c r="I151" s="297">
        <f>'Unit Savings Calculations'!$F147*'Unit Savings Calculations'!K147</f>
        <v>72</v>
      </c>
      <c r="J151" s="297">
        <f>'Unit Savings Calculations'!$F147*'Unit Savings Calculations'!L147</f>
        <v>72</v>
      </c>
      <c r="K151" s="297">
        <f>'Unit Savings Calculations'!$F147*'Unit Savings Calculations'!M147</f>
        <v>72</v>
      </c>
      <c r="L151" s="295" t="str">
        <f>'Unit Savings Calculations'!U147</f>
        <v>CI-HWE-LFFA-V07-180101</v>
      </c>
      <c r="M151" s="405" t="str">
        <f>'Unit Savings Calculations'!R147</f>
        <v>Exhibit 1.5A_R North Shore EEPS_Adjustable_Savings_Goal_Template.xlsx, Unit Savings Calculations Tab</v>
      </c>
      <c r="N151" s="298">
        <v>6.1049460431654667</v>
      </c>
      <c r="O151" s="298">
        <v>6.1049460431654667</v>
      </c>
      <c r="P151" s="298">
        <v>6.1049460431654667</v>
      </c>
      <c r="Q151" s="298">
        <v>6.1049460431654667</v>
      </c>
      <c r="R151" s="299">
        <f>'Unit Savings Calculations'!$G147</f>
        <v>0.92</v>
      </c>
      <c r="S151" s="299">
        <f>'Unit Savings Calculations'!$G147</f>
        <v>0.92</v>
      </c>
      <c r="T151" s="299">
        <f>'Unit Savings Calculations'!$G147</f>
        <v>0.92</v>
      </c>
      <c r="U151" s="299">
        <f>'Unit Savings Calculations'!$G147</f>
        <v>0.92</v>
      </c>
      <c r="V151" s="300">
        <f t="shared" si="67"/>
        <v>404.39162589928054</v>
      </c>
      <c r="W151" s="300">
        <f t="shared" si="68"/>
        <v>404.39162589928054</v>
      </c>
      <c r="X151" s="300">
        <f t="shared" si="69"/>
        <v>404.39162589928054</v>
      </c>
      <c r="Y151" s="300">
        <f t="shared" si="70"/>
        <v>404.39162589928054</v>
      </c>
      <c r="Z151" s="300">
        <f t="shared" si="71"/>
        <v>1617.5665035971222</v>
      </c>
      <c r="AA151" s="295"/>
      <c r="AB151" s="295"/>
      <c r="AC151" s="298">
        <f>'Unit Savings Calculations'!N147</f>
        <v>6.1049460431654667</v>
      </c>
      <c r="AD151" s="295"/>
      <c r="AE151" s="300">
        <f t="shared" si="72"/>
        <v>404.39162589928054</v>
      </c>
      <c r="AF151" s="297">
        <f t="shared" si="73"/>
        <v>0</v>
      </c>
      <c r="AG151" s="295"/>
      <c r="AH151" s="295">
        <f t="shared" si="74"/>
        <v>0</v>
      </c>
      <c r="AI151" s="298">
        <f>'Unit Savings Calculations'!O147</f>
        <v>6.1049460431654667</v>
      </c>
      <c r="AJ151" s="405" t="s">
        <v>879</v>
      </c>
      <c r="AK151" s="300">
        <f t="shared" si="75"/>
        <v>404.39162589928054</v>
      </c>
      <c r="AL151" s="297">
        <f t="shared" si="76"/>
        <v>0</v>
      </c>
      <c r="AM151" s="295"/>
      <c r="AN151" s="295"/>
      <c r="AO151" s="298">
        <f>'Unit Savings Calculations'!P147</f>
        <v>6.1049460431654667</v>
      </c>
      <c r="AP151" s="405" t="s">
        <v>764</v>
      </c>
      <c r="AQ151" s="300">
        <f t="shared" si="77"/>
        <v>404.39162589928054</v>
      </c>
      <c r="AR151" s="297">
        <f t="shared" si="78"/>
        <v>0</v>
      </c>
      <c r="AS151" s="295"/>
      <c r="AT151" s="295"/>
      <c r="AU151" s="298">
        <f>'Unit Savings Calculations'!Q147</f>
        <v>6.1049460431654667</v>
      </c>
      <c r="AV151" s="405" t="str">
        <f t="shared" si="79"/>
        <v>n/a</v>
      </c>
      <c r="AW151" s="300">
        <f t="shared" si="80"/>
        <v>404.39162589928054</v>
      </c>
      <c r="AX151" s="297">
        <f t="shared" si="81"/>
        <v>0</v>
      </c>
      <c r="AY151" s="300">
        <f t="shared" si="82"/>
        <v>404.39162589928054</v>
      </c>
      <c r="AZ151" s="300">
        <f t="shared" si="83"/>
        <v>404.39162589928054</v>
      </c>
      <c r="BA151" s="300">
        <f t="shared" si="84"/>
        <v>404.39162589928054</v>
      </c>
      <c r="BB151" s="300">
        <f t="shared" si="85"/>
        <v>404.39162589928054</v>
      </c>
      <c r="BC151" s="301">
        <f t="shared" si="86"/>
        <v>1617.5665035971222</v>
      </c>
      <c r="BD151" s="295" t="s">
        <v>764</v>
      </c>
      <c r="BE151" s="302" t="str">
        <f t="shared" si="87"/>
        <v>Exhibit 1.5A_R North Shore EEPS_Adjustable_Savings_Goal_Template.xlsx, Unit Savings Calculations Tab</v>
      </c>
      <c r="BF151" s="304"/>
    </row>
    <row r="152" spans="1:58" ht="15.75" customHeight="1">
      <c r="A152" s="295" t="str">
        <f>'Unit Savings Calculations'!C148</f>
        <v>Bus - SB Assessments</v>
      </c>
      <c r="B152" s="295" t="str">
        <f>'Unit Savings Calculations'!D148</f>
        <v>Aerator - Kitchen</v>
      </c>
      <c r="C152" s="296">
        <f t="shared" si="88"/>
        <v>1</v>
      </c>
      <c r="D152" s="295" t="str">
        <f>'Unit Savings Calculations'!T148</f>
        <v>4.3.2</v>
      </c>
      <c r="E152" s="460">
        <f>INDEX('Unit Savings Calculations'!$H$4:$H$421,MATCH('Measure-Level Adjustments Tab'!$A152&amp;"_"&amp;'Measure-Level Adjustments Tab'!$B152,'Unit Savings Calculations'!$A$4:$A$421,0))</f>
        <v>9</v>
      </c>
      <c r="F152" s="460">
        <f>INDEX('Unit Savings Calculations'!$I$4:$I$421,MATCH('Measure-Level Adjustments Tab'!A152&amp;"_"&amp;'Measure-Level Adjustments Tab'!B152,'Unit Savings Calculations'!$A$4:$A$421,0))</f>
        <v>10</v>
      </c>
      <c r="G152" s="295" t="str">
        <f>'Unit Savings Calculations'!E148</f>
        <v>each</v>
      </c>
      <c r="H152" s="297">
        <f>'Unit Savings Calculations'!$F148*'Unit Savings Calculations'!J148</f>
        <v>71</v>
      </c>
      <c r="I152" s="297">
        <f>'Unit Savings Calculations'!$F148*'Unit Savings Calculations'!K148</f>
        <v>71</v>
      </c>
      <c r="J152" s="297">
        <f>'Unit Savings Calculations'!$F148*'Unit Savings Calculations'!L148</f>
        <v>71</v>
      </c>
      <c r="K152" s="297">
        <f>'Unit Savings Calculations'!$F148*'Unit Savings Calculations'!M148</f>
        <v>71</v>
      </c>
      <c r="L152" s="295" t="str">
        <f>'Unit Savings Calculations'!U148</f>
        <v>CI-HWE-LFFA-V07-180101</v>
      </c>
      <c r="M152" s="405" t="str">
        <f>'Unit Savings Calculations'!R148</f>
        <v>Exhibit 1.5A_R North Shore EEPS_Adjustable_Savings_Goal_Template.xlsx, Unit Savings Calculations Tab</v>
      </c>
      <c r="N152" s="298">
        <v>7.4428057553956819</v>
      </c>
      <c r="O152" s="298">
        <v>7.4428057553956819</v>
      </c>
      <c r="P152" s="298">
        <v>7.4428057553956819</v>
      </c>
      <c r="Q152" s="298">
        <v>7.4428057553956819</v>
      </c>
      <c r="R152" s="299">
        <f>'Unit Savings Calculations'!$G148</f>
        <v>0.92</v>
      </c>
      <c r="S152" s="299">
        <f>'Unit Savings Calculations'!$G148</f>
        <v>0.92</v>
      </c>
      <c r="T152" s="299">
        <f>'Unit Savings Calculations'!$G148</f>
        <v>0.92</v>
      </c>
      <c r="U152" s="299">
        <f>'Unit Savings Calculations'!$G148</f>
        <v>0.92</v>
      </c>
      <c r="V152" s="300">
        <f t="shared" si="67"/>
        <v>486.1640719424459</v>
      </c>
      <c r="W152" s="300">
        <f t="shared" si="68"/>
        <v>486.1640719424459</v>
      </c>
      <c r="X152" s="300">
        <f t="shared" si="69"/>
        <v>486.1640719424459</v>
      </c>
      <c r="Y152" s="300">
        <f t="shared" si="70"/>
        <v>486.1640719424459</v>
      </c>
      <c r="Z152" s="300">
        <f t="shared" si="71"/>
        <v>1944.6562877697836</v>
      </c>
      <c r="AA152" s="295"/>
      <c r="AB152" s="295"/>
      <c r="AC152" s="298">
        <f>'Unit Savings Calculations'!N148</f>
        <v>7.4428057553956819</v>
      </c>
      <c r="AD152" s="295"/>
      <c r="AE152" s="300">
        <f t="shared" si="72"/>
        <v>486.1640719424459</v>
      </c>
      <c r="AF152" s="297">
        <f t="shared" si="73"/>
        <v>0</v>
      </c>
      <c r="AG152" s="295"/>
      <c r="AH152" s="295">
        <f t="shared" si="74"/>
        <v>0</v>
      </c>
      <c r="AI152" s="298">
        <f>'Unit Savings Calculations'!O148</f>
        <v>7.4428057553956819</v>
      </c>
      <c r="AJ152" s="405" t="s">
        <v>879</v>
      </c>
      <c r="AK152" s="300">
        <f t="shared" si="75"/>
        <v>486.1640719424459</v>
      </c>
      <c r="AL152" s="297">
        <f t="shared" si="76"/>
        <v>0</v>
      </c>
      <c r="AM152" s="295"/>
      <c r="AN152" s="295"/>
      <c r="AO152" s="298">
        <f>'Unit Savings Calculations'!P148</f>
        <v>7.4428057553956819</v>
      </c>
      <c r="AP152" s="405" t="s">
        <v>764</v>
      </c>
      <c r="AQ152" s="300">
        <f t="shared" si="77"/>
        <v>486.1640719424459</v>
      </c>
      <c r="AR152" s="297">
        <f t="shared" si="78"/>
        <v>0</v>
      </c>
      <c r="AS152" s="295"/>
      <c r="AT152" s="295"/>
      <c r="AU152" s="298">
        <f>'Unit Savings Calculations'!Q148</f>
        <v>7.4428057553956819</v>
      </c>
      <c r="AV152" s="405" t="str">
        <f t="shared" si="79"/>
        <v>n/a</v>
      </c>
      <c r="AW152" s="300">
        <f t="shared" si="80"/>
        <v>486.1640719424459</v>
      </c>
      <c r="AX152" s="297">
        <f t="shared" si="81"/>
        <v>0</v>
      </c>
      <c r="AY152" s="300">
        <f t="shared" si="82"/>
        <v>486.1640719424459</v>
      </c>
      <c r="AZ152" s="300">
        <f t="shared" si="83"/>
        <v>486.1640719424459</v>
      </c>
      <c r="BA152" s="300">
        <f t="shared" si="84"/>
        <v>486.1640719424459</v>
      </c>
      <c r="BB152" s="300">
        <f t="shared" si="85"/>
        <v>486.1640719424459</v>
      </c>
      <c r="BC152" s="301">
        <f t="shared" si="86"/>
        <v>1944.6562877697836</v>
      </c>
      <c r="BD152" s="295" t="s">
        <v>764</v>
      </c>
      <c r="BE152" s="302" t="str">
        <f t="shared" si="87"/>
        <v>Exhibit 1.5A_R North Shore EEPS_Adjustable_Savings_Goal_Template.xlsx, Unit Savings Calculations Tab</v>
      </c>
      <c r="BF152" s="304"/>
    </row>
    <row r="153" spans="1:58" ht="15.75" customHeight="1">
      <c r="A153" s="295" t="str">
        <f>'Unit Savings Calculations'!C149</f>
        <v>Bus - SB Assessments</v>
      </c>
      <c r="B153" s="295" t="str">
        <f>'Unit Savings Calculations'!D149</f>
        <v>Showerhead</v>
      </c>
      <c r="C153" s="296">
        <f t="shared" si="88"/>
        <v>1</v>
      </c>
      <c r="D153" s="295" t="str">
        <f>'Unit Savings Calculations'!T149</f>
        <v>4.3.3</v>
      </c>
      <c r="E153" s="460">
        <f>INDEX('Unit Savings Calculations'!$H$4:$H$421,MATCH('Measure-Level Adjustments Tab'!$A153&amp;"_"&amp;'Measure-Level Adjustments Tab'!$B153,'Unit Savings Calculations'!$A$4:$A$421,0))</f>
        <v>10</v>
      </c>
      <c r="F153" s="460">
        <f>INDEX('Unit Savings Calculations'!$I$4:$I$421,MATCH('Measure-Level Adjustments Tab'!A153&amp;"_"&amp;'Measure-Level Adjustments Tab'!B153,'Unit Savings Calculations'!$A$4:$A$421,0))</f>
        <v>10</v>
      </c>
      <c r="G153" s="295" t="str">
        <f>'Unit Savings Calculations'!E149</f>
        <v>each</v>
      </c>
      <c r="H153" s="297">
        <f>'Unit Savings Calculations'!$F149*'Unit Savings Calculations'!J149</f>
        <v>32</v>
      </c>
      <c r="I153" s="297">
        <f>'Unit Savings Calculations'!$F149*'Unit Savings Calculations'!K149</f>
        <v>32</v>
      </c>
      <c r="J153" s="297">
        <f>'Unit Savings Calculations'!$F149*'Unit Savings Calculations'!L149</f>
        <v>32</v>
      </c>
      <c r="K153" s="297">
        <f>'Unit Savings Calculations'!$F149*'Unit Savings Calculations'!M149</f>
        <v>32</v>
      </c>
      <c r="L153" s="295" t="str">
        <f>'Unit Savings Calculations'!U149</f>
        <v>RS-HWE-LFSH-V04-180101</v>
      </c>
      <c r="M153" s="405" t="str">
        <f>'Unit Savings Calculations'!R149</f>
        <v>Exhibit 1.5A_R North Shore EEPS_Adjustable_Savings_Goal_Template.xlsx, Unit Savings Calculations Tab</v>
      </c>
      <c r="N153" s="298">
        <v>21.634983278999997</v>
      </c>
      <c r="O153" s="298">
        <v>21.634983278999997</v>
      </c>
      <c r="P153" s="298">
        <v>21.634983278999997</v>
      </c>
      <c r="Q153" s="298">
        <v>21.634983278999997</v>
      </c>
      <c r="R153" s="299">
        <f>'Unit Savings Calculations'!$G149</f>
        <v>0.92</v>
      </c>
      <c r="S153" s="299">
        <f>'Unit Savings Calculations'!$G149</f>
        <v>0.92</v>
      </c>
      <c r="T153" s="299">
        <f>'Unit Savings Calculations'!$G149</f>
        <v>0.92</v>
      </c>
      <c r="U153" s="299">
        <f>'Unit Savings Calculations'!$G149</f>
        <v>0.92</v>
      </c>
      <c r="V153" s="300">
        <f t="shared" si="67"/>
        <v>636.93390773375995</v>
      </c>
      <c r="W153" s="300">
        <f t="shared" si="68"/>
        <v>636.93390773375995</v>
      </c>
      <c r="X153" s="300">
        <f t="shared" si="69"/>
        <v>636.93390773375995</v>
      </c>
      <c r="Y153" s="300">
        <f t="shared" si="70"/>
        <v>636.93390773375995</v>
      </c>
      <c r="Z153" s="300">
        <f t="shared" si="71"/>
        <v>2547.7356309350398</v>
      </c>
      <c r="AA153" s="295"/>
      <c r="AB153" s="295"/>
      <c r="AC153" s="298">
        <f>'Unit Savings Calculations'!N149</f>
        <v>19.917921113999995</v>
      </c>
      <c r="AD153" s="295"/>
      <c r="AE153" s="300">
        <f t="shared" si="72"/>
        <v>586.38359759615992</v>
      </c>
      <c r="AF153" s="297">
        <f t="shared" si="73"/>
        <v>-50.550310137600036</v>
      </c>
      <c r="AG153" s="295"/>
      <c r="AH153" s="295">
        <f t="shared" si="74"/>
        <v>0</v>
      </c>
      <c r="AI153" s="298">
        <f>'Unit Savings Calculations'!O149</f>
        <v>19.917921113999995</v>
      </c>
      <c r="AJ153" s="405" t="s">
        <v>879</v>
      </c>
      <c r="AK153" s="300">
        <f t="shared" si="75"/>
        <v>586.38359759615992</v>
      </c>
      <c r="AL153" s="297">
        <f t="shared" si="76"/>
        <v>-50.550310137600036</v>
      </c>
      <c r="AM153" s="295"/>
      <c r="AN153" s="295"/>
      <c r="AO153" s="298">
        <f>'Unit Savings Calculations'!P149</f>
        <v>19.917921113999995</v>
      </c>
      <c r="AP153" s="405" t="s">
        <v>1431</v>
      </c>
      <c r="AQ153" s="300">
        <f t="shared" si="77"/>
        <v>586.38359759615992</v>
      </c>
      <c r="AR153" s="297">
        <f t="shared" si="78"/>
        <v>-50.550310137600036</v>
      </c>
      <c r="AS153" s="295"/>
      <c r="AT153" s="295"/>
      <c r="AU153" s="298">
        <f>'Unit Savings Calculations'!Q149</f>
        <v>19.917921113999995</v>
      </c>
      <c r="AV153" s="405" t="str">
        <f t="shared" si="79"/>
        <v>Updated EPG_gas</v>
      </c>
      <c r="AW153" s="300">
        <f t="shared" si="80"/>
        <v>586.38359759615992</v>
      </c>
      <c r="AX153" s="297">
        <f t="shared" si="81"/>
        <v>-50.550310137600036</v>
      </c>
      <c r="AY153" s="300">
        <f t="shared" si="82"/>
        <v>586.38359759615992</v>
      </c>
      <c r="AZ153" s="300">
        <f t="shared" si="83"/>
        <v>586.38359759615992</v>
      </c>
      <c r="BA153" s="300">
        <f t="shared" si="84"/>
        <v>586.38359759615992</v>
      </c>
      <c r="BB153" s="300">
        <f t="shared" si="85"/>
        <v>586.38359759615992</v>
      </c>
      <c r="BC153" s="301">
        <f t="shared" si="86"/>
        <v>2345.5343903846397</v>
      </c>
      <c r="BD153" s="295" t="s">
        <v>764</v>
      </c>
      <c r="BE153" s="302" t="str">
        <f t="shared" si="87"/>
        <v>Exhibit 1.5A_R North Shore EEPS_Adjustable_Savings_Goal_Template.xlsx, Unit Savings Calculations Tab</v>
      </c>
      <c r="BF153" s="304"/>
    </row>
    <row r="154" spans="1:58" ht="15.75" customHeight="1">
      <c r="A154" s="295" t="str">
        <f>'Unit Savings Calculations'!C150</f>
        <v>Bus - SB Assessments</v>
      </c>
      <c r="B154" s="295" t="str">
        <f>'Unit Savings Calculations'!D150</f>
        <v>Pipe Insulation - DHW</v>
      </c>
      <c r="C154" s="296">
        <f t="shared" si="88"/>
        <v>1</v>
      </c>
      <c r="D154" s="295" t="str">
        <f>'Unit Savings Calculations'!T150</f>
        <v>4.4.14</v>
      </c>
      <c r="E154" s="460">
        <f>INDEX('Unit Savings Calculations'!$H$4:$H$421,MATCH('Measure-Level Adjustments Tab'!$A154&amp;"_"&amp;'Measure-Level Adjustments Tab'!$B154,'Unit Savings Calculations'!$A$4:$A$421,0))</f>
        <v>15</v>
      </c>
      <c r="F154" s="460">
        <f>INDEX('Unit Savings Calculations'!$I$4:$I$421,MATCH('Measure-Level Adjustments Tab'!A154&amp;"_"&amp;'Measure-Level Adjustments Tab'!B154,'Unit Savings Calculations'!$A$4:$A$421,0))</f>
        <v>15</v>
      </c>
      <c r="G154" s="295" t="str">
        <f>'Unit Savings Calculations'!E150</f>
        <v>each</v>
      </c>
      <c r="H154" s="297">
        <f>'Unit Savings Calculations'!$F150*'Unit Savings Calculations'!J150</f>
        <v>675</v>
      </c>
      <c r="I154" s="297">
        <f>'Unit Savings Calculations'!$F150*'Unit Savings Calculations'!K150</f>
        <v>675</v>
      </c>
      <c r="J154" s="297">
        <f>'Unit Savings Calculations'!$F150*'Unit Savings Calculations'!L150</f>
        <v>675</v>
      </c>
      <c r="K154" s="297">
        <f>'Unit Savings Calculations'!$F150*'Unit Savings Calculations'!M150</f>
        <v>675</v>
      </c>
      <c r="L154" s="295" t="str">
        <f>'Unit Savings Calculations'!U150</f>
        <v>CI-HVC-PINS-V04-160601</v>
      </c>
      <c r="M154" s="405" t="str">
        <f>'Unit Savings Calculations'!R150</f>
        <v>Exhibit 1.5A_R North Shore EEPS_Adjustable_Savings_Goal_Template.xlsx, Unit Savings Calculations Tab</v>
      </c>
      <c r="N154" s="298">
        <v>5.2492031493764015</v>
      </c>
      <c r="O154" s="298">
        <v>5.2492031493764015</v>
      </c>
      <c r="P154" s="298">
        <v>5.2492031493764015</v>
      </c>
      <c r="Q154" s="298">
        <v>5.2492031493764015</v>
      </c>
      <c r="R154" s="299">
        <f>'Unit Savings Calculations'!$G150</f>
        <v>0.92</v>
      </c>
      <c r="S154" s="299">
        <f>'Unit Savings Calculations'!$G150</f>
        <v>0.92</v>
      </c>
      <c r="T154" s="299">
        <f>'Unit Savings Calculations'!$G150</f>
        <v>0.92</v>
      </c>
      <c r="U154" s="299">
        <f>'Unit Savings Calculations'!$G150</f>
        <v>0.92</v>
      </c>
      <c r="V154" s="300">
        <f t="shared" si="67"/>
        <v>3259.7551557627453</v>
      </c>
      <c r="W154" s="300">
        <f t="shared" si="68"/>
        <v>3259.7551557627453</v>
      </c>
      <c r="X154" s="300">
        <f t="shared" si="69"/>
        <v>3259.7551557627453</v>
      </c>
      <c r="Y154" s="300">
        <f t="shared" si="70"/>
        <v>3259.7551557627453</v>
      </c>
      <c r="Z154" s="300">
        <f t="shared" si="71"/>
        <v>13039.020623050981</v>
      </c>
      <c r="AA154" s="295"/>
      <c r="AB154" s="295"/>
      <c r="AC154" s="298">
        <f>'Unit Savings Calculations'!N150</f>
        <v>5.2492031493764015</v>
      </c>
      <c r="AD154" s="295"/>
      <c r="AE154" s="300">
        <f t="shared" si="72"/>
        <v>3259.7551557627453</v>
      </c>
      <c r="AF154" s="297">
        <f t="shared" si="73"/>
        <v>0</v>
      </c>
      <c r="AG154" s="295"/>
      <c r="AH154" s="295">
        <f t="shared" si="74"/>
        <v>0</v>
      </c>
      <c r="AI154" s="298">
        <f>'Unit Savings Calculations'!O150</f>
        <v>5.2492031493764015</v>
      </c>
      <c r="AJ154" s="405" t="s">
        <v>879</v>
      </c>
      <c r="AK154" s="300">
        <f t="shared" si="75"/>
        <v>3259.7551557627453</v>
      </c>
      <c r="AL154" s="297">
        <f t="shared" si="76"/>
        <v>0</v>
      </c>
      <c r="AM154" s="295"/>
      <c r="AN154" s="295"/>
      <c r="AO154" s="298">
        <f>'Unit Savings Calculations'!P150</f>
        <v>5.2492031493764015</v>
      </c>
      <c r="AP154" s="405" t="s">
        <v>764</v>
      </c>
      <c r="AQ154" s="300">
        <f t="shared" si="77"/>
        <v>3259.7551557627453</v>
      </c>
      <c r="AR154" s="297">
        <f t="shared" si="78"/>
        <v>0</v>
      </c>
      <c r="AS154" s="295"/>
      <c r="AT154" s="295"/>
      <c r="AU154" s="298">
        <f>'Unit Savings Calculations'!Q150</f>
        <v>5.2492031493764015</v>
      </c>
      <c r="AV154" s="405" t="str">
        <f t="shared" si="79"/>
        <v>n/a</v>
      </c>
      <c r="AW154" s="300">
        <f t="shared" si="80"/>
        <v>3259.7551557627453</v>
      </c>
      <c r="AX154" s="297">
        <f t="shared" si="81"/>
        <v>0</v>
      </c>
      <c r="AY154" s="300">
        <f t="shared" si="82"/>
        <v>3259.7551557627453</v>
      </c>
      <c r="AZ154" s="300">
        <f t="shared" si="83"/>
        <v>3259.7551557627453</v>
      </c>
      <c r="BA154" s="300">
        <f t="shared" si="84"/>
        <v>3259.7551557627453</v>
      </c>
      <c r="BB154" s="300">
        <f t="shared" si="85"/>
        <v>3259.7551557627453</v>
      </c>
      <c r="BC154" s="301">
        <f t="shared" si="86"/>
        <v>13039.020623050981</v>
      </c>
      <c r="BD154" s="295" t="s">
        <v>764</v>
      </c>
      <c r="BE154" s="302" t="str">
        <f t="shared" si="87"/>
        <v>Exhibit 1.5A_R North Shore EEPS_Adjustable_Savings_Goal_Template.xlsx, Unit Savings Calculations Tab</v>
      </c>
      <c r="BF154" s="304"/>
    </row>
    <row r="155" spans="1:58" ht="15.75" customHeight="1">
      <c r="A155" s="295" t="str">
        <f>'Unit Savings Calculations'!C151</f>
        <v>Bus - SB Assessments</v>
      </c>
      <c r="B155" s="295" t="str">
        <f>'Unit Savings Calculations'!D151</f>
        <v>Pre Rinse Sprayer</v>
      </c>
      <c r="C155" s="296">
        <f t="shared" si="88"/>
        <v>1</v>
      </c>
      <c r="D155" s="295" t="str">
        <f>'Unit Savings Calculations'!T151</f>
        <v>4.2.11</v>
      </c>
      <c r="E155" s="460">
        <f>INDEX('Unit Savings Calculations'!$H$4:$H$421,MATCH('Measure-Level Adjustments Tab'!$A155&amp;"_"&amp;'Measure-Level Adjustments Tab'!$B155,'Unit Savings Calculations'!$A$4:$A$421,0))</f>
        <v>5</v>
      </c>
      <c r="F155" s="460">
        <f>INDEX('Unit Savings Calculations'!$I$4:$I$421,MATCH('Measure-Level Adjustments Tab'!A155&amp;"_"&amp;'Measure-Level Adjustments Tab'!B155,'Unit Savings Calculations'!$A$4:$A$421,0))</f>
        <v>5</v>
      </c>
      <c r="G155" s="295" t="str">
        <f>'Unit Savings Calculations'!E151</f>
        <v>each</v>
      </c>
      <c r="H155" s="297">
        <f>'Unit Savings Calculations'!$F151*'Unit Savings Calculations'!J151</f>
        <v>15</v>
      </c>
      <c r="I155" s="297">
        <f>'Unit Savings Calculations'!$F151*'Unit Savings Calculations'!K151</f>
        <v>15</v>
      </c>
      <c r="J155" s="297">
        <f>'Unit Savings Calculations'!$F151*'Unit Savings Calculations'!L151</f>
        <v>15</v>
      </c>
      <c r="K155" s="297">
        <f>'Unit Savings Calculations'!$F151*'Unit Savings Calculations'!M151</f>
        <v>15</v>
      </c>
      <c r="L155" s="295" t="str">
        <f>'Unit Savings Calculations'!U151</f>
        <v>CI-FSE-SPRY-V04-180101</v>
      </c>
      <c r="M155" s="405" t="str">
        <f>'Unit Savings Calculations'!R151</f>
        <v>Exhibit 1.5A_R North Shore EEPS_Adjustable_Savings_Goal_Template.xlsx, Unit Savings Calculations Tab</v>
      </c>
      <c r="N155" s="298">
        <v>171.92120399999999</v>
      </c>
      <c r="O155" s="298">
        <v>171.92120399999999</v>
      </c>
      <c r="P155" s="298">
        <v>171.92120399999999</v>
      </c>
      <c r="Q155" s="298">
        <v>171.92120399999999</v>
      </c>
      <c r="R155" s="299">
        <f>'Unit Savings Calculations'!$G151</f>
        <v>0.92</v>
      </c>
      <c r="S155" s="299">
        <f>'Unit Savings Calculations'!$G151</f>
        <v>0.92</v>
      </c>
      <c r="T155" s="299">
        <f>'Unit Savings Calculations'!$G151</f>
        <v>0.92</v>
      </c>
      <c r="U155" s="299">
        <f>'Unit Savings Calculations'!$G151</f>
        <v>0.92</v>
      </c>
      <c r="V155" s="300">
        <f t="shared" si="67"/>
        <v>2372.5126151999998</v>
      </c>
      <c r="W155" s="300">
        <f t="shared" si="68"/>
        <v>2372.5126151999998</v>
      </c>
      <c r="X155" s="300">
        <f t="shared" si="69"/>
        <v>2372.5126151999998</v>
      </c>
      <c r="Y155" s="300">
        <f t="shared" si="70"/>
        <v>2372.5126151999998</v>
      </c>
      <c r="Z155" s="300">
        <f t="shared" si="71"/>
        <v>9490.0504607999992</v>
      </c>
      <c r="AA155" s="295"/>
      <c r="AB155" s="295"/>
      <c r="AC155" s="298">
        <f>'Unit Savings Calculations'!N151</f>
        <v>237.414996</v>
      </c>
      <c r="AD155" s="295"/>
      <c r="AE155" s="300">
        <f t="shared" si="72"/>
        <v>3276.3269448000001</v>
      </c>
      <c r="AF155" s="297">
        <f t="shared" si="73"/>
        <v>903.81432960000029</v>
      </c>
      <c r="AG155" s="295"/>
      <c r="AH155" s="295">
        <f t="shared" si="74"/>
        <v>0</v>
      </c>
      <c r="AI155" s="298">
        <f>'Unit Savings Calculations'!O151</f>
        <v>237.414996</v>
      </c>
      <c r="AJ155" s="405" t="s">
        <v>879</v>
      </c>
      <c r="AK155" s="300">
        <f t="shared" si="75"/>
        <v>3276.3269448000001</v>
      </c>
      <c r="AL155" s="297">
        <f t="shared" si="76"/>
        <v>903.81432960000029</v>
      </c>
      <c r="AM155" s="295"/>
      <c r="AN155" s="295"/>
      <c r="AO155" s="298">
        <f>'Unit Savings Calculations'!P151</f>
        <v>237.414996</v>
      </c>
      <c r="AP155" s="405" t="s">
        <v>1429</v>
      </c>
      <c r="AQ155" s="300">
        <f t="shared" si="77"/>
        <v>3276.3269448000001</v>
      </c>
      <c r="AR155" s="297">
        <f t="shared" si="78"/>
        <v>903.81432960000029</v>
      </c>
      <c r="AS155" s="295"/>
      <c r="AT155" s="295"/>
      <c r="AU155" s="298">
        <f>'Unit Savings Calculations'!Q151</f>
        <v>237.414996</v>
      </c>
      <c r="AV155" s="405" t="str">
        <f t="shared" si="79"/>
        <v>Updated base and EE flow rates</v>
      </c>
      <c r="AW155" s="300">
        <f t="shared" si="80"/>
        <v>3276.3269448000001</v>
      </c>
      <c r="AX155" s="297">
        <f t="shared" si="81"/>
        <v>903.81432960000029</v>
      </c>
      <c r="AY155" s="300">
        <f t="shared" si="82"/>
        <v>3276.3269448000001</v>
      </c>
      <c r="AZ155" s="300">
        <f t="shared" si="83"/>
        <v>3276.3269448000001</v>
      </c>
      <c r="BA155" s="300">
        <f t="shared" si="84"/>
        <v>3276.3269448000001</v>
      </c>
      <c r="BB155" s="300">
        <f t="shared" si="85"/>
        <v>3276.3269448000001</v>
      </c>
      <c r="BC155" s="301">
        <f t="shared" si="86"/>
        <v>13105.3077792</v>
      </c>
      <c r="BD155" s="295" t="s">
        <v>764</v>
      </c>
      <c r="BE155" s="302" t="str">
        <f t="shared" si="87"/>
        <v>Exhibit 1.5A_R North Shore EEPS_Adjustable_Savings_Goal_Template.xlsx, Unit Savings Calculations Tab</v>
      </c>
      <c r="BF155" s="304"/>
    </row>
    <row r="156" spans="1:58" ht="15.75" customHeight="1">
      <c r="A156" s="295" t="str">
        <f>'Unit Savings Calculations'!C152</f>
        <v>Bus - SB Assessments</v>
      </c>
      <c r="B156" s="295" t="str">
        <f>'Unit Savings Calculations'!D152</f>
        <v>Thermostat - Programmable</v>
      </c>
      <c r="C156" s="296">
        <f t="shared" ref="C156" si="89">IF(D156="Custom",0,1)</f>
        <v>1</v>
      </c>
      <c r="D156" s="295" t="str">
        <f>'Unit Savings Calculations'!T152</f>
        <v>4.4.18</v>
      </c>
      <c r="E156" s="460">
        <f>INDEX('Unit Savings Calculations'!$H$4:$H$421,MATCH('Measure-Level Adjustments Tab'!$A156&amp;"_"&amp;'Measure-Level Adjustments Tab'!$B156,'Unit Savings Calculations'!$A$4:$A$421,0))</f>
        <v>4</v>
      </c>
      <c r="F156" s="460">
        <f>INDEX('Unit Savings Calculations'!$I$4:$I$421,MATCH('Measure-Level Adjustments Tab'!A156&amp;"_"&amp;'Measure-Level Adjustments Tab'!B156,'Unit Savings Calculations'!$A$4:$A$421,0))</f>
        <v>4</v>
      </c>
      <c r="G156" s="295" t="str">
        <f>'Unit Savings Calculations'!E152</f>
        <v>each</v>
      </c>
      <c r="H156" s="297">
        <f>'Unit Savings Calculations'!$F152*'Unit Savings Calculations'!J152</f>
        <v>1</v>
      </c>
      <c r="I156" s="297">
        <f>'Unit Savings Calculations'!$F152*'Unit Savings Calculations'!K152</f>
        <v>1</v>
      </c>
      <c r="J156" s="297">
        <f>'Unit Savings Calculations'!$F152*'Unit Savings Calculations'!L152</f>
        <v>1</v>
      </c>
      <c r="K156" s="297">
        <f>'Unit Savings Calculations'!$F152*'Unit Savings Calculations'!M152</f>
        <v>1</v>
      </c>
      <c r="L156" s="295" t="str">
        <f>'Unit Savings Calculations'!U152</f>
        <v>CI-HVC-PROG-V02-150601</v>
      </c>
      <c r="M156" s="405" t="str">
        <f>'Unit Savings Calculations'!R152</f>
        <v>Exhibit 1.5A_R North Shore EEPS_Adjustable_Savings_Goal_Template.xlsx, Thermostat Detail Tab</v>
      </c>
      <c r="N156" s="298">
        <v>124.68584320000001</v>
      </c>
      <c r="O156" s="298">
        <v>124.68584320000001</v>
      </c>
      <c r="P156" s="298">
        <v>124.68584320000001</v>
      </c>
      <c r="Q156" s="298">
        <v>124.68584320000001</v>
      </c>
      <c r="R156" s="299">
        <f>'Unit Savings Calculations'!$G152</f>
        <v>0.92</v>
      </c>
      <c r="S156" s="299">
        <f>'Unit Savings Calculations'!$G152</f>
        <v>0.92</v>
      </c>
      <c r="T156" s="299">
        <f>'Unit Savings Calculations'!$G152</f>
        <v>0.92</v>
      </c>
      <c r="U156" s="299">
        <f>'Unit Savings Calculations'!$G152</f>
        <v>0.92</v>
      </c>
      <c r="V156" s="300">
        <f t="shared" ref="V156" si="90">H156*N156*R156</f>
        <v>114.71097574400001</v>
      </c>
      <c r="W156" s="300">
        <f t="shared" ref="W156" si="91">I156*O156*S156</f>
        <v>114.71097574400001</v>
      </c>
      <c r="X156" s="300">
        <f t="shared" ref="X156" si="92">J156*P156*T156</f>
        <v>114.71097574400001</v>
      </c>
      <c r="Y156" s="300">
        <f t="shared" ref="Y156" si="93">K156*Q156*U156</f>
        <v>114.71097574400001</v>
      </c>
      <c r="Z156" s="300">
        <f t="shared" ref="Z156" si="94">V156+W156+X156+Y156</f>
        <v>458.84390297600004</v>
      </c>
      <c r="AA156" s="295"/>
      <c r="AB156" s="295"/>
      <c r="AC156" s="298">
        <f>'Unit Savings Calculations'!N152</f>
        <v>124.68584320000001</v>
      </c>
      <c r="AD156" s="295"/>
      <c r="AE156" s="300">
        <f t="shared" ref="AE156" si="95">H156*AC156*R156</f>
        <v>114.71097574400001</v>
      </c>
      <c r="AF156" s="297">
        <f t="shared" ref="AF156" si="96">AE156-V156</f>
        <v>0</v>
      </c>
      <c r="AG156" s="295"/>
      <c r="AH156" s="295">
        <f t="shared" ref="AH156" si="97">AB156</f>
        <v>0</v>
      </c>
      <c r="AI156" s="298">
        <f>'Unit Savings Calculations'!O152</f>
        <v>124.68584320000001</v>
      </c>
      <c r="AJ156" s="405" t="s">
        <v>879</v>
      </c>
      <c r="AK156" s="300">
        <f t="shared" ref="AK156" si="98">I156*AI156*S156</f>
        <v>114.71097574400001</v>
      </c>
      <c r="AL156" s="297">
        <f t="shared" ref="AL156" si="99">AK156-W156</f>
        <v>0</v>
      </c>
      <c r="AM156" s="295"/>
      <c r="AN156" s="295"/>
      <c r="AO156" s="298">
        <f>'Unit Savings Calculations'!P152</f>
        <v>124.68584320000001</v>
      </c>
      <c r="AP156" s="405" t="s">
        <v>764</v>
      </c>
      <c r="AQ156" s="300">
        <f t="shared" ref="AQ156" si="100">J156*AO156*T156</f>
        <v>114.71097574400001</v>
      </c>
      <c r="AR156" s="297">
        <f t="shared" ref="AR156" si="101">AQ156-X156</f>
        <v>0</v>
      </c>
      <c r="AS156" s="295"/>
      <c r="AT156" s="295"/>
      <c r="AU156" s="298">
        <f>'Unit Savings Calculations'!Q152</f>
        <v>124.68584320000001</v>
      </c>
      <c r="AV156" s="405" t="str">
        <f t="shared" si="79"/>
        <v>n/a</v>
      </c>
      <c r="AW156" s="300">
        <f t="shared" ref="AW156" si="102">K156*AU156*U156</f>
        <v>114.71097574400001</v>
      </c>
      <c r="AX156" s="297">
        <f t="shared" ref="AX156" si="103">AW156-Y156</f>
        <v>0</v>
      </c>
      <c r="AY156" s="300">
        <f t="shared" si="82"/>
        <v>114.71097574400001</v>
      </c>
      <c r="AZ156" s="300">
        <f t="shared" si="83"/>
        <v>114.71097574400001</v>
      </c>
      <c r="BA156" s="300">
        <f t="shared" si="84"/>
        <v>114.71097574400001</v>
      </c>
      <c r="BB156" s="300">
        <f t="shared" si="85"/>
        <v>114.71097574400001</v>
      </c>
      <c r="BC156" s="301">
        <f t="shared" si="86"/>
        <v>458.84390297600004</v>
      </c>
      <c r="BD156" s="295" t="s">
        <v>764</v>
      </c>
      <c r="BE156" s="302" t="str">
        <f t="shared" si="87"/>
        <v>Exhibit 1.5A_R North Shore EEPS_Adjustable_Savings_Goal_Template.xlsx, Thermostat Detail Tab</v>
      </c>
      <c r="BF156" s="304"/>
    </row>
    <row r="157" spans="1:58" ht="15.75" customHeight="1">
      <c r="A157" s="295" t="str">
        <f>'Unit Savings Calculations'!C153</f>
        <v>Bus - CI Assessments</v>
      </c>
      <c r="B157" s="295" t="str">
        <f>'Unit Savings Calculations'!D153</f>
        <v>Gas Optimization</v>
      </c>
      <c r="C157" s="296">
        <f t="shared" si="88"/>
        <v>0</v>
      </c>
      <c r="D157" s="295" t="str">
        <f>'Unit Savings Calculations'!T153</f>
        <v>Custom</v>
      </c>
      <c r="E157" s="460">
        <f>INDEX('Unit Savings Calculations'!$H$4:$H$421,MATCH('Measure-Level Adjustments Tab'!$A157&amp;"_"&amp;'Measure-Level Adjustments Tab'!$B157,'Unit Savings Calculations'!$A$4:$A$421,0))</f>
        <v>15</v>
      </c>
      <c r="F157" s="460">
        <f>INDEX('Unit Savings Calculations'!$I$4:$I$421,MATCH('Measure-Level Adjustments Tab'!A157&amp;"_"&amp;'Measure-Level Adjustments Tab'!B157,'Unit Savings Calculations'!$A$4:$A$421,0))</f>
        <v>15</v>
      </c>
      <c r="G157" s="295" t="str">
        <f>'Unit Savings Calculations'!E153</f>
        <v>each</v>
      </c>
      <c r="H157" s="297">
        <f>'Unit Savings Calculations'!$F153*'Unit Savings Calculations'!J153</f>
        <v>7</v>
      </c>
      <c r="I157" s="297">
        <f>'Unit Savings Calculations'!$F153*'Unit Savings Calculations'!K153</f>
        <v>7</v>
      </c>
      <c r="J157" s="297">
        <f>'Unit Savings Calculations'!$F153*'Unit Savings Calculations'!L153</f>
        <v>5</v>
      </c>
      <c r="K157" s="297">
        <f>'Unit Savings Calculations'!$F153*'Unit Savings Calculations'!M153</f>
        <v>7</v>
      </c>
      <c r="L157" s="295" t="str">
        <f>'Unit Savings Calculations'!U153</f>
        <v>Custom</v>
      </c>
      <c r="M157" s="405" t="str">
        <f>'Unit Savings Calculations'!R153</f>
        <v>Custom</v>
      </c>
      <c r="N157" s="298">
        <v>35300</v>
      </c>
      <c r="O157" s="298">
        <v>35300</v>
      </c>
      <c r="P157" s="298">
        <v>35300</v>
      </c>
      <c r="Q157" s="298">
        <v>35300</v>
      </c>
      <c r="R157" s="299">
        <f>'Unit Savings Calculations'!$G153</f>
        <v>1.02</v>
      </c>
      <c r="S157" s="299">
        <f>'Unit Savings Calculations'!$G153</f>
        <v>1.02</v>
      </c>
      <c r="T157" s="299">
        <f>'Unit Savings Calculations'!$G153</f>
        <v>1.02</v>
      </c>
      <c r="U157" s="299">
        <f>'Unit Savings Calculations'!$G153</f>
        <v>1.02</v>
      </c>
      <c r="V157" s="300">
        <f>H157*N157*R157</f>
        <v>252042</v>
      </c>
      <c r="W157" s="300">
        <f t="shared" si="68"/>
        <v>252042</v>
      </c>
      <c r="X157" s="300">
        <f t="shared" si="69"/>
        <v>180030</v>
      </c>
      <c r="Y157" s="300">
        <f t="shared" si="70"/>
        <v>252042</v>
      </c>
      <c r="Z157" s="300">
        <f t="shared" si="71"/>
        <v>936156</v>
      </c>
      <c r="AA157" s="406"/>
      <c r="AB157" s="406"/>
      <c r="AC157" s="409">
        <f>'Unit Savings Calculations'!N153</f>
        <v>35300</v>
      </c>
      <c r="AD157" s="406"/>
      <c r="AE157" s="407">
        <f t="shared" si="72"/>
        <v>252042</v>
      </c>
      <c r="AF157" s="408">
        <f t="shared" si="73"/>
        <v>0</v>
      </c>
      <c r="AG157" s="406"/>
      <c r="AH157" s="406">
        <f t="shared" si="74"/>
        <v>0</v>
      </c>
      <c r="AI157" s="409">
        <f>'Unit Savings Calculations'!O153</f>
        <v>35300</v>
      </c>
      <c r="AJ157" s="457" t="s">
        <v>879</v>
      </c>
      <c r="AK157" s="407">
        <f t="shared" si="75"/>
        <v>252042</v>
      </c>
      <c r="AL157" s="408">
        <f t="shared" si="76"/>
        <v>0</v>
      </c>
      <c r="AM157" s="406"/>
      <c r="AN157" s="406"/>
      <c r="AO157" s="409">
        <f>'Unit Savings Calculations'!P153</f>
        <v>35300</v>
      </c>
      <c r="AP157" s="457" t="s">
        <v>764</v>
      </c>
      <c r="AQ157" s="407">
        <f t="shared" si="77"/>
        <v>180030</v>
      </c>
      <c r="AR157" s="408">
        <f t="shared" si="78"/>
        <v>0</v>
      </c>
      <c r="AS157" s="406"/>
      <c r="AT157" s="406"/>
      <c r="AU157" s="409">
        <f>'Unit Savings Calculations'!Q153</f>
        <v>35300</v>
      </c>
      <c r="AV157" s="457" t="str">
        <f t="shared" si="79"/>
        <v>n/a</v>
      </c>
      <c r="AW157" s="407">
        <f t="shared" si="80"/>
        <v>252042</v>
      </c>
      <c r="AX157" s="408">
        <f t="shared" si="81"/>
        <v>0</v>
      </c>
      <c r="AY157" s="300">
        <f t="shared" si="82"/>
        <v>252042</v>
      </c>
      <c r="AZ157" s="300">
        <f t="shared" si="83"/>
        <v>252042</v>
      </c>
      <c r="BA157" s="300">
        <f t="shared" si="84"/>
        <v>180030</v>
      </c>
      <c r="BB157" s="300">
        <f t="shared" si="85"/>
        <v>252042</v>
      </c>
      <c r="BC157" s="301">
        <f t="shared" si="86"/>
        <v>936156</v>
      </c>
      <c r="BD157" s="295" t="s">
        <v>764</v>
      </c>
      <c r="BE157" s="302" t="str">
        <f t="shared" si="87"/>
        <v>Custom</v>
      </c>
      <c r="BF157" s="304"/>
    </row>
    <row r="158" spans="1:58" ht="15.75" customHeight="1">
      <c r="A158" s="295" t="str">
        <f>'Unit Savings Calculations'!C154</f>
        <v>Bus - CI Assessments</v>
      </c>
      <c r="B158" s="295" t="str">
        <f>'Unit Savings Calculations'!D154</f>
        <v>Retrocommissioning</v>
      </c>
      <c r="C158" s="296">
        <f t="shared" si="88"/>
        <v>0</v>
      </c>
      <c r="D158" s="295" t="str">
        <f>'Unit Savings Calculations'!T154</f>
        <v>Custom</v>
      </c>
      <c r="E158" s="460">
        <f>INDEX('Unit Savings Calculations'!$H$4:$H$421,MATCH('Measure-Level Adjustments Tab'!$A158&amp;"_"&amp;'Measure-Level Adjustments Tab'!$B158,'Unit Savings Calculations'!$A$4:$A$421,0))</f>
        <v>15</v>
      </c>
      <c r="F158" s="460">
        <f>INDEX('Unit Savings Calculations'!$I$4:$I$421,MATCH('Measure-Level Adjustments Tab'!A158&amp;"_"&amp;'Measure-Level Adjustments Tab'!B158,'Unit Savings Calculations'!$A$4:$A$421,0))</f>
        <v>15</v>
      </c>
      <c r="G158" s="295" t="str">
        <f>'Unit Savings Calculations'!E154</f>
        <v>each</v>
      </c>
      <c r="H158" s="297">
        <f>'Unit Savings Calculations'!$F154*'Unit Savings Calculations'!J154</f>
        <v>2</v>
      </c>
      <c r="I158" s="297">
        <f>'Unit Savings Calculations'!$F154*'Unit Savings Calculations'!K154</f>
        <v>2</v>
      </c>
      <c r="J158" s="297">
        <f>'Unit Savings Calculations'!$F154*'Unit Savings Calculations'!L154</f>
        <v>2</v>
      </c>
      <c r="K158" s="297">
        <f>'Unit Savings Calculations'!$F154*'Unit Savings Calculations'!M154</f>
        <v>2</v>
      </c>
      <c r="L158" s="295" t="str">
        <f>'Unit Savings Calculations'!U154</f>
        <v>Custom</v>
      </c>
      <c r="M158" s="405" t="str">
        <f>'Unit Savings Calculations'!R154</f>
        <v>Custom</v>
      </c>
      <c r="N158" s="298">
        <v>19700</v>
      </c>
      <c r="O158" s="298">
        <v>19700</v>
      </c>
      <c r="P158" s="298">
        <v>19700</v>
      </c>
      <c r="Q158" s="298">
        <v>19700</v>
      </c>
      <c r="R158" s="299">
        <f>'Unit Savings Calculations'!$G154</f>
        <v>1.02</v>
      </c>
      <c r="S158" s="299">
        <f>'Unit Savings Calculations'!$G154</f>
        <v>1.02</v>
      </c>
      <c r="T158" s="299">
        <f>'Unit Savings Calculations'!$G154</f>
        <v>1.02</v>
      </c>
      <c r="U158" s="299">
        <f>'Unit Savings Calculations'!$G154</f>
        <v>1.02</v>
      </c>
      <c r="V158" s="300">
        <f t="shared" ref="V158:V221" si="104">H158*N158*R158</f>
        <v>40188</v>
      </c>
      <c r="W158" s="300">
        <f t="shared" ref="W158:W221" si="105">I158*O158*S158</f>
        <v>40188</v>
      </c>
      <c r="X158" s="300">
        <f t="shared" ref="X158:X221" si="106">J158*P158*T158</f>
        <v>40188</v>
      </c>
      <c r="Y158" s="300">
        <f t="shared" ref="Y158:Y221" si="107">K158*Q158*U158</f>
        <v>40188</v>
      </c>
      <c r="Z158" s="300">
        <f t="shared" ref="Z158:Z221" si="108">V158+W158+X158+Y158</f>
        <v>160752</v>
      </c>
      <c r="AA158" s="406"/>
      <c r="AB158" s="406"/>
      <c r="AC158" s="409">
        <f>'Unit Savings Calculations'!N154</f>
        <v>19700</v>
      </c>
      <c r="AD158" s="406"/>
      <c r="AE158" s="407">
        <f t="shared" si="72"/>
        <v>40188</v>
      </c>
      <c r="AF158" s="408">
        <f t="shared" si="73"/>
        <v>0</v>
      </c>
      <c r="AG158" s="406"/>
      <c r="AH158" s="406">
        <f t="shared" si="74"/>
        <v>0</v>
      </c>
      <c r="AI158" s="409">
        <f>'Unit Savings Calculations'!O154</f>
        <v>19700</v>
      </c>
      <c r="AJ158" s="457" t="s">
        <v>879</v>
      </c>
      <c r="AK158" s="407">
        <f t="shared" si="75"/>
        <v>40188</v>
      </c>
      <c r="AL158" s="408">
        <f t="shared" si="76"/>
        <v>0</v>
      </c>
      <c r="AM158" s="406"/>
      <c r="AN158" s="406"/>
      <c r="AO158" s="409">
        <f>'Unit Savings Calculations'!P154</f>
        <v>19700</v>
      </c>
      <c r="AP158" s="457" t="s">
        <v>764</v>
      </c>
      <c r="AQ158" s="407">
        <f t="shared" si="77"/>
        <v>40188</v>
      </c>
      <c r="AR158" s="408">
        <f t="shared" si="78"/>
        <v>0</v>
      </c>
      <c r="AS158" s="406"/>
      <c r="AT158" s="406"/>
      <c r="AU158" s="409">
        <f>'Unit Savings Calculations'!Q154</f>
        <v>19700</v>
      </c>
      <c r="AV158" s="457" t="str">
        <f t="shared" si="79"/>
        <v>n/a</v>
      </c>
      <c r="AW158" s="407">
        <f t="shared" si="80"/>
        <v>40188</v>
      </c>
      <c r="AX158" s="408">
        <f t="shared" si="81"/>
        <v>0</v>
      </c>
      <c r="AY158" s="300">
        <f t="shared" si="82"/>
        <v>40188</v>
      </c>
      <c r="AZ158" s="300">
        <f t="shared" si="83"/>
        <v>40188</v>
      </c>
      <c r="BA158" s="300">
        <f t="shared" si="84"/>
        <v>40188</v>
      </c>
      <c r="BB158" s="300">
        <f t="shared" si="85"/>
        <v>40188</v>
      </c>
      <c r="BC158" s="301">
        <f t="shared" si="86"/>
        <v>160752</v>
      </c>
      <c r="BD158" s="295" t="s">
        <v>764</v>
      </c>
      <c r="BE158" s="302" t="str">
        <f t="shared" si="87"/>
        <v>Custom</v>
      </c>
      <c r="BF158" s="304"/>
    </row>
    <row r="159" spans="1:58" ht="15.75" customHeight="1">
      <c r="A159" s="295" t="str">
        <f>'Unit Savings Calculations'!C155</f>
        <v>Bus - CI Assessments</v>
      </c>
      <c r="B159" s="295" t="str">
        <f>'Unit Savings Calculations'!D155</f>
        <v>Engineering Study</v>
      </c>
      <c r="C159" s="296">
        <f t="shared" si="88"/>
        <v>0</v>
      </c>
      <c r="D159" s="295" t="str">
        <f>'Unit Savings Calculations'!T155</f>
        <v>Custom</v>
      </c>
      <c r="E159" s="460">
        <f>INDEX('Unit Savings Calculations'!$H$4:$H$421,MATCH('Measure-Level Adjustments Tab'!$A159&amp;"_"&amp;'Measure-Level Adjustments Tab'!$B159,'Unit Savings Calculations'!$A$4:$A$421,0))</f>
        <v>0</v>
      </c>
      <c r="F159" s="460">
        <f>INDEX('Unit Savings Calculations'!$I$4:$I$421,MATCH('Measure-Level Adjustments Tab'!A159&amp;"_"&amp;'Measure-Level Adjustments Tab'!B159,'Unit Savings Calculations'!$A$4:$A$421,0))</f>
        <v>0</v>
      </c>
      <c r="G159" s="295" t="str">
        <f>'Unit Savings Calculations'!E155</f>
        <v>each</v>
      </c>
      <c r="H159" s="297">
        <f>'Unit Savings Calculations'!$F155*'Unit Savings Calculations'!J155</f>
        <v>0</v>
      </c>
      <c r="I159" s="297">
        <f>'Unit Savings Calculations'!$F155*'Unit Savings Calculations'!K155</f>
        <v>0</v>
      </c>
      <c r="J159" s="297">
        <f>'Unit Savings Calculations'!$F155*'Unit Savings Calculations'!L155</f>
        <v>0</v>
      </c>
      <c r="K159" s="297">
        <f>'Unit Savings Calculations'!$F155*'Unit Savings Calculations'!M155</f>
        <v>0</v>
      </c>
      <c r="L159" s="295" t="str">
        <f>'Unit Savings Calculations'!U155</f>
        <v>Custom</v>
      </c>
      <c r="M159" s="405" t="str">
        <f>'Unit Savings Calculations'!R155</f>
        <v>Custom</v>
      </c>
      <c r="N159" s="298">
        <v>1</v>
      </c>
      <c r="O159" s="298">
        <v>1</v>
      </c>
      <c r="P159" s="298">
        <v>1</v>
      </c>
      <c r="Q159" s="298">
        <v>1</v>
      </c>
      <c r="R159" s="299">
        <f>'Unit Savings Calculations'!$G155</f>
        <v>1.02</v>
      </c>
      <c r="S159" s="299">
        <f>'Unit Savings Calculations'!$G155</f>
        <v>1.02</v>
      </c>
      <c r="T159" s="299">
        <f>'Unit Savings Calculations'!$G155</f>
        <v>1.02</v>
      </c>
      <c r="U159" s="299">
        <f>'Unit Savings Calculations'!$G155</f>
        <v>1.02</v>
      </c>
      <c r="V159" s="300">
        <f t="shared" si="104"/>
        <v>0</v>
      </c>
      <c r="W159" s="300">
        <f t="shared" si="105"/>
        <v>0</v>
      </c>
      <c r="X159" s="300">
        <f t="shared" si="106"/>
        <v>0</v>
      </c>
      <c r="Y159" s="300">
        <f t="shared" si="107"/>
        <v>0</v>
      </c>
      <c r="Z159" s="300">
        <f t="shared" si="108"/>
        <v>0</v>
      </c>
      <c r="AA159" s="406"/>
      <c r="AB159" s="406"/>
      <c r="AC159" s="409">
        <f>'Unit Savings Calculations'!N155</f>
        <v>1</v>
      </c>
      <c r="AD159" s="406"/>
      <c r="AE159" s="407">
        <f t="shared" si="72"/>
        <v>0</v>
      </c>
      <c r="AF159" s="408">
        <f t="shared" si="73"/>
        <v>0</v>
      </c>
      <c r="AG159" s="406"/>
      <c r="AH159" s="406">
        <f t="shared" si="74"/>
        <v>0</v>
      </c>
      <c r="AI159" s="409">
        <f>'Unit Savings Calculations'!O155</f>
        <v>1</v>
      </c>
      <c r="AJ159" s="457" t="s">
        <v>879</v>
      </c>
      <c r="AK159" s="407">
        <f t="shared" si="75"/>
        <v>0</v>
      </c>
      <c r="AL159" s="408">
        <f t="shared" si="76"/>
        <v>0</v>
      </c>
      <c r="AM159" s="406"/>
      <c r="AN159" s="406"/>
      <c r="AO159" s="409">
        <f>'Unit Savings Calculations'!P155</f>
        <v>1</v>
      </c>
      <c r="AP159" s="457" t="s">
        <v>764</v>
      </c>
      <c r="AQ159" s="407">
        <f t="shared" si="77"/>
        <v>0</v>
      </c>
      <c r="AR159" s="408">
        <f t="shared" si="78"/>
        <v>0</v>
      </c>
      <c r="AS159" s="406"/>
      <c r="AT159" s="406"/>
      <c r="AU159" s="409">
        <f>'Unit Savings Calculations'!Q155</f>
        <v>1</v>
      </c>
      <c r="AV159" s="457" t="str">
        <f t="shared" si="79"/>
        <v>n/a</v>
      </c>
      <c r="AW159" s="407">
        <f t="shared" si="80"/>
        <v>0</v>
      </c>
      <c r="AX159" s="408">
        <f t="shared" si="81"/>
        <v>0</v>
      </c>
      <c r="AY159" s="300">
        <f t="shared" si="82"/>
        <v>0</v>
      </c>
      <c r="AZ159" s="300">
        <f t="shared" si="83"/>
        <v>0</v>
      </c>
      <c r="BA159" s="300">
        <f t="shared" si="84"/>
        <v>0</v>
      </c>
      <c r="BB159" s="300">
        <f t="shared" si="85"/>
        <v>0</v>
      </c>
      <c r="BC159" s="301">
        <f t="shared" si="86"/>
        <v>0</v>
      </c>
      <c r="BD159" s="295" t="s">
        <v>764</v>
      </c>
      <c r="BE159" s="302" t="str">
        <f t="shared" si="87"/>
        <v>Custom</v>
      </c>
      <c r="BF159" s="304"/>
    </row>
    <row r="160" spans="1:58" ht="15.75" customHeight="1">
      <c r="A160" s="295" t="str">
        <f>'Unit Savings Calculations'!C156</f>
        <v>Bus - CI Rebates</v>
      </c>
      <c r="B160" s="295" t="str">
        <f>'Unit Savings Calculations'!D156</f>
        <v>Staffing</v>
      </c>
      <c r="C160" s="296">
        <f t="shared" si="88"/>
        <v>0</v>
      </c>
      <c r="D160" s="295" t="str">
        <f>'Unit Savings Calculations'!T156</f>
        <v>Custom</v>
      </c>
      <c r="E160" s="460">
        <f>INDEX('Unit Savings Calculations'!$H$4:$H$421,MATCH('Measure-Level Adjustments Tab'!$A160&amp;"_"&amp;'Measure-Level Adjustments Tab'!$B160,'Unit Savings Calculations'!$A$4:$A$421,0))</f>
        <v>0</v>
      </c>
      <c r="F160" s="460">
        <f>INDEX('Unit Savings Calculations'!$I$4:$I$421,MATCH('Measure-Level Adjustments Tab'!A160&amp;"_"&amp;'Measure-Level Adjustments Tab'!B160,'Unit Savings Calculations'!$A$4:$A$421,0))</f>
        <v>0</v>
      </c>
      <c r="G160" s="295" t="str">
        <f>'Unit Savings Calculations'!E156</f>
        <v>each</v>
      </c>
      <c r="H160" s="297">
        <f>'Unit Savings Calculations'!$F156*'Unit Savings Calculations'!J156</f>
        <v>0</v>
      </c>
      <c r="I160" s="297">
        <f>'Unit Savings Calculations'!$F156*'Unit Savings Calculations'!K156</f>
        <v>0</v>
      </c>
      <c r="J160" s="297">
        <f>'Unit Savings Calculations'!$F156*'Unit Savings Calculations'!L156</f>
        <v>0</v>
      </c>
      <c r="K160" s="297">
        <f>'Unit Savings Calculations'!$F156*'Unit Savings Calculations'!M156</f>
        <v>0</v>
      </c>
      <c r="L160" s="295" t="str">
        <f>'Unit Savings Calculations'!U156</f>
        <v>Custom</v>
      </c>
      <c r="M160" s="405" t="str">
        <f>'Unit Savings Calculations'!R156</f>
        <v>Custom</v>
      </c>
      <c r="N160" s="298">
        <v>1</v>
      </c>
      <c r="O160" s="298">
        <v>1</v>
      </c>
      <c r="P160" s="298">
        <v>1</v>
      </c>
      <c r="Q160" s="298">
        <v>1</v>
      </c>
      <c r="R160" s="299">
        <f>'Unit Savings Calculations'!$G156</f>
        <v>1.02</v>
      </c>
      <c r="S160" s="299">
        <f>'Unit Savings Calculations'!$G156</f>
        <v>1.02</v>
      </c>
      <c r="T160" s="299">
        <f>'Unit Savings Calculations'!$G156</f>
        <v>1.02</v>
      </c>
      <c r="U160" s="299">
        <f>'Unit Savings Calculations'!$G156</f>
        <v>1.02</v>
      </c>
      <c r="V160" s="300">
        <f t="shared" si="104"/>
        <v>0</v>
      </c>
      <c r="W160" s="300">
        <f t="shared" si="105"/>
        <v>0</v>
      </c>
      <c r="X160" s="300">
        <f t="shared" si="106"/>
        <v>0</v>
      </c>
      <c r="Y160" s="300">
        <f t="shared" si="107"/>
        <v>0</v>
      </c>
      <c r="Z160" s="300">
        <f t="shared" si="108"/>
        <v>0</v>
      </c>
      <c r="AA160" s="406"/>
      <c r="AB160" s="406"/>
      <c r="AC160" s="409">
        <f>'Unit Savings Calculations'!N156</f>
        <v>1</v>
      </c>
      <c r="AD160" s="406"/>
      <c r="AE160" s="407">
        <f t="shared" si="72"/>
        <v>0</v>
      </c>
      <c r="AF160" s="408">
        <f t="shared" si="73"/>
        <v>0</v>
      </c>
      <c r="AG160" s="406"/>
      <c r="AH160" s="406">
        <f t="shared" si="74"/>
        <v>0</v>
      </c>
      <c r="AI160" s="409">
        <f>'Unit Savings Calculations'!O156</f>
        <v>1</v>
      </c>
      <c r="AJ160" s="457" t="s">
        <v>879</v>
      </c>
      <c r="AK160" s="407">
        <f t="shared" si="75"/>
        <v>0</v>
      </c>
      <c r="AL160" s="408">
        <f t="shared" si="76"/>
        <v>0</v>
      </c>
      <c r="AM160" s="406"/>
      <c r="AN160" s="406"/>
      <c r="AO160" s="409">
        <f>'Unit Savings Calculations'!P156</f>
        <v>1</v>
      </c>
      <c r="AP160" s="457" t="s">
        <v>764</v>
      </c>
      <c r="AQ160" s="407">
        <f t="shared" si="77"/>
        <v>0</v>
      </c>
      <c r="AR160" s="408">
        <f t="shared" si="78"/>
        <v>0</v>
      </c>
      <c r="AS160" s="406"/>
      <c r="AT160" s="406"/>
      <c r="AU160" s="409">
        <f>'Unit Savings Calculations'!Q156</f>
        <v>1</v>
      </c>
      <c r="AV160" s="457" t="str">
        <f t="shared" si="79"/>
        <v>n/a</v>
      </c>
      <c r="AW160" s="407">
        <f t="shared" si="80"/>
        <v>0</v>
      </c>
      <c r="AX160" s="408">
        <f t="shared" si="81"/>
        <v>0</v>
      </c>
      <c r="AY160" s="300">
        <f t="shared" si="82"/>
        <v>0</v>
      </c>
      <c r="AZ160" s="300">
        <f t="shared" si="83"/>
        <v>0</v>
      </c>
      <c r="BA160" s="300">
        <f t="shared" si="84"/>
        <v>0</v>
      </c>
      <c r="BB160" s="300">
        <f t="shared" si="85"/>
        <v>0</v>
      </c>
      <c r="BC160" s="301">
        <f t="shared" si="86"/>
        <v>0</v>
      </c>
      <c r="BD160" s="295" t="s">
        <v>764</v>
      </c>
      <c r="BE160" s="302" t="str">
        <f t="shared" si="87"/>
        <v>Custom</v>
      </c>
      <c r="BF160" s="304"/>
    </row>
    <row r="161" spans="1:58" ht="15.75" customHeight="1">
      <c r="A161" s="295" t="str">
        <f>'Unit Savings Calculations'!C157</f>
        <v>Bus - SB Rebates</v>
      </c>
      <c r="B161" s="295" t="str">
        <f>'Unit Savings Calculations'!D157</f>
        <v>Boiler ≥88% AFUE, &lt;300MBh</v>
      </c>
      <c r="C161" s="296">
        <f t="shared" si="88"/>
        <v>1</v>
      </c>
      <c r="D161" s="295" t="str">
        <f>'Unit Savings Calculations'!T157</f>
        <v>4.4.10</v>
      </c>
      <c r="E161" s="460">
        <f>INDEX('Unit Savings Calculations'!$H$4:$H$421,MATCH('Measure-Level Adjustments Tab'!$A161&amp;"_"&amp;'Measure-Level Adjustments Tab'!$B161,'Unit Savings Calculations'!$A$4:$A$421,0))</f>
        <v>20</v>
      </c>
      <c r="F161" s="460">
        <f>INDEX('Unit Savings Calculations'!$I$4:$I$421,MATCH('Measure-Level Adjustments Tab'!A161&amp;"_"&amp;'Measure-Level Adjustments Tab'!B161,'Unit Savings Calculations'!$A$4:$A$421,0))</f>
        <v>20</v>
      </c>
      <c r="G161" s="295" t="str">
        <f>'Unit Savings Calculations'!E157</f>
        <v>MBH</v>
      </c>
      <c r="H161" s="297">
        <f>'Unit Savings Calculations'!$F157*'Unit Savings Calculations'!J157</f>
        <v>0</v>
      </c>
      <c r="I161" s="297">
        <f>'Unit Savings Calculations'!$F157*'Unit Savings Calculations'!K157</f>
        <v>0</v>
      </c>
      <c r="J161" s="297">
        <f>'Unit Savings Calculations'!$F157*'Unit Savings Calculations'!L157</f>
        <v>0</v>
      </c>
      <c r="K161" s="297">
        <f>'Unit Savings Calculations'!$F157*'Unit Savings Calculations'!M157</f>
        <v>0</v>
      </c>
      <c r="L161" s="295" t="str">
        <f>'Unit Savings Calculations'!U157</f>
        <v>CI-HVC-BOIL-V05-150601</v>
      </c>
      <c r="M161" s="405" t="str">
        <f>'Unit Savings Calculations'!R157</f>
        <v>Exhibit 1.5A_R North Shore EEPS_Adjustable_Savings_Goal_Template.xlsx, Unit Savings Calculations Tab</v>
      </c>
      <c r="N161" s="298">
        <v>1.161219512195123</v>
      </c>
      <c r="O161" s="298">
        <v>1.161219512195123</v>
      </c>
      <c r="P161" s="298">
        <v>1.161219512195123</v>
      </c>
      <c r="Q161" s="298">
        <v>1.161219512195123</v>
      </c>
      <c r="R161" s="299">
        <f>'Unit Savings Calculations'!$G157</f>
        <v>0.92</v>
      </c>
      <c r="S161" s="299">
        <f>'Unit Savings Calculations'!$G157</f>
        <v>0.92</v>
      </c>
      <c r="T161" s="299">
        <f>'Unit Savings Calculations'!$G157</f>
        <v>0.92</v>
      </c>
      <c r="U161" s="299">
        <f>'Unit Savings Calculations'!$G157</f>
        <v>0.92</v>
      </c>
      <c r="V161" s="300">
        <f t="shared" si="104"/>
        <v>0</v>
      </c>
      <c r="W161" s="300">
        <f t="shared" si="105"/>
        <v>0</v>
      </c>
      <c r="X161" s="300">
        <f t="shared" si="106"/>
        <v>0</v>
      </c>
      <c r="Y161" s="300">
        <f t="shared" si="107"/>
        <v>0</v>
      </c>
      <c r="Z161" s="300">
        <f t="shared" si="108"/>
        <v>0</v>
      </c>
      <c r="AA161" s="295"/>
      <c r="AB161" s="295"/>
      <c r="AC161" s="298">
        <f>'Unit Savings Calculations'!N157</f>
        <v>1.1919512195121962</v>
      </c>
      <c r="AD161" s="295"/>
      <c r="AE161" s="300">
        <f t="shared" si="72"/>
        <v>0</v>
      </c>
      <c r="AF161" s="297">
        <f t="shared" si="73"/>
        <v>0</v>
      </c>
      <c r="AG161" s="295"/>
      <c r="AH161" s="295">
        <f t="shared" si="74"/>
        <v>0</v>
      </c>
      <c r="AI161" s="298">
        <f>'Unit Savings Calculations'!O157</f>
        <v>1.1919512195121962</v>
      </c>
      <c r="AJ161" s="405" t="s">
        <v>879</v>
      </c>
      <c r="AK161" s="300">
        <f t="shared" si="75"/>
        <v>0</v>
      </c>
      <c r="AL161" s="297">
        <f t="shared" si="76"/>
        <v>0</v>
      </c>
      <c r="AM161" s="295"/>
      <c r="AN161" s="295"/>
      <c r="AO161" s="298">
        <f>'Unit Savings Calculations'!P157</f>
        <v>1.1919512195121962</v>
      </c>
      <c r="AP161" s="405" t="s">
        <v>1443</v>
      </c>
      <c r="AQ161" s="300">
        <f t="shared" si="77"/>
        <v>0</v>
      </c>
      <c r="AR161" s="297">
        <f t="shared" si="78"/>
        <v>0</v>
      </c>
      <c r="AS161" s="295"/>
      <c r="AT161" s="295"/>
      <c r="AU161" s="298">
        <f>'Unit Savings Calculations'!Q157</f>
        <v>1.1919512195121962</v>
      </c>
      <c r="AV161" s="405" t="str">
        <f t="shared" si="79"/>
        <v>Updated heating EFLH</v>
      </c>
      <c r="AW161" s="300">
        <f t="shared" si="80"/>
        <v>0</v>
      </c>
      <c r="AX161" s="297">
        <f t="shared" si="81"/>
        <v>0</v>
      </c>
      <c r="AY161" s="300">
        <f t="shared" si="82"/>
        <v>0</v>
      </c>
      <c r="AZ161" s="300">
        <f t="shared" si="83"/>
        <v>0</v>
      </c>
      <c r="BA161" s="300">
        <f t="shared" si="84"/>
        <v>0</v>
      </c>
      <c r="BB161" s="300">
        <f t="shared" si="85"/>
        <v>0</v>
      </c>
      <c r="BC161" s="301">
        <f t="shared" si="86"/>
        <v>0</v>
      </c>
      <c r="BD161" s="295" t="s">
        <v>764</v>
      </c>
      <c r="BE161" s="302" t="str">
        <f t="shared" si="87"/>
        <v>Exhibit 1.5A_R North Shore EEPS_Adjustable_Savings_Goal_Template.xlsx, Unit Savings Calculations Tab</v>
      </c>
      <c r="BF161" s="304"/>
    </row>
    <row r="162" spans="1:58" ht="15.75" customHeight="1">
      <c r="A162" s="295" t="str">
        <f>'Unit Savings Calculations'!C158</f>
        <v>Bus - SB Rebates</v>
      </c>
      <c r="B162" s="295" t="str">
        <f>'Unit Savings Calculations'!D158</f>
        <v>Boiler ≥88% AFUE, ≥300MBh TE</v>
      </c>
      <c r="C162" s="296">
        <f t="shared" si="88"/>
        <v>1</v>
      </c>
      <c r="D162" s="295" t="str">
        <f>'Unit Savings Calculations'!T158</f>
        <v>4.4.10</v>
      </c>
      <c r="E162" s="460">
        <f>INDEX('Unit Savings Calculations'!$H$4:$H$421,MATCH('Measure-Level Adjustments Tab'!$A162&amp;"_"&amp;'Measure-Level Adjustments Tab'!$B162,'Unit Savings Calculations'!$A$4:$A$421,0))</f>
        <v>20</v>
      </c>
      <c r="F162" s="460">
        <f>INDEX('Unit Savings Calculations'!$I$4:$I$421,MATCH('Measure-Level Adjustments Tab'!A162&amp;"_"&amp;'Measure-Level Adjustments Tab'!B162,'Unit Savings Calculations'!$A$4:$A$421,0))</f>
        <v>20</v>
      </c>
      <c r="G162" s="295" t="str">
        <f>'Unit Savings Calculations'!E158</f>
        <v>MBH</v>
      </c>
      <c r="H162" s="297">
        <f>'Unit Savings Calculations'!$F158*'Unit Savings Calculations'!J158</f>
        <v>0</v>
      </c>
      <c r="I162" s="297">
        <f>'Unit Savings Calculations'!$F158*'Unit Savings Calculations'!K158</f>
        <v>0</v>
      </c>
      <c r="J162" s="297">
        <f>'Unit Savings Calculations'!$F158*'Unit Savings Calculations'!L158</f>
        <v>0</v>
      </c>
      <c r="K162" s="297">
        <f>'Unit Savings Calculations'!$F158*'Unit Savings Calculations'!M158</f>
        <v>0</v>
      </c>
      <c r="L162" s="295" t="str">
        <f>'Unit Savings Calculations'!U158</f>
        <v>CI-HVC-BOIL-V05-150601</v>
      </c>
      <c r="M162" s="405" t="str">
        <f>'Unit Savings Calculations'!R158</f>
        <v>Exhibit 1.5A_R North Shore EEPS_Adjustable_Savings_Goal_Template.xlsx, Unit Savings Calculations Tab</v>
      </c>
      <c r="N162" s="298">
        <v>1.5869999999999991</v>
      </c>
      <c r="O162" s="298">
        <v>1.5869999999999991</v>
      </c>
      <c r="P162" s="298">
        <v>1.5869999999999991</v>
      </c>
      <c r="Q162" s="298">
        <v>1.5869999999999991</v>
      </c>
      <c r="R162" s="299">
        <f>'Unit Savings Calculations'!$G158</f>
        <v>0.92</v>
      </c>
      <c r="S162" s="299">
        <f>'Unit Savings Calculations'!$G158</f>
        <v>0.92</v>
      </c>
      <c r="T162" s="299">
        <f>'Unit Savings Calculations'!$G158</f>
        <v>0.92</v>
      </c>
      <c r="U162" s="299">
        <f>'Unit Savings Calculations'!$G158</f>
        <v>0.92</v>
      </c>
      <c r="V162" s="300">
        <f t="shared" si="104"/>
        <v>0</v>
      </c>
      <c r="W162" s="300">
        <f t="shared" si="105"/>
        <v>0</v>
      </c>
      <c r="X162" s="300">
        <f t="shared" si="106"/>
        <v>0</v>
      </c>
      <c r="Y162" s="300">
        <f t="shared" si="107"/>
        <v>0</v>
      </c>
      <c r="Z162" s="300">
        <f t="shared" si="108"/>
        <v>0</v>
      </c>
      <c r="AA162" s="295"/>
      <c r="AB162" s="295"/>
      <c r="AC162" s="298">
        <f>'Unit Savings Calculations'!N158</f>
        <v>1.6289999999999993</v>
      </c>
      <c r="AD162" s="295"/>
      <c r="AE162" s="300">
        <f t="shared" si="72"/>
        <v>0</v>
      </c>
      <c r="AF162" s="297">
        <f t="shared" si="73"/>
        <v>0</v>
      </c>
      <c r="AG162" s="295"/>
      <c r="AH162" s="295">
        <f t="shared" si="74"/>
        <v>0</v>
      </c>
      <c r="AI162" s="298">
        <f>'Unit Savings Calculations'!O158</f>
        <v>1.6289999999999993</v>
      </c>
      <c r="AJ162" s="405" t="s">
        <v>879</v>
      </c>
      <c r="AK162" s="300">
        <f t="shared" si="75"/>
        <v>0</v>
      </c>
      <c r="AL162" s="297">
        <f t="shared" si="76"/>
        <v>0</v>
      </c>
      <c r="AM162" s="295"/>
      <c r="AN162" s="295"/>
      <c r="AO162" s="298">
        <f>'Unit Savings Calculations'!P158</f>
        <v>1.6289999999999993</v>
      </c>
      <c r="AP162" s="405" t="s">
        <v>1443</v>
      </c>
      <c r="AQ162" s="300">
        <f t="shared" si="77"/>
        <v>0</v>
      </c>
      <c r="AR162" s="297">
        <f t="shared" si="78"/>
        <v>0</v>
      </c>
      <c r="AS162" s="295"/>
      <c r="AT162" s="295"/>
      <c r="AU162" s="298">
        <f>'Unit Savings Calculations'!Q158</f>
        <v>1.6289999999999993</v>
      </c>
      <c r="AV162" s="405" t="str">
        <f t="shared" si="79"/>
        <v>Updated heating EFLH</v>
      </c>
      <c r="AW162" s="300">
        <f t="shared" si="80"/>
        <v>0</v>
      </c>
      <c r="AX162" s="297">
        <f t="shared" si="81"/>
        <v>0</v>
      </c>
      <c r="AY162" s="300">
        <f t="shared" si="82"/>
        <v>0</v>
      </c>
      <c r="AZ162" s="300">
        <f t="shared" si="83"/>
        <v>0</v>
      </c>
      <c r="BA162" s="300">
        <f t="shared" si="84"/>
        <v>0</v>
      </c>
      <c r="BB162" s="300">
        <f t="shared" si="85"/>
        <v>0</v>
      </c>
      <c r="BC162" s="301">
        <f t="shared" si="86"/>
        <v>0</v>
      </c>
      <c r="BD162" s="295" t="s">
        <v>764</v>
      </c>
      <c r="BE162" s="302" t="str">
        <f t="shared" si="87"/>
        <v>Exhibit 1.5A_R North Shore EEPS_Adjustable_Savings_Goal_Template.xlsx, Unit Savings Calculations Tab</v>
      </c>
      <c r="BF162" s="304"/>
    </row>
    <row r="163" spans="1:58" ht="15.75" customHeight="1">
      <c r="A163" s="295" t="str">
        <f>'Unit Savings Calculations'!C159</f>
        <v>Bus - SB Rebates</v>
      </c>
      <c r="B163" s="295" t="str">
        <f>'Unit Savings Calculations'!D159</f>
        <v>Boiler Reset Controls</v>
      </c>
      <c r="C163" s="296">
        <f t="shared" si="88"/>
        <v>1</v>
      </c>
      <c r="D163" s="295" t="str">
        <f>'Unit Savings Calculations'!T159</f>
        <v>4.4.4</v>
      </c>
      <c r="E163" s="460">
        <f>INDEX('Unit Savings Calculations'!$H$4:$H$421,MATCH('Measure-Level Adjustments Tab'!$A163&amp;"_"&amp;'Measure-Level Adjustments Tab'!$B163,'Unit Savings Calculations'!$A$4:$A$421,0))</f>
        <v>20</v>
      </c>
      <c r="F163" s="460">
        <f>INDEX('Unit Savings Calculations'!$I$4:$I$421,MATCH('Measure-Level Adjustments Tab'!A163&amp;"_"&amp;'Measure-Level Adjustments Tab'!B163,'Unit Savings Calculations'!$A$4:$A$421,0))</f>
        <v>20</v>
      </c>
      <c r="G163" s="295" t="str">
        <f>'Unit Savings Calculations'!E159</f>
        <v>each</v>
      </c>
      <c r="H163" s="297">
        <f>'Unit Savings Calculations'!$F159*'Unit Savings Calculations'!J159</f>
        <v>0</v>
      </c>
      <c r="I163" s="297">
        <f>'Unit Savings Calculations'!$F159*'Unit Savings Calculations'!K159</f>
        <v>0</v>
      </c>
      <c r="J163" s="297">
        <f>'Unit Savings Calculations'!$F159*'Unit Savings Calculations'!L159</f>
        <v>0</v>
      </c>
      <c r="K163" s="297">
        <f>'Unit Savings Calculations'!$F159*'Unit Savings Calculations'!M159</f>
        <v>0</v>
      </c>
      <c r="L163" s="295" t="str">
        <f>'Unit Savings Calculations'!U159</f>
        <v>CI-HVC-BLRC-V03-150601</v>
      </c>
      <c r="M163" s="405" t="str">
        <f>'Unit Savings Calculations'!R159</f>
        <v>Exhibit 1.5A_R North Shore EEPS_Adjustable_Savings_Goal_Template.xlsx, Unit Savings Calculations Tab</v>
      </c>
      <c r="N163" s="298">
        <v>1.2696000000000001</v>
      </c>
      <c r="O163" s="298">
        <v>1.2696000000000001</v>
      </c>
      <c r="P163" s="298">
        <v>1.2696000000000001</v>
      </c>
      <c r="Q163" s="298">
        <v>1.2696000000000001</v>
      </c>
      <c r="R163" s="299">
        <f>'Unit Savings Calculations'!$G159</f>
        <v>0.92</v>
      </c>
      <c r="S163" s="299">
        <f>'Unit Savings Calculations'!$G159</f>
        <v>0.92</v>
      </c>
      <c r="T163" s="299">
        <f>'Unit Savings Calculations'!$G159</f>
        <v>0.92</v>
      </c>
      <c r="U163" s="299">
        <f>'Unit Savings Calculations'!$G159</f>
        <v>0.92</v>
      </c>
      <c r="V163" s="300">
        <f t="shared" si="104"/>
        <v>0</v>
      </c>
      <c r="W163" s="300">
        <f t="shared" si="105"/>
        <v>0</v>
      </c>
      <c r="X163" s="300">
        <f t="shared" si="106"/>
        <v>0</v>
      </c>
      <c r="Y163" s="300">
        <f t="shared" si="107"/>
        <v>0</v>
      </c>
      <c r="Z163" s="300">
        <f t="shared" si="108"/>
        <v>0</v>
      </c>
      <c r="AA163" s="295"/>
      <c r="AB163" s="295"/>
      <c r="AC163" s="298">
        <f>'Unit Savings Calculations'!N159</f>
        <v>1.3031999999999999</v>
      </c>
      <c r="AD163" s="295"/>
      <c r="AE163" s="300">
        <f t="shared" si="72"/>
        <v>0</v>
      </c>
      <c r="AF163" s="297">
        <f t="shared" si="73"/>
        <v>0</v>
      </c>
      <c r="AG163" s="295"/>
      <c r="AH163" s="295">
        <f t="shared" si="74"/>
        <v>0</v>
      </c>
      <c r="AI163" s="298">
        <f>'Unit Savings Calculations'!O159</f>
        <v>1.3031999999999999</v>
      </c>
      <c r="AJ163" s="405" t="s">
        <v>879</v>
      </c>
      <c r="AK163" s="300">
        <f t="shared" si="75"/>
        <v>0</v>
      </c>
      <c r="AL163" s="297">
        <f t="shared" si="76"/>
        <v>0</v>
      </c>
      <c r="AM163" s="295"/>
      <c r="AN163" s="295"/>
      <c r="AO163" s="298">
        <f>'Unit Savings Calculations'!P159</f>
        <v>1.3031999999999999</v>
      </c>
      <c r="AP163" s="405" t="s">
        <v>1443</v>
      </c>
      <c r="AQ163" s="300">
        <f t="shared" si="77"/>
        <v>0</v>
      </c>
      <c r="AR163" s="297">
        <f t="shared" si="78"/>
        <v>0</v>
      </c>
      <c r="AS163" s="295"/>
      <c r="AT163" s="295"/>
      <c r="AU163" s="298">
        <f>'Unit Savings Calculations'!Q159</f>
        <v>1.3031999999999999</v>
      </c>
      <c r="AV163" s="405" t="str">
        <f t="shared" si="79"/>
        <v>Updated heating EFLH</v>
      </c>
      <c r="AW163" s="300">
        <f t="shared" si="80"/>
        <v>0</v>
      </c>
      <c r="AX163" s="297">
        <f t="shared" si="81"/>
        <v>0</v>
      </c>
      <c r="AY163" s="300">
        <f t="shared" si="82"/>
        <v>0</v>
      </c>
      <c r="AZ163" s="300">
        <f t="shared" si="83"/>
        <v>0</v>
      </c>
      <c r="BA163" s="300">
        <f t="shared" si="84"/>
        <v>0</v>
      </c>
      <c r="BB163" s="300">
        <f t="shared" si="85"/>
        <v>0</v>
      </c>
      <c r="BC163" s="301">
        <f t="shared" si="86"/>
        <v>0</v>
      </c>
      <c r="BD163" s="295" t="s">
        <v>764</v>
      </c>
      <c r="BE163" s="302" t="str">
        <f t="shared" si="87"/>
        <v>Exhibit 1.5A_R North Shore EEPS_Adjustable_Savings_Goal_Template.xlsx, Unit Savings Calculations Tab</v>
      </c>
      <c r="BF163" s="304"/>
    </row>
    <row r="164" spans="1:58" ht="15.75" customHeight="1">
      <c r="A164" s="295" t="str">
        <f>'Unit Savings Calculations'!C160</f>
        <v>Bus - SB Rebates</v>
      </c>
      <c r="B164" s="295" t="str">
        <f>'Unit Savings Calculations'!D160</f>
        <v>Boiler Tune Up - Process</v>
      </c>
      <c r="C164" s="296">
        <f t="shared" si="88"/>
        <v>1</v>
      </c>
      <c r="D164" s="295" t="str">
        <f>'Unit Savings Calculations'!T160</f>
        <v>4.4.3</v>
      </c>
      <c r="E164" s="460">
        <f>INDEX('Unit Savings Calculations'!$H$4:$H$421,MATCH('Measure-Level Adjustments Tab'!$A164&amp;"_"&amp;'Measure-Level Adjustments Tab'!$B164,'Unit Savings Calculations'!$A$4:$A$421,0))</f>
        <v>3</v>
      </c>
      <c r="F164" s="460">
        <f>INDEX('Unit Savings Calculations'!$I$4:$I$421,MATCH('Measure-Level Adjustments Tab'!A164&amp;"_"&amp;'Measure-Level Adjustments Tab'!B164,'Unit Savings Calculations'!$A$4:$A$421,0))</f>
        <v>3</v>
      </c>
      <c r="G164" s="295" t="str">
        <f>'Unit Savings Calculations'!E160</f>
        <v>MBH</v>
      </c>
      <c r="H164" s="297">
        <f>'Unit Savings Calculations'!$F160*'Unit Savings Calculations'!J160</f>
        <v>0</v>
      </c>
      <c r="I164" s="297">
        <f>'Unit Savings Calculations'!$F160*'Unit Savings Calculations'!K160</f>
        <v>0</v>
      </c>
      <c r="J164" s="297">
        <f>'Unit Savings Calculations'!$F160*'Unit Savings Calculations'!L160</f>
        <v>0</v>
      </c>
      <c r="K164" s="297">
        <f>'Unit Savings Calculations'!$F160*'Unit Savings Calculations'!M160</f>
        <v>0</v>
      </c>
      <c r="L164" s="295" t="str">
        <f>'Unit Savings Calculations'!U160</f>
        <v>CI-HVC-PBTU-V05-160601</v>
      </c>
      <c r="M164" s="405" t="str">
        <f>'Unit Savings Calculations'!R160</f>
        <v>Exhibit 1.5A_R North Shore EEPS_Adjustable_Savings_Goal_Template.xlsx, Unit Savings Calculations Tab</v>
      </c>
      <c r="N164" s="298">
        <v>0.83823507428978783</v>
      </c>
      <c r="O164" s="298">
        <v>0.83823507428978783</v>
      </c>
      <c r="P164" s="298">
        <v>0.83823507428978783</v>
      </c>
      <c r="Q164" s="298">
        <v>0.83823507428978783</v>
      </c>
      <c r="R164" s="299">
        <f>'Unit Savings Calculations'!$G160</f>
        <v>0.92</v>
      </c>
      <c r="S164" s="299">
        <f>'Unit Savings Calculations'!$G160</f>
        <v>0.92</v>
      </c>
      <c r="T164" s="299">
        <f>'Unit Savings Calculations'!$G160</f>
        <v>0.92</v>
      </c>
      <c r="U164" s="299">
        <f>'Unit Savings Calculations'!$G160</f>
        <v>0.92</v>
      </c>
      <c r="V164" s="300">
        <f t="shared" si="104"/>
        <v>0</v>
      </c>
      <c r="W164" s="300">
        <f t="shared" si="105"/>
        <v>0</v>
      </c>
      <c r="X164" s="300">
        <f t="shared" si="106"/>
        <v>0</v>
      </c>
      <c r="Y164" s="300">
        <f t="shared" si="107"/>
        <v>0</v>
      </c>
      <c r="Z164" s="300">
        <f t="shared" si="108"/>
        <v>0</v>
      </c>
      <c r="AA164" s="295"/>
      <c r="AB164" s="295"/>
      <c r="AC164" s="298">
        <f>'Unit Savings Calculations'!N160</f>
        <v>0.83823507428978783</v>
      </c>
      <c r="AD164" s="295"/>
      <c r="AE164" s="300">
        <f t="shared" si="72"/>
        <v>0</v>
      </c>
      <c r="AF164" s="297">
        <f t="shared" si="73"/>
        <v>0</v>
      </c>
      <c r="AG164" s="295"/>
      <c r="AH164" s="295">
        <f t="shared" si="74"/>
        <v>0</v>
      </c>
      <c r="AI164" s="298">
        <f>'Unit Savings Calculations'!O160</f>
        <v>0.83823507428978783</v>
      </c>
      <c r="AJ164" s="405" t="s">
        <v>879</v>
      </c>
      <c r="AK164" s="300">
        <f t="shared" si="75"/>
        <v>0</v>
      </c>
      <c r="AL164" s="297">
        <f t="shared" si="76"/>
        <v>0</v>
      </c>
      <c r="AM164" s="295"/>
      <c r="AN164" s="295"/>
      <c r="AO164" s="298">
        <f>'Unit Savings Calculations'!P160</f>
        <v>0.83823507428978783</v>
      </c>
      <c r="AP164" s="405" t="s">
        <v>764</v>
      </c>
      <c r="AQ164" s="300">
        <f t="shared" si="77"/>
        <v>0</v>
      </c>
      <c r="AR164" s="297">
        <f t="shared" si="78"/>
        <v>0</v>
      </c>
      <c r="AS164" s="295"/>
      <c r="AT164" s="295"/>
      <c r="AU164" s="298">
        <f>'Unit Savings Calculations'!Q160</f>
        <v>0.83823507428978783</v>
      </c>
      <c r="AV164" s="405" t="str">
        <f t="shared" si="79"/>
        <v>n/a</v>
      </c>
      <c r="AW164" s="300">
        <f t="shared" si="80"/>
        <v>0</v>
      </c>
      <c r="AX164" s="297">
        <f t="shared" si="81"/>
        <v>0</v>
      </c>
      <c r="AY164" s="300">
        <f t="shared" si="82"/>
        <v>0</v>
      </c>
      <c r="AZ164" s="300">
        <f t="shared" si="83"/>
        <v>0</v>
      </c>
      <c r="BA164" s="300">
        <f t="shared" si="84"/>
        <v>0</v>
      </c>
      <c r="BB164" s="300">
        <f t="shared" si="85"/>
        <v>0</v>
      </c>
      <c r="BC164" s="301">
        <f t="shared" si="86"/>
        <v>0</v>
      </c>
      <c r="BD164" s="295" t="s">
        <v>764</v>
      </c>
      <c r="BE164" s="302" t="str">
        <f t="shared" si="87"/>
        <v>Exhibit 1.5A_R North Shore EEPS_Adjustable_Savings_Goal_Template.xlsx, Unit Savings Calculations Tab</v>
      </c>
      <c r="BF164" s="304"/>
    </row>
    <row r="165" spans="1:58" ht="15.75" customHeight="1">
      <c r="A165" s="295" t="str">
        <f>'Unit Savings Calculations'!C161</f>
        <v>Bus - SB Rebates</v>
      </c>
      <c r="B165" s="295" t="str">
        <f>'Unit Savings Calculations'!D161</f>
        <v>Boiler Tune Up - Space Heating</v>
      </c>
      <c r="C165" s="296">
        <f t="shared" si="88"/>
        <v>1</v>
      </c>
      <c r="D165" s="295" t="str">
        <f>'Unit Savings Calculations'!T161</f>
        <v>4.4.2</v>
      </c>
      <c r="E165" s="460">
        <f>INDEX('Unit Savings Calculations'!$H$4:$H$421,MATCH('Measure-Level Adjustments Tab'!$A165&amp;"_"&amp;'Measure-Level Adjustments Tab'!$B165,'Unit Savings Calculations'!$A$4:$A$421,0))</f>
        <v>3</v>
      </c>
      <c r="F165" s="460">
        <f>INDEX('Unit Savings Calculations'!$I$4:$I$421,MATCH('Measure-Level Adjustments Tab'!A165&amp;"_"&amp;'Measure-Level Adjustments Tab'!B165,'Unit Savings Calculations'!$A$4:$A$421,0))</f>
        <v>3</v>
      </c>
      <c r="G165" s="295" t="str">
        <f>'Unit Savings Calculations'!E161</f>
        <v>MBH</v>
      </c>
      <c r="H165" s="297">
        <f>'Unit Savings Calculations'!$F161*'Unit Savings Calculations'!J161</f>
        <v>0</v>
      </c>
      <c r="I165" s="297">
        <f>'Unit Savings Calculations'!$F161*'Unit Savings Calculations'!K161</f>
        <v>0</v>
      </c>
      <c r="J165" s="297">
        <f>'Unit Savings Calculations'!$F161*'Unit Savings Calculations'!L161</f>
        <v>0</v>
      </c>
      <c r="K165" s="297">
        <f>'Unit Savings Calculations'!$F161*'Unit Savings Calculations'!M161</f>
        <v>0</v>
      </c>
      <c r="L165" s="295" t="str">
        <f>'Unit Savings Calculations'!U161</f>
        <v>CI-HVC-BLRT-V06-160601</v>
      </c>
      <c r="M165" s="405" t="str">
        <f>'Unit Savings Calculations'!R161</f>
        <v>Exhibit 1.5A_R North Shore EEPS_Adjustable_Savings_Goal_Template.xlsx, Unit Savings Calculations Tab</v>
      </c>
      <c r="N165" s="298">
        <v>0.37064104123585789</v>
      </c>
      <c r="O165" s="298">
        <v>0.37064104123585789</v>
      </c>
      <c r="P165" s="298">
        <v>0.37064104123585789</v>
      </c>
      <c r="Q165" s="298">
        <v>0.37064104123585789</v>
      </c>
      <c r="R165" s="299">
        <f>'Unit Savings Calculations'!$G161</f>
        <v>0.92</v>
      </c>
      <c r="S165" s="299">
        <f>'Unit Savings Calculations'!$G161</f>
        <v>0.92</v>
      </c>
      <c r="T165" s="299">
        <f>'Unit Savings Calculations'!$G161</f>
        <v>0.92</v>
      </c>
      <c r="U165" s="299">
        <f>'Unit Savings Calculations'!$G161</f>
        <v>0.92</v>
      </c>
      <c r="V165" s="300">
        <f t="shared" si="104"/>
        <v>0</v>
      </c>
      <c r="W165" s="300">
        <f t="shared" si="105"/>
        <v>0</v>
      </c>
      <c r="X165" s="300">
        <f t="shared" si="106"/>
        <v>0</v>
      </c>
      <c r="Y165" s="300">
        <f t="shared" si="107"/>
        <v>0</v>
      </c>
      <c r="Z165" s="300">
        <f t="shared" si="108"/>
        <v>0</v>
      </c>
      <c r="AA165" s="295"/>
      <c r="AB165" s="295"/>
      <c r="AC165" s="298">
        <f>'Unit Savings Calculations'!N161</f>
        <v>0.38045006690183525</v>
      </c>
      <c r="AD165" s="295"/>
      <c r="AE165" s="300">
        <f t="shared" si="72"/>
        <v>0</v>
      </c>
      <c r="AF165" s="297">
        <f t="shared" si="73"/>
        <v>0</v>
      </c>
      <c r="AG165" s="295"/>
      <c r="AH165" s="295">
        <f t="shared" si="74"/>
        <v>0</v>
      </c>
      <c r="AI165" s="298">
        <f>'Unit Savings Calculations'!O161</f>
        <v>0.38045006690183525</v>
      </c>
      <c r="AJ165" s="405" t="s">
        <v>879</v>
      </c>
      <c r="AK165" s="300">
        <f t="shared" si="75"/>
        <v>0</v>
      </c>
      <c r="AL165" s="297">
        <f t="shared" si="76"/>
        <v>0</v>
      </c>
      <c r="AM165" s="295"/>
      <c r="AN165" s="295"/>
      <c r="AO165" s="298">
        <f>'Unit Savings Calculations'!P161</f>
        <v>0.38045006690183525</v>
      </c>
      <c r="AP165" s="405" t="s">
        <v>1443</v>
      </c>
      <c r="AQ165" s="300">
        <f t="shared" si="77"/>
        <v>0</v>
      </c>
      <c r="AR165" s="297">
        <f t="shared" si="78"/>
        <v>0</v>
      </c>
      <c r="AS165" s="295"/>
      <c r="AT165" s="295"/>
      <c r="AU165" s="298">
        <f>'Unit Savings Calculations'!Q161</f>
        <v>0.38045006690183525</v>
      </c>
      <c r="AV165" s="405" t="str">
        <f t="shared" si="79"/>
        <v>Updated heating EFLH</v>
      </c>
      <c r="AW165" s="300">
        <f t="shared" si="80"/>
        <v>0</v>
      </c>
      <c r="AX165" s="297">
        <f t="shared" si="81"/>
        <v>0</v>
      </c>
      <c r="AY165" s="300">
        <f t="shared" si="82"/>
        <v>0</v>
      </c>
      <c r="AZ165" s="300">
        <f t="shared" si="83"/>
        <v>0</v>
      </c>
      <c r="BA165" s="300">
        <f t="shared" si="84"/>
        <v>0</v>
      </c>
      <c r="BB165" s="300">
        <f t="shared" si="85"/>
        <v>0</v>
      </c>
      <c r="BC165" s="301">
        <f t="shared" si="86"/>
        <v>0</v>
      </c>
      <c r="BD165" s="295" t="s">
        <v>764</v>
      </c>
      <c r="BE165" s="302" t="str">
        <f t="shared" si="87"/>
        <v>Exhibit 1.5A_R North Shore EEPS_Adjustable_Savings_Goal_Template.xlsx, Unit Savings Calculations Tab</v>
      </c>
      <c r="BF165" s="304"/>
    </row>
    <row r="166" spans="1:58" ht="15.75" customHeight="1">
      <c r="A166" s="295" t="str">
        <f>'Unit Savings Calculations'!C162</f>
        <v>Bus - SB Rebates</v>
      </c>
      <c r="B166" s="295" t="str">
        <f>'Unit Savings Calculations'!D162</f>
        <v>Condensing Unit Heater</v>
      </c>
      <c r="C166" s="296">
        <f t="shared" si="88"/>
        <v>1</v>
      </c>
      <c r="D166" s="295" t="str">
        <f>'Unit Savings Calculations'!T162</f>
        <v>4.4.5</v>
      </c>
      <c r="E166" s="460">
        <f>INDEX('Unit Savings Calculations'!$H$4:$H$421,MATCH('Measure-Level Adjustments Tab'!$A166&amp;"_"&amp;'Measure-Level Adjustments Tab'!$B166,'Unit Savings Calculations'!$A$4:$A$421,0))</f>
        <v>12</v>
      </c>
      <c r="F166" s="460">
        <f>INDEX('Unit Savings Calculations'!$I$4:$I$421,MATCH('Measure-Level Adjustments Tab'!A166&amp;"_"&amp;'Measure-Level Adjustments Tab'!B166,'Unit Savings Calculations'!$A$4:$A$421,0))</f>
        <v>12</v>
      </c>
      <c r="G166" s="295" t="str">
        <f>'Unit Savings Calculations'!E162</f>
        <v>MBH</v>
      </c>
      <c r="H166" s="297">
        <f>'Unit Savings Calculations'!$F162*'Unit Savings Calculations'!J162</f>
        <v>0</v>
      </c>
      <c r="I166" s="297">
        <f>'Unit Savings Calculations'!$F162*'Unit Savings Calculations'!K162</f>
        <v>0</v>
      </c>
      <c r="J166" s="297">
        <f>'Unit Savings Calculations'!$F162*'Unit Savings Calculations'!L162</f>
        <v>0</v>
      </c>
      <c r="K166" s="297">
        <f>'Unit Savings Calculations'!$F162*'Unit Savings Calculations'!M162</f>
        <v>0</v>
      </c>
      <c r="L166" s="295" t="str">
        <f>'Unit Savings Calculations'!U162</f>
        <v>CI-HVC-CUHT-V01-120601</v>
      </c>
      <c r="M166" s="405" t="str">
        <f>'Unit Savings Calculations'!R162</f>
        <v>Exhibit 1.5A_R North Shore EEPS_Adjustable_Savings_Goal_Template.xlsx, Unit Savings Calculations Tab</v>
      </c>
      <c r="N166" s="298">
        <v>1.7733333333333334</v>
      </c>
      <c r="O166" s="298">
        <v>1.7733333333333334</v>
      </c>
      <c r="P166" s="298">
        <v>1.7733333333333334</v>
      </c>
      <c r="Q166" s="298">
        <v>1.7733333333333334</v>
      </c>
      <c r="R166" s="299">
        <f>'Unit Savings Calculations'!$G162</f>
        <v>0.92</v>
      </c>
      <c r="S166" s="299">
        <f>'Unit Savings Calculations'!$G162</f>
        <v>0.92</v>
      </c>
      <c r="T166" s="299">
        <f>'Unit Savings Calculations'!$G162</f>
        <v>0.92</v>
      </c>
      <c r="U166" s="299">
        <f>'Unit Savings Calculations'!$G162</f>
        <v>0.92</v>
      </c>
      <c r="V166" s="300">
        <f t="shared" si="104"/>
        <v>0</v>
      </c>
      <c r="W166" s="300">
        <f t="shared" si="105"/>
        <v>0</v>
      </c>
      <c r="X166" s="300">
        <f t="shared" si="106"/>
        <v>0</v>
      </c>
      <c r="Y166" s="300">
        <f t="shared" si="107"/>
        <v>0</v>
      </c>
      <c r="Z166" s="300">
        <f t="shared" si="108"/>
        <v>0</v>
      </c>
      <c r="AA166" s="295"/>
      <c r="AB166" s="295"/>
      <c r="AC166" s="298">
        <f>'Unit Savings Calculations'!N162</f>
        <v>1.7733333333333334</v>
      </c>
      <c r="AD166" s="295"/>
      <c r="AE166" s="300">
        <f t="shared" si="72"/>
        <v>0</v>
      </c>
      <c r="AF166" s="297">
        <f t="shared" si="73"/>
        <v>0</v>
      </c>
      <c r="AG166" s="295"/>
      <c r="AH166" s="295">
        <f t="shared" si="74"/>
        <v>0</v>
      </c>
      <c r="AI166" s="298">
        <f>'Unit Savings Calculations'!O162</f>
        <v>1.7733333333333334</v>
      </c>
      <c r="AJ166" s="405" t="s">
        <v>879</v>
      </c>
      <c r="AK166" s="300">
        <f t="shared" si="75"/>
        <v>0</v>
      </c>
      <c r="AL166" s="297">
        <f t="shared" si="76"/>
        <v>0</v>
      </c>
      <c r="AM166" s="295"/>
      <c r="AN166" s="295"/>
      <c r="AO166" s="298">
        <f>'Unit Savings Calculations'!P162</f>
        <v>1.7733333333333334</v>
      </c>
      <c r="AP166" s="405" t="s">
        <v>764</v>
      </c>
      <c r="AQ166" s="300">
        <f t="shared" si="77"/>
        <v>0</v>
      </c>
      <c r="AR166" s="297">
        <f t="shared" si="78"/>
        <v>0</v>
      </c>
      <c r="AS166" s="295"/>
      <c r="AT166" s="295"/>
      <c r="AU166" s="298">
        <f>'Unit Savings Calculations'!Q162</f>
        <v>1.7733333333333334</v>
      </c>
      <c r="AV166" s="405" t="str">
        <f t="shared" si="79"/>
        <v>n/a</v>
      </c>
      <c r="AW166" s="300">
        <f t="shared" si="80"/>
        <v>0</v>
      </c>
      <c r="AX166" s="297">
        <f t="shared" si="81"/>
        <v>0</v>
      </c>
      <c r="AY166" s="300">
        <f t="shared" si="82"/>
        <v>0</v>
      </c>
      <c r="AZ166" s="300">
        <f t="shared" si="83"/>
        <v>0</v>
      </c>
      <c r="BA166" s="300">
        <f t="shared" si="84"/>
        <v>0</v>
      </c>
      <c r="BB166" s="300">
        <f t="shared" si="85"/>
        <v>0</v>
      </c>
      <c r="BC166" s="301">
        <f t="shared" si="86"/>
        <v>0</v>
      </c>
      <c r="BD166" s="295" t="s">
        <v>764</v>
      </c>
      <c r="BE166" s="302" t="str">
        <f t="shared" si="87"/>
        <v>Exhibit 1.5A_R North Shore EEPS_Adjustable_Savings_Goal_Template.xlsx, Unit Savings Calculations Tab</v>
      </c>
      <c r="BF166" s="304"/>
    </row>
    <row r="167" spans="1:58" ht="15.75" customHeight="1">
      <c r="A167" s="295" t="str">
        <f>'Unit Savings Calculations'!C163</f>
        <v>Bus - SB Rebates</v>
      </c>
      <c r="B167" s="295" t="str">
        <f>'Unit Savings Calculations'!D163</f>
        <v>DCV - Kitchen</v>
      </c>
      <c r="C167" s="296">
        <f t="shared" si="88"/>
        <v>1</v>
      </c>
      <c r="D167" s="295" t="str">
        <f>'Unit Savings Calculations'!T163</f>
        <v>4.2.16</v>
      </c>
      <c r="E167" s="460">
        <f>INDEX('Unit Savings Calculations'!$H$4:$H$421,MATCH('Measure-Level Adjustments Tab'!$A167&amp;"_"&amp;'Measure-Level Adjustments Tab'!$B167,'Unit Savings Calculations'!$A$4:$A$421,0))</f>
        <v>15</v>
      </c>
      <c r="F167" s="460">
        <f>INDEX('Unit Savings Calculations'!$I$4:$I$421,MATCH('Measure-Level Adjustments Tab'!A167&amp;"_"&amp;'Measure-Level Adjustments Tab'!B167,'Unit Savings Calculations'!$A$4:$A$421,0))</f>
        <v>15</v>
      </c>
      <c r="G167" s="295" t="str">
        <f>'Unit Savings Calculations'!E163</f>
        <v>each</v>
      </c>
      <c r="H167" s="297">
        <f>'Unit Savings Calculations'!$F163*'Unit Savings Calculations'!J163</f>
        <v>0</v>
      </c>
      <c r="I167" s="297">
        <f>'Unit Savings Calculations'!$F163*'Unit Savings Calculations'!K163</f>
        <v>0</v>
      </c>
      <c r="J167" s="297">
        <f>'Unit Savings Calculations'!$F163*'Unit Savings Calculations'!L163</f>
        <v>0</v>
      </c>
      <c r="K167" s="297">
        <f>'Unit Savings Calculations'!$F163*'Unit Savings Calculations'!M163</f>
        <v>0</v>
      </c>
      <c r="L167" s="295" t="str">
        <f>'Unit Savings Calculations'!U163</f>
        <v>CI-FSE-VENT-V03-160601</v>
      </c>
      <c r="M167" s="405" t="str">
        <f>'Unit Savings Calculations'!R163</f>
        <v>Exhibit 1.5A_R North Shore EEPS_Adjustable_Savings_Goal_Template.xlsx, Unit Savings Calculations Tab</v>
      </c>
      <c r="N167" s="298">
        <v>5998.5</v>
      </c>
      <c r="O167" s="298">
        <v>5998.5</v>
      </c>
      <c r="P167" s="298">
        <v>5998.5</v>
      </c>
      <c r="Q167" s="298">
        <v>5998.5</v>
      </c>
      <c r="R167" s="299">
        <f>'Unit Savings Calculations'!$G163</f>
        <v>0.92</v>
      </c>
      <c r="S167" s="299">
        <f>'Unit Savings Calculations'!$G163</f>
        <v>0.92</v>
      </c>
      <c r="T167" s="299">
        <f>'Unit Savings Calculations'!$G163</f>
        <v>0.92</v>
      </c>
      <c r="U167" s="299">
        <f>'Unit Savings Calculations'!$G163</f>
        <v>0.92</v>
      </c>
      <c r="V167" s="300">
        <f t="shared" si="104"/>
        <v>0</v>
      </c>
      <c r="W167" s="300">
        <f t="shared" si="105"/>
        <v>0</v>
      </c>
      <c r="X167" s="300">
        <f t="shared" si="106"/>
        <v>0</v>
      </c>
      <c r="Y167" s="300">
        <f t="shared" si="107"/>
        <v>0</v>
      </c>
      <c r="Z167" s="300">
        <f t="shared" si="108"/>
        <v>0</v>
      </c>
      <c r="AA167" s="295"/>
      <c r="AB167" s="295"/>
      <c r="AC167" s="298">
        <f>'Unit Savings Calculations'!N163</f>
        <v>5998.5</v>
      </c>
      <c r="AD167" s="295"/>
      <c r="AE167" s="300">
        <f t="shared" si="72"/>
        <v>0</v>
      </c>
      <c r="AF167" s="297">
        <f t="shared" si="73"/>
        <v>0</v>
      </c>
      <c r="AG167" s="295"/>
      <c r="AH167" s="295">
        <f t="shared" si="74"/>
        <v>0</v>
      </c>
      <c r="AI167" s="298">
        <f>'Unit Savings Calculations'!O163</f>
        <v>5998.5</v>
      </c>
      <c r="AJ167" s="405" t="s">
        <v>879</v>
      </c>
      <c r="AK167" s="300">
        <f t="shared" si="75"/>
        <v>0</v>
      </c>
      <c r="AL167" s="297">
        <f t="shared" si="76"/>
        <v>0</v>
      </c>
      <c r="AM167" s="295"/>
      <c r="AN167" s="295"/>
      <c r="AO167" s="298">
        <f>'Unit Savings Calculations'!P163</f>
        <v>5998.5</v>
      </c>
      <c r="AP167" s="405" t="s">
        <v>764</v>
      </c>
      <c r="AQ167" s="300">
        <f t="shared" si="77"/>
        <v>0</v>
      </c>
      <c r="AR167" s="297">
        <f t="shared" si="78"/>
        <v>0</v>
      </c>
      <c r="AS167" s="295"/>
      <c r="AT167" s="295"/>
      <c r="AU167" s="298">
        <f>'Unit Savings Calculations'!Q163</f>
        <v>5998.5</v>
      </c>
      <c r="AV167" s="405" t="str">
        <f t="shared" si="79"/>
        <v>n/a</v>
      </c>
      <c r="AW167" s="300">
        <f t="shared" si="80"/>
        <v>0</v>
      </c>
      <c r="AX167" s="297">
        <f t="shared" si="81"/>
        <v>0</v>
      </c>
      <c r="AY167" s="300">
        <f t="shared" si="82"/>
        <v>0</v>
      </c>
      <c r="AZ167" s="300">
        <f t="shared" si="83"/>
        <v>0</v>
      </c>
      <c r="BA167" s="300">
        <f t="shared" si="84"/>
        <v>0</v>
      </c>
      <c r="BB167" s="300">
        <f t="shared" si="85"/>
        <v>0</v>
      </c>
      <c r="BC167" s="301">
        <f t="shared" si="86"/>
        <v>0</v>
      </c>
      <c r="BD167" s="295" t="s">
        <v>764</v>
      </c>
      <c r="BE167" s="302" t="str">
        <f t="shared" si="87"/>
        <v>Exhibit 1.5A_R North Shore EEPS_Adjustable_Savings_Goal_Template.xlsx, Unit Savings Calculations Tab</v>
      </c>
      <c r="BF167" s="304"/>
    </row>
    <row r="168" spans="1:58" ht="15.75" customHeight="1">
      <c r="A168" s="295" t="str">
        <f>'Unit Savings Calculations'!C164</f>
        <v>Bus - SB Rebates</v>
      </c>
      <c r="B168" s="295" t="str">
        <f>'Unit Savings Calculations'!D164</f>
        <v>Direct Fired Heaters</v>
      </c>
      <c r="C168" s="296">
        <f t="shared" si="88"/>
        <v>0</v>
      </c>
      <c r="D168" s="295" t="str">
        <f>'Unit Savings Calculations'!T164</f>
        <v>Custom</v>
      </c>
      <c r="E168" s="460">
        <f>INDEX('Unit Savings Calculations'!$H$4:$H$421,MATCH('Measure-Level Adjustments Tab'!$A168&amp;"_"&amp;'Measure-Level Adjustments Tab'!$B168,'Unit Savings Calculations'!$A$4:$A$421,0))</f>
        <v>20</v>
      </c>
      <c r="F168" s="460">
        <f>INDEX('Unit Savings Calculations'!$I$4:$I$421,MATCH('Measure-Level Adjustments Tab'!A168&amp;"_"&amp;'Measure-Level Adjustments Tab'!B168,'Unit Savings Calculations'!$A$4:$A$421,0))</f>
        <v>20</v>
      </c>
      <c r="G168" s="295" t="str">
        <f>'Unit Savings Calculations'!E164</f>
        <v>MBH</v>
      </c>
      <c r="H168" s="297">
        <f>'Unit Savings Calculations'!$F164*'Unit Savings Calculations'!J164</f>
        <v>0</v>
      </c>
      <c r="I168" s="297">
        <f>'Unit Savings Calculations'!$F164*'Unit Savings Calculations'!K164</f>
        <v>0</v>
      </c>
      <c r="J168" s="297">
        <f>'Unit Savings Calculations'!$F164*'Unit Savings Calculations'!L164</f>
        <v>0</v>
      </c>
      <c r="K168" s="297">
        <f>'Unit Savings Calculations'!$F164*'Unit Savings Calculations'!M164</f>
        <v>0</v>
      </c>
      <c r="L168" s="295" t="str">
        <f>'Unit Savings Calculations'!U164</f>
        <v>Custom</v>
      </c>
      <c r="M168" s="405" t="str">
        <f>'Unit Savings Calculations'!R164</f>
        <v>Custom</v>
      </c>
      <c r="N168" s="298">
        <v>2.3084999999999987</v>
      </c>
      <c r="O168" s="298">
        <v>2.3084999999999987</v>
      </c>
      <c r="P168" s="298">
        <v>2.3084999999999987</v>
      </c>
      <c r="Q168" s="298">
        <v>2.3084999999999987</v>
      </c>
      <c r="R168" s="299">
        <f>'Unit Savings Calculations'!$G164</f>
        <v>0.92</v>
      </c>
      <c r="S168" s="299">
        <f>'Unit Savings Calculations'!$G164</f>
        <v>0.92</v>
      </c>
      <c r="T168" s="299">
        <f>'Unit Savings Calculations'!$G164</f>
        <v>0.92</v>
      </c>
      <c r="U168" s="299">
        <f>'Unit Savings Calculations'!$G164</f>
        <v>0.92</v>
      </c>
      <c r="V168" s="300">
        <f t="shared" si="104"/>
        <v>0</v>
      </c>
      <c r="W168" s="300">
        <f t="shared" si="105"/>
        <v>0</v>
      </c>
      <c r="X168" s="300">
        <f t="shared" si="106"/>
        <v>0</v>
      </c>
      <c r="Y168" s="300">
        <f t="shared" si="107"/>
        <v>0</v>
      </c>
      <c r="Z168" s="300">
        <f t="shared" si="108"/>
        <v>0</v>
      </c>
      <c r="AA168" s="406"/>
      <c r="AB168" s="406"/>
      <c r="AC168" s="409">
        <f>'Unit Savings Calculations'!N164</f>
        <v>2.5169999999999986</v>
      </c>
      <c r="AD168" s="406"/>
      <c r="AE168" s="407">
        <f t="shared" si="72"/>
        <v>0</v>
      </c>
      <c r="AF168" s="408">
        <f t="shared" si="73"/>
        <v>0</v>
      </c>
      <c r="AG168" s="406"/>
      <c r="AH168" s="406">
        <f t="shared" si="74"/>
        <v>0</v>
      </c>
      <c r="AI168" s="409">
        <f>'Unit Savings Calculations'!O164</f>
        <v>2.5169999999999986</v>
      </c>
      <c r="AJ168" s="457" t="s">
        <v>879</v>
      </c>
      <c r="AK168" s="407">
        <f t="shared" si="75"/>
        <v>0</v>
      </c>
      <c r="AL168" s="408">
        <f t="shared" si="76"/>
        <v>0</v>
      </c>
      <c r="AM168" s="406"/>
      <c r="AN168" s="406"/>
      <c r="AO168" s="409">
        <f>'Unit Savings Calculations'!P164</f>
        <v>2.5169999999999986</v>
      </c>
      <c r="AP168" s="457" t="s">
        <v>1443</v>
      </c>
      <c r="AQ168" s="407">
        <f t="shared" si="77"/>
        <v>0</v>
      </c>
      <c r="AR168" s="408">
        <f t="shared" si="78"/>
        <v>0</v>
      </c>
      <c r="AS168" s="406"/>
      <c r="AT168" s="406"/>
      <c r="AU168" s="409">
        <f>'Unit Savings Calculations'!Q164</f>
        <v>2.5169999999999986</v>
      </c>
      <c r="AV168" s="457" t="str">
        <f t="shared" si="79"/>
        <v>Updated heating EFLH</v>
      </c>
      <c r="AW168" s="407">
        <f t="shared" si="80"/>
        <v>0</v>
      </c>
      <c r="AX168" s="408">
        <f t="shared" si="81"/>
        <v>0</v>
      </c>
      <c r="AY168" s="300">
        <f t="shared" si="82"/>
        <v>0</v>
      </c>
      <c r="AZ168" s="300">
        <f t="shared" si="83"/>
        <v>0</v>
      </c>
      <c r="BA168" s="300">
        <f t="shared" si="84"/>
        <v>0</v>
      </c>
      <c r="BB168" s="300">
        <f t="shared" si="85"/>
        <v>0</v>
      </c>
      <c r="BC168" s="301">
        <f t="shared" si="86"/>
        <v>0</v>
      </c>
      <c r="BD168" s="295" t="s">
        <v>764</v>
      </c>
      <c r="BE168" s="302" t="str">
        <f t="shared" si="87"/>
        <v>Custom</v>
      </c>
      <c r="BF168" s="304"/>
    </row>
    <row r="169" spans="1:58" ht="15.75" customHeight="1">
      <c r="A169" s="295" t="str">
        <f>'Unit Savings Calculations'!C165</f>
        <v>Bus - SB Rebates</v>
      </c>
      <c r="B169" s="295" t="str">
        <f>'Unit Savings Calculations'!D165</f>
        <v>Double Rack Oven</v>
      </c>
      <c r="C169" s="296">
        <f t="shared" si="88"/>
        <v>1</v>
      </c>
      <c r="D169" s="295" t="str">
        <f>'Unit Savings Calculations'!T165</f>
        <v>4.2.18</v>
      </c>
      <c r="E169" s="460">
        <f>INDEX('Unit Savings Calculations'!$H$4:$H$421,MATCH('Measure-Level Adjustments Tab'!$A169&amp;"_"&amp;'Measure-Level Adjustments Tab'!$B169,'Unit Savings Calculations'!$A$4:$A$421,0))</f>
        <v>12</v>
      </c>
      <c r="F169" s="460">
        <f>INDEX('Unit Savings Calculations'!$I$4:$I$421,MATCH('Measure-Level Adjustments Tab'!A169&amp;"_"&amp;'Measure-Level Adjustments Tab'!B169,'Unit Savings Calculations'!$A$4:$A$421,0))</f>
        <v>12</v>
      </c>
      <c r="G169" s="295" t="str">
        <f>'Unit Savings Calculations'!E165</f>
        <v>each</v>
      </c>
      <c r="H169" s="297">
        <f>'Unit Savings Calculations'!$F165*'Unit Savings Calculations'!J165</f>
        <v>0</v>
      </c>
      <c r="I169" s="297">
        <f>'Unit Savings Calculations'!$F165*'Unit Savings Calculations'!K165</f>
        <v>0</v>
      </c>
      <c r="J169" s="297">
        <f>'Unit Savings Calculations'!$F165*'Unit Savings Calculations'!L165</f>
        <v>0</v>
      </c>
      <c r="K169" s="297">
        <f>'Unit Savings Calculations'!$F165*'Unit Savings Calculations'!M165</f>
        <v>0</v>
      </c>
      <c r="L169" s="295" t="str">
        <f>'Unit Savings Calculations'!U165</f>
        <v>CI-FSE-RKOV-VO2-180101</v>
      </c>
      <c r="M169" s="405" t="str">
        <f>'Unit Savings Calculations'!R165</f>
        <v>Exhibit 1.5A_R North Shore EEPS_Adjustable_Savings_Goal_Template.xlsx, Unit Savings Calculations Tab</v>
      </c>
      <c r="N169" s="298">
        <v>1930</v>
      </c>
      <c r="O169" s="298">
        <v>1930</v>
      </c>
      <c r="P169" s="298">
        <v>1930</v>
      </c>
      <c r="Q169" s="298">
        <v>1930</v>
      </c>
      <c r="R169" s="299">
        <f>'Unit Savings Calculations'!$G165</f>
        <v>0.92</v>
      </c>
      <c r="S169" s="299">
        <f>'Unit Savings Calculations'!$G165</f>
        <v>0.92</v>
      </c>
      <c r="T169" s="299">
        <f>'Unit Savings Calculations'!$G165</f>
        <v>0.92</v>
      </c>
      <c r="U169" s="299">
        <f>'Unit Savings Calculations'!$G165</f>
        <v>0.92</v>
      </c>
      <c r="V169" s="300">
        <f t="shared" si="104"/>
        <v>0</v>
      </c>
      <c r="W169" s="300">
        <f t="shared" si="105"/>
        <v>0</v>
      </c>
      <c r="X169" s="300">
        <f t="shared" si="106"/>
        <v>0</v>
      </c>
      <c r="Y169" s="300">
        <f t="shared" si="107"/>
        <v>0</v>
      </c>
      <c r="Z169" s="300">
        <f t="shared" si="108"/>
        <v>0</v>
      </c>
      <c r="AA169" s="295"/>
      <c r="AB169" s="295"/>
      <c r="AC169" s="298">
        <f>'Unit Savings Calculations'!N165</f>
        <v>1930</v>
      </c>
      <c r="AD169" s="295"/>
      <c r="AE169" s="300">
        <f t="shared" si="72"/>
        <v>0</v>
      </c>
      <c r="AF169" s="297">
        <f t="shared" si="73"/>
        <v>0</v>
      </c>
      <c r="AG169" s="295"/>
      <c r="AH169" s="295">
        <f t="shared" si="74"/>
        <v>0</v>
      </c>
      <c r="AI169" s="298">
        <f>'Unit Savings Calculations'!O165</f>
        <v>1930</v>
      </c>
      <c r="AJ169" s="405" t="s">
        <v>879</v>
      </c>
      <c r="AK169" s="300">
        <f t="shared" si="75"/>
        <v>0</v>
      </c>
      <c r="AL169" s="297">
        <f t="shared" si="76"/>
        <v>0</v>
      </c>
      <c r="AM169" s="295"/>
      <c r="AN169" s="295"/>
      <c r="AO169" s="298">
        <f>'Unit Savings Calculations'!P165</f>
        <v>1930</v>
      </c>
      <c r="AP169" s="405" t="s">
        <v>764</v>
      </c>
      <c r="AQ169" s="300">
        <f t="shared" si="77"/>
        <v>0</v>
      </c>
      <c r="AR169" s="297">
        <f t="shared" si="78"/>
        <v>0</v>
      </c>
      <c r="AS169" s="295"/>
      <c r="AT169" s="295"/>
      <c r="AU169" s="298">
        <f>'Unit Savings Calculations'!Q165</f>
        <v>1930</v>
      </c>
      <c r="AV169" s="405" t="str">
        <f t="shared" si="79"/>
        <v>n/a</v>
      </c>
      <c r="AW169" s="300">
        <f t="shared" si="80"/>
        <v>0</v>
      </c>
      <c r="AX169" s="297">
        <f t="shared" si="81"/>
        <v>0</v>
      </c>
      <c r="AY169" s="300">
        <f t="shared" si="82"/>
        <v>0</v>
      </c>
      <c r="AZ169" s="300">
        <f t="shared" si="83"/>
        <v>0</v>
      </c>
      <c r="BA169" s="300">
        <f t="shared" si="84"/>
        <v>0</v>
      </c>
      <c r="BB169" s="300">
        <f t="shared" si="85"/>
        <v>0</v>
      </c>
      <c r="BC169" s="301">
        <f t="shared" si="86"/>
        <v>0</v>
      </c>
      <c r="BD169" s="295" t="s">
        <v>764</v>
      </c>
      <c r="BE169" s="302" t="str">
        <f t="shared" si="87"/>
        <v>Exhibit 1.5A_R North Shore EEPS_Adjustable_Savings_Goal_Template.xlsx, Unit Savings Calculations Tab</v>
      </c>
      <c r="BF169" s="304"/>
    </row>
    <row r="170" spans="1:58" ht="15.75" customHeight="1">
      <c r="A170" s="295" t="str">
        <f>'Unit Savings Calculations'!C166</f>
        <v>Bus - SB Rebates</v>
      </c>
      <c r="B170" s="295" t="str">
        <f>'Unit Savings Calculations'!D166</f>
        <v>Energy Star Convection Oven</v>
      </c>
      <c r="C170" s="296">
        <f t="shared" si="88"/>
        <v>1</v>
      </c>
      <c r="D170" s="295" t="str">
        <f>'Unit Savings Calculations'!T166</f>
        <v>4.2.5</v>
      </c>
      <c r="E170" s="460">
        <f>INDEX('Unit Savings Calculations'!$H$4:$H$421,MATCH('Measure-Level Adjustments Tab'!$A170&amp;"_"&amp;'Measure-Level Adjustments Tab'!$B170,'Unit Savings Calculations'!$A$4:$A$421,0))</f>
        <v>12</v>
      </c>
      <c r="F170" s="460">
        <f>INDEX('Unit Savings Calculations'!$I$4:$I$421,MATCH('Measure-Level Adjustments Tab'!A170&amp;"_"&amp;'Measure-Level Adjustments Tab'!B170,'Unit Savings Calculations'!$A$4:$A$421,0))</f>
        <v>12</v>
      </c>
      <c r="G170" s="295" t="str">
        <f>'Unit Savings Calculations'!E166</f>
        <v>each</v>
      </c>
      <c r="H170" s="297">
        <f>'Unit Savings Calculations'!$F166*'Unit Savings Calculations'!J166</f>
        <v>0</v>
      </c>
      <c r="I170" s="297">
        <f>'Unit Savings Calculations'!$F166*'Unit Savings Calculations'!K166</f>
        <v>0</v>
      </c>
      <c r="J170" s="297">
        <f>'Unit Savings Calculations'!$F166*'Unit Savings Calculations'!L166</f>
        <v>0</v>
      </c>
      <c r="K170" s="297">
        <f>'Unit Savings Calculations'!$F166*'Unit Savings Calculations'!M166</f>
        <v>0</v>
      </c>
      <c r="L170" s="295" t="str">
        <f>'Unit Savings Calculations'!U166</f>
        <v>CI-FSE-ESCV-V02-180101</v>
      </c>
      <c r="M170" s="405" t="str">
        <f>'Unit Savings Calculations'!R166</f>
        <v>Exhibit 1.5A_R North Shore EEPS_Adjustable_Savings_Goal_Template.xlsx, Unit Savings Calculations Tab</v>
      </c>
      <c r="N170" s="298">
        <v>352.14445072463781</v>
      </c>
      <c r="O170" s="298">
        <v>352.14445072463781</v>
      </c>
      <c r="P170" s="298">
        <v>352.14445072463781</v>
      </c>
      <c r="Q170" s="298">
        <v>352.14445072463781</v>
      </c>
      <c r="R170" s="299">
        <f>'Unit Savings Calculations'!$G166</f>
        <v>0.92</v>
      </c>
      <c r="S170" s="299">
        <f>'Unit Savings Calculations'!$G166</f>
        <v>0.92</v>
      </c>
      <c r="T170" s="299">
        <f>'Unit Savings Calculations'!$G166</f>
        <v>0.92</v>
      </c>
      <c r="U170" s="299">
        <f>'Unit Savings Calculations'!$G166</f>
        <v>0.92</v>
      </c>
      <c r="V170" s="300">
        <f t="shared" si="104"/>
        <v>0</v>
      </c>
      <c r="W170" s="300">
        <f t="shared" si="105"/>
        <v>0</v>
      </c>
      <c r="X170" s="300">
        <f t="shared" si="106"/>
        <v>0</v>
      </c>
      <c r="Y170" s="300">
        <f t="shared" si="107"/>
        <v>0</v>
      </c>
      <c r="Z170" s="300">
        <f t="shared" si="108"/>
        <v>0</v>
      </c>
      <c r="AA170" s="295"/>
      <c r="AB170" s="295"/>
      <c r="AC170" s="298">
        <f>'Unit Savings Calculations'!N166</f>
        <v>352.14445072463781</v>
      </c>
      <c r="AD170" s="295"/>
      <c r="AE170" s="300">
        <f t="shared" si="72"/>
        <v>0</v>
      </c>
      <c r="AF170" s="297">
        <f t="shared" si="73"/>
        <v>0</v>
      </c>
      <c r="AG170" s="295"/>
      <c r="AH170" s="295">
        <f t="shared" si="74"/>
        <v>0</v>
      </c>
      <c r="AI170" s="298">
        <f>'Unit Savings Calculations'!O166</f>
        <v>352.14445072463781</v>
      </c>
      <c r="AJ170" s="405" t="s">
        <v>879</v>
      </c>
      <c r="AK170" s="300">
        <f t="shared" si="75"/>
        <v>0</v>
      </c>
      <c r="AL170" s="297">
        <f t="shared" si="76"/>
        <v>0</v>
      </c>
      <c r="AM170" s="295"/>
      <c r="AN170" s="295"/>
      <c r="AO170" s="298">
        <f>'Unit Savings Calculations'!P166</f>
        <v>352.14445072463781</v>
      </c>
      <c r="AP170" s="405" t="s">
        <v>764</v>
      </c>
      <c r="AQ170" s="300">
        <f t="shared" si="77"/>
        <v>0</v>
      </c>
      <c r="AR170" s="297">
        <f t="shared" si="78"/>
        <v>0</v>
      </c>
      <c r="AS170" s="295"/>
      <c r="AT170" s="295"/>
      <c r="AU170" s="298">
        <f>'Unit Savings Calculations'!Q166</f>
        <v>352.14445072463781</v>
      </c>
      <c r="AV170" s="405" t="str">
        <f t="shared" si="79"/>
        <v>n/a</v>
      </c>
      <c r="AW170" s="300">
        <f t="shared" si="80"/>
        <v>0</v>
      </c>
      <c r="AX170" s="297">
        <f t="shared" si="81"/>
        <v>0</v>
      </c>
      <c r="AY170" s="300">
        <f t="shared" si="82"/>
        <v>0</v>
      </c>
      <c r="AZ170" s="300">
        <f t="shared" si="83"/>
        <v>0</v>
      </c>
      <c r="BA170" s="300">
        <f t="shared" si="84"/>
        <v>0</v>
      </c>
      <c r="BB170" s="300">
        <f t="shared" si="85"/>
        <v>0</v>
      </c>
      <c r="BC170" s="301">
        <f t="shared" si="86"/>
        <v>0</v>
      </c>
      <c r="BD170" s="295" t="s">
        <v>764</v>
      </c>
      <c r="BE170" s="302" t="str">
        <f t="shared" si="87"/>
        <v>Exhibit 1.5A_R North Shore EEPS_Adjustable_Savings_Goal_Template.xlsx, Unit Savings Calculations Tab</v>
      </c>
      <c r="BF170" s="304"/>
    </row>
    <row r="171" spans="1:58" ht="15.75" customHeight="1">
      <c r="A171" s="295" t="str">
        <f>'Unit Savings Calculations'!C167</f>
        <v>Bus - SB Rebates</v>
      </c>
      <c r="B171" s="295" t="str">
        <f>'Unit Savings Calculations'!D167</f>
        <v>Energy Star Conveyer Oven</v>
      </c>
      <c r="C171" s="296">
        <f t="shared" si="88"/>
        <v>1</v>
      </c>
      <c r="D171" s="295" t="str">
        <f>'Unit Savings Calculations'!T167</f>
        <v>4.2.4</v>
      </c>
      <c r="E171" s="460">
        <f>INDEX('Unit Savings Calculations'!$H$4:$H$421,MATCH('Measure-Level Adjustments Tab'!$A171&amp;"_"&amp;'Measure-Level Adjustments Tab'!$B171,'Unit Savings Calculations'!$A$4:$A$421,0))</f>
        <v>17</v>
      </c>
      <c r="F171" s="460">
        <f>INDEX('Unit Savings Calculations'!$I$4:$I$421,MATCH('Measure-Level Adjustments Tab'!A171&amp;"_"&amp;'Measure-Level Adjustments Tab'!B171,'Unit Savings Calculations'!$A$4:$A$421,0))</f>
        <v>17</v>
      </c>
      <c r="G171" s="295" t="str">
        <f>'Unit Savings Calculations'!E167</f>
        <v>each</v>
      </c>
      <c r="H171" s="297">
        <f>'Unit Savings Calculations'!$F167*'Unit Savings Calculations'!J167</f>
        <v>0</v>
      </c>
      <c r="I171" s="297">
        <f>'Unit Savings Calculations'!$F167*'Unit Savings Calculations'!K167</f>
        <v>0</v>
      </c>
      <c r="J171" s="297">
        <f>'Unit Savings Calculations'!$F167*'Unit Savings Calculations'!L167</f>
        <v>0</v>
      </c>
      <c r="K171" s="297">
        <f>'Unit Savings Calculations'!$F167*'Unit Savings Calculations'!M167</f>
        <v>0</v>
      </c>
      <c r="L171" s="295" t="str">
        <f>'Unit Savings Calculations'!U167</f>
        <v>CI-FSE-CVOV-V02-180101</v>
      </c>
      <c r="M171" s="405" t="str">
        <f>'Unit Savings Calculations'!R167</f>
        <v>Exhibit 1.5A_R North Shore EEPS_Adjustable_Savings_Goal_Template.xlsx, Unit Savings Calculations Tab</v>
      </c>
      <c r="N171" s="298">
        <v>884</v>
      </c>
      <c r="O171" s="298">
        <v>884</v>
      </c>
      <c r="P171" s="298">
        <v>884</v>
      </c>
      <c r="Q171" s="298">
        <v>884</v>
      </c>
      <c r="R171" s="299">
        <f>'Unit Savings Calculations'!$G167</f>
        <v>0.92</v>
      </c>
      <c r="S171" s="299">
        <f>'Unit Savings Calculations'!$G167</f>
        <v>0.92</v>
      </c>
      <c r="T171" s="299">
        <f>'Unit Savings Calculations'!$G167</f>
        <v>0.92</v>
      </c>
      <c r="U171" s="299">
        <f>'Unit Savings Calculations'!$G167</f>
        <v>0.92</v>
      </c>
      <c r="V171" s="300">
        <f t="shared" si="104"/>
        <v>0</v>
      </c>
      <c r="W171" s="300">
        <f t="shared" si="105"/>
        <v>0</v>
      </c>
      <c r="X171" s="300">
        <f t="shared" si="106"/>
        <v>0</v>
      </c>
      <c r="Y171" s="300">
        <f t="shared" si="107"/>
        <v>0</v>
      </c>
      <c r="Z171" s="300">
        <f t="shared" si="108"/>
        <v>0</v>
      </c>
      <c r="AA171" s="295"/>
      <c r="AB171" s="295"/>
      <c r="AC171" s="298">
        <f>'Unit Savings Calculations'!N167</f>
        <v>884</v>
      </c>
      <c r="AD171" s="295"/>
      <c r="AE171" s="300">
        <f t="shared" si="72"/>
        <v>0</v>
      </c>
      <c r="AF171" s="297">
        <f t="shared" si="73"/>
        <v>0</v>
      </c>
      <c r="AG171" s="295"/>
      <c r="AH171" s="295">
        <f t="shared" si="74"/>
        <v>0</v>
      </c>
      <c r="AI171" s="298">
        <f>'Unit Savings Calculations'!O167</f>
        <v>884</v>
      </c>
      <c r="AJ171" s="405" t="s">
        <v>879</v>
      </c>
      <c r="AK171" s="300">
        <f t="shared" si="75"/>
        <v>0</v>
      </c>
      <c r="AL171" s="297">
        <f t="shared" si="76"/>
        <v>0</v>
      </c>
      <c r="AM171" s="295"/>
      <c r="AN171" s="295"/>
      <c r="AO171" s="298">
        <f>'Unit Savings Calculations'!P167</f>
        <v>884</v>
      </c>
      <c r="AP171" s="405" t="s">
        <v>764</v>
      </c>
      <c r="AQ171" s="300">
        <f t="shared" si="77"/>
        <v>0</v>
      </c>
      <c r="AR171" s="297">
        <f t="shared" si="78"/>
        <v>0</v>
      </c>
      <c r="AS171" s="295"/>
      <c r="AT171" s="295"/>
      <c r="AU171" s="298">
        <f>'Unit Savings Calculations'!Q167</f>
        <v>884</v>
      </c>
      <c r="AV171" s="405" t="str">
        <f t="shared" si="79"/>
        <v>n/a</v>
      </c>
      <c r="AW171" s="300">
        <f t="shared" si="80"/>
        <v>0</v>
      </c>
      <c r="AX171" s="297">
        <f t="shared" si="81"/>
        <v>0</v>
      </c>
      <c r="AY171" s="300">
        <f t="shared" si="82"/>
        <v>0</v>
      </c>
      <c r="AZ171" s="300">
        <f t="shared" si="83"/>
        <v>0</v>
      </c>
      <c r="BA171" s="300">
        <f t="shared" si="84"/>
        <v>0</v>
      </c>
      <c r="BB171" s="300">
        <f t="shared" si="85"/>
        <v>0</v>
      </c>
      <c r="BC171" s="301">
        <f t="shared" si="86"/>
        <v>0</v>
      </c>
      <c r="BD171" s="295" t="s">
        <v>764</v>
      </c>
      <c r="BE171" s="302" t="str">
        <f t="shared" si="87"/>
        <v>Exhibit 1.5A_R North Shore EEPS_Adjustable_Savings_Goal_Template.xlsx, Unit Savings Calculations Tab</v>
      </c>
      <c r="BF171" s="304"/>
    </row>
    <row r="172" spans="1:58" ht="15.75" customHeight="1">
      <c r="A172" s="295" t="str">
        <f>'Unit Savings Calculations'!C168</f>
        <v>Bus - SB Rebates</v>
      </c>
      <c r="B172" s="295" t="str">
        <f>'Unit Savings Calculations'!D168</f>
        <v>Energy Star Fryer</v>
      </c>
      <c r="C172" s="296">
        <f t="shared" si="88"/>
        <v>1</v>
      </c>
      <c r="D172" s="295" t="str">
        <f>'Unit Savings Calculations'!T168</f>
        <v>4.2.7</v>
      </c>
      <c r="E172" s="460">
        <f>INDEX('Unit Savings Calculations'!$H$4:$H$421,MATCH('Measure-Level Adjustments Tab'!$A172&amp;"_"&amp;'Measure-Level Adjustments Tab'!$B172,'Unit Savings Calculations'!$A$4:$A$421,0))</f>
        <v>15</v>
      </c>
      <c r="F172" s="460">
        <f>INDEX('Unit Savings Calculations'!$I$4:$I$421,MATCH('Measure-Level Adjustments Tab'!A172&amp;"_"&amp;'Measure-Level Adjustments Tab'!B172,'Unit Savings Calculations'!$A$4:$A$421,0))</f>
        <v>12</v>
      </c>
      <c r="G172" s="295" t="str">
        <f>'Unit Savings Calculations'!E168</f>
        <v>each</v>
      </c>
      <c r="H172" s="297">
        <f>'Unit Savings Calculations'!$F168*'Unit Savings Calculations'!J168</f>
        <v>0</v>
      </c>
      <c r="I172" s="297">
        <f>'Unit Savings Calculations'!$F168*'Unit Savings Calculations'!K168</f>
        <v>0</v>
      </c>
      <c r="J172" s="297">
        <f>'Unit Savings Calculations'!$F168*'Unit Savings Calculations'!L168</f>
        <v>0</v>
      </c>
      <c r="K172" s="297">
        <f>'Unit Savings Calculations'!$F168*'Unit Savings Calculations'!M168</f>
        <v>0</v>
      </c>
      <c r="L172" s="295" t="str">
        <f>'Unit Savings Calculations'!U168</f>
        <v>CI-FSE-ESFR-V01-120601</v>
      </c>
      <c r="M172" s="405" t="str">
        <f>'Unit Savings Calculations'!R168</f>
        <v>Exhibit 1.5A_R North Shore EEPS_Adjustable_Savings_Goal_Template.xlsx, Unit Savings Calculations Tab</v>
      </c>
      <c r="N172" s="298">
        <v>505.37299714285717</v>
      </c>
      <c r="O172" s="298">
        <v>505.37299714285717</v>
      </c>
      <c r="P172" s="298">
        <v>505.37299714285717</v>
      </c>
      <c r="Q172" s="298">
        <v>505.37299714285717</v>
      </c>
      <c r="R172" s="299">
        <f>'Unit Savings Calculations'!$G168</f>
        <v>0.92</v>
      </c>
      <c r="S172" s="299">
        <f>'Unit Savings Calculations'!$G168</f>
        <v>0.92</v>
      </c>
      <c r="T172" s="299">
        <f>'Unit Savings Calculations'!$G168</f>
        <v>0.92</v>
      </c>
      <c r="U172" s="299">
        <f>'Unit Savings Calculations'!$G168</f>
        <v>0.92</v>
      </c>
      <c r="V172" s="300">
        <f t="shared" si="104"/>
        <v>0</v>
      </c>
      <c r="W172" s="300">
        <f t="shared" si="105"/>
        <v>0</v>
      </c>
      <c r="X172" s="300">
        <f t="shared" si="106"/>
        <v>0</v>
      </c>
      <c r="Y172" s="300">
        <f t="shared" si="107"/>
        <v>0</v>
      </c>
      <c r="Z172" s="300">
        <f t="shared" si="108"/>
        <v>0</v>
      </c>
      <c r="AA172" s="295"/>
      <c r="AB172" s="295"/>
      <c r="AC172" s="298">
        <f>'Unit Savings Calculations'!N168</f>
        <v>505.37299714285717</v>
      </c>
      <c r="AD172" s="295"/>
      <c r="AE172" s="300">
        <f t="shared" si="72"/>
        <v>0</v>
      </c>
      <c r="AF172" s="297">
        <f t="shared" si="73"/>
        <v>0</v>
      </c>
      <c r="AG172" s="295"/>
      <c r="AH172" s="295">
        <f t="shared" si="74"/>
        <v>0</v>
      </c>
      <c r="AI172" s="298">
        <f>'Unit Savings Calculations'!O168</f>
        <v>505.37299714285717</v>
      </c>
      <c r="AJ172" s="405" t="s">
        <v>879</v>
      </c>
      <c r="AK172" s="300">
        <f t="shared" si="75"/>
        <v>0</v>
      </c>
      <c r="AL172" s="297">
        <f t="shared" si="76"/>
        <v>0</v>
      </c>
      <c r="AM172" s="295"/>
      <c r="AN172" s="295"/>
      <c r="AO172" s="298">
        <f>'Unit Savings Calculations'!P168</f>
        <v>505.37299714285717</v>
      </c>
      <c r="AP172" s="405" t="s">
        <v>764</v>
      </c>
      <c r="AQ172" s="300">
        <f t="shared" si="77"/>
        <v>0</v>
      </c>
      <c r="AR172" s="297">
        <f t="shared" si="78"/>
        <v>0</v>
      </c>
      <c r="AS172" s="295"/>
      <c r="AT172" s="295"/>
      <c r="AU172" s="298">
        <f>'Unit Savings Calculations'!Q168</f>
        <v>505.37299714285717</v>
      </c>
      <c r="AV172" s="405" t="str">
        <f t="shared" si="79"/>
        <v>n/a</v>
      </c>
      <c r="AW172" s="300">
        <f t="shared" si="80"/>
        <v>0</v>
      </c>
      <c r="AX172" s="297">
        <f t="shared" si="81"/>
        <v>0</v>
      </c>
      <c r="AY172" s="300">
        <f t="shared" si="82"/>
        <v>0</v>
      </c>
      <c r="AZ172" s="300">
        <f t="shared" si="83"/>
        <v>0</v>
      </c>
      <c r="BA172" s="300">
        <f t="shared" si="84"/>
        <v>0</v>
      </c>
      <c r="BB172" s="300">
        <f t="shared" si="85"/>
        <v>0</v>
      </c>
      <c r="BC172" s="301">
        <f t="shared" si="86"/>
        <v>0</v>
      </c>
      <c r="BD172" s="295" t="s">
        <v>764</v>
      </c>
      <c r="BE172" s="302" t="str">
        <f t="shared" si="87"/>
        <v>Exhibit 1.5A_R North Shore EEPS_Adjustable_Savings_Goal_Template.xlsx, Unit Savings Calculations Tab</v>
      </c>
      <c r="BF172" s="304"/>
    </row>
    <row r="173" spans="1:58" ht="15.75" customHeight="1">
      <c r="A173" s="295" t="str">
        <f>'Unit Savings Calculations'!C169</f>
        <v>Bus - SB Rebates</v>
      </c>
      <c r="B173" s="295" t="str">
        <f>'Unit Savings Calculations'!D169</f>
        <v>Energy Star Steamer - 3 Pans</v>
      </c>
      <c r="C173" s="296">
        <f t="shared" si="88"/>
        <v>1</v>
      </c>
      <c r="D173" s="295" t="str">
        <f>'Unit Savings Calculations'!T169</f>
        <v>4.2.3</v>
      </c>
      <c r="E173" s="460">
        <f>INDEX('Unit Savings Calculations'!$H$4:$H$421,MATCH('Measure-Level Adjustments Tab'!$A173&amp;"_"&amp;'Measure-Level Adjustments Tab'!$B173,'Unit Savings Calculations'!$A$4:$A$421,0))</f>
        <v>12</v>
      </c>
      <c r="F173" s="460">
        <f>INDEX('Unit Savings Calculations'!$I$4:$I$421,MATCH('Measure-Level Adjustments Tab'!A173&amp;"_"&amp;'Measure-Level Adjustments Tab'!B173,'Unit Savings Calculations'!$A$4:$A$421,0))</f>
        <v>12</v>
      </c>
      <c r="G173" s="295" t="str">
        <f>'Unit Savings Calculations'!E169</f>
        <v>each</v>
      </c>
      <c r="H173" s="297">
        <f>'Unit Savings Calculations'!$F169*'Unit Savings Calculations'!J169</f>
        <v>0</v>
      </c>
      <c r="I173" s="297">
        <f>'Unit Savings Calculations'!$F169*'Unit Savings Calculations'!K169</f>
        <v>0</v>
      </c>
      <c r="J173" s="297">
        <f>'Unit Savings Calculations'!$F169*'Unit Savings Calculations'!L169</f>
        <v>0</v>
      </c>
      <c r="K173" s="297">
        <f>'Unit Savings Calculations'!$F169*'Unit Savings Calculations'!M169</f>
        <v>0</v>
      </c>
      <c r="L173" s="295" t="str">
        <f>'Unit Savings Calculations'!U169</f>
        <v>CI-FSE-STMC-V04-160601</v>
      </c>
      <c r="M173" s="405" t="str">
        <f>'Unit Savings Calculations'!R169</f>
        <v>Exhibit 1.5A_R North Shore EEPS_Adjustable_Savings_Goal_Template.xlsx, Food Equipment Tab</v>
      </c>
      <c r="N173" s="298">
        <v>752.01231086676478</v>
      </c>
      <c r="O173" s="298">
        <v>752.01231086676478</v>
      </c>
      <c r="P173" s="298">
        <v>752.01231086676478</v>
      </c>
      <c r="Q173" s="298">
        <v>752.01231086676478</v>
      </c>
      <c r="R173" s="299">
        <f>'Unit Savings Calculations'!$G169</f>
        <v>0.92</v>
      </c>
      <c r="S173" s="299">
        <f>'Unit Savings Calculations'!$G169</f>
        <v>0.92</v>
      </c>
      <c r="T173" s="299">
        <f>'Unit Savings Calculations'!$G169</f>
        <v>0.92</v>
      </c>
      <c r="U173" s="299">
        <f>'Unit Savings Calculations'!$G169</f>
        <v>0.92</v>
      </c>
      <c r="V173" s="300">
        <f t="shared" si="104"/>
        <v>0</v>
      </c>
      <c r="W173" s="300">
        <f t="shared" si="105"/>
        <v>0</v>
      </c>
      <c r="X173" s="300">
        <f t="shared" si="106"/>
        <v>0</v>
      </c>
      <c r="Y173" s="300">
        <f t="shared" si="107"/>
        <v>0</v>
      </c>
      <c r="Z173" s="300">
        <f t="shared" si="108"/>
        <v>0</v>
      </c>
      <c r="AA173" s="295"/>
      <c r="AB173" s="295"/>
      <c r="AC173" s="298">
        <f>'Unit Savings Calculations'!N169</f>
        <v>752.01231086676478</v>
      </c>
      <c r="AD173" s="295"/>
      <c r="AE173" s="300">
        <f t="shared" si="72"/>
        <v>0</v>
      </c>
      <c r="AF173" s="297">
        <f t="shared" si="73"/>
        <v>0</v>
      </c>
      <c r="AG173" s="295"/>
      <c r="AH173" s="295">
        <f t="shared" si="74"/>
        <v>0</v>
      </c>
      <c r="AI173" s="298">
        <f>'Unit Savings Calculations'!O169</f>
        <v>752.01231086676478</v>
      </c>
      <c r="AJ173" s="405" t="s">
        <v>879</v>
      </c>
      <c r="AK173" s="300">
        <f t="shared" si="75"/>
        <v>0</v>
      </c>
      <c r="AL173" s="297">
        <f t="shared" si="76"/>
        <v>0</v>
      </c>
      <c r="AM173" s="295"/>
      <c r="AN173" s="295"/>
      <c r="AO173" s="298">
        <f>'Unit Savings Calculations'!P169</f>
        <v>752.01231086676478</v>
      </c>
      <c r="AP173" s="405" t="s">
        <v>764</v>
      </c>
      <c r="AQ173" s="300">
        <f t="shared" si="77"/>
        <v>0</v>
      </c>
      <c r="AR173" s="297">
        <f t="shared" si="78"/>
        <v>0</v>
      </c>
      <c r="AS173" s="295"/>
      <c r="AT173" s="295"/>
      <c r="AU173" s="298">
        <f>'Unit Savings Calculations'!Q169</f>
        <v>752.01231086676478</v>
      </c>
      <c r="AV173" s="405" t="str">
        <f t="shared" si="79"/>
        <v>n/a</v>
      </c>
      <c r="AW173" s="300">
        <f t="shared" si="80"/>
        <v>0</v>
      </c>
      <c r="AX173" s="297">
        <f t="shared" si="81"/>
        <v>0</v>
      </c>
      <c r="AY173" s="300">
        <f t="shared" si="82"/>
        <v>0</v>
      </c>
      <c r="AZ173" s="300">
        <f t="shared" si="83"/>
        <v>0</v>
      </c>
      <c r="BA173" s="300">
        <f t="shared" si="84"/>
        <v>0</v>
      </c>
      <c r="BB173" s="300">
        <f t="shared" si="85"/>
        <v>0</v>
      </c>
      <c r="BC173" s="301">
        <f t="shared" si="86"/>
        <v>0</v>
      </c>
      <c r="BD173" s="295" t="s">
        <v>764</v>
      </c>
      <c r="BE173" s="302" t="str">
        <f t="shared" si="87"/>
        <v>Exhibit 1.5A_R North Shore EEPS_Adjustable_Savings_Goal_Template.xlsx, Food Equipment Tab</v>
      </c>
      <c r="BF173" s="304"/>
    </row>
    <row r="174" spans="1:58" ht="15.75" customHeight="1">
      <c r="A174" s="295" t="str">
        <f>'Unit Savings Calculations'!C170</f>
        <v>Bus - SB Rebates</v>
      </c>
      <c r="B174" s="295" t="str">
        <f>'Unit Savings Calculations'!D170</f>
        <v>Energy Star Steamer - 4 Pans</v>
      </c>
      <c r="C174" s="296">
        <f t="shared" si="88"/>
        <v>1</v>
      </c>
      <c r="D174" s="295" t="str">
        <f>'Unit Savings Calculations'!T170</f>
        <v>4.2.3</v>
      </c>
      <c r="E174" s="460">
        <f>INDEX('Unit Savings Calculations'!$H$4:$H$421,MATCH('Measure-Level Adjustments Tab'!$A174&amp;"_"&amp;'Measure-Level Adjustments Tab'!$B174,'Unit Savings Calculations'!$A$4:$A$421,0))</f>
        <v>12</v>
      </c>
      <c r="F174" s="460">
        <f>INDEX('Unit Savings Calculations'!$I$4:$I$421,MATCH('Measure-Level Adjustments Tab'!A174&amp;"_"&amp;'Measure-Level Adjustments Tab'!B174,'Unit Savings Calculations'!$A$4:$A$421,0))</f>
        <v>12</v>
      </c>
      <c r="G174" s="295" t="str">
        <f>'Unit Savings Calculations'!E170</f>
        <v>each</v>
      </c>
      <c r="H174" s="297">
        <f>'Unit Savings Calculations'!$F170*'Unit Savings Calculations'!J170</f>
        <v>0</v>
      </c>
      <c r="I174" s="297">
        <f>'Unit Savings Calculations'!$F170*'Unit Savings Calculations'!K170</f>
        <v>0</v>
      </c>
      <c r="J174" s="297">
        <f>'Unit Savings Calculations'!$F170*'Unit Savings Calculations'!L170</f>
        <v>0</v>
      </c>
      <c r="K174" s="297">
        <f>'Unit Savings Calculations'!$F170*'Unit Savings Calculations'!M170</f>
        <v>0</v>
      </c>
      <c r="L174" s="295" t="str">
        <f>'Unit Savings Calculations'!U170</f>
        <v>CI-FSE-STMC-V04-160601</v>
      </c>
      <c r="M174" s="405" t="str">
        <f>'Unit Savings Calculations'!R170</f>
        <v>Exhibit 1.5A_R North Shore EEPS_Adjustable_Savings_Goal_Template.xlsx, Food Equipment Tab</v>
      </c>
      <c r="N174" s="298">
        <v>1007.2641787965732</v>
      </c>
      <c r="O174" s="298">
        <v>1007.2641787965732</v>
      </c>
      <c r="P174" s="298">
        <v>1007.2641787965732</v>
      </c>
      <c r="Q174" s="298">
        <v>1007.2641787965732</v>
      </c>
      <c r="R174" s="299">
        <f>'Unit Savings Calculations'!$G170</f>
        <v>0.92</v>
      </c>
      <c r="S174" s="299">
        <f>'Unit Savings Calculations'!$G170</f>
        <v>0.92</v>
      </c>
      <c r="T174" s="299">
        <f>'Unit Savings Calculations'!$G170</f>
        <v>0.92</v>
      </c>
      <c r="U174" s="299">
        <f>'Unit Savings Calculations'!$G170</f>
        <v>0.92</v>
      </c>
      <c r="V174" s="300">
        <f t="shared" si="104"/>
        <v>0</v>
      </c>
      <c r="W174" s="300">
        <f t="shared" si="105"/>
        <v>0</v>
      </c>
      <c r="X174" s="300">
        <f t="shared" si="106"/>
        <v>0</v>
      </c>
      <c r="Y174" s="300">
        <f t="shared" si="107"/>
        <v>0</v>
      </c>
      <c r="Z174" s="300">
        <f t="shared" si="108"/>
        <v>0</v>
      </c>
      <c r="AA174" s="295"/>
      <c r="AB174" s="295"/>
      <c r="AC174" s="298">
        <f>'Unit Savings Calculations'!N170</f>
        <v>1007.2641787965732</v>
      </c>
      <c r="AD174" s="295"/>
      <c r="AE174" s="300">
        <f t="shared" si="72"/>
        <v>0</v>
      </c>
      <c r="AF174" s="297">
        <f t="shared" si="73"/>
        <v>0</v>
      </c>
      <c r="AG174" s="295"/>
      <c r="AH174" s="295">
        <f t="shared" si="74"/>
        <v>0</v>
      </c>
      <c r="AI174" s="298">
        <f>'Unit Savings Calculations'!O170</f>
        <v>1007.2641787965732</v>
      </c>
      <c r="AJ174" s="405" t="s">
        <v>879</v>
      </c>
      <c r="AK174" s="300">
        <f t="shared" si="75"/>
        <v>0</v>
      </c>
      <c r="AL174" s="297">
        <f t="shared" si="76"/>
        <v>0</v>
      </c>
      <c r="AM174" s="295"/>
      <c r="AN174" s="295"/>
      <c r="AO174" s="298">
        <f>'Unit Savings Calculations'!P170</f>
        <v>1007.2641787965732</v>
      </c>
      <c r="AP174" s="405" t="s">
        <v>764</v>
      </c>
      <c r="AQ174" s="300">
        <f t="shared" si="77"/>
        <v>0</v>
      </c>
      <c r="AR174" s="297">
        <f t="shared" si="78"/>
        <v>0</v>
      </c>
      <c r="AS174" s="295"/>
      <c r="AT174" s="295"/>
      <c r="AU174" s="298">
        <f>'Unit Savings Calculations'!Q170</f>
        <v>1007.2641787965732</v>
      </c>
      <c r="AV174" s="405" t="str">
        <f t="shared" si="79"/>
        <v>n/a</v>
      </c>
      <c r="AW174" s="300">
        <f t="shared" si="80"/>
        <v>0</v>
      </c>
      <c r="AX174" s="297">
        <f t="shared" si="81"/>
        <v>0</v>
      </c>
      <c r="AY174" s="300">
        <f t="shared" si="82"/>
        <v>0</v>
      </c>
      <c r="AZ174" s="300">
        <f t="shared" si="83"/>
        <v>0</v>
      </c>
      <c r="BA174" s="300">
        <f t="shared" si="84"/>
        <v>0</v>
      </c>
      <c r="BB174" s="300">
        <f t="shared" si="85"/>
        <v>0</v>
      </c>
      <c r="BC174" s="301">
        <f t="shared" si="86"/>
        <v>0</v>
      </c>
      <c r="BD174" s="295" t="s">
        <v>764</v>
      </c>
      <c r="BE174" s="302" t="str">
        <f t="shared" si="87"/>
        <v>Exhibit 1.5A_R North Shore EEPS_Adjustable_Savings_Goal_Template.xlsx, Food Equipment Tab</v>
      </c>
      <c r="BF174" s="304"/>
    </row>
    <row r="175" spans="1:58" ht="15.75" customHeight="1">
      <c r="A175" s="295" t="str">
        <f>'Unit Savings Calculations'!C171</f>
        <v>Bus - SB Rebates</v>
      </c>
      <c r="B175" s="295" t="str">
        <f>'Unit Savings Calculations'!D171</f>
        <v>Energy Star Steamer - 5 Pans</v>
      </c>
      <c r="C175" s="296">
        <f t="shared" si="88"/>
        <v>1</v>
      </c>
      <c r="D175" s="295" t="str">
        <f>'Unit Savings Calculations'!T171</f>
        <v>4.2.3</v>
      </c>
      <c r="E175" s="460">
        <f>INDEX('Unit Savings Calculations'!$H$4:$H$421,MATCH('Measure-Level Adjustments Tab'!$A175&amp;"_"&amp;'Measure-Level Adjustments Tab'!$B175,'Unit Savings Calculations'!$A$4:$A$421,0))</f>
        <v>12</v>
      </c>
      <c r="F175" s="460">
        <f>INDEX('Unit Savings Calculations'!$I$4:$I$421,MATCH('Measure-Level Adjustments Tab'!A175&amp;"_"&amp;'Measure-Level Adjustments Tab'!B175,'Unit Savings Calculations'!$A$4:$A$421,0))</f>
        <v>12</v>
      </c>
      <c r="G175" s="295" t="str">
        <f>'Unit Savings Calculations'!E171</f>
        <v>each</v>
      </c>
      <c r="H175" s="297">
        <f>'Unit Savings Calculations'!$F171*'Unit Savings Calculations'!J171</f>
        <v>0</v>
      </c>
      <c r="I175" s="297">
        <f>'Unit Savings Calculations'!$F171*'Unit Savings Calculations'!K171</f>
        <v>0</v>
      </c>
      <c r="J175" s="297">
        <f>'Unit Savings Calculations'!$F171*'Unit Savings Calculations'!L171</f>
        <v>0</v>
      </c>
      <c r="K175" s="297">
        <f>'Unit Savings Calculations'!$F171*'Unit Savings Calculations'!M171</f>
        <v>0</v>
      </c>
      <c r="L175" s="295" t="str">
        <f>'Unit Savings Calculations'!U171</f>
        <v>CI-FSE-STMC-V04-160601</v>
      </c>
      <c r="M175" s="405" t="str">
        <f>'Unit Savings Calculations'!R171</f>
        <v>Exhibit 1.5A_R North Shore EEPS_Adjustable_Savings_Goal_Template.xlsx, Food Equipment Tab</v>
      </c>
      <c r="N175" s="298">
        <v>1248.6709419898457</v>
      </c>
      <c r="O175" s="298">
        <v>1248.6709419898457</v>
      </c>
      <c r="P175" s="298">
        <v>1248.6709419898457</v>
      </c>
      <c r="Q175" s="298">
        <v>1248.6709419898457</v>
      </c>
      <c r="R175" s="299">
        <f>'Unit Savings Calculations'!$G171</f>
        <v>0.92</v>
      </c>
      <c r="S175" s="299">
        <f>'Unit Savings Calculations'!$G171</f>
        <v>0.92</v>
      </c>
      <c r="T175" s="299">
        <f>'Unit Savings Calculations'!$G171</f>
        <v>0.92</v>
      </c>
      <c r="U175" s="299">
        <f>'Unit Savings Calculations'!$G171</f>
        <v>0.92</v>
      </c>
      <c r="V175" s="300">
        <f t="shared" si="104"/>
        <v>0</v>
      </c>
      <c r="W175" s="300">
        <f t="shared" si="105"/>
        <v>0</v>
      </c>
      <c r="X175" s="300">
        <f t="shared" si="106"/>
        <v>0</v>
      </c>
      <c r="Y175" s="300">
        <f t="shared" si="107"/>
        <v>0</v>
      </c>
      <c r="Z175" s="300">
        <f t="shared" si="108"/>
        <v>0</v>
      </c>
      <c r="AA175" s="295"/>
      <c r="AB175" s="295"/>
      <c r="AC175" s="298">
        <f>'Unit Savings Calculations'!N171</f>
        <v>1248.6709419898457</v>
      </c>
      <c r="AD175" s="295"/>
      <c r="AE175" s="300">
        <f t="shared" si="72"/>
        <v>0</v>
      </c>
      <c r="AF175" s="297">
        <f t="shared" si="73"/>
        <v>0</v>
      </c>
      <c r="AG175" s="295"/>
      <c r="AH175" s="295">
        <f t="shared" si="74"/>
        <v>0</v>
      </c>
      <c r="AI175" s="298">
        <f>'Unit Savings Calculations'!O171</f>
        <v>1248.6709419898457</v>
      </c>
      <c r="AJ175" s="405" t="s">
        <v>879</v>
      </c>
      <c r="AK175" s="300">
        <f t="shared" si="75"/>
        <v>0</v>
      </c>
      <c r="AL175" s="297">
        <f t="shared" si="76"/>
        <v>0</v>
      </c>
      <c r="AM175" s="295"/>
      <c r="AN175" s="295"/>
      <c r="AO175" s="298">
        <f>'Unit Savings Calculations'!P171</f>
        <v>1248.6709419898457</v>
      </c>
      <c r="AP175" s="405" t="s">
        <v>764</v>
      </c>
      <c r="AQ175" s="300">
        <f t="shared" si="77"/>
        <v>0</v>
      </c>
      <c r="AR175" s="297">
        <f t="shared" si="78"/>
        <v>0</v>
      </c>
      <c r="AS175" s="295"/>
      <c r="AT175" s="295"/>
      <c r="AU175" s="298">
        <f>'Unit Savings Calculations'!Q171</f>
        <v>1248.6709419898457</v>
      </c>
      <c r="AV175" s="405" t="str">
        <f t="shared" si="79"/>
        <v>n/a</v>
      </c>
      <c r="AW175" s="300">
        <f t="shared" si="80"/>
        <v>0</v>
      </c>
      <c r="AX175" s="297">
        <f t="shared" si="81"/>
        <v>0</v>
      </c>
      <c r="AY175" s="300">
        <f t="shared" si="82"/>
        <v>0</v>
      </c>
      <c r="AZ175" s="300">
        <f t="shared" si="83"/>
        <v>0</v>
      </c>
      <c r="BA175" s="300">
        <f t="shared" si="84"/>
        <v>0</v>
      </c>
      <c r="BB175" s="300">
        <f t="shared" si="85"/>
        <v>0</v>
      </c>
      <c r="BC175" s="301">
        <f t="shared" si="86"/>
        <v>0</v>
      </c>
      <c r="BD175" s="295" t="s">
        <v>764</v>
      </c>
      <c r="BE175" s="302" t="str">
        <f t="shared" si="87"/>
        <v>Exhibit 1.5A_R North Shore EEPS_Adjustable_Savings_Goal_Template.xlsx, Food Equipment Tab</v>
      </c>
      <c r="BF175" s="304"/>
    </row>
    <row r="176" spans="1:58" ht="15.75" customHeight="1">
      <c r="A176" s="295" t="str">
        <f>'Unit Savings Calculations'!C172</f>
        <v>Bus - SB Rebates</v>
      </c>
      <c r="B176" s="295" t="str">
        <f>'Unit Savings Calculations'!D172</f>
        <v>Energy Star Steamer - 6 Pans</v>
      </c>
      <c r="C176" s="296">
        <f t="shared" si="88"/>
        <v>1</v>
      </c>
      <c r="D176" s="295" t="str">
        <f>'Unit Savings Calculations'!T172</f>
        <v>4.2.3</v>
      </c>
      <c r="E176" s="460">
        <f>INDEX('Unit Savings Calculations'!$H$4:$H$421,MATCH('Measure-Level Adjustments Tab'!$A176&amp;"_"&amp;'Measure-Level Adjustments Tab'!$B176,'Unit Savings Calculations'!$A$4:$A$421,0))</f>
        <v>12</v>
      </c>
      <c r="F176" s="460">
        <f>INDEX('Unit Savings Calculations'!$I$4:$I$421,MATCH('Measure-Level Adjustments Tab'!A176&amp;"_"&amp;'Measure-Level Adjustments Tab'!B176,'Unit Savings Calculations'!$A$4:$A$421,0))</f>
        <v>12</v>
      </c>
      <c r="G176" s="295" t="str">
        <f>'Unit Savings Calculations'!E172</f>
        <v>each</v>
      </c>
      <c r="H176" s="297">
        <f>'Unit Savings Calculations'!$F172*'Unit Savings Calculations'!J172</f>
        <v>0</v>
      </c>
      <c r="I176" s="297">
        <f>'Unit Savings Calculations'!$F172*'Unit Savings Calculations'!K172</f>
        <v>0</v>
      </c>
      <c r="J176" s="297">
        <f>'Unit Savings Calculations'!$F172*'Unit Savings Calculations'!L172</f>
        <v>0</v>
      </c>
      <c r="K176" s="297">
        <f>'Unit Savings Calculations'!$F172*'Unit Savings Calculations'!M172</f>
        <v>0</v>
      </c>
      <c r="L176" s="295" t="str">
        <f>'Unit Savings Calculations'!U172</f>
        <v>CI-FSE-STMC-V04-160601</v>
      </c>
      <c r="M176" s="405" t="str">
        <f>'Unit Savings Calculations'!R172</f>
        <v>Exhibit 1.5A_R North Shore EEPS_Adjustable_Savings_Goal_Template.xlsx, Food Equipment Tab</v>
      </c>
      <c r="N176" s="298">
        <v>1503.8794358667649</v>
      </c>
      <c r="O176" s="298">
        <v>1503.8794358667649</v>
      </c>
      <c r="P176" s="298">
        <v>1503.8794358667649</v>
      </c>
      <c r="Q176" s="298">
        <v>1503.8794358667649</v>
      </c>
      <c r="R176" s="299">
        <f>'Unit Savings Calculations'!$G172</f>
        <v>0.92</v>
      </c>
      <c r="S176" s="299">
        <f>'Unit Savings Calculations'!$G172</f>
        <v>0.92</v>
      </c>
      <c r="T176" s="299">
        <f>'Unit Savings Calculations'!$G172</f>
        <v>0.92</v>
      </c>
      <c r="U176" s="299">
        <f>'Unit Savings Calculations'!$G172</f>
        <v>0.92</v>
      </c>
      <c r="V176" s="300">
        <f t="shared" si="104"/>
        <v>0</v>
      </c>
      <c r="W176" s="300">
        <f t="shared" si="105"/>
        <v>0</v>
      </c>
      <c r="X176" s="300">
        <f t="shared" si="106"/>
        <v>0</v>
      </c>
      <c r="Y176" s="300">
        <f t="shared" si="107"/>
        <v>0</v>
      </c>
      <c r="Z176" s="300">
        <f t="shared" si="108"/>
        <v>0</v>
      </c>
      <c r="AA176" s="295"/>
      <c r="AB176" s="295"/>
      <c r="AC176" s="298">
        <f>'Unit Savings Calculations'!N172</f>
        <v>1503.8794358667649</v>
      </c>
      <c r="AD176" s="295"/>
      <c r="AE176" s="300">
        <f t="shared" si="72"/>
        <v>0</v>
      </c>
      <c r="AF176" s="297">
        <f t="shared" si="73"/>
        <v>0</v>
      </c>
      <c r="AG176" s="295"/>
      <c r="AH176" s="295">
        <f t="shared" si="74"/>
        <v>0</v>
      </c>
      <c r="AI176" s="298">
        <f>'Unit Savings Calculations'!O172</f>
        <v>1503.8794358667649</v>
      </c>
      <c r="AJ176" s="405" t="s">
        <v>879</v>
      </c>
      <c r="AK176" s="300">
        <f t="shared" si="75"/>
        <v>0</v>
      </c>
      <c r="AL176" s="297">
        <f t="shared" si="76"/>
        <v>0</v>
      </c>
      <c r="AM176" s="295"/>
      <c r="AN176" s="295"/>
      <c r="AO176" s="298">
        <f>'Unit Savings Calculations'!P172</f>
        <v>1503.8794358667649</v>
      </c>
      <c r="AP176" s="405" t="s">
        <v>764</v>
      </c>
      <c r="AQ176" s="300">
        <f t="shared" si="77"/>
        <v>0</v>
      </c>
      <c r="AR176" s="297">
        <f t="shared" si="78"/>
        <v>0</v>
      </c>
      <c r="AS176" s="295"/>
      <c r="AT176" s="295"/>
      <c r="AU176" s="298">
        <f>'Unit Savings Calculations'!Q172</f>
        <v>1503.8794358667649</v>
      </c>
      <c r="AV176" s="405" t="str">
        <f t="shared" si="79"/>
        <v>n/a</v>
      </c>
      <c r="AW176" s="300">
        <f t="shared" si="80"/>
        <v>0</v>
      </c>
      <c r="AX176" s="297">
        <f t="shared" si="81"/>
        <v>0</v>
      </c>
      <c r="AY176" s="300">
        <f t="shared" si="82"/>
        <v>0</v>
      </c>
      <c r="AZ176" s="300">
        <f t="shared" si="83"/>
        <v>0</v>
      </c>
      <c r="BA176" s="300">
        <f t="shared" si="84"/>
        <v>0</v>
      </c>
      <c r="BB176" s="300">
        <f t="shared" si="85"/>
        <v>0</v>
      </c>
      <c r="BC176" s="301">
        <f t="shared" si="86"/>
        <v>0</v>
      </c>
      <c r="BD176" s="295" t="s">
        <v>764</v>
      </c>
      <c r="BE176" s="302" t="str">
        <f t="shared" si="87"/>
        <v>Exhibit 1.5A_R North Shore EEPS_Adjustable_Savings_Goal_Template.xlsx, Food Equipment Tab</v>
      </c>
      <c r="BF176" s="304"/>
    </row>
    <row r="177" spans="1:58" ht="15.75" customHeight="1">
      <c r="A177" s="295" t="str">
        <f>'Unit Savings Calculations'!C173</f>
        <v>Bus - SB Rebates</v>
      </c>
      <c r="B177" s="295" t="str">
        <f>'Unit Savings Calculations'!D173</f>
        <v>Heat Recovery Grease Trap Filter</v>
      </c>
      <c r="C177" s="296">
        <f t="shared" si="88"/>
        <v>1</v>
      </c>
      <c r="D177" s="295" t="str">
        <f>'Unit Savings Calculations'!T173</f>
        <v>4.3.9</v>
      </c>
      <c r="E177" s="460">
        <f>INDEX('Unit Savings Calculations'!$H$4:$H$421,MATCH('Measure-Level Adjustments Tab'!$A177&amp;"_"&amp;'Measure-Level Adjustments Tab'!$B177,'Unit Savings Calculations'!$A$4:$A$421,0))</f>
        <v>15</v>
      </c>
      <c r="F177" s="460">
        <f>INDEX('Unit Savings Calculations'!$I$4:$I$421,MATCH('Measure-Level Adjustments Tab'!A177&amp;"_"&amp;'Measure-Level Adjustments Tab'!B177,'Unit Savings Calculations'!$A$4:$A$421,0))</f>
        <v>15</v>
      </c>
      <c r="G177" s="295" t="str">
        <f>'Unit Savings Calculations'!E173</f>
        <v>each</v>
      </c>
      <c r="H177" s="297">
        <f>'Unit Savings Calculations'!$F173*'Unit Savings Calculations'!J173</f>
        <v>0</v>
      </c>
      <c r="I177" s="297">
        <f>'Unit Savings Calculations'!$F173*'Unit Savings Calculations'!K173</f>
        <v>0</v>
      </c>
      <c r="J177" s="297">
        <f>'Unit Savings Calculations'!$F173*'Unit Savings Calculations'!L173</f>
        <v>0</v>
      </c>
      <c r="K177" s="297">
        <f>'Unit Savings Calculations'!$F173*'Unit Savings Calculations'!M173</f>
        <v>0</v>
      </c>
      <c r="L177" s="295" t="str">
        <f>'Unit Savings Calculations'!U173</f>
        <v>CI-HW-GRTF-V01-160601</v>
      </c>
      <c r="M177" s="405" t="str">
        <f>'Unit Savings Calculations'!R173</f>
        <v>Exhibit 1.5A_R North Shore EEPS_Adjustable_Savings_Goal_Template.xlsx, Unit Savings Calculations Tab</v>
      </c>
      <c r="N177" s="298">
        <v>1757.3025600000001</v>
      </c>
      <c r="O177" s="298">
        <v>1757.3025600000001</v>
      </c>
      <c r="P177" s="298">
        <v>1757.3025600000001</v>
      </c>
      <c r="Q177" s="298">
        <v>1757.3025600000001</v>
      </c>
      <c r="R177" s="299">
        <f>'Unit Savings Calculations'!$G173</f>
        <v>0.92</v>
      </c>
      <c r="S177" s="299">
        <f>'Unit Savings Calculations'!$G173</f>
        <v>0.92</v>
      </c>
      <c r="T177" s="299">
        <f>'Unit Savings Calculations'!$G173</f>
        <v>0.92</v>
      </c>
      <c r="U177" s="299">
        <f>'Unit Savings Calculations'!$G173</f>
        <v>0.92</v>
      </c>
      <c r="V177" s="300">
        <f t="shared" si="104"/>
        <v>0</v>
      </c>
      <c r="W177" s="300">
        <f t="shared" si="105"/>
        <v>0</v>
      </c>
      <c r="X177" s="300">
        <f t="shared" si="106"/>
        <v>0</v>
      </c>
      <c r="Y177" s="300">
        <f t="shared" si="107"/>
        <v>0</v>
      </c>
      <c r="Z177" s="300">
        <f t="shared" si="108"/>
        <v>0</v>
      </c>
      <c r="AA177" s="295"/>
      <c r="AB177" s="295"/>
      <c r="AC177" s="298">
        <f>'Unit Savings Calculations'!N173</f>
        <v>1757.3025600000001</v>
      </c>
      <c r="AD177" s="295"/>
      <c r="AE177" s="300">
        <f t="shared" si="72"/>
        <v>0</v>
      </c>
      <c r="AF177" s="297">
        <f t="shared" si="73"/>
        <v>0</v>
      </c>
      <c r="AG177" s="295"/>
      <c r="AH177" s="295">
        <f t="shared" si="74"/>
        <v>0</v>
      </c>
      <c r="AI177" s="298">
        <f>'Unit Savings Calculations'!O173</f>
        <v>1757.3025600000001</v>
      </c>
      <c r="AJ177" s="405" t="s">
        <v>879</v>
      </c>
      <c r="AK177" s="300">
        <f t="shared" si="75"/>
        <v>0</v>
      </c>
      <c r="AL177" s="297">
        <f t="shared" si="76"/>
        <v>0</v>
      </c>
      <c r="AM177" s="295"/>
      <c r="AN177" s="295"/>
      <c r="AO177" s="298">
        <f>'Unit Savings Calculations'!P173</f>
        <v>1757.3025600000001</v>
      </c>
      <c r="AP177" s="405" t="s">
        <v>764</v>
      </c>
      <c r="AQ177" s="300">
        <f t="shared" si="77"/>
        <v>0</v>
      </c>
      <c r="AR177" s="297">
        <f t="shared" si="78"/>
        <v>0</v>
      </c>
      <c r="AS177" s="295"/>
      <c r="AT177" s="295"/>
      <c r="AU177" s="298">
        <f>'Unit Savings Calculations'!Q173</f>
        <v>1757.3025600000001</v>
      </c>
      <c r="AV177" s="405" t="str">
        <f t="shared" si="79"/>
        <v>n/a</v>
      </c>
      <c r="AW177" s="300">
        <f t="shared" si="80"/>
        <v>0</v>
      </c>
      <c r="AX177" s="297">
        <f t="shared" si="81"/>
        <v>0</v>
      </c>
      <c r="AY177" s="300">
        <f t="shared" si="82"/>
        <v>0</v>
      </c>
      <c r="AZ177" s="300">
        <f t="shared" si="83"/>
        <v>0</v>
      </c>
      <c r="BA177" s="300">
        <f t="shared" si="84"/>
        <v>0</v>
      </c>
      <c r="BB177" s="300">
        <f t="shared" si="85"/>
        <v>0</v>
      </c>
      <c r="BC177" s="301">
        <f t="shared" si="86"/>
        <v>0</v>
      </c>
      <c r="BD177" s="295" t="s">
        <v>764</v>
      </c>
      <c r="BE177" s="302" t="str">
        <f t="shared" si="87"/>
        <v>Exhibit 1.5A_R North Shore EEPS_Adjustable_Savings_Goal_Template.xlsx, Unit Savings Calculations Tab</v>
      </c>
      <c r="BF177" s="304"/>
    </row>
    <row r="178" spans="1:58" ht="15.75" customHeight="1">
      <c r="A178" s="295" t="str">
        <f>'Unit Savings Calculations'!C174</f>
        <v>Bus - SB Rebates</v>
      </c>
      <c r="B178" s="295" t="str">
        <f>'Unit Savings Calculations'!D174</f>
        <v>Infrared Charbroiler</v>
      </c>
      <c r="C178" s="296">
        <f t="shared" si="88"/>
        <v>1</v>
      </c>
      <c r="D178" s="295" t="str">
        <f>'Unit Savings Calculations'!T174</f>
        <v>4.2.12</v>
      </c>
      <c r="E178" s="460">
        <f>INDEX('Unit Savings Calculations'!$H$4:$H$421,MATCH('Measure-Level Adjustments Tab'!$A178&amp;"_"&amp;'Measure-Level Adjustments Tab'!$B178,'Unit Savings Calculations'!$A$4:$A$421,0))</f>
        <v>12</v>
      </c>
      <c r="F178" s="460">
        <f>INDEX('Unit Savings Calculations'!$I$4:$I$421,MATCH('Measure-Level Adjustments Tab'!A178&amp;"_"&amp;'Measure-Level Adjustments Tab'!B178,'Unit Savings Calculations'!$A$4:$A$421,0))</f>
        <v>12</v>
      </c>
      <c r="G178" s="295" t="str">
        <f>'Unit Savings Calculations'!E174</f>
        <v>each</v>
      </c>
      <c r="H178" s="297">
        <f>'Unit Savings Calculations'!$F174*'Unit Savings Calculations'!J174</f>
        <v>0</v>
      </c>
      <c r="I178" s="297">
        <f>'Unit Savings Calculations'!$F174*'Unit Savings Calculations'!K174</f>
        <v>0</v>
      </c>
      <c r="J178" s="297">
        <f>'Unit Savings Calculations'!$F174*'Unit Savings Calculations'!L174</f>
        <v>0</v>
      </c>
      <c r="K178" s="297">
        <f>'Unit Savings Calculations'!$F174*'Unit Savings Calculations'!M174</f>
        <v>0</v>
      </c>
      <c r="L178" s="295" t="str">
        <f>'Unit Savings Calculations'!U174</f>
        <v>CI-FSE-IRCB-V02-180101</v>
      </c>
      <c r="M178" s="405" t="str">
        <f>'Unit Savings Calculations'!R174</f>
        <v>Exhibit 1.5A_R North Shore EEPS_Adjustable_Savings_Goal_Template.xlsx, Unit Savings Calculations Tab</v>
      </c>
      <c r="N178" s="298">
        <v>706.68</v>
      </c>
      <c r="O178" s="298">
        <v>706.68</v>
      </c>
      <c r="P178" s="298">
        <v>706.68</v>
      </c>
      <c r="Q178" s="298">
        <v>706.68</v>
      </c>
      <c r="R178" s="299">
        <f>'Unit Savings Calculations'!$G174</f>
        <v>0.92</v>
      </c>
      <c r="S178" s="299">
        <f>'Unit Savings Calculations'!$G174</f>
        <v>0.92</v>
      </c>
      <c r="T178" s="299">
        <f>'Unit Savings Calculations'!$G174</f>
        <v>0.92</v>
      </c>
      <c r="U178" s="299">
        <f>'Unit Savings Calculations'!$G174</f>
        <v>0.92</v>
      </c>
      <c r="V178" s="300">
        <f t="shared" si="104"/>
        <v>0</v>
      </c>
      <c r="W178" s="300">
        <f t="shared" si="105"/>
        <v>0</v>
      </c>
      <c r="X178" s="300">
        <f t="shared" si="106"/>
        <v>0</v>
      </c>
      <c r="Y178" s="300">
        <f t="shared" si="107"/>
        <v>0</v>
      </c>
      <c r="Z178" s="300">
        <f t="shared" si="108"/>
        <v>0</v>
      </c>
      <c r="AA178" s="295"/>
      <c r="AB178" s="295"/>
      <c r="AC178" s="298">
        <f>'Unit Savings Calculations'!N174</f>
        <v>706.68</v>
      </c>
      <c r="AD178" s="295"/>
      <c r="AE178" s="300">
        <f t="shared" si="72"/>
        <v>0</v>
      </c>
      <c r="AF178" s="297">
        <f t="shared" si="73"/>
        <v>0</v>
      </c>
      <c r="AG178" s="295"/>
      <c r="AH178" s="295">
        <f t="shared" si="74"/>
        <v>0</v>
      </c>
      <c r="AI178" s="298">
        <f>'Unit Savings Calculations'!O174</f>
        <v>706.68</v>
      </c>
      <c r="AJ178" s="405" t="s">
        <v>879</v>
      </c>
      <c r="AK178" s="300">
        <f t="shared" si="75"/>
        <v>0</v>
      </c>
      <c r="AL178" s="297">
        <f t="shared" si="76"/>
        <v>0</v>
      </c>
      <c r="AM178" s="295"/>
      <c r="AN178" s="295"/>
      <c r="AO178" s="298">
        <f>'Unit Savings Calculations'!P174</f>
        <v>706.68</v>
      </c>
      <c r="AP178" s="405" t="s">
        <v>764</v>
      </c>
      <c r="AQ178" s="300">
        <f t="shared" si="77"/>
        <v>0</v>
      </c>
      <c r="AR178" s="297">
        <f t="shared" si="78"/>
        <v>0</v>
      </c>
      <c r="AS178" s="295"/>
      <c r="AT178" s="295"/>
      <c r="AU178" s="298">
        <f>'Unit Savings Calculations'!Q174</f>
        <v>706.68</v>
      </c>
      <c r="AV178" s="405" t="str">
        <f t="shared" si="79"/>
        <v>n/a</v>
      </c>
      <c r="AW178" s="300">
        <f t="shared" si="80"/>
        <v>0</v>
      </c>
      <c r="AX178" s="297">
        <f t="shared" si="81"/>
        <v>0</v>
      </c>
      <c r="AY178" s="300">
        <f t="shared" si="82"/>
        <v>0</v>
      </c>
      <c r="AZ178" s="300">
        <f t="shared" si="83"/>
        <v>0</v>
      </c>
      <c r="BA178" s="300">
        <f t="shared" si="84"/>
        <v>0</v>
      </c>
      <c r="BB178" s="300">
        <f t="shared" si="85"/>
        <v>0</v>
      </c>
      <c r="BC178" s="301">
        <f t="shared" si="86"/>
        <v>0</v>
      </c>
      <c r="BD178" s="295" t="s">
        <v>764</v>
      </c>
      <c r="BE178" s="302" t="str">
        <f t="shared" si="87"/>
        <v>Exhibit 1.5A_R North Shore EEPS_Adjustable_Savings_Goal_Template.xlsx, Unit Savings Calculations Tab</v>
      </c>
      <c r="BF178" s="304"/>
    </row>
    <row r="179" spans="1:58" ht="15.75" customHeight="1">
      <c r="A179" s="295" t="str">
        <f>'Unit Savings Calculations'!C175</f>
        <v>Bus - SB Rebates</v>
      </c>
      <c r="B179" s="295" t="str">
        <f>'Unit Savings Calculations'!D175</f>
        <v>Infrared Rotisserie Oven</v>
      </c>
      <c r="C179" s="296">
        <f t="shared" si="88"/>
        <v>1</v>
      </c>
      <c r="D179" s="295" t="str">
        <f>'Unit Savings Calculations'!T175</f>
        <v>4.2.13</v>
      </c>
      <c r="E179" s="460">
        <f>INDEX('Unit Savings Calculations'!$H$4:$H$421,MATCH('Measure-Level Adjustments Tab'!$A179&amp;"_"&amp;'Measure-Level Adjustments Tab'!$B179,'Unit Savings Calculations'!$A$4:$A$421,0))</f>
        <v>12</v>
      </c>
      <c r="F179" s="460">
        <f>INDEX('Unit Savings Calculations'!$I$4:$I$421,MATCH('Measure-Level Adjustments Tab'!A179&amp;"_"&amp;'Measure-Level Adjustments Tab'!B179,'Unit Savings Calculations'!$A$4:$A$421,0))</f>
        <v>12</v>
      </c>
      <c r="G179" s="295" t="str">
        <f>'Unit Savings Calculations'!E175</f>
        <v>each</v>
      </c>
      <c r="H179" s="297">
        <f>'Unit Savings Calculations'!$F175*'Unit Savings Calculations'!J175</f>
        <v>0</v>
      </c>
      <c r="I179" s="297">
        <f>'Unit Savings Calculations'!$F175*'Unit Savings Calculations'!K175</f>
        <v>0</v>
      </c>
      <c r="J179" s="297">
        <f>'Unit Savings Calculations'!$F175*'Unit Savings Calculations'!L175</f>
        <v>0</v>
      </c>
      <c r="K179" s="297">
        <f>'Unit Savings Calculations'!$F175*'Unit Savings Calculations'!M175</f>
        <v>0</v>
      </c>
      <c r="L179" s="295" t="str">
        <f>'Unit Savings Calculations'!U175</f>
        <v>CI-FSE-IROV-V02-180101</v>
      </c>
      <c r="M179" s="405" t="str">
        <f>'Unit Savings Calculations'!R175</f>
        <v>Exhibit 1.5A_R North Shore EEPS_Adjustable_Savings_Goal_Template.xlsx, Unit Savings Calculations Tab</v>
      </c>
      <c r="N179" s="298">
        <v>599.04</v>
      </c>
      <c r="O179" s="298">
        <v>599.04</v>
      </c>
      <c r="P179" s="298">
        <v>599.04</v>
      </c>
      <c r="Q179" s="298">
        <v>599.04</v>
      </c>
      <c r="R179" s="299">
        <f>'Unit Savings Calculations'!$G175</f>
        <v>0.92</v>
      </c>
      <c r="S179" s="299">
        <f>'Unit Savings Calculations'!$G175</f>
        <v>0.92</v>
      </c>
      <c r="T179" s="299">
        <f>'Unit Savings Calculations'!$G175</f>
        <v>0.92</v>
      </c>
      <c r="U179" s="299">
        <f>'Unit Savings Calculations'!$G175</f>
        <v>0.92</v>
      </c>
      <c r="V179" s="300">
        <f t="shared" si="104"/>
        <v>0</v>
      </c>
      <c r="W179" s="300">
        <f t="shared" si="105"/>
        <v>0</v>
      </c>
      <c r="X179" s="300">
        <f t="shared" si="106"/>
        <v>0</v>
      </c>
      <c r="Y179" s="300">
        <f t="shared" si="107"/>
        <v>0</v>
      </c>
      <c r="Z179" s="300">
        <f t="shared" si="108"/>
        <v>0</v>
      </c>
      <c r="AA179" s="295"/>
      <c r="AB179" s="295"/>
      <c r="AC179" s="298">
        <f>'Unit Savings Calculations'!N175</f>
        <v>599.04</v>
      </c>
      <c r="AD179" s="295"/>
      <c r="AE179" s="300">
        <f t="shared" si="72"/>
        <v>0</v>
      </c>
      <c r="AF179" s="297">
        <f t="shared" si="73"/>
        <v>0</v>
      </c>
      <c r="AG179" s="295"/>
      <c r="AH179" s="295">
        <f t="shared" si="74"/>
        <v>0</v>
      </c>
      <c r="AI179" s="298">
        <f>'Unit Savings Calculations'!O175</f>
        <v>599.04</v>
      </c>
      <c r="AJ179" s="405" t="s">
        <v>879</v>
      </c>
      <c r="AK179" s="300">
        <f t="shared" si="75"/>
        <v>0</v>
      </c>
      <c r="AL179" s="297">
        <f t="shared" si="76"/>
        <v>0</v>
      </c>
      <c r="AM179" s="295"/>
      <c r="AN179" s="295"/>
      <c r="AO179" s="298">
        <f>'Unit Savings Calculations'!P175</f>
        <v>599.04</v>
      </c>
      <c r="AP179" s="405" t="s">
        <v>764</v>
      </c>
      <c r="AQ179" s="300">
        <f t="shared" si="77"/>
        <v>0</v>
      </c>
      <c r="AR179" s="297">
        <f t="shared" si="78"/>
        <v>0</v>
      </c>
      <c r="AS179" s="295"/>
      <c r="AT179" s="295"/>
      <c r="AU179" s="298">
        <f>'Unit Savings Calculations'!Q175</f>
        <v>599.04</v>
      </c>
      <c r="AV179" s="405" t="str">
        <f t="shared" si="79"/>
        <v>n/a</v>
      </c>
      <c r="AW179" s="300">
        <f t="shared" si="80"/>
        <v>0</v>
      </c>
      <c r="AX179" s="297">
        <f t="shared" si="81"/>
        <v>0</v>
      </c>
      <c r="AY179" s="300">
        <f t="shared" si="82"/>
        <v>0</v>
      </c>
      <c r="AZ179" s="300">
        <f t="shared" si="83"/>
        <v>0</v>
      </c>
      <c r="BA179" s="300">
        <f t="shared" si="84"/>
        <v>0</v>
      </c>
      <c r="BB179" s="300">
        <f t="shared" si="85"/>
        <v>0</v>
      </c>
      <c r="BC179" s="301">
        <f t="shared" si="86"/>
        <v>0</v>
      </c>
      <c r="BD179" s="295" t="s">
        <v>764</v>
      </c>
      <c r="BE179" s="302" t="str">
        <f t="shared" si="87"/>
        <v>Exhibit 1.5A_R North Shore EEPS_Adjustable_Savings_Goal_Template.xlsx, Unit Savings Calculations Tab</v>
      </c>
      <c r="BF179" s="304"/>
    </row>
    <row r="180" spans="1:58" ht="15.75" customHeight="1">
      <c r="A180" s="295" t="str">
        <f>'Unit Savings Calculations'!C176</f>
        <v>Bus - SB Rebates</v>
      </c>
      <c r="B180" s="295" t="str">
        <f>'Unit Savings Calculations'!D176</f>
        <v>Infrared Salamander Broiler</v>
      </c>
      <c r="C180" s="296">
        <f t="shared" si="88"/>
        <v>1</v>
      </c>
      <c r="D180" s="295" t="str">
        <f>'Unit Savings Calculations'!T176</f>
        <v>4.2.14</v>
      </c>
      <c r="E180" s="460">
        <f>INDEX('Unit Savings Calculations'!$H$4:$H$421,MATCH('Measure-Level Adjustments Tab'!$A180&amp;"_"&amp;'Measure-Level Adjustments Tab'!$B180,'Unit Savings Calculations'!$A$4:$A$421,0))</f>
        <v>12</v>
      </c>
      <c r="F180" s="460">
        <f>INDEX('Unit Savings Calculations'!$I$4:$I$421,MATCH('Measure-Level Adjustments Tab'!A180&amp;"_"&amp;'Measure-Level Adjustments Tab'!B180,'Unit Savings Calculations'!$A$4:$A$421,0))</f>
        <v>12</v>
      </c>
      <c r="G180" s="295" t="str">
        <f>'Unit Savings Calculations'!E176</f>
        <v>each</v>
      </c>
      <c r="H180" s="297">
        <f>'Unit Savings Calculations'!$F176*'Unit Savings Calculations'!J176</f>
        <v>0</v>
      </c>
      <c r="I180" s="297">
        <f>'Unit Savings Calculations'!$F176*'Unit Savings Calculations'!K176</f>
        <v>0</v>
      </c>
      <c r="J180" s="297">
        <f>'Unit Savings Calculations'!$F176*'Unit Savings Calculations'!L176</f>
        <v>0</v>
      </c>
      <c r="K180" s="297">
        <f>'Unit Savings Calculations'!$F176*'Unit Savings Calculations'!M176</f>
        <v>0</v>
      </c>
      <c r="L180" s="295" t="str">
        <f>'Unit Savings Calculations'!U176</f>
        <v>CI-FSE-IRBL-V02-180101</v>
      </c>
      <c r="M180" s="405" t="str">
        <f>'Unit Savings Calculations'!R176</f>
        <v>Exhibit 1.5A_R North Shore EEPS_Adjustable_Savings_Goal_Template.xlsx, Unit Savings Calculations Tab</v>
      </c>
      <c r="N180" s="298">
        <v>240.24</v>
      </c>
      <c r="O180" s="298">
        <v>240.24</v>
      </c>
      <c r="P180" s="298">
        <v>240.24</v>
      </c>
      <c r="Q180" s="298">
        <v>240.24</v>
      </c>
      <c r="R180" s="299">
        <f>'Unit Savings Calculations'!$G176</f>
        <v>0.92</v>
      </c>
      <c r="S180" s="299">
        <f>'Unit Savings Calculations'!$G176</f>
        <v>0.92</v>
      </c>
      <c r="T180" s="299">
        <f>'Unit Savings Calculations'!$G176</f>
        <v>0.92</v>
      </c>
      <c r="U180" s="299">
        <f>'Unit Savings Calculations'!$G176</f>
        <v>0.92</v>
      </c>
      <c r="V180" s="300">
        <f t="shared" si="104"/>
        <v>0</v>
      </c>
      <c r="W180" s="300">
        <f t="shared" si="105"/>
        <v>0</v>
      </c>
      <c r="X180" s="300">
        <f t="shared" si="106"/>
        <v>0</v>
      </c>
      <c r="Y180" s="300">
        <f t="shared" si="107"/>
        <v>0</v>
      </c>
      <c r="Z180" s="300">
        <f t="shared" si="108"/>
        <v>0</v>
      </c>
      <c r="AA180" s="295"/>
      <c r="AB180" s="295"/>
      <c r="AC180" s="298">
        <f>'Unit Savings Calculations'!N176</f>
        <v>240.24</v>
      </c>
      <c r="AD180" s="295"/>
      <c r="AE180" s="300">
        <f t="shared" si="72"/>
        <v>0</v>
      </c>
      <c r="AF180" s="297">
        <f t="shared" si="73"/>
        <v>0</v>
      </c>
      <c r="AG180" s="295"/>
      <c r="AH180" s="295">
        <f t="shared" si="74"/>
        <v>0</v>
      </c>
      <c r="AI180" s="298">
        <f>'Unit Savings Calculations'!O176</f>
        <v>240.24</v>
      </c>
      <c r="AJ180" s="405" t="s">
        <v>879</v>
      </c>
      <c r="AK180" s="300">
        <f t="shared" si="75"/>
        <v>0</v>
      </c>
      <c r="AL180" s="297">
        <f t="shared" si="76"/>
        <v>0</v>
      </c>
      <c r="AM180" s="295"/>
      <c r="AN180" s="295"/>
      <c r="AO180" s="298">
        <f>'Unit Savings Calculations'!P176</f>
        <v>240.24</v>
      </c>
      <c r="AP180" s="405" t="s">
        <v>764</v>
      </c>
      <c r="AQ180" s="300">
        <f t="shared" si="77"/>
        <v>0</v>
      </c>
      <c r="AR180" s="297">
        <f t="shared" si="78"/>
        <v>0</v>
      </c>
      <c r="AS180" s="295"/>
      <c r="AT180" s="295"/>
      <c r="AU180" s="298">
        <f>'Unit Savings Calculations'!Q176</f>
        <v>240.24</v>
      </c>
      <c r="AV180" s="405" t="str">
        <f t="shared" si="79"/>
        <v>n/a</v>
      </c>
      <c r="AW180" s="300">
        <f t="shared" si="80"/>
        <v>0</v>
      </c>
      <c r="AX180" s="297">
        <f t="shared" si="81"/>
        <v>0</v>
      </c>
      <c r="AY180" s="300">
        <f t="shared" si="82"/>
        <v>0</v>
      </c>
      <c r="AZ180" s="300">
        <f t="shared" si="83"/>
        <v>0</v>
      </c>
      <c r="BA180" s="300">
        <f t="shared" si="84"/>
        <v>0</v>
      </c>
      <c r="BB180" s="300">
        <f t="shared" si="85"/>
        <v>0</v>
      </c>
      <c r="BC180" s="301">
        <f t="shared" si="86"/>
        <v>0</v>
      </c>
      <c r="BD180" s="295" t="s">
        <v>764</v>
      </c>
      <c r="BE180" s="302" t="str">
        <f t="shared" si="87"/>
        <v>Exhibit 1.5A_R North Shore EEPS_Adjustable_Savings_Goal_Template.xlsx, Unit Savings Calculations Tab</v>
      </c>
      <c r="BF180" s="304"/>
    </row>
    <row r="181" spans="1:58" ht="15.75" customHeight="1">
      <c r="A181" s="295" t="str">
        <f>'Unit Savings Calculations'!C177</f>
        <v>Bus - SB Rebates</v>
      </c>
      <c r="B181" s="295" t="str">
        <f>'Unit Savings Calculations'!D177</f>
        <v>Infrared Upright Broiler</v>
      </c>
      <c r="C181" s="296">
        <f t="shared" si="88"/>
        <v>1</v>
      </c>
      <c r="D181" s="295" t="str">
        <f>'Unit Savings Calculations'!T177</f>
        <v>4.2.15</v>
      </c>
      <c r="E181" s="460">
        <f>INDEX('Unit Savings Calculations'!$H$4:$H$421,MATCH('Measure-Level Adjustments Tab'!$A181&amp;"_"&amp;'Measure-Level Adjustments Tab'!$B181,'Unit Savings Calculations'!$A$4:$A$421,0))</f>
        <v>12</v>
      </c>
      <c r="F181" s="460">
        <f>INDEX('Unit Savings Calculations'!$I$4:$I$421,MATCH('Measure-Level Adjustments Tab'!A181&amp;"_"&amp;'Measure-Level Adjustments Tab'!B181,'Unit Savings Calculations'!$A$4:$A$421,0))</f>
        <v>12</v>
      </c>
      <c r="G181" s="295" t="str">
        <f>'Unit Savings Calculations'!E177</f>
        <v>each</v>
      </c>
      <c r="H181" s="297">
        <f>'Unit Savings Calculations'!$F177*'Unit Savings Calculations'!J177</f>
        <v>0</v>
      </c>
      <c r="I181" s="297">
        <f>'Unit Savings Calculations'!$F177*'Unit Savings Calculations'!K177</f>
        <v>0</v>
      </c>
      <c r="J181" s="297">
        <f>'Unit Savings Calculations'!$F177*'Unit Savings Calculations'!L177</f>
        <v>0</v>
      </c>
      <c r="K181" s="297">
        <f>'Unit Savings Calculations'!$F177*'Unit Savings Calculations'!M177</f>
        <v>0</v>
      </c>
      <c r="L181" s="295" t="str">
        <f>'Unit Savings Calculations'!U177</f>
        <v>CI-FSE-IRUB-V02-180101</v>
      </c>
      <c r="M181" s="405" t="str">
        <f>'Unit Savings Calculations'!R177</f>
        <v>Exhibit 1.5A_R North Shore EEPS_Adjustable_Savings_Goal_Template.xlsx, Unit Savings Calculations Tab</v>
      </c>
      <c r="N181" s="298">
        <v>943.48800000000006</v>
      </c>
      <c r="O181" s="298">
        <v>943.48800000000006</v>
      </c>
      <c r="P181" s="298">
        <v>943.48800000000006</v>
      </c>
      <c r="Q181" s="298">
        <v>943.48800000000006</v>
      </c>
      <c r="R181" s="299">
        <f>'Unit Savings Calculations'!$G177</f>
        <v>0.92</v>
      </c>
      <c r="S181" s="299">
        <f>'Unit Savings Calculations'!$G177</f>
        <v>0.92</v>
      </c>
      <c r="T181" s="299">
        <f>'Unit Savings Calculations'!$G177</f>
        <v>0.92</v>
      </c>
      <c r="U181" s="299">
        <f>'Unit Savings Calculations'!$G177</f>
        <v>0.92</v>
      </c>
      <c r="V181" s="300">
        <f t="shared" si="104"/>
        <v>0</v>
      </c>
      <c r="W181" s="300">
        <f t="shared" si="105"/>
        <v>0</v>
      </c>
      <c r="X181" s="300">
        <f t="shared" si="106"/>
        <v>0</v>
      </c>
      <c r="Y181" s="300">
        <f t="shared" si="107"/>
        <v>0</v>
      </c>
      <c r="Z181" s="300">
        <f t="shared" si="108"/>
        <v>0</v>
      </c>
      <c r="AA181" s="295"/>
      <c r="AB181" s="295"/>
      <c r="AC181" s="298">
        <f>'Unit Savings Calculations'!N177</f>
        <v>943.48800000000006</v>
      </c>
      <c r="AD181" s="295"/>
      <c r="AE181" s="300">
        <f t="shared" si="72"/>
        <v>0</v>
      </c>
      <c r="AF181" s="297">
        <f t="shared" si="73"/>
        <v>0</v>
      </c>
      <c r="AG181" s="295"/>
      <c r="AH181" s="295">
        <f t="shared" si="74"/>
        <v>0</v>
      </c>
      <c r="AI181" s="298">
        <f>'Unit Savings Calculations'!O177</f>
        <v>943.48800000000006</v>
      </c>
      <c r="AJ181" s="405" t="s">
        <v>879</v>
      </c>
      <c r="AK181" s="300">
        <f t="shared" si="75"/>
        <v>0</v>
      </c>
      <c r="AL181" s="297">
        <f t="shared" si="76"/>
        <v>0</v>
      </c>
      <c r="AM181" s="295"/>
      <c r="AN181" s="295"/>
      <c r="AO181" s="298">
        <f>'Unit Savings Calculations'!P177</f>
        <v>943.48800000000006</v>
      </c>
      <c r="AP181" s="405" t="s">
        <v>764</v>
      </c>
      <c r="AQ181" s="300">
        <f t="shared" si="77"/>
        <v>0</v>
      </c>
      <c r="AR181" s="297">
        <f t="shared" si="78"/>
        <v>0</v>
      </c>
      <c r="AS181" s="295"/>
      <c r="AT181" s="295"/>
      <c r="AU181" s="298">
        <f>'Unit Savings Calculations'!Q177</f>
        <v>943.48800000000006</v>
      </c>
      <c r="AV181" s="405" t="str">
        <f t="shared" si="79"/>
        <v>n/a</v>
      </c>
      <c r="AW181" s="300">
        <f t="shared" si="80"/>
        <v>0</v>
      </c>
      <c r="AX181" s="297">
        <f t="shared" si="81"/>
        <v>0</v>
      </c>
      <c r="AY181" s="300">
        <f t="shared" si="82"/>
        <v>0</v>
      </c>
      <c r="AZ181" s="300">
        <f t="shared" si="83"/>
        <v>0</v>
      </c>
      <c r="BA181" s="300">
        <f t="shared" si="84"/>
        <v>0</v>
      </c>
      <c r="BB181" s="300">
        <f t="shared" si="85"/>
        <v>0</v>
      </c>
      <c r="BC181" s="301">
        <f t="shared" si="86"/>
        <v>0</v>
      </c>
      <c r="BD181" s="295" t="s">
        <v>764</v>
      </c>
      <c r="BE181" s="302" t="str">
        <f t="shared" si="87"/>
        <v>Exhibit 1.5A_R North Shore EEPS_Adjustable_Savings_Goal_Template.xlsx, Unit Savings Calculations Tab</v>
      </c>
      <c r="BF181" s="304"/>
    </row>
    <row r="182" spans="1:58" ht="15.75" customHeight="1">
      <c r="A182" s="295" t="str">
        <f>'Unit Savings Calculations'!C178</f>
        <v>Bus - SB Rebates</v>
      </c>
      <c r="B182" s="295" t="str">
        <f>'Unit Savings Calculations'!D178</f>
        <v>High Speed Washer - Hotel/Motel/Hospital</v>
      </c>
      <c r="C182" s="296">
        <f t="shared" si="88"/>
        <v>1</v>
      </c>
      <c r="D182" s="295" t="str">
        <f>'Unit Savings Calculations'!T178</f>
        <v>4.8.5</v>
      </c>
      <c r="E182" s="460">
        <f>INDEX('Unit Savings Calculations'!$H$4:$H$421,MATCH('Measure-Level Adjustments Tab'!$A182&amp;"_"&amp;'Measure-Level Adjustments Tab'!$B182,'Unit Savings Calculations'!$A$4:$A$421,0))</f>
        <v>7</v>
      </c>
      <c r="F182" s="460">
        <f>INDEX('Unit Savings Calculations'!$I$4:$I$421,MATCH('Measure-Level Adjustments Tab'!A182&amp;"_"&amp;'Measure-Level Adjustments Tab'!B182,'Unit Savings Calculations'!$A$4:$A$421,0))</f>
        <v>7</v>
      </c>
      <c r="G182" s="295" t="str">
        <f>'Unit Savings Calculations'!E178</f>
        <v>lb-capacity</v>
      </c>
      <c r="H182" s="297">
        <f>'Unit Savings Calculations'!$F178*'Unit Savings Calculations'!J178</f>
        <v>500</v>
      </c>
      <c r="I182" s="297">
        <f>'Unit Savings Calculations'!$F178*'Unit Savings Calculations'!K178</f>
        <v>500</v>
      </c>
      <c r="J182" s="297">
        <f>'Unit Savings Calculations'!$F178*'Unit Savings Calculations'!L178</f>
        <v>500</v>
      </c>
      <c r="K182" s="297">
        <f>'Unit Savings Calculations'!$F178*'Unit Savings Calculations'!M178</f>
        <v>500</v>
      </c>
      <c r="L182" s="295" t="str">
        <f>'Unit Savings Calculations'!U178</f>
        <v>CI-MSC-HSCW-V01-180101</v>
      </c>
      <c r="M182" s="405" t="str">
        <f>'Unit Savings Calculations'!R178</f>
        <v>Exhibit 1.5A_R North Shore EEPS_Adjustable_Savings_Goal_Template.xlsx, Unit Savings Calculations Tab</v>
      </c>
      <c r="N182" s="298">
        <v>11.243232000000003</v>
      </c>
      <c r="O182" s="298">
        <v>11.243232000000003</v>
      </c>
      <c r="P182" s="298">
        <v>11.243232000000003</v>
      </c>
      <c r="Q182" s="298">
        <v>11.243232000000003</v>
      </c>
      <c r="R182" s="299">
        <f>'Unit Savings Calculations'!$G178</f>
        <v>0.92</v>
      </c>
      <c r="S182" s="299">
        <f>'Unit Savings Calculations'!$G178</f>
        <v>0.92</v>
      </c>
      <c r="T182" s="299">
        <f>'Unit Savings Calculations'!$G178</f>
        <v>0.92</v>
      </c>
      <c r="U182" s="299">
        <f>'Unit Savings Calculations'!$G178</f>
        <v>0.92</v>
      </c>
      <c r="V182" s="300">
        <f t="shared" si="104"/>
        <v>5171.8867200000013</v>
      </c>
      <c r="W182" s="300">
        <f t="shared" si="105"/>
        <v>5171.8867200000013</v>
      </c>
      <c r="X182" s="300">
        <f t="shared" si="106"/>
        <v>5171.8867200000013</v>
      </c>
      <c r="Y182" s="300">
        <f t="shared" si="107"/>
        <v>5171.8867200000013</v>
      </c>
      <c r="Z182" s="300">
        <f t="shared" si="108"/>
        <v>20687.546880000005</v>
      </c>
      <c r="AA182" s="295"/>
      <c r="AB182" s="295"/>
      <c r="AC182" s="298">
        <f>'Unit Savings Calculations'!N178</f>
        <v>11.243232000000003</v>
      </c>
      <c r="AD182" s="295"/>
      <c r="AE182" s="300">
        <f t="shared" si="72"/>
        <v>5171.8867200000013</v>
      </c>
      <c r="AF182" s="297">
        <f t="shared" si="73"/>
        <v>0</v>
      </c>
      <c r="AG182" s="295"/>
      <c r="AH182" s="295">
        <f t="shared" si="74"/>
        <v>0</v>
      </c>
      <c r="AI182" s="298">
        <f>'Unit Savings Calculations'!O178</f>
        <v>11.243232000000003</v>
      </c>
      <c r="AJ182" s="405" t="s">
        <v>879</v>
      </c>
      <c r="AK182" s="300">
        <f t="shared" si="75"/>
        <v>5171.8867200000013</v>
      </c>
      <c r="AL182" s="297">
        <f t="shared" si="76"/>
        <v>0</v>
      </c>
      <c r="AM182" s="295"/>
      <c r="AN182" s="295"/>
      <c r="AO182" s="298">
        <f>'Unit Savings Calculations'!P178</f>
        <v>11.243232000000003</v>
      </c>
      <c r="AP182" s="405" t="s">
        <v>764</v>
      </c>
      <c r="AQ182" s="300">
        <f t="shared" si="77"/>
        <v>5171.8867200000013</v>
      </c>
      <c r="AR182" s="297">
        <f t="shared" si="78"/>
        <v>0</v>
      </c>
      <c r="AS182" s="295"/>
      <c r="AT182" s="295"/>
      <c r="AU182" s="298">
        <f>'Unit Savings Calculations'!Q178</f>
        <v>11.243232000000003</v>
      </c>
      <c r="AV182" s="405" t="str">
        <f t="shared" si="79"/>
        <v>n/a</v>
      </c>
      <c r="AW182" s="300">
        <f t="shared" si="80"/>
        <v>5171.8867200000013</v>
      </c>
      <c r="AX182" s="297">
        <f t="shared" si="81"/>
        <v>0</v>
      </c>
      <c r="AY182" s="300">
        <f t="shared" si="82"/>
        <v>5171.8867200000013</v>
      </c>
      <c r="AZ182" s="300">
        <f t="shared" si="83"/>
        <v>5171.8867200000013</v>
      </c>
      <c r="BA182" s="300">
        <f t="shared" si="84"/>
        <v>5171.8867200000013</v>
      </c>
      <c r="BB182" s="300">
        <f t="shared" si="85"/>
        <v>5171.8867200000013</v>
      </c>
      <c r="BC182" s="301">
        <f t="shared" si="86"/>
        <v>20687.546880000005</v>
      </c>
      <c r="BD182" s="295" t="s">
        <v>764</v>
      </c>
      <c r="BE182" s="302" t="str">
        <f t="shared" si="87"/>
        <v>Exhibit 1.5A_R North Shore EEPS_Adjustable_Savings_Goal_Template.xlsx, Unit Savings Calculations Tab</v>
      </c>
      <c r="BF182" s="304"/>
    </row>
    <row r="183" spans="1:58" ht="15.75" customHeight="1">
      <c r="A183" s="295" t="str">
        <f>'Unit Savings Calculations'!C179</f>
        <v>Bus - SB Rebates</v>
      </c>
      <c r="B183" s="295" t="str">
        <f>'Unit Savings Calculations'!D179</f>
        <v>High Speed Washer - Laundromat</v>
      </c>
      <c r="C183" s="296">
        <f t="shared" si="88"/>
        <v>1</v>
      </c>
      <c r="D183" s="295" t="str">
        <f>'Unit Savings Calculations'!T179</f>
        <v>4.8.5</v>
      </c>
      <c r="E183" s="460">
        <f>INDEX('Unit Savings Calculations'!$H$4:$H$421,MATCH('Measure-Level Adjustments Tab'!$A183&amp;"_"&amp;'Measure-Level Adjustments Tab'!$B183,'Unit Savings Calculations'!$A$4:$A$421,0))</f>
        <v>7</v>
      </c>
      <c r="F183" s="460">
        <f>INDEX('Unit Savings Calculations'!$I$4:$I$421,MATCH('Measure-Level Adjustments Tab'!A183&amp;"_"&amp;'Measure-Level Adjustments Tab'!B183,'Unit Savings Calculations'!$A$4:$A$421,0))</f>
        <v>7</v>
      </c>
      <c r="G183" s="295" t="str">
        <f>'Unit Savings Calculations'!E179</f>
        <v>lb-capacity</v>
      </c>
      <c r="H183" s="297">
        <f>'Unit Savings Calculations'!$F179*'Unit Savings Calculations'!J179</f>
        <v>500</v>
      </c>
      <c r="I183" s="297">
        <f>'Unit Savings Calculations'!$F179*'Unit Savings Calculations'!K179</f>
        <v>500</v>
      </c>
      <c r="J183" s="297">
        <f>'Unit Savings Calculations'!$F179*'Unit Savings Calculations'!L179</f>
        <v>500</v>
      </c>
      <c r="K183" s="297">
        <f>'Unit Savings Calculations'!$F179*'Unit Savings Calculations'!M179</f>
        <v>500</v>
      </c>
      <c r="L183" s="295" t="str">
        <f>'Unit Savings Calculations'!U179</f>
        <v>CI-MSC-HSCW-V01-180101</v>
      </c>
      <c r="M183" s="405" t="str">
        <f>'Unit Savings Calculations'!R179</f>
        <v>Exhibit 1.5A_R North Shore EEPS_Adjustable_Savings_Goal_Template.xlsx, Unit Savings Calculations Tab</v>
      </c>
      <c r="N183" s="298">
        <v>4.648644</v>
      </c>
      <c r="O183" s="298">
        <v>4.648644</v>
      </c>
      <c r="P183" s="298">
        <v>4.648644</v>
      </c>
      <c r="Q183" s="298">
        <v>4.648644</v>
      </c>
      <c r="R183" s="299">
        <f>'Unit Savings Calculations'!$G179</f>
        <v>0.92</v>
      </c>
      <c r="S183" s="299">
        <f>'Unit Savings Calculations'!$G179</f>
        <v>0.92</v>
      </c>
      <c r="T183" s="299">
        <f>'Unit Savings Calculations'!$G179</f>
        <v>0.92</v>
      </c>
      <c r="U183" s="299">
        <f>'Unit Savings Calculations'!$G179</f>
        <v>0.92</v>
      </c>
      <c r="V183" s="300">
        <f t="shared" si="104"/>
        <v>2138.3762400000001</v>
      </c>
      <c r="W183" s="300">
        <f t="shared" si="105"/>
        <v>2138.3762400000001</v>
      </c>
      <c r="X183" s="300">
        <f t="shared" si="106"/>
        <v>2138.3762400000001</v>
      </c>
      <c r="Y183" s="300">
        <f t="shared" si="107"/>
        <v>2138.3762400000001</v>
      </c>
      <c r="Z183" s="300">
        <f t="shared" si="108"/>
        <v>8553.5049600000002</v>
      </c>
      <c r="AA183" s="295"/>
      <c r="AB183" s="295"/>
      <c r="AC183" s="298">
        <f>'Unit Savings Calculations'!N179</f>
        <v>4.648644</v>
      </c>
      <c r="AD183" s="295"/>
      <c r="AE183" s="300">
        <f t="shared" si="72"/>
        <v>2138.3762400000001</v>
      </c>
      <c r="AF183" s="297">
        <f t="shared" si="73"/>
        <v>0</v>
      </c>
      <c r="AG183" s="295"/>
      <c r="AH183" s="295">
        <f t="shared" si="74"/>
        <v>0</v>
      </c>
      <c r="AI183" s="298">
        <f>'Unit Savings Calculations'!O179</f>
        <v>4.648644</v>
      </c>
      <c r="AJ183" s="405" t="s">
        <v>879</v>
      </c>
      <c r="AK183" s="300">
        <f t="shared" si="75"/>
        <v>2138.3762400000001</v>
      </c>
      <c r="AL183" s="297">
        <f t="shared" si="76"/>
        <v>0</v>
      </c>
      <c r="AM183" s="295"/>
      <c r="AN183" s="295"/>
      <c r="AO183" s="298">
        <f>'Unit Savings Calculations'!P179</f>
        <v>4.648644</v>
      </c>
      <c r="AP183" s="405" t="s">
        <v>764</v>
      </c>
      <c r="AQ183" s="300">
        <f t="shared" si="77"/>
        <v>2138.3762400000001</v>
      </c>
      <c r="AR183" s="297">
        <f t="shared" si="78"/>
        <v>0</v>
      </c>
      <c r="AS183" s="295"/>
      <c r="AT183" s="295"/>
      <c r="AU183" s="298">
        <f>'Unit Savings Calculations'!Q179</f>
        <v>4.648644</v>
      </c>
      <c r="AV183" s="405" t="str">
        <f t="shared" si="79"/>
        <v>n/a</v>
      </c>
      <c r="AW183" s="300">
        <f t="shared" si="80"/>
        <v>2138.3762400000001</v>
      </c>
      <c r="AX183" s="297">
        <f t="shared" si="81"/>
        <v>0</v>
      </c>
      <c r="AY183" s="300">
        <f t="shared" si="82"/>
        <v>2138.3762400000001</v>
      </c>
      <c r="AZ183" s="300">
        <f t="shared" si="83"/>
        <v>2138.3762400000001</v>
      </c>
      <c r="BA183" s="300">
        <f t="shared" si="84"/>
        <v>2138.3762400000001</v>
      </c>
      <c r="BB183" s="300">
        <f t="shared" si="85"/>
        <v>2138.3762400000001</v>
      </c>
      <c r="BC183" s="301">
        <f t="shared" si="86"/>
        <v>8553.5049600000002</v>
      </c>
      <c r="BD183" s="295" t="s">
        <v>764</v>
      </c>
      <c r="BE183" s="302" t="str">
        <f t="shared" si="87"/>
        <v>Exhibit 1.5A_R North Shore EEPS_Adjustable_Savings_Goal_Template.xlsx, Unit Savings Calculations Tab</v>
      </c>
      <c r="BF183" s="304"/>
    </row>
    <row r="184" spans="1:58" ht="15.75" customHeight="1">
      <c r="A184" s="295" t="str">
        <f>'Unit Savings Calculations'!C180</f>
        <v>Bus - SB Rebates</v>
      </c>
      <c r="B184" s="295" t="str">
        <f>'Unit Savings Calculations'!D180</f>
        <v>Infrared Heater</v>
      </c>
      <c r="C184" s="296">
        <f t="shared" si="88"/>
        <v>1</v>
      </c>
      <c r="D184" s="295" t="str">
        <f>'Unit Savings Calculations'!T180</f>
        <v>4.4.12</v>
      </c>
      <c r="E184" s="460">
        <f>INDEX('Unit Savings Calculations'!$H$4:$H$421,MATCH('Measure-Level Adjustments Tab'!$A184&amp;"_"&amp;'Measure-Level Adjustments Tab'!$B184,'Unit Savings Calculations'!$A$4:$A$421,0))</f>
        <v>12</v>
      </c>
      <c r="F184" s="460">
        <f>INDEX('Unit Savings Calculations'!$I$4:$I$421,MATCH('Measure-Level Adjustments Tab'!A184&amp;"_"&amp;'Measure-Level Adjustments Tab'!B184,'Unit Savings Calculations'!$A$4:$A$421,0))</f>
        <v>12</v>
      </c>
      <c r="G184" s="295" t="str">
        <f>'Unit Savings Calculations'!E180</f>
        <v>MBH</v>
      </c>
      <c r="H184" s="297">
        <f>'Unit Savings Calculations'!$F180*'Unit Savings Calculations'!J180</f>
        <v>0</v>
      </c>
      <c r="I184" s="297">
        <f>'Unit Savings Calculations'!$F180*'Unit Savings Calculations'!K180</f>
        <v>0</v>
      </c>
      <c r="J184" s="297">
        <f>'Unit Savings Calculations'!$F180*'Unit Savings Calculations'!L180</f>
        <v>0</v>
      </c>
      <c r="K184" s="297">
        <f>'Unit Savings Calculations'!$F180*'Unit Savings Calculations'!M180</f>
        <v>0</v>
      </c>
      <c r="L184" s="295" t="str">
        <f>'Unit Savings Calculations'!U180</f>
        <v>CI-HVC-IRHT-V01-120601</v>
      </c>
      <c r="M184" s="405" t="str">
        <f>'Unit Savings Calculations'!R180</f>
        <v>Exhibit 1.5A_R North Shore EEPS_Adjustable_Savings_Goal_Template.xlsx, Unit Savings Calculations Tab</v>
      </c>
      <c r="N184" s="298">
        <v>3.0066666666666668</v>
      </c>
      <c r="O184" s="298">
        <v>3.0066666666666668</v>
      </c>
      <c r="P184" s="298">
        <v>3.0066666666666668</v>
      </c>
      <c r="Q184" s="298">
        <v>3.0066666666666668</v>
      </c>
      <c r="R184" s="299">
        <f>'Unit Savings Calculations'!$G180</f>
        <v>0.92</v>
      </c>
      <c r="S184" s="299">
        <f>'Unit Savings Calculations'!$G180</f>
        <v>0.92</v>
      </c>
      <c r="T184" s="299">
        <f>'Unit Savings Calculations'!$G180</f>
        <v>0.92</v>
      </c>
      <c r="U184" s="299">
        <f>'Unit Savings Calculations'!$G180</f>
        <v>0.92</v>
      </c>
      <c r="V184" s="300">
        <f t="shared" si="104"/>
        <v>0</v>
      </c>
      <c r="W184" s="300">
        <f t="shared" si="105"/>
        <v>0</v>
      </c>
      <c r="X184" s="300">
        <f t="shared" si="106"/>
        <v>0</v>
      </c>
      <c r="Y184" s="300">
        <f t="shared" si="107"/>
        <v>0</v>
      </c>
      <c r="Z184" s="300">
        <f t="shared" si="108"/>
        <v>0</v>
      </c>
      <c r="AA184" s="295"/>
      <c r="AB184" s="295"/>
      <c r="AC184" s="298">
        <f>'Unit Savings Calculations'!N180</f>
        <v>3.0066666666666668</v>
      </c>
      <c r="AD184" s="295"/>
      <c r="AE184" s="300">
        <f t="shared" si="72"/>
        <v>0</v>
      </c>
      <c r="AF184" s="297">
        <f t="shared" si="73"/>
        <v>0</v>
      </c>
      <c r="AG184" s="295"/>
      <c r="AH184" s="295">
        <f t="shared" si="74"/>
        <v>0</v>
      </c>
      <c r="AI184" s="298">
        <f>'Unit Savings Calculations'!O180</f>
        <v>3.0066666666666668</v>
      </c>
      <c r="AJ184" s="405" t="s">
        <v>879</v>
      </c>
      <c r="AK184" s="300">
        <f t="shared" si="75"/>
        <v>0</v>
      </c>
      <c r="AL184" s="297">
        <f t="shared" si="76"/>
        <v>0</v>
      </c>
      <c r="AM184" s="295"/>
      <c r="AN184" s="295"/>
      <c r="AO184" s="298">
        <f>'Unit Savings Calculations'!P180</f>
        <v>3.0066666666666668</v>
      </c>
      <c r="AP184" s="405" t="s">
        <v>764</v>
      </c>
      <c r="AQ184" s="300">
        <f t="shared" si="77"/>
        <v>0</v>
      </c>
      <c r="AR184" s="297">
        <f t="shared" si="78"/>
        <v>0</v>
      </c>
      <c r="AS184" s="295"/>
      <c r="AT184" s="295"/>
      <c r="AU184" s="298">
        <f>'Unit Savings Calculations'!Q180</f>
        <v>3.0066666666666668</v>
      </c>
      <c r="AV184" s="405" t="str">
        <f t="shared" si="79"/>
        <v>n/a</v>
      </c>
      <c r="AW184" s="300">
        <f t="shared" si="80"/>
        <v>0</v>
      </c>
      <c r="AX184" s="297">
        <f t="shared" si="81"/>
        <v>0</v>
      </c>
      <c r="AY184" s="300">
        <f t="shared" si="82"/>
        <v>0</v>
      </c>
      <c r="AZ184" s="300">
        <f t="shared" si="83"/>
        <v>0</v>
      </c>
      <c r="BA184" s="300">
        <f t="shared" si="84"/>
        <v>0</v>
      </c>
      <c r="BB184" s="300">
        <f t="shared" si="85"/>
        <v>0</v>
      </c>
      <c r="BC184" s="301">
        <f t="shared" si="86"/>
        <v>0</v>
      </c>
      <c r="BD184" s="295" t="s">
        <v>764</v>
      </c>
      <c r="BE184" s="302" t="str">
        <f t="shared" si="87"/>
        <v>Exhibit 1.5A_R North Shore EEPS_Adjustable_Savings_Goal_Template.xlsx, Unit Savings Calculations Tab</v>
      </c>
      <c r="BF184" s="304"/>
    </row>
    <row r="185" spans="1:58" ht="15.75" customHeight="1">
      <c r="A185" s="295" t="str">
        <f>'Unit Savings Calculations'!C181</f>
        <v>Bus - SB Rebates</v>
      </c>
      <c r="B185" s="295" t="str">
        <f>'Unit Savings Calculations'!D181</f>
        <v>Modulating Commercial Gas Clothes Dryer</v>
      </c>
      <c r="C185" s="296">
        <f t="shared" si="88"/>
        <v>1</v>
      </c>
      <c r="D185" s="295" t="str">
        <f>'Unit Savings Calculations'!T181</f>
        <v>4.8.4</v>
      </c>
      <c r="E185" s="460">
        <f>INDEX('Unit Savings Calculations'!$H$4:$H$421,MATCH('Measure-Level Adjustments Tab'!$A185&amp;"_"&amp;'Measure-Level Adjustments Tab'!$B185,'Unit Savings Calculations'!$A$4:$A$421,0))</f>
        <v>14</v>
      </c>
      <c r="F185" s="460">
        <f>INDEX('Unit Savings Calculations'!$I$4:$I$421,MATCH('Measure-Level Adjustments Tab'!A185&amp;"_"&amp;'Measure-Level Adjustments Tab'!B185,'Unit Savings Calculations'!$A$4:$A$421,0))</f>
        <v>14</v>
      </c>
      <c r="G185" s="295" t="str">
        <f>'Unit Savings Calculations'!E181</f>
        <v>each</v>
      </c>
      <c r="H185" s="297">
        <f>'Unit Savings Calculations'!$F181*'Unit Savings Calculations'!J181</f>
        <v>0</v>
      </c>
      <c r="I185" s="297">
        <f>'Unit Savings Calculations'!$F181*'Unit Savings Calculations'!K181</f>
        <v>0</v>
      </c>
      <c r="J185" s="297">
        <f>'Unit Savings Calculations'!$F181*'Unit Savings Calculations'!L181</f>
        <v>0</v>
      </c>
      <c r="K185" s="297">
        <f>'Unit Savings Calculations'!$F181*'Unit Savings Calculations'!M181</f>
        <v>0</v>
      </c>
      <c r="L185" s="295" t="str">
        <f>'Unit Savings Calculations'!U181</f>
        <v>CI-MSC-MODD-V01-160601</v>
      </c>
      <c r="M185" s="405" t="str">
        <f>'Unit Savings Calculations'!R181</f>
        <v>Exhibit 1.5A_R North Shore EEPS_Adjustable_Savings_Goal_Template.xlsx, Unit Savings Calculations Tab</v>
      </c>
      <c r="N185" s="298">
        <v>266.94</v>
      </c>
      <c r="O185" s="298">
        <v>266.94</v>
      </c>
      <c r="P185" s="298">
        <v>266.94</v>
      </c>
      <c r="Q185" s="298">
        <v>266.94</v>
      </c>
      <c r="R185" s="299">
        <f>'Unit Savings Calculations'!$G181</f>
        <v>0.92</v>
      </c>
      <c r="S185" s="299">
        <f>'Unit Savings Calculations'!$G181</f>
        <v>0.92</v>
      </c>
      <c r="T185" s="299">
        <f>'Unit Savings Calculations'!$G181</f>
        <v>0.92</v>
      </c>
      <c r="U185" s="299">
        <f>'Unit Savings Calculations'!$G181</f>
        <v>0.92</v>
      </c>
      <c r="V185" s="300">
        <f t="shared" si="104"/>
        <v>0</v>
      </c>
      <c r="W185" s="300">
        <f t="shared" si="105"/>
        <v>0</v>
      </c>
      <c r="X185" s="300">
        <f t="shared" si="106"/>
        <v>0</v>
      </c>
      <c r="Y185" s="300">
        <f t="shared" si="107"/>
        <v>0</v>
      </c>
      <c r="Z185" s="300">
        <f t="shared" si="108"/>
        <v>0</v>
      </c>
      <c r="AA185" s="295"/>
      <c r="AB185" s="295"/>
      <c r="AC185" s="298">
        <f>'Unit Savings Calculations'!N181</f>
        <v>266.94</v>
      </c>
      <c r="AD185" s="295"/>
      <c r="AE185" s="300">
        <f t="shared" si="72"/>
        <v>0</v>
      </c>
      <c r="AF185" s="297">
        <f t="shared" si="73"/>
        <v>0</v>
      </c>
      <c r="AG185" s="295"/>
      <c r="AH185" s="295">
        <f t="shared" si="74"/>
        <v>0</v>
      </c>
      <c r="AI185" s="298">
        <f>'Unit Savings Calculations'!O181</f>
        <v>266.94</v>
      </c>
      <c r="AJ185" s="405" t="s">
        <v>879</v>
      </c>
      <c r="AK185" s="300">
        <f t="shared" si="75"/>
        <v>0</v>
      </c>
      <c r="AL185" s="297">
        <f t="shared" si="76"/>
        <v>0</v>
      </c>
      <c r="AM185" s="295"/>
      <c r="AN185" s="295"/>
      <c r="AO185" s="298">
        <f>'Unit Savings Calculations'!P181</f>
        <v>266.94</v>
      </c>
      <c r="AP185" s="405" t="s">
        <v>764</v>
      </c>
      <c r="AQ185" s="300">
        <f t="shared" si="77"/>
        <v>0</v>
      </c>
      <c r="AR185" s="297">
        <f t="shared" si="78"/>
        <v>0</v>
      </c>
      <c r="AS185" s="295"/>
      <c r="AT185" s="295"/>
      <c r="AU185" s="298">
        <f>'Unit Savings Calculations'!Q181</f>
        <v>266.94</v>
      </c>
      <c r="AV185" s="405" t="str">
        <f t="shared" si="79"/>
        <v>n/a</v>
      </c>
      <c r="AW185" s="300">
        <f t="shared" si="80"/>
        <v>0</v>
      </c>
      <c r="AX185" s="297">
        <f t="shared" si="81"/>
        <v>0</v>
      </c>
      <c r="AY185" s="300">
        <f t="shared" si="82"/>
        <v>0</v>
      </c>
      <c r="AZ185" s="300">
        <f t="shared" si="83"/>
        <v>0</v>
      </c>
      <c r="BA185" s="300">
        <f t="shared" si="84"/>
        <v>0</v>
      </c>
      <c r="BB185" s="300">
        <f t="shared" si="85"/>
        <v>0</v>
      </c>
      <c r="BC185" s="301">
        <f t="shared" si="86"/>
        <v>0</v>
      </c>
      <c r="BD185" s="295" t="s">
        <v>764</v>
      </c>
      <c r="BE185" s="302" t="str">
        <f t="shared" si="87"/>
        <v>Exhibit 1.5A_R North Shore EEPS_Adjustable_Savings_Goal_Template.xlsx, Unit Savings Calculations Tab</v>
      </c>
      <c r="BF185" s="304"/>
    </row>
    <row r="186" spans="1:58" ht="15.75" customHeight="1">
      <c r="A186" s="295" t="str">
        <f>'Unit Savings Calculations'!C182</f>
        <v>Bus - SB Rebates</v>
      </c>
      <c r="B186" s="295" t="str">
        <f>'Unit Savings Calculations'!D182</f>
        <v>Ozone Laundry</v>
      </c>
      <c r="C186" s="296">
        <f t="shared" si="88"/>
        <v>1</v>
      </c>
      <c r="D186" s="295" t="str">
        <f>'Unit Savings Calculations'!T182</f>
        <v>4.3.6</v>
      </c>
      <c r="E186" s="460">
        <f>INDEX('Unit Savings Calculations'!$H$4:$H$421,MATCH('Measure-Level Adjustments Tab'!$A186&amp;"_"&amp;'Measure-Level Adjustments Tab'!$B186,'Unit Savings Calculations'!$A$4:$A$421,0))</f>
        <v>10</v>
      </c>
      <c r="F186" s="460">
        <f>INDEX('Unit Savings Calculations'!$I$4:$I$421,MATCH('Measure-Level Adjustments Tab'!A186&amp;"_"&amp;'Measure-Level Adjustments Tab'!B186,'Unit Savings Calculations'!$A$4:$A$421,0))</f>
        <v>10</v>
      </c>
      <c r="G186" s="295" t="str">
        <f>'Unit Savings Calculations'!E182</f>
        <v>lb-capacity</v>
      </c>
      <c r="H186" s="297">
        <f>'Unit Savings Calculations'!$F182*'Unit Savings Calculations'!J182</f>
        <v>0</v>
      </c>
      <c r="I186" s="297">
        <f>'Unit Savings Calculations'!$F182*'Unit Savings Calculations'!K182</f>
        <v>0</v>
      </c>
      <c r="J186" s="297">
        <f>'Unit Savings Calculations'!$F182*'Unit Savings Calculations'!L182</f>
        <v>0</v>
      </c>
      <c r="K186" s="297">
        <f>'Unit Savings Calculations'!$F182*'Unit Savings Calculations'!M182</f>
        <v>0</v>
      </c>
      <c r="L186" s="295" t="str">
        <f>'Unit Savings Calculations'!U182</f>
        <v>CI-HW-OZLD-VO1-140601</v>
      </c>
      <c r="M186" s="405" t="str">
        <f>'Unit Savings Calculations'!R182</f>
        <v>Exhibit 1.5A_R North Shore EEPS_Adjustable_Savings_Goal_Template.xlsx, Unit Savings Calculations Tab</v>
      </c>
      <c r="N186" s="298">
        <v>30.722664192350027</v>
      </c>
      <c r="O186" s="298">
        <v>30.722664192350027</v>
      </c>
      <c r="P186" s="298">
        <v>30.722664192350027</v>
      </c>
      <c r="Q186" s="298">
        <v>30.722664192350027</v>
      </c>
      <c r="R186" s="299">
        <f>'Unit Savings Calculations'!$G182</f>
        <v>0.92</v>
      </c>
      <c r="S186" s="299">
        <f>'Unit Savings Calculations'!$G182</f>
        <v>0.92</v>
      </c>
      <c r="T186" s="299">
        <f>'Unit Savings Calculations'!$G182</f>
        <v>0.92</v>
      </c>
      <c r="U186" s="299">
        <f>'Unit Savings Calculations'!$G182</f>
        <v>0.92</v>
      </c>
      <c r="V186" s="300">
        <f t="shared" si="104"/>
        <v>0</v>
      </c>
      <c r="W186" s="300">
        <f t="shared" si="105"/>
        <v>0</v>
      </c>
      <c r="X186" s="300">
        <f t="shared" si="106"/>
        <v>0</v>
      </c>
      <c r="Y186" s="300">
        <f t="shared" si="107"/>
        <v>0</v>
      </c>
      <c r="Z186" s="300">
        <f t="shared" si="108"/>
        <v>0</v>
      </c>
      <c r="AA186" s="295"/>
      <c r="AB186" s="295"/>
      <c r="AC186" s="298">
        <f>'Unit Savings Calculations'!N182</f>
        <v>30.722664192350027</v>
      </c>
      <c r="AD186" s="295"/>
      <c r="AE186" s="300">
        <f t="shared" si="72"/>
        <v>0</v>
      </c>
      <c r="AF186" s="297">
        <f t="shared" si="73"/>
        <v>0</v>
      </c>
      <c r="AG186" s="295"/>
      <c r="AH186" s="295">
        <f t="shared" si="74"/>
        <v>0</v>
      </c>
      <c r="AI186" s="298">
        <f>'Unit Savings Calculations'!O182</f>
        <v>30.722664192350027</v>
      </c>
      <c r="AJ186" s="405" t="s">
        <v>879</v>
      </c>
      <c r="AK186" s="300">
        <f t="shared" si="75"/>
        <v>0</v>
      </c>
      <c r="AL186" s="297">
        <f t="shared" si="76"/>
        <v>0</v>
      </c>
      <c r="AM186" s="295"/>
      <c r="AN186" s="295"/>
      <c r="AO186" s="298">
        <f>'Unit Savings Calculations'!P182</f>
        <v>30.722664192350027</v>
      </c>
      <c r="AP186" s="405" t="s">
        <v>764</v>
      </c>
      <c r="AQ186" s="300">
        <f t="shared" si="77"/>
        <v>0</v>
      </c>
      <c r="AR186" s="297">
        <f t="shared" si="78"/>
        <v>0</v>
      </c>
      <c r="AS186" s="295"/>
      <c r="AT186" s="295"/>
      <c r="AU186" s="298">
        <f>'Unit Savings Calculations'!Q182</f>
        <v>30.722664192350027</v>
      </c>
      <c r="AV186" s="405" t="str">
        <f t="shared" si="79"/>
        <v>n/a</v>
      </c>
      <c r="AW186" s="300">
        <f t="shared" si="80"/>
        <v>0</v>
      </c>
      <c r="AX186" s="297">
        <f t="shared" si="81"/>
        <v>0</v>
      </c>
      <c r="AY186" s="300">
        <f t="shared" si="82"/>
        <v>0</v>
      </c>
      <c r="AZ186" s="300">
        <f t="shared" si="83"/>
        <v>0</v>
      </c>
      <c r="BA186" s="300">
        <f t="shared" si="84"/>
        <v>0</v>
      </c>
      <c r="BB186" s="300">
        <f t="shared" si="85"/>
        <v>0</v>
      </c>
      <c r="BC186" s="301">
        <f t="shared" si="86"/>
        <v>0</v>
      </c>
      <c r="BD186" s="295" t="s">
        <v>764</v>
      </c>
      <c r="BE186" s="302" t="str">
        <f t="shared" si="87"/>
        <v>Exhibit 1.5A_R North Shore EEPS_Adjustable_Savings_Goal_Template.xlsx, Unit Savings Calculations Tab</v>
      </c>
      <c r="BF186" s="304"/>
    </row>
    <row r="187" spans="1:58" ht="15.75" customHeight="1">
      <c r="A187" s="295" t="str">
        <f>'Unit Savings Calculations'!C183</f>
        <v>Bus - SB Rebates</v>
      </c>
      <c r="B187" s="295" t="str">
        <f>'Unit Savings Calculations'!D183</f>
        <v>Pipe Insulation - Dry Cleaners</v>
      </c>
      <c r="C187" s="296">
        <f t="shared" si="88"/>
        <v>1</v>
      </c>
      <c r="D187" s="295" t="str">
        <f>'Unit Savings Calculations'!T183</f>
        <v>4.4.14</v>
      </c>
      <c r="E187" s="460">
        <f>INDEX('Unit Savings Calculations'!$H$4:$H$421,MATCH('Measure-Level Adjustments Tab'!$A187&amp;"_"&amp;'Measure-Level Adjustments Tab'!$B187,'Unit Savings Calculations'!$A$4:$A$421,0))</f>
        <v>15</v>
      </c>
      <c r="F187" s="460">
        <f>INDEX('Unit Savings Calculations'!$I$4:$I$421,MATCH('Measure-Level Adjustments Tab'!A187&amp;"_"&amp;'Measure-Level Adjustments Tab'!B187,'Unit Savings Calculations'!$A$4:$A$421,0))</f>
        <v>15</v>
      </c>
      <c r="G187" s="295" t="str">
        <f>'Unit Savings Calculations'!E183</f>
        <v>ft</v>
      </c>
      <c r="H187" s="297">
        <f>'Unit Savings Calculations'!$F183*'Unit Savings Calculations'!J183</f>
        <v>0</v>
      </c>
      <c r="I187" s="297">
        <f>'Unit Savings Calculations'!$F183*'Unit Savings Calculations'!K183</f>
        <v>0</v>
      </c>
      <c r="J187" s="297">
        <f>'Unit Savings Calculations'!$F183*'Unit Savings Calculations'!L183</f>
        <v>0</v>
      </c>
      <c r="K187" s="297">
        <f>'Unit Savings Calculations'!$F183*'Unit Savings Calculations'!M183</f>
        <v>0</v>
      </c>
      <c r="L187" s="295" t="str">
        <f>'Unit Savings Calculations'!U183</f>
        <v>CI-HVC-PINS-V04-160601</v>
      </c>
      <c r="M187" s="405" t="str">
        <f>'Unit Savings Calculations'!R183</f>
        <v>Exhibit 1.5A_R North Shore EEPS_Adjustable_Savings_Goal_Template.xlsx, Pipe Insulation Detail Tab</v>
      </c>
      <c r="N187" s="298">
        <v>4.1509563815028345</v>
      </c>
      <c r="O187" s="298">
        <v>4.1509563815028345</v>
      </c>
      <c r="P187" s="298">
        <v>4.1509563815028345</v>
      </c>
      <c r="Q187" s="298">
        <v>4.1509563815028345</v>
      </c>
      <c r="R187" s="299">
        <f>'Unit Savings Calculations'!$G183</f>
        <v>0.92</v>
      </c>
      <c r="S187" s="299">
        <f>'Unit Savings Calculations'!$G183</f>
        <v>0.92</v>
      </c>
      <c r="T187" s="299">
        <f>'Unit Savings Calculations'!$G183</f>
        <v>0.92</v>
      </c>
      <c r="U187" s="299">
        <f>'Unit Savings Calculations'!$G183</f>
        <v>0.92</v>
      </c>
      <c r="V187" s="300">
        <f t="shared" si="104"/>
        <v>0</v>
      </c>
      <c r="W187" s="300">
        <f t="shared" si="105"/>
        <v>0</v>
      </c>
      <c r="X187" s="300">
        <f t="shared" si="106"/>
        <v>0</v>
      </c>
      <c r="Y187" s="300">
        <f t="shared" si="107"/>
        <v>0</v>
      </c>
      <c r="Z187" s="300">
        <f t="shared" si="108"/>
        <v>0</v>
      </c>
      <c r="AA187" s="295"/>
      <c r="AB187" s="295"/>
      <c r="AC187" s="298">
        <f>'Unit Savings Calculations'!N183</f>
        <v>4.1509563815028345</v>
      </c>
      <c r="AD187" s="295"/>
      <c r="AE187" s="300">
        <f t="shared" si="72"/>
        <v>0</v>
      </c>
      <c r="AF187" s="297">
        <f t="shared" si="73"/>
        <v>0</v>
      </c>
      <c r="AG187" s="295"/>
      <c r="AH187" s="295">
        <f t="shared" si="74"/>
        <v>0</v>
      </c>
      <c r="AI187" s="298">
        <f>'Unit Savings Calculations'!O183</f>
        <v>4.1509563815028345</v>
      </c>
      <c r="AJ187" s="405" t="s">
        <v>879</v>
      </c>
      <c r="AK187" s="300">
        <f t="shared" si="75"/>
        <v>0</v>
      </c>
      <c r="AL187" s="297">
        <f t="shared" si="76"/>
        <v>0</v>
      </c>
      <c r="AM187" s="295"/>
      <c r="AN187" s="295"/>
      <c r="AO187" s="298">
        <f>'Unit Savings Calculations'!P183</f>
        <v>4.1509563815028345</v>
      </c>
      <c r="AP187" s="405" t="s">
        <v>764</v>
      </c>
      <c r="AQ187" s="300">
        <f t="shared" si="77"/>
        <v>0</v>
      </c>
      <c r="AR187" s="297">
        <f t="shared" si="78"/>
        <v>0</v>
      </c>
      <c r="AS187" s="295"/>
      <c r="AT187" s="295"/>
      <c r="AU187" s="298">
        <f>'Unit Savings Calculations'!Q183</f>
        <v>4.1509563815028345</v>
      </c>
      <c r="AV187" s="405" t="str">
        <f t="shared" si="79"/>
        <v>n/a</v>
      </c>
      <c r="AW187" s="300">
        <f t="shared" si="80"/>
        <v>0</v>
      </c>
      <c r="AX187" s="297">
        <f t="shared" si="81"/>
        <v>0</v>
      </c>
      <c r="AY187" s="300">
        <f t="shared" si="82"/>
        <v>0</v>
      </c>
      <c r="AZ187" s="300">
        <f t="shared" si="83"/>
        <v>0</v>
      </c>
      <c r="BA187" s="300">
        <f t="shared" si="84"/>
        <v>0</v>
      </c>
      <c r="BB187" s="300">
        <f t="shared" si="85"/>
        <v>0</v>
      </c>
      <c r="BC187" s="301">
        <f t="shared" si="86"/>
        <v>0</v>
      </c>
      <c r="BD187" s="295" t="s">
        <v>764</v>
      </c>
      <c r="BE187" s="302" t="str">
        <f t="shared" si="87"/>
        <v>Exhibit 1.5A_R North Shore EEPS_Adjustable_Savings_Goal_Template.xlsx, Pipe Insulation Detail Tab</v>
      </c>
      <c r="BF187" s="304"/>
    </row>
    <row r="188" spans="1:58" ht="15.75" customHeight="1">
      <c r="A188" s="295" t="str">
        <f>'Unit Savings Calculations'!C184</f>
        <v>Bus - SB Rebates</v>
      </c>
      <c r="B188" s="295" t="str">
        <f>'Unit Savings Calculations'!D184</f>
        <v>Pipe Insulation - Dry Cleaners -Elbows</v>
      </c>
      <c r="C188" s="296">
        <f t="shared" si="88"/>
        <v>1</v>
      </c>
      <c r="D188" s="295" t="str">
        <f>'Unit Savings Calculations'!T184</f>
        <v>4.4.14</v>
      </c>
      <c r="E188" s="460">
        <f>INDEX('Unit Savings Calculations'!$H$4:$H$421,MATCH('Measure-Level Adjustments Tab'!$A188&amp;"_"&amp;'Measure-Level Adjustments Tab'!$B188,'Unit Savings Calculations'!$A$4:$A$421,0))</f>
        <v>15</v>
      </c>
      <c r="F188" s="460">
        <f>INDEX('Unit Savings Calculations'!$I$4:$I$421,MATCH('Measure-Level Adjustments Tab'!A188&amp;"_"&amp;'Measure-Level Adjustments Tab'!B188,'Unit Savings Calculations'!$A$4:$A$421,0))</f>
        <v>15</v>
      </c>
      <c r="G188" s="295" t="str">
        <f>'Unit Savings Calculations'!E184</f>
        <v>ft</v>
      </c>
      <c r="H188" s="297">
        <f>'Unit Savings Calculations'!$F184*'Unit Savings Calculations'!J184</f>
        <v>0</v>
      </c>
      <c r="I188" s="297">
        <f>'Unit Savings Calculations'!$F184*'Unit Savings Calculations'!K184</f>
        <v>0</v>
      </c>
      <c r="J188" s="297">
        <f>'Unit Savings Calculations'!$F184*'Unit Savings Calculations'!L184</f>
        <v>0</v>
      </c>
      <c r="K188" s="297">
        <f>'Unit Savings Calculations'!$F184*'Unit Savings Calculations'!M184</f>
        <v>0</v>
      </c>
      <c r="L188" s="295" t="str">
        <f>'Unit Savings Calculations'!U184</f>
        <v>CI-HVC-PINS-V04-160601</v>
      </c>
      <c r="M188" s="405" t="str">
        <f>'Unit Savings Calculations'!R184</f>
        <v>Exhibit 1.5A_R North Shore EEPS_Adjustable_Savings_Goal_Template.xlsx, Pipe Insulation Detail Tab</v>
      </c>
      <c r="N188" s="298">
        <v>1.9924590631213606</v>
      </c>
      <c r="O188" s="298">
        <v>1.9924590631213606</v>
      </c>
      <c r="P188" s="298">
        <v>1.9924590631213606</v>
      </c>
      <c r="Q188" s="298">
        <v>1.9924590631213606</v>
      </c>
      <c r="R188" s="299">
        <f>'Unit Savings Calculations'!$G184</f>
        <v>0.92</v>
      </c>
      <c r="S188" s="299">
        <f>'Unit Savings Calculations'!$G184</f>
        <v>0.92</v>
      </c>
      <c r="T188" s="299">
        <f>'Unit Savings Calculations'!$G184</f>
        <v>0.92</v>
      </c>
      <c r="U188" s="299">
        <f>'Unit Savings Calculations'!$G184</f>
        <v>0.92</v>
      </c>
      <c r="V188" s="300">
        <f t="shared" si="104"/>
        <v>0</v>
      </c>
      <c r="W188" s="300">
        <f t="shared" si="105"/>
        <v>0</v>
      </c>
      <c r="X188" s="300">
        <f t="shared" si="106"/>
        <v>0</v>
      </c>
      <c r="Y188" s="300">
        <f t="shared" si="107"/>
        <v>0</v>
      </c>
      <c r="Z188" s="300">
        <f t="shared" si="108"/>
        <v>0</v>
      </c>
      <c r="AA188" s="295"/>
      <c r="AB188" s="295"/>
      <c r="AC188" s="298">
        <f>'Unit Savings Calculations'!N184</f>
        <v>1.9924590631213606</v>
      </c>
      <c r="AD188" s="295"/>
      <c r="AE188" s="300">
        <f t="shared" si="72"/>
        <v>0</v>
      </c>
      <c r="AF188" s="297">
        <f t="shared" si="73"/>
        <v>0</v>
      </c>
      <c r="AG188" s="295"/>
      <c r="AH188" s="295">
        <f t="shared" si="74"/>
        <v>0</v>
      </c>
      <c r="AI188" s="298">
        <f>'Unit Savings Calculations'!O184</f>
        <v>1.9924590631213606</v>
      </c>
      <c r="AJ188" s="405" t="s">
        <v>879</v>
      </c>
      <c r="AK188" s="300">
        <f t="shared" si="75"/>
        <v>0</v>
      </c>
      <c r="AL188" s="297">
        <f t="shared" si="76"/>
        <v>0</v>
      </c>
      <c r="AM188" s="295"/>
      <c r="AN188" s="295"/>
      <c r="AO188" s="298">
        <f>'Unit Savings Calculations'!P184</f>
        <v>1.9924590631213606</v>
      </c>
      <c r="AP188" s="405" t="s">
        <v>764</v>
      </c>
      <c r="AQ188" s="300">
        <f t="shared" si="77"/>
        <v>0</v>
      </c>
      <c r="AR188" s="297">
        <f t="shared" si="78"/>
        <v>0</v>
      </c>
      <c r="AS188" s="295"/>
      <c r="AT188" s="295"/>
      <c r="AU188" s="298">
        <f>'Unit Savings Calculations'!Q184</f>
        <v>1.9924590631213606</v>
      </c>
      <c r="AV188" s="405" t="str">
        <f t="shared" si="79"/>
        <v>n/a</v>
      </c>
      <c r="AW188" s="300">
        <f t="shared" si="80"/>
        <v>0</v>
      </c>
      <c r="AX188" s="297">
        <f t="shared" si="81"/>
        <v>0</v>
      </c>
      <c r="AY188" s="300">
        <f t="shared" si="82"/>
        <v>0</v>
      </c>
      <c r="AZ188" s="300">
        <f t="shared" si="83"/>
        <v>0</v>
      </c>
      <c r="BA188" s="300">
        <f t="shared" si="84"/>
        <v>0</v>
      </c>
      <c r="BB188" s="300">
        <f t="shared" si="85"/>
        <v>0</v>
      </c>
      <c r="BC188" s="301">
        <f t="shared" si="86"/>
        <v>0</v>
      </c>
      <c r="BD188" s="295" t="s">
        <v>764</v>
      </c>
      <c r="BE188" s="302" t="str">
        <f t="shared" si="87"/>
        <v>Exhibit 1.5A_R North Shore EEPS_Adjustable_Savings_Goal_Template.xlsx, Pipe Insulation Detail Tab</v>
      </c>
      <c r="BF188" s="304"/>
    </row>
    <row r="189" spans="1:58" ht="15.75" customHeight="1">
      <c r="A189" s="295" t="str">
        <f>'Unit Savings Calculations'!C185</f>
        <v>Bus - SB Rebates</v>
      </c>
      <c r="B189" s="295" t="str">
        <f>'Unit Savings Calculations'!D185</f>
        <v>Pipe Insulation - HW Small 1" to 2"</v>
      </c>
      <c r="C189" s="296">
        <f t="shared" si="88"/>
        <v>1</v>
      </c>
      <c r="D189" s="295" t="str">
        <f>'Unit Savings Calculations'!T185</f>
        <v>4.4.14</v>
      </c>
      <c r="E189" s="460">
        <f>INDEX('Unit Savings Calculations'!$H$4:$H$421,MATCH('Measure-Level Adjustments Tab'!$A189&amp;"_"&amp;'Measure-Level Adjustments Tab'!$B189,'Unit Savings Calculations'!$A$4:$A$421,0))</f>
        <v>15</v>
      </c>
      <c r="F189" s="460">
        <f>INDEX('Unit Savings Calculations'!$I$4:$I$421,MATCH('Measure-Level Adjustments Tab'!A189&amp;"_"&amp;'Measure-Level Adjustments Tab'!B189,'Unit Savings Calculations'!$A$4:$A$421,0))</f>
        <v>15</v>
      </c>
      <c r="G189" s="295" t="str">
        <f>'Unit Savings Calculations'!E185</f>
        <v>ft</v>
      </c>
      <c r="H189" s="297">
        <f>'Unit Savings Calculations'!$F185*'Unit Savings Calculations'!J185</f>
        <v>0</v>
      </c>
      <c r="I189" s="297">
        <f>'Unit Savings Calculations'!$F185*'Unit Savings Calculations'!K185</f>
        <v>0</v>
      </c>
      <c r="J189" s="297">
        <f>'Unit Savings Calculations'!$F185*'Unit Savings Calculations'!L185</f>
        <v>0</v>
      </c>
      <c r="K189" s="297">
        <f>'Unit Savings Calculations'!$F185*'Unit Savings Calculations'!M185</f>
        <v>0</v>
      </c>
      <c r="L189" s="295" t="str">
        <f>'Unit Savings Calculations'!U185</f>
        <v>CI-HVC-PINS-V04-160601</v>
      </c>
      <c r="M189" s="405" t="str">
        <f>'Unit Savings Calculations'!R185</f>
        <v>Exhibit 1.5A_R North Shore EEPS_Adjustable_Savings_Goal_Template.xlsx, Pipe Insulation Detail Tab</v>
      </c>
      <c r="N189" s="298">
        <v>2.6588140926267867</v>
      </c>
      <c r="O189" s="298">
        <v>2.6588140926267867</v>
      </c>
      <c r="P189" s="298">
        <v>2.6588140926267867</v>
      </c>
      <c r="Q189" s="298">
        <v>2.6588140926267867</v>
      </c>
      <c r="R189" s="299">
        <f>'Unit Savings Calculations'!$G185</f>
        <v>0.92</v>
      </c>
      <c r="S189" s="299">
        <f>'Unit Savings Calculations'!$G185</f>
        <v>0.92</v>
      </c>
      <c r="T189" s="299">
        <f>'Unit Savings Calculations'!$G185</f>
        <v>0.92</v>
      </c>
      <c r="U189" s="299">
        <f>'Unit Savings Calculations'!$G185</f>
        <v>0.92</v>
      </c>
      <c r="V189" s="300">
        <f t="shared" si="104"/>
        <v>0</v>
      </c>
      <c r="W189" s="300">
        <f t="shared" si="105"/>
        <v>0</v>
      </c>
      <c r="X189" s="300">
        <f t="shared" si="106"/>
        <v>0</v>
      </c>
      <c r="Y189" s="300">
        <f t="shared" si="107"/>
        <v>0</v>
      </c>
      <c r="Z189" s="300">
        <f t="shared" si="108"/>
        <v>0</v>
      </c>
      <c r="AA189" s="295"/>
      <c r="AB189" s="295"/>
      <c r="AC189" s="298">
        <f>'Unit Savings Calculations'!N185</f>
        <v>2.6588140926267867</v>
      </c>
      <c r="AD189" s="295"/>
      <c r="AE189" s="300">
        <f t="shared" si="72"/>
        <v>0</v>
      </c>
      <c r="AF189" s="297">
        <f t="shared" si="73"/>
        <v>0</v>
      </c>
      <c r="AG189" s="295"/>
      <c r="AH189" s="295">
        <f t="shared" si="74"/>
        <v>0</v>
      </c>
      <c r="AI189" s="298">
        <f>'Unit Savings Calculations'!O185</f>
        <v>2.6588140926267867</v>
      </c>
      <c r="AJ189" s="405" t="s">
        <v>879</v>
      </c>
      <c r="AK189" s="300">
        <f t="shared" si="75"/>
        <v>0</v>
      </c>
      <c r="AL189" s="297">
        <f t="shared" si="76"/>
        <v>0</v>
      </c>
      <c r="AM189" s="295"/>
      <c r="AN189" s="295"/>
      <c r="AO189" s="298">
        <f>'Unit Savings Calculations'!P185</f>
        <v>2.6588140926267867</v>
      </c>
      <c r="AP189" s="405" t="s">
        <v>764</v>
      </c>
      <c r="AQ189" s="300">
        <f t="shared" si="77"/>
        <v>0</v>
      </c>
      <c r="AR189" s="297">
        <f t="shared" si="78"/>
        <v>0</v>
      </c>
      <c r="AS189" s="295"/>
      <c r="AT189" s="295"/>
      <c r="AU189" s="298">
        <f>'Unit Savings Calculations'!Q185</f>
        <v>2.6588140926267867</v>
      </c>
      <c r="AV189" s="405" t="str">
        <f t="shared" si="79"/>
        <v>n/a</v>
      </c>
      <c r="AW189" s="300">
        <f t="shared" si="80"/>
        <v>0</v>
      </c>
      <c r="AX189" s="297">
        <f t="shared" si="81"/>
        <v>0</v>
      </c>
      <c r="AY189" s="300">
        <f t="shared" si="82"/>
        <v>0</v>
      </c>
      <c r="AZ189" s="300">
        <f t="shared" si="83"/>
        <v>0</v>
      </c>
      <c r="BA189" s="300">
        <f t="shared" si="84"/>
        <v>0</v>
      </c>
      <c r="BB189" s="300">
        <f t="shared" si="85"/>
        <v>0</v>
      </c>
      <c r="BC189" s="301">
        <f t="shared" si="86"/>
        <v>0</v>
      </c>
      <c r="BD189" s="295" t="s">
        <v>764</v>
      </c>
      <c r="BE189" s="302" t="str">
        <f t="shared" si="87"/>
        <v>Exhibit 1.5A_R North Shore EEPS_Adjustable_Savings_Goal_Template.xlsx, Pipe Insulation Detail Tab</v>
      </c>
      <c r="BF189" s="304"/>
    </row>
    <row r="190" spans="1:58" ht="15.75" customHeight="1">
      <c r="A190" s="295" t="str">
        <f>'Unit Savings Calculations'!C186</f>
        <v>Bus - SB Rebates</v>
      </c>
      <c r="B190" s="295" t="str">
        <f>'Unit Savings Calculations'!D186</f>
        <v>Pipe Insulation - HW Medium 2.1" to 4"</v>
      </c>
      <c r="C190" s="296">
        <f t="shared" si="88"/>
        <v>1</v>
      </c>
      <c r="D190" s="295" t="str">
        <f>'Unit Savings Calculations'!T186</f>
        <v>4.4.14</v>
      </c>
      <c r="E190" s="460">
        <f>INDEX('Unit Savings Calculations'!$H$4:$H$421,MATCH('Measure-Level Adjustments Tab'!$A190&amp;"_"&amp;'Measure-Level Adjustments Tab'!$B190,'Unit Savings Calculations'!$A$4:$A$421,0))</f>
        <v>15</v>
      </c>
      <c r="F190" s="460">
        <f>INDEX('Unit Savings Calculations'!$I$4:$I$421,MATCH('Measure-Level Adjustments Tab'!A190&amp;"_"&amp;'Measure-Level Adjustments Tab'!B190,'Unit Savings Calculations'!$A$4:$A$421,0))</f>
        <v>15</v>
      </c>
      <c r="G190" s="295" t="str">
        <f>'Unit Savings Calculations'!E186</f>
        <v>ft</v>
      </c>
      <c r="H190" s="297">
        <f>'Unit Savings Calculations'!$F186*'Unit Savings Calculations'!J186</f>
        <v>0</v>
      </c>
      <c r="I190" s="297">
        <f>'Unit Savings Calculations'!$F186*'Unit Savings Calculations'!K186</f>
        <v>0</v>
      </c>
      <c r="J190" s="297">
        <f>'Unit Savings Calculations'!$F186*'Unit Savings Calculations'!L186</f>
        <v>0</v>
      </c>
      <c r="K190" s="297">
        <f>'Unit Savings Calculations'!$F186*'Unit Savings Calculations'!M186</f>
        <v>0</v>
      </c>
      <c r="L190" s="295" t="str">
        <f>'Unit Savings Calculations'!U186</f>
        <v>CI-HVC-PINS-V04-160601</v>
      </c>
      <c r="M190" s="405" t="str">
        <f>'Unit Savings Calculations'!R186</f>
        <v>Exhibit 1.5A_R North Shore EEPS_Adjustable_Savings_Goal_Template.xlsx, Pipe Insulation Detail Tab</v>
      </c>
      <c r="N190" s="298">
        <v>5.2492031493764015</v>
      </c>
      <c r="O190" s="298">
        <v>5.2492031493764015</v>
      </c>
      <c r="P190" s="298">
        <v>5.2492031493764015</v>
      </c>
      <c r="Q190" s="298">
        <v>5.2492031493764015</v>
      </c>
      <c r="R190" s="299">
        <f>'Unit Savings Calculations'!$G186</f>
        <v>0.92</v>
      </c>
      <c r="S190" s="299">
        <f>'Unit Savings Calculations'!$G186</f>
        <v>0.92</v>
      </c>
      <c r="T190" s="299">
        <f>'Unit Savings Calculations'!$G186</f>
        <v>0.92</v>
      </c>
      <c r="U190" s="299">
        <f>'Unit Savings Calculations'!$G186</f>
        <v>0.92</v>
      </c>
      <c r="V190" s="300">
        <f t="shared" si="104"/>
        <v>0</v>
      </c>
      <c r="W190" s="300">
        <f t="shared" si="105"/>
        <v>0</v>
      </c>
      <c r="X190" s="300">
        <f t="shared" si="106"/>
        <v>0</v>
      </c>
      <c r="Y190" s="300">
        <f t="shared" si="107"/>
        <v>0</v>
      </c>
      <c r="Z190" s="300">
        <f t="shared" si="108"/>
        <v>0</v>
      </c>
      <c r="AA190" s="295"/>
      <c r="AB190" s="295"/>
      <c r="AC190" s="298">
        <f>'Unit Savings Calculations'!N186</f>
        <v>5.2492031493764015</v>
      </c>
      <c r="AD190" s="295"/>
      <c r="AE190" s="300">
        <f t="shared" si="72"/>
        <v>0</v>
      </c>
      <c r="AF190" s="297">
        <f t="shared" si="73"/>
        <v>0</v>
      </c>
      <c r="AG190" s="295"/>
      <c r="AH190" s="295">
        <f t="shared" si="74"/>
        <v>0</v>
      </c>
      <c r="AI190" s="298">
        <f>'Unit Savings Calculations'!O186</f>
        <v>5.2492031493764015</v>
      </c>
      <c r="AJ190" s="405" t="s">
        <v>879</v>
      </c>
      <c r="AK190" s="300">
        <f t="shared" si="75"/>
        <v>0</v>
      </c>
      <c r="AL190" s="297">
        <f t="shared" si="76"/>
        <v>0</v>
      </c>
      <c r="AM190" s="295"/>
      <c r="AN190" s="295"/>
      <c r="AO190" s="298">
        <f>'Unit Savings Calculations'!P186</f>
        <v>5.2492031493764015</v>
      </c>
      <c r="AP190" s="405" t="s">
        <v>764</v>
      </c>
      <c r="AQ190" s="300">
        <f t="shared" si="77"/>
        <v>0</v>
      </c>
      <c r="AR190" s="297">
        <f t="shared" si="78"/>
        <v>0</v>
      </c>
      <c r="AS190" s="295"/>
      <c r="AT190" s="295"/>
      <c r="AU190" s="298">
        <f>'Unit Savings Calculations'!Q186</f>
        <v>5.2492031493764015</v>
      </c>
      <c r="AV190" s="405" t="str">
        <f t="shared" si="79"/>
        <v>n/a</v>
      </c>
      <c r="AW190" s="300">
        <f t="shared" si="80"/>
        <v>0</v>
      </c>
      <c r="AX190" s="297">
        <f t="shared" si="81"/>
        <v>0</v>
      </c>
      <c r="AY190" s="300">
        <f t="shared" si="82"/>
        <v>0</v>
      </c>
      <c r="AZ190" s="300">
        <f t="shared" si="83"/>
        <v>0</v>
      </c>
      <c r="BA190" s="300">
        <f t="shared" si="84"/>
        <v>0</v>
      </c>
      <c r="BB190" s="300">
        <f t="shared" si="85"/>
        <v>0</v>
      </c>
      <c r="BC190" s="301">
        <f t="shared" si="86"/>
        <v>0</v>
      </c>
      <c r="BD190" s="295" t="s">
        <v>764</v>
      </c>
      <c r="BE190" s="302" t="str">
        <f t="shared" si="87"/>
        <v>Exhibit 1.5A_R North Shore EEPS_Adjustable_Savings_Goal_Template.xlsx, Pipe Insulation Detail Tab</v>
      </c>
      <c r="BF190" s="304"/>
    </row>
    <row r="191" spans="1:58" ht="15.75" customHeight="1">
      <c r="A191" s="295" t="str">
        <f>'Unit Savings Calculations'!C187</f>
        <v>Bus - SB Rebates</v>
      </c>
      <c r="B191" s="295" t="str">
        <f>'Unit Savings Calculations'!D187</f>
        <v>Pipe Insulation - HW Large &gt;4"</v>
      </c>
      <c r="C191" s="296">
        <f t="shared" si="88"/>
        <v>1</v>
      </c>
      <c r="D191" s="295" t="str">
        <f>'Unit Savings Calculations'!T187</f>
        <v>4.4.14</v>
      </c>
      <c r="E191" s="460">
        <f>INDEX('Unit Savings Calculations'!$H$4:$H$421,MATCH('Measure-Level Adjustments Tab'!$A191&amp;"_"&amp;'Measure-Level Adjustments Tab'!$B191,'Unit Savings Calculations'!$A$4:$A$421,0))</f>
        <v>15</v>
      </c>
      <c r="F191" s="460">
        <f>INDEX('Unit Savings Calculations'!$I$4:$I$421,MATCH('Measure-Level Adjustments Tab'!A191&amp;"_"&amp;'Measure-Level Adjustments Tab'!B191,'Unit Savings Calculations'!$A$4:$A$421,0))</f>
        <v>15</v>
      </c>
      <c r="G191" s="295" t="str">
        <f>'Unit Savings Calculations'!E187</f>
        <v>ft</v>
      </c>
      <c r="H191" s="297">
        <f>'Unit Savings Calculations'!$F187*'Unit Savings Calculations'!J187</f>
        <v>0</v>
      </c>
      <c r="I191" s="297">
        <f>'Unit Savings Calculations'!$F187*'Unit Savings Calculations'!K187</f>
        <v>0</v>
      </c>
      <c r="J191" s="297">
        <f>'Unit Savings Calculations'!$F187*'Unit Savings Calculations'!L187</f>
        <v>0</v>
      </c>
      <c r="K191" s="297">
        <f>'Unit Savings Calculations'!$F187*'Unit Savings Calculations'!M187</f>
        <v>0</v>
      </c>
      <c r="L191" s="295" t="str">
        <f>'Unit Savings Calculations'!U187</f>
        <v>CI-HVC-PINS-V04-160601</v>
      </c>
      <c r="M191" s="405" t="str">
        <f>'Unit Savings Calculations'!R187</f>
        <v>Exhibit 1.5A_R North Shore EEPS_Adjustable_Savings_Goal_Template.xlsx, Pipe Insulation Detail Tab</v>
      </c>
      <c r="N191" s="298">
        <v>9.0407613085908682</v>
      </c>
      <c r="O191" s="298">
        <v>9.0407613085908682</v>
      </c>
      <c r="P191" s="298">
        <v>9.0407613085908682</v>
      </c>
      <c r="Q191" s="298">
        <v>9.0407613085908682</v>
      </c>
      <c r="R191" s="299">
        <f>'Unit Savings Calculations'!$G187</f>
        <v>0.92</v>
      </c>
      <c r="S191" s="299">
        <f>'Unit Savings Calculations'!$G187</f>
        <v>0.92</v>
      </c>
      <c r="T191" s="299">
        <f>'Unit Savings Calculations'!$G187</f>
        <v>0.92</v>
      </c>
      <c r="U191" s="299">
        <f>'Unit Savings Calculations'!$G187</f>
        <v>0.92</v>
      </c>
      <c r="V191" s="300">
        <f t="shared" si="104"/>
        <v>0</v>
      </c>
      <c r="W191" s="300">
        <f t="shared" si="105"/>
        <v>0</v>
      </c>
      <c r="X191" s="300">
        <f t="shared" si="106"/>
        <v>0</v>
      </c>
      <c r="Y191" s="300">
        <f t="shared" si="107"/>
        <v>0</v>
      </c>
      <c r="Z191" s="300">
        <f t="shared" si="108"/>
        <v>0</v>
      </c>
      <c r="AA191" s="295"/>
      <c r="AB191" s="295"/>
      <c r="AC191" s="298">
        <f>'Unit Savings Calculations'!N187</f>
        <v>9.0407613085908682</v>
      </c>
      <c r="AD191" s="295"/>
      <c r="AE191" s="300">
        <f t="shared" si="72"/>
        <v>0</v>
      </c>
      <c r="AF191" s="297">
        <f t="shared" si="73"/>
        <v>0</v>
      </c>
      <c r="AG191" s="295"/>
      <c r="AH191" s="295">
        <f t="shared" si="74"/>
        <v>0</v>
      </c>
      <c r="AI191" s="298">
        <f>'Unit Savings Calculations'!O187</f>
        <v>9.0407613085908682</v>
      </c>
      <c r="AJ191" s="405" t="s">
        <v>879</v>
      </c>
      <c r="AK191" s="300">
        <f t="shared" si="75"/>
        <v>0</v>
      </c>
      <c r="AL191" s="297">
        <f t="shared" si="76"/>
        <v>0</v>
      </c>
      <c r="AM191" s="295"/>
      <c r="AN191" s="295"/>
      <c r="AO191" s="298">
        <f>'Unit Savings Calculations'!P187</f>
        <v>9.0407613085908682</v>
      </c>
      <c r="AP191" s="405" t="s">
        <v>764</v>
      </c>
      <c r="AQ191" s="300">
        <f t="shared" si="77"/>
        <v>0</v>
      </c>
      <c r="AR191" s="297">
        <f t="shared" si="78"/>
        <v>0</v>
      </c>
      <c r="AS191" s="295"/>
      <c r="AT191" s="295"/>
      <c r="AU191" s="298">
        <f>'Unit Savings Calculations'!Q187</f>
        <v>9.0407613085908682</v>
      </c>
      <c r="AV191" s="405" t="str">
        <f t="shared" si="79"/>
        <v>n/a</v>
      </c>
      <c r="AW191" s="300">
        <f t="shared" si="80"/>
        <v>0</v>
      </c>
      <c r="AX191" s="297">
        <f t="shared" si="81"/>
        <v>0</v>
      </c>
      <c r="AY191" s="300">
        <f t="shared" si="82"/>
        <v>0</v>
      </c>
      <c r="AZ191" s="300">
        <f t="shared" si="83"/>
        <v>0</v>
      </c>
      <c r="BA191" s="300">
        <f t="shared" si="84"/>
        <v>0</v>
      </c>
      <c r="BB191" s="300">
        <f t="shared" si="85"/>
        <v>0</v>
      </c>
      <c r="BC191" s="301">
        <f t="shared" si="86"/>
        <v>0</v>
      </c>
      <c r="BD191" s="295" t="s">
        <v>764</v>
      </c>
      <c r="BE191" s="302" t="str">
        <f t="shared" si="87"/>
        <v>Exhibit 1.5A_R North Shore EEPS_Adjustable_Savings_Goal_Template.xlsx, Pipe Insulation Detail Tab</v>
      </c>
      <c r="BF191" s="304"/>
    </row>
    <row r="192" spans="1:58" ht="15.75" customHeight="1">
      <c r="A192" s="295" t="str">
        <f>'Unit Savings Calculations'!C188</f>
        <v>Bus - SB Rebates</v>
      </c>
      <c r="B192" s="295" t="str">
        <f>'Unit Savings Calculations'!D188</f>
        <v>Pipe Insulation - Steam - Small 1" to 2"</v>
      </c>
      <c r="C192" s="296">
        <f t="shared" si="88"/>
        <v>1</v>
      </c>
      <c r="D192" s="295" t="str">
        <f>'Unit Savings Calculations'!T188</f>
        <v>4.4.14</v>
      </c>
      <c r="E192" s="460">
        <f>INDEX('Unit Savings Calculations'!$H$4:$H$421,MATCH('Measure-Level Adjustments Tab'!$A192&amp;"_"&amp;'Measure-Level Adjustments Tab'!$B192,'Unit Savings Calculations'!$A$4:$A$421,0))</f>
        <v>15</v>
      </c>
      <c r="F192" s="460">
        <f>INDEX('Unit Savings Calculations'!$I$4:$I$421,MATCH('Measure-Level Adjustments Tab'!A192&amp;"_"&amp;'Measure-Level Adjustments Tab'!B192,'Unit Savings Calculations'!$A$4:$A$421,0))</f>
        <v>15</v>
      </c>
      <c r="G192" s="295" t="str">
        <f>'Unit Savings Calculations'!E188</f>
        <v>ft</v>
      </c>
      <c r="H192" s="297">
        <f>'Unit Savings Calculations'!$F188*'Unit Savings Calculations'!J188</f>
        <v>450</v>
      </c>
      <c r="I192" s="297">
        <f>'Unit Savings Calculations'!$F188*'Unit Savings Calculations'!K188</f>
        <v>450</v>
      </c>
      <c r="J192" s="297">
        <f>'Unit Savings Calculations'!$F188*'Unit Savings Calculations'!L188</f>
        <v>450</v>
      </c>
      <c r="K192" s="297">
        <f>'Unit Savings Calculations'!$F188*'Unit Savings Calculations'!M188</f>
        <v>450</v>
      </c>
      <c r="L192" s="295" t="str">
        <f>'Unit Savings Calculations'!U188</f>
        <v>CI-HVC-PINS-V04-160601</v>
      </c>
      <c r="M192" s="405" t="str">
        <f>'Unit Savings Calculations'!R188</f>
        <v>Exhibit 1.5A_R North Shore EEPS_Adjustable_Savings_Goal_Template.xlsx, Pipe Insulation Detail Tab</v>
      </c>
      <c r="N192" s="298">
        <v>3.1854757047967208</v>
      </c>
      <c r="O192" s="298">
        <v>3.1854757047967208</v>
      </c>
      <c r="P192" s="298">
        <v>3.1854757047967208</v>
      </c>
      <c r="Q192" s="298">
        <v>3.1854757047967208</v>
      </c>
      <c r="R192" s="299">
        <f>'Unit Savings Calculations'!$G188</f>
        <v>0.92</v>
      </c>
      <c r="S192" s="299">
        <f>'Unit Savings Calculations'!$G188</f>
        <v>0.92</v>
      </c>
      <c r="T192" s="299">
        <f>'Unit Savings Calculations'!$G188</f>
        <v>0.92</v>
      </c>
      <c r="U192" s="299">
        <f>'Unit Savings Calculations'!$G188</f>
        <v>0.92</v>
      </c>
      <c r="V192" s="300">
        <f t="shared" si="104"/>
        <v>1318.7869417858424</v>
      </c>
      <c r="W192" s="300">
        <f t="shared" si="105"/>
        <v>1318.7869417858424</v>
      </c>
      <c r="X192" s="300">
        <f t="shared" si="106"/>
        <v>1318.7869417858424</v>
      </c>
      <c r="Y192" s="300">
        <f t="shared" si="107"/>
        <v>1318.7869417858424</v>
      </c>
      <c r="Z192" s="300">
        <f t="shared" si="108"/>
        <v>5275.1477671433695</v>
      </c>
      <c r="AA192" s="295"/>
      <c r="AB192" s="295"/>
      <c r="AC192" s="298">
        <f>'Unit Savings Calculations'!N188</f>
        <v>3.1854757047967208</v>
      </c>
      <c r="AD192" s="295"/>
      <c r="AE192" s="300">
        <f t="shared" si="72"/>
        <v>1318.7869417858424</v>
      </c>
      <c r="AF192" s="297">
        <f t="shared" si="73"/>
        <v>0</v>
      </c>
      <c r="AG192" s="295"/>
      <c r="AH192" s="295">
        <f t="shared" si="74"/>
        <v>0</v>
      </c>
      <c r="AI192" s="298">
        <f>'Unit Savings Calculations'!O188</f>
        <v>3.1854757047967208</v>
      </c>
      <c r="AJ192" s="405" t="s">
        <v>879</v>
      </c>
      <c r="AK192" s="300">
        <f t="shared" si="75"/>
        <v>1318.7869417858424</v>
      </c>
      <c r="AL192" s="297">
        <f t="shared" si="76"/>
        <v>0</v>
      </c>
      <c r="AM192" s="295"/>
      <c r="AN192" s="295"/>
      <c r="AO192" s="298">
        <f>'Unit Savings Calculations'!P188</f>
        <v>3.1854757047967208</v>
      </c>
      <c r="AP192" s="405" t="s">
        <v>764</v>
      </c>
      <c r="AQ192" s="300">
        <f t="shared" si="77"/>
        <v>1318.7869417858424</v>
      </c>
      <c r="AR192" s="297">
        <f t="shared" si="78"/>
        <v>0</v>
      </c>
      <c r="AS192" s="295"/>
      <c r="AT192" s="295"/>
      <c r="AU192" s="298">
        <f>'Unit Savings Calculations'!Q188</f>
        <v>3.1854757047967208</v>
      </c>
      <c r="AV192" s="405" t="str">
        <f t="shared" si="79"/>
        <v>n/a</v>
      </c>
      <c r="AW192" s="300">
        <f t="shared" si="80"/>
        <v>1318.7869417858424</v>
      </c>
      <c r="AX192" s="297">
        <f t="shared" si="81"/>
        <v>0</v>
      </c>
      <c r="AY192" s="300">
        <f t="shared" si="82"/>
        <v>1318.7869417858424</v>
      </c>
      <c r="AZ192" s="300">
        <f t="shared" si="83"/>
        <v>1318.7869417858424</v>
      </c>
      <c r="BA192" s="300">
        <f t="shared" si="84"/>
        <v>1318.7869417858424</v>
      </c>
      <c r="BB192" s="300">
        <f t="shared" si="85"/>
        <v>1318.7869417858424</v>
      </c>
      <c r="BC192" s="301">
        <f t="shared" si="86"/>
        <v>5275.1477671433695</v>
      </c>
      <c r="BD192" s="295" t="s">
        <v>764</v>
      </c>
      <c r="BE192" s="302" t="str">
        <f t="shared" si="87"/>
        <v>Exhibit 1.5A_R North Shore EEPS_Adjustable_Savings_Goal_Template.xlsx, Pipe Insulation Detail Tab</v>
      </c>
      <c r="BF192" s="304"/>
    </row>
    <row r="193" spans="1:58" ht="15.75" customHeight="1">
      <c r="A193" s="295" t="str">
        <f>'Unit Savings Calculations'!C189</f>
        <v>Bus - SB Rebates</v>
      </c>
      <c r="B193" s="295" t="str">
        <f>'Unit Savings Calculations'!D189</f>
        <v>Pipe Insulation - Steam - Med 2.1" to 5"</v>
      </c>
      <c r="C193" s="296">
        <f t="shared" si="88"/>
        <v>1</v>
      </c>
      <c r="D193" s="295" t="str">
        <f>'Unit Savings Calculations'!T189</f>
        <v>4.4.14</v>
      </c>
      <c r="E193" s="460">
        <f>INDEX('Unit Savings Calculations'!$H$4:$H$421,MATCH('Measure-Level Adjustments Tab'!$A193&amp;"_"&amp;'Measure-Level Adjustments Tab'!$B193,'Unit Savings Calculations'!$A$4:$A$421,0))</f>
        <v>15</v>
      </c>
      <c r="F193" s="460">
        <f>INDEX('Unit Savings Calculations'!$I$4:$I$421,MATCH('Measure-Level Adjustments Tab'!A193&amp;"_"&amp;'Measure-Level Adjustments Tab'!B193,'Unit Savings Calculations'!$A$4:$A$421,0))</f>
        <v>15</v>
      </c>
      <c r="G193" s="295" t="str">
        <f>'Unit Savings Calculations'!E189</f>
        <v>ft</v>
      </c>
      <c r="H193" s="297">
        <f>'Unit Savings Calculations'!$F189*'Unit Savings Calculations'!J189</f>
        <v>375</v>
      </c>
      <c r="I193" s="297">
        <f>'Unit Savings Calculations'!$F189*'Unit Savings Calculations'!K189</f>
        <v>375</v>
      </c>
      <c r="J193" s="297">
        <f>'Unit Savings Calculations'!$F189*'Unit Savings Calculations'!L189</f>
        <v>375</v>
      </c>
      <c r="K193" s="297">
        <f>'Unit Savings Calculations'!$F189*'Unit Savings Calculations'!M189</f>
        <v>375</v>
      </c>
      <c r="L193" s="295" t="str">
        <f>'Unit Savings Calculations'!U189</f>
        <v>CI-HVC-PINS-V04-160601</v>
      </c>
      <c r="M193" s="405" t="str">
        <f>'Unit Savings Calculations'!R189</f>
        <v>Exhibit 1.5A_R North Shore EEPS_Adjustable_Savings_Goal_Template.xlsx, Pipe Insulation Detail Tab</v>
      </c>
      <c r="N193" s="298">
        <v>13.148126788517139</v>
      </c>
      <c r="O193" s="298">
        <v>13.148126788517139</v>
      </c>
      <c r="P193" s="298">
        <v>13.148126788517139</v>
      </c>
      <c r="Q193" s="298">
        <v>13.148126788517139</v>
      </c>
      <c r="R193" s="299">
        <f>'Unit Savings Calculations'!$G189</f>
        <v>0.92</v>
      </c>
      <c r="S193" s="299">
        <f>'Unit Savings Calculations'!$G189</f>
        <v>0.92</v>
      </c>
      <c r="T193" s="299">
        <f>'Unit Savings Calculations'!$G189</f>
        <v>0.92</v>
      </c>
      <c r="U193" s="299">
        <f>'Unit Savings Calculations'!$G189</f>
        <v>0.92</v>
      </c>
      <c r="V193" s="300">
        <f t="shared" si="104"/>
        <v>4536.1037420384137</v>
      </c>
      <c r="W193" s="300">
        <f t="shared" si="105"/>
        <v>4536.1037420384137</v>
      </c>
      <c r="X193" s="300">
        <f t="shared" si="106"/>
        <v>4536.1037420384137</v>
      </c>
      <c r="Y193" s="300">
        <f t="shared" si="107"/>
        <v>4536.1037420384137</v>
      </c>
      <c r="Z193" s="300">
        <f t="shared" si="108"/>
        <v>18144.414968153655</v>
      </c>
      <c r="AA193" s="295"/>
      <c r="AB193" s="295"/>
      <c r="AC193" s="298">
        <f>'Unit Savings Calculations'!N189</f>
        <v>13.148126788517139</v>
      </c>
      <c r="AD193" s="295"/>
      <c r="AE193" s="300">
        <f t="shared" si="72"/>
        <v>4536.1037420384137</v>
      </c>
      <c r="AF193" s="297">
        <f t="shared" si="73"/>
        <v>0</v>
      </c>
      <c r="AG193" s="295"/>
      <c r="AH193" s="295">
        <f t="shared" si="74"/>
        <v>0</v>
      </c>
      <c r="AI193" s="298">
        <f>'Unit Savings Calculations'!O189</f>
        <v>13.148126788517139</v>
      </c>
      <c r="AJ193" s="405" t="s">
        <v>879</v>
      </c>
      <c r="AK193" s="300">
        <f t="shared" si="75"/>
        <v>4536.1037420384137</v>
      </c>
      <c r="AL193" s="297">
        <f t="shared" si="76"/>
        <v>0</v>
      </c>
      <c r="AM193" s="295"/>
      <c r="AN193" s="295"/>
      <c r="AO193" s="298">
        <f>'Unit Savings Calculations'!P189</f>
        <v>13.148126788517139</v>
      </c>
      <c r="AP193" s="405" t="s">
        <v>764</v>
      </c>
      <c r="AQ193" s="300">
        <f t="shared" si="77"/>
        <v>4536.1037420384137</v>
      </c>
      <c r="AR193" s="297">
        <f t="shared" si="78"/>
        <v>0</v>
      </c>
      <c r="AS193" s="295"/>
      <c r="AT193" s="295"/>
      <c r="AU193" s="298">
        <f>'Unit Savings Calculations'!Q189</f>
        <v>13.148126788517139</v>
      </c>
      <c r="AV193" s="405" t="str">
        <f t="shared" si="79"/>
        <v>n/a</v>
      </c>
      <c r="AW193" s="300">
        <f t="shared" si="80"/>
        <v>4536.1037420384137</v>
      </c>
      <c r="AX193" s="297">
        <f t="shared" si="81"/>
        <v>0</v>
      </c>
      <c r="AY193" s="300">
        <f t="shared" si="82"/>
        <v>4536.1037420384137</v>
      </c>
      <c r="AZ193" s="300">
        <f t="shared" si="83"/>
        <v>4536.1037420384137</v>
      </c>
      <c r="BA193" s="300">
        <f t="shared" si="84"/>
        <v>4536.1037420384137</v>
      </c>
      <c r="BB193" s="300">
        <f t="shared" si="85"/>
        <v>4536.1037420384137</v>
      </c>
      <c r="BC193" s="301">
        <f t="shared" si="86"/>
        <v>18144.414968153655</v>
      </c>
      <c r="BD193" s="295" t="s">
        <v>764</v>
      </c>
      <c r="BE193" s="302" t="str">
        <f t="shared" si="87"/>
        <v>Exhibit 1.5A_R North Shore EEPS_Adjustable_Savings_Goal_Template.xlsx, Pipe Insulation Detail Tab</v>
      </c>
      <c r="BF193" s="304"/>
    </row>
    <row r="194" spans="1:58" ht="15.75" customHeight="1">
      <c r="A194" s="295" t="str">
        <f>'Unit Savings Calculations'!C190</f>
        <v>Bus - SB Rebates</v>
      </c>
      <c r="B194" s="295" t="str">
        <f>'Unit Savings Calculations'!D190</f>
        <v>Pipe Insulation - Steam - Large 5.1" to 8"</v>
      </c>
      <c r="C194" s="296">
        <f t="shared" si="88"/>
        <v>1</v>
      </c>
      <c r="D194" s="295" t="str">
        <f>'Unit Savings Calculations'!T190</f>
        <v>4.4.14</v>
      </c>
      <c r="E194" s="460">
        <f>INDEX('Unit Savings Calculations'!$H$4:$H$421,MATCH('Measure-Level Adjustments Tab'!$A194&amp;"_"&amp;'Measure-Level Adjustments Tab'!$B194,'Unit Savings Calculations'!$A$4:$A$421,0))</f>
        <v>15</v>
      </c>
      <c r="F194" s="460">
        <f>INDEX('Unit Savings Calculations'!$I$4:$I$421,MATCH('Measure-Level Adjustments Tab'!A194&amp;"_"&amp;'Measure-Level Adjustments Tab'!B194,'Unit Savings Calculations'!$A$4:$A$421,0))</f>
        <v>15</v>
      </c>
      <c r="G194" s="295" t="str">
        <f>'Unit Savings Calculations'!E190</f>
        <v>ft</v>
      </c>
      <c r="H194" s="297">
        <f>'Unit Savings Calculations'!$F190*'Unit Savings Calculations'!J190</f>
        <v>0</v>
      </c>
      <c r="I194" s="297">
        <f>'Unit Savings Calculations'!$F190*'Unit Savings Calculations'!K190</f>
        <v>0</v>
      </c>
      <c r="J194" s="297">
        <f>'Unit Savings Calculations'!$F190*'Unit Savings Calculations'!L190</f>
        <v>0</v>
      </c>
      <c r="K194" s="297">
        <f>'Unit Savings Calculations'!$F190*'Unit Savings Calculations'!M190</f>
        <v>0</v>
      </c>
      <c r="L194" s="295" t="str">
        <f>'Unit Savings Calculations'!U190</f>
        <v>CI-HVC-PINS-V04-160601</v>
      </c>
      <c r="M194" s="405" t="str">
        <f>'Unit Savings Calculations'!R190</f>
        <v>Exhibit 1.5A_R North Shore EEPS_Adjustable_Savings_Goal_Template.xlsx, Pipe Insulation Detail Tab</v>
      </c>
      <c r="N194" s="298">
        <v>24.25563238537794</v>
      </c>
      <c r="O194" s="298">
        <v>24.25563238537794</v>
      </c>
      <c r="P194" s="298">
        <v>24.25563238537794</v>
      </c>
      <c r="Q194" s="298">
        <v>24.25563238537794</v>
      </c>
      <c r="R194" s="299">
        <f>'Unit Savings Calculations'!$G190</f>
        <v>0.92</v>
      </c>
      <c r="S194" s="299">
        <f>'Unit Savings Calculations'!$G190</f>
        <v>0.92</v>
      </c>
      <c r="T194" s="299">
        <f>'Unit Savings Calculations'!$G190</f>
        <v>0.92</v>
      </c>
      <c r="U194" s="299">
        <f>'Unit Savings Calculations'!$G190</f>
        <v>0.92</v>
      </c>
      <c r="V194" s="300">
        <f t="shared" si="104"/>
        <v>0</v>
      </c>
      <c r="W194" s="300">
        <f t="shared" si="105"/>
        <v>0</v>
      </c>
      <c r="X194" s="300">
        <f t="shared" si="106"/>
        <v>0</v>
      </c>
      <c r="Y194" s="300">
        <f t="shared" si="107"/>
        <v>0</v>
      </c>
      <c r="Z194" s="300">
        <f t="shared" si="108"/>
        <v>0</v>
      </c>
      <c r="AA194" s="295"/>
      <c r="AB194" s="295"/>
      <c r="AC194" s="298">
        <f>'Unit Savings Calculations'!N190</f>
        <v>24.25563238537794</v>
      </c>
      <c r="AD194" s="295"/>
      <c r="AE194" s="300">
        <f t="shared" si="72"/>
        <v>0</v>
      </c>
      <c r="AF194" s="297">
        <f t="shared" si="73"/>
        <v>0</v>
      </c>
      <c r="AG194" s="295"/>
      <c r="AH194" s="295">
        <f t="shared" si="74"/>
        <v>0</v>
      </c>
      <c r="AI194" s="298">
        <f>'Unit Savings Calculations'!O190</f>
        <v>24.25563238537794</v>
      </c>
      <c r="AJ194" s="405" t="s">
        <v>879</v>
      </c>
      <c r="AK194" s="300">
        <f t="shared" si="75"/>
        <v>0</v>
      </c>
      <c r="AL194" s="297">
        <f t="shared" si="76"/>
        <v>0</v>
      </c>
      <c r="AM194" s="295"/>
      <c r="AN194" s="295"/>
      <c r="AO194" s="298">
        <f>'Unit Savings Calculations'!P190</f>
        <v>24.25563238537794</v>
      </c>
      <c r="AP194" s="405" t="s">
        <v>764</v>
      </c>
      <c r="AQ194" s="300">
        <f t="shared" si="77"/>
        <v>0</v>
      </c>
      <c r="AR194" s="297">
        <f t="shared" si="78"/>
        <v>0</v>
      </c>
      <c r="AS194" s="295"/>
      <c r="AT194" s="295"/>
      <c r="AU194" s="298">
        <f>'Unit Savings Calculations'!Q190</f>
        <v>24.25563238537794</v>
      </c>
      <c r="AV194" s="405" t="str">
        <f t="shared" si="79"/>
        <v>n/a</v>
      </c>
      <c r="AW194" s="300">
        <f t="shared" si="80"/>
        <v>0</v>
      </c>
      <c r="AX194" s="297">
        <f t="shared" si="81"/>
        <v>0</v>
      </c>
      <c r="AY194" s="300">
        <f t="shared" si="82"/>
        <v>0</v>
      </c>
      <c r="AZ194" s="300">
        <f t="shared" si="83"/>
        <v>0</v>
      </c>
      <c r="BA194" s="300">
        <f t="shared" si="84"/>
        <v>0</v>
      </c>
      <c r="BB194" s="300">
        <f t="shared" si="85"/>
        <v>0</v>
      </c>
      <c r="BC194" s="301">
        <f t="shared" si="86"/>
        <v>0</v>
      </c>
      <c r="BD194" s="295" t="s">
        <v>764</v>
      </c>
      <c r="BE194" s="302" t="str">
        <f t="shared" si="87"/>
        <v>Exhibit 1.5A_R North Shore EEPS_Adjustable_Savings_Goal_Template.xlsx, Pipe Insulation Detail Tab</v>
      </c>
      <c r="BF194" s="304"/>
    </row>
    <row r="195" spans="1:58" ht="15.75" customHeight="1">
      <c r="A195" s="295" t="str">
        <f>'Unit Savings Calculations'!C191</f>
        <v>Bus - SB Rebates</v>
      </c>
      <c r="B195" s="295" t="str">
        <f>'Unit Savings Calculations'!D191</f>
        <v>Pipe Insulation - Steam - X-Large &gt;8"</v>
      </c>
      <c r="C195" s="296">
        <f t="shared" si="88"/>
        <v>1</v>
      </c>
      <c r="D195" s="295" t="str">
        <f>'Unit Savings Calculations'!T191</f>
        <v>4.4.14</v>
      </c>
      <c r="E195" s="460">
        <f>INDEX('Unit Savings Calculations'!$H$4:$H$421,MATCH('Measure-Level Adjustments Tab'!$A195&amp;"_"&amp;'Measure-Level Adjustments Tab'!$B195,'Unit Savings Calculations'!$A$4:$A$421,0))</f>
        <v>15</v>
      </c>
      <c r="F195" s="460">
        <f>INDEX('Unit Savings Calculations'!$I$4:$I$421,MATCH('Measure-Level Adjustments Tab'!A195&amp;"_"&amp;'Measure-Level Adjustments Tab'!B195,'Unit Savings Calculations'!$A$4:$A$421,0))</f>
        <v>15</v>
      </c>
      <c r="G195" s="295" t="str">
        <f>'Unit Savings Calculations'!E191</f>
        <v>ft</v>
      </c>
      <c r="H195" s="297">
        <f>'Unit Savings Calculations'!$F191*'Unit Savings Calculations'!J191</f>
        <v>0</v>
      </c>
      <c r="I195" s="297">
        <f>'Unit Savings Calculations'!$F191*'Unit Savings Calculations'!K191</f>
        <v>0</v>
      </c>
      <c r="J195" s="297">
        <f>'Unit Savings Calculations'!$F191*'Unit Savings Calculations'!L191</f>
        <v>0</v>
      </c>
      <c r="K195" s="297">
        <f>'Unit Savings Calculations'!$F191*'Unit Savings Calculations'!M191</f>
        <v>0</v>
      </c>
      <c r="L195" s="295" t="str">
        <f>'Unit Savings Calculations'!U191</f>
        <v>CI-HVC-PINS-V04-160601</v>
      </c>
      <c r="M195" s="405" t="str">
        <f>'Unit Savings Calculations'!R191</f>
        <v>Exhibit 1.5A_R North Shore EEPS_Adjustable_Savings_Goal_Template.xlsx, Pipe Insulation Detail Tab</v>
      </c>
      <c r="N195" s="298">
        <v>35.984797966765058</v>
      </c>
      <c r="O195" s="298">
        <v>35.984797966765058</v>
      </c>
      <c r="P195" s="298">
        <v>35.984797966765058</v>
      </c>
      <c r="Q195" s="298">
        <v>35.984797966765058</v>
      </c>
      <c r="R195" s="299">
        <f>'Unit Savings Calculations'!$G191</f>
        <v>0.92</v>
      </c>
      <c r="S195" s="299">
        <f>'Unit Savings Calculations'!$G191</f>
        <v>0.92</v>
      </c>
      <c r="T195" s="299">
        <f>'Unit Savings Calculations'!$G191</f>
        <v>0.92</v>
      </c>
      <c r="U195" s="299">
        <f>'Unit Savings Calculations'!$G191</f>
        <v>0.92</v>
      </c>
      <c r="V195" s="300">
        <f t="shared" si="104"/>
        <v>0</v>
      </c>
      <c r="W195" s="300">
        <f t="shared" si="105"/>
        <v>0</v>
      </c>
      <c r="X195" s="300">
        <f t="shared" si="106"/>
        <v>0</v>
      </c>
      <c r="Y195" s="300">
        <f t="shared" si="107"/>
        <v>0</v>
      </c>
      <c r="Z195" s="300">
        <f t="shared" si="108"/>
        <v>0</v>
      </c>
      <c r="AA195" s="295"/>
      <c r="AB195" s="295"/>
      <c r="AC195" s="298">
        <f>'Unit Savings Calculations'!N191</f>
        <v>35.984797966765058</v>
      </c>
      <c r="AD195" s="295"/>
      <c r="AE195" s="300">
        <f t="shared" si="72"/>
        <v>0</v>
      </c>
      <c r="AF195" s="297">
        <f t="shared" si="73"/>
        <v>0</v>
      </c>
      <c r="AG195" s="295"/>
      <c r="AH195" s="295">
        <f t="shared" si="74"/>
        <v>0</v>
      </c>
      <c r="AI195" s="298">
        <f>'Unit Savings Calculations'!O191</f>
        <v>35.984797966765058</v>
      </c>
      <c r="AJ195" s="405" t="s">
        <v>879</v>
      </c>
      <c r="AK195" s="300">
        <f t="shared" si="75"/>
        <v>0</v>
      </c>
      <c r="AL195" s="297">
        <f t="shared" si="76"/>
        <v>0</v>
      </c>
      <c r="AM195" s="295"/>
      <c r="AN195" s="295"/>
      <c r="AO195" s="298">
        <f>'Unit Savings Calculations'!P191</f>
        <v>35.984797966765058</v>
      </c>
      <c r="AP195" s="405" t="s">
        <v>764</v>
      </c>
      <c r="AQ195" s="300">
        <f t="shared" si="77"/>
        <v>0</v>
      </c>
      <c r="AR195" s="297">
        <f t="shared" si="78"/>
        <v>0</v>
      </c>
      <c r="AS195" s="295"/>
      <c r="AT195" s="295"/>
      <c r="AU195" s="298">
        <f>'Unit Savings Calculations'!Q191</f>
        <v>35.984797966765058</v>
      </c>
      <c r="AV195" s="405" t="str">
        <f t="shared" si="79"/>
        <v>n/a</v>
      </c>
      <c r="AW195" s="300">
        <f t="shared" si="80"/>
        <v>0</v>
      </c>
      <c r="AX195" s="297">
        <f t="shared" si="81"/>
        <v>0</v>
      </c>
      <c r="AY195" s="300">
        <f t="shared" si="82"/>
        <v>0</v>
      </c>
      <c r="AZ195" s="300">
        <f t="shared" si="83"/>
        <v>0</v>
      </c>
      <c r="BA195" s="300">
        <f t="shared" si="84"/>
        <v>0</v>
      </c>
      <c r="BB195" s="300">
        <f t="shared" si="85"/>
        <v>0</v>
      </c>
      <c r="BC195" s="301">
        <f t="shared" si="86"/>
        <v>0</v>
      </c>
      <c r="BD195" s="295" t="s">
        <v>764</v>
      </c>
      <c r="BE195" s="302" t="str">
        <f t="shared" si="87"/>
        <v>Exhibit 1.5A_R North Shore EEPS_Adjustable_Savings_Goal_Template.xlsx, Pipe Insulation Detail Tab</v>
      </c>
      <c r="BF195" s="304"/>
    </row>
    <row r="196" spans="1:58" ht="15.75" customHeight="1">
      <c r="A196" s="295" t="str">
        <f>'Unit Savings Calculations'!C192</f>
        <v>Bus - SB Rebates</v>
      </c>
      <c r="B196" s="295" t="str">
        <f>'Unit Savings Calculations'!D192</f>
        <v>Pipe Insulation - Steam Med Fitting</v>
      </c>
      <c r="C196" s="296">
        <f t="shared" si="88"/>
        <v>1</v>
      </c>
      <c r="D196" s="295" t="str">
        <f>'Unit Savings Calculations'!T192</f>
        <v>4.4.14</v>
      </c>
      <c r="E196" s="460">
        <f>INDEX('Unit Savings Calculations'!$H$4:$H$421,MATCH('Measure-Level Adjustments Tab'!$A196&amp;"_"&amp;'Measure-Level Adjustments Tab'!$B196,'Unit Savings Calculations'!$A$4:$A$421,0))</f>
        <v>15</v>
      </c>
      <c r="F196" s="460">
        <f>INDEX('Unit Savings Calculations'!$I$4:$I$421,MATCH('Measure-Level Adjustments Tab'!A196&amp;"_"&amp;'Measure-Level Adjustments Tab'!B196,'Unit Savings Calculations'!$A$4:$A$421,0))</f>
        <v>15</v>
      </c>
      <c r="G196" s="295" t="str">
        <f>'Unit Savings Calculations'!E192</f>
        <v>each</v>
      </c>
      <c r="H196" s="297">
        <f>'Unit Savings Calculations'!$F192*'Unit Savings Calculations'!J192</f>
        <v>5</v>
      </c>
      <c r="I196" s="297">
        <f>'Unit Savings Calculations'!$F192*'Unit Savings Calculations'!K192</f>
        <v>5</v>
      </c>
      <c r="J196" s="297">
        <f>'Unit Savings Calculations'!$F192*'Unit Savings Calculations'!L192</f>
        <v>5</v>
      </c>
      <c r="K196" s="297">
        <f>'Unit Savings Calculations'!$F192*'Unit Savings Calculations'!M192</f>
        <v>5</v>
      </c>
      <c r="L196" s="295" t="str">
        <f>'Unit Savings Calculations'!U192</f>
        <v>CI-HVC-PINS-V04-160601</v>
      </c>
      <c r="M196" s="405" t="str">
        <f>'Unit Savings Calculations'!R192</f>
        <v>Exhibit 1.5A_R North Shore EEPS_Adjustable_Savings_Goal_Template.xlsx, Pipe Insulation Detail Tab</v>
      </c>
      <c r="N196" s="298">
        <v>12.515179237984789</v>
      </c>
      <c r="O196" s="298">
        <v>12.515179237984789</v>
      </c>
      <c r="P196" s="298">
        <v>12.515179237984789</v>
      </c>
      <c r="Q196" s="298">
        <v>12.515179237984789</v>
      </c>
      <c r="R196" s="299">
        <f>'Unit Savings Calculations'!$G192</f>
        <v>0.92</v>
      </c>
      <c r="S196" s="299">
        <f>'Unit Savings Calculations'!$G192</f>
        <v>0.92</v>
      </c>
      <c r="T196" s="299">
        <f>'Unit Savings Calculations'!$G192</f>
        <v>0.92</v>
      </c>
      <c r="U196" s="299">
        <f>'Unit Savings Calculations'!$G192</f>
        <v>0.92</v>
      </c>
      <c r="V196" s="300">
        <f t="shared" si="104"/>
        <v>57.569824494730035</v>
      </c>
      <c r="W196" s="300">
        <f t="shared" si="105"/>
        <v>57.569824494730035</v>
      </c>
      <c r="X196" s="300">
        <f t="shared" si="106"/>
        <v>57.569824494730035</v>
      </c>
      <c r="Y196" s="300">
        <f t="shared" si="107"/>
        <v>57.569824494730035</v>
      </c>
      <c r="Z196" s="300">
        <f t="shared" si="108"/>
        <v>230.27929797892014</v>
      </c>
      <c r="AA196" s="295"/>
      <c r="AB196" s="295"/>
      <c r="AC196" s="298">
        <f>'Unit Savings Calculations'!N192</f>
        <v>12.515179237984789</v>
      </c>
      <c r="AD196" s="295"/>
      <c r="AE196" s="300">
        <f t="shared" si="72"/>
        <v>57.569824494730035</v>
      </c>
      <c r="AF196" s="297">
        <f t="shared" si="73"/>
        <v>0</v>
      </c>
      <c r="AG196" s="295"/>
      <c r="AH196" s="295">
        <f t="shared" si="74"/>
        <v>0</v>
      </c>
      <c r="AI196" s="298">
        <f>'Unit Savings Calculations'!O192</f>
        <v>12.515179237984789</v>
      </c>
      <c r="AJ196" s="405" t="s">
        <v>879</v>
      </c>
      <c r="AK196" s="300">
        <f t="shared" si="75"/>
        <v>57.569824494730035</v>
      </c>
      <c r="AL196" s="297">
        <f t="shared" si="76"/>
        <v>0</v>
      </c>
      <c r="AM196" s="295"/>
      <c r="AN196" s="295"/>
      <c r="AO196" s="298">
        <f>'Unit Savings Calculations'!P192</f>
        <v>12.515179237984789</v>
      </c>
      <c r="AP196" s="405" t="s">
        <v>764</v>
      </c>
      <c r="AQ196" s="300">
        <f t="shared" si="77"/>
        <v>57.569824494730035</v>
      </c>
      <c r="AR196" s="297">
        <f t="shared" si="78"/>
        <v>0</v>
      </c>
      <c r="AS196" s="295"/>
      <c r="AT196" s="295"/>
      <c r="AU196" s="298">
        <f>'Unit Savings Calculations'!Q192</f>
        <v>12.515179237984789</v>
      </c>
      <c r="AV196" s="405" t="str">
        <f t="shared" si="79"/>
        <v>n/a</v>
      </c>
      <c r="AW196" s="300">
        <f t="shared" si="80"/>
        <v>57.569824494730035</v>
      </c>
      <c r="AX196" s="297">
        <f t="shared" si="81"/>
        <v>0</v>
      </c>
      <c r="AY196" s="300">
        <f t="shared" si="82"/>
        <v>57.569824494730035</v>
      </c>
      <c r="AZ196" s="300">
        <f t="shared" si="83"/>
        <v>57.569824494730035</v>
      </c>
      <c r="BA196" s="300">
        <f t="shared" si="84"/>
        <v>57.569824494730035</v>
      </c>
      <c r="BB196" s="300">
        <f t="shared" si="85"/>
        <v>57.569824494730035</v>
      </c>
      <c r="BC196" s="301">
        <f t="shared" si="86"/>
        <v>230.27929797892014</v>
      </c>
      <c r="BD196" s="295" t="s">
        <v>764</v>
      </c>
      <c r="BE196" s="302" t="str">
        <f t="shared" si="87"/>
        <v>Exhibit 1.5A_R North Shore EEPS_Adjustable_Savings_Goal_Template.xlsx, Pipe Insulation Detail Tab</v>
      </c>
      <c r="BF196" s="304"/>
    </row>
    <row r="197" spans="1:58" ht="15.75" customHeight="1">
      <c r="A197" s="295" t="str">
        <f>'Unit Savings Calculations'!C193</f>
        <v>Bus - SB Rebates</v>
      </c>
      <c r="B197" s="295" t="str">
        <f>'Unit Savings Calculations'!D193</f>
        <v>Pipe Insulation - Steam Large Fitting</v>
      </c>
      <c r="C197" s="296">
        <f t="shared" si="88"/>
        <v>1</v>
      </c>
      <c r="D197" s="295" t="str">
        <f>'Unit Savings Calculations'!T193</f>
        <v>4.4.14</v>
      </c>
      <c r="E197" s="460">
        <f>INDEX('Unit Savings Calculations'!$H$4:$H$421,MATCH('Measure-Level Adjustments Tab'!$A197&amp;"_"&amp;'Measure-Level Adjustments Tab'!$B197,'Unit Savings Calculations'!$A$4:$A$421,0))</f>
        <v>15</v>
      </c>
      <c r="F197" s="460">
        <f>INDEX('Unit Savings Calculations'!$I$4:$I$421,MATCH('Measure-Level Adjustments Tab'!A197&amp;"_"&amp;'Measure-Level Adjustments Tab'!B197,'Unit Savings Calculations'!$A$4:$A$421,0))</f>
        <v>15</v>
      </c>
      <c r="G197" s="295" t="str">
        <f>'Unit Savings Calculations'!E193</f>
        <v>each</v>
      </c>
      <c r="H197" s="297">
        <f>'Unit Savings Calculations'!$F193*'Unit Savings Calculations'!J193</f>
        <v>0</v>
      </c>
      <c r="I197" s="297">
        <f>'Unit Savings Calculations'!$F193*'Unit Savings Calculations'!K193</f>
        <v>0</v>
      </c>
      <c r="J197" s="297">
        <f>'Unit Savings Calculations'!$F193*'Unit Savings Calculations'!L193</f>
        <v>0</v>
      </c>
      <c r="K197" s="297">
        <f>'Unit Savings Calculations'!$F193*'Unit Savings Calculations'!M193</f>
        <v>0</v>
      </c>
      <c r="L197" s="295" t="str">
        <f>'Unit Savings Calculations'!U193</f>
        <v>CI-HVC-PINS-V04-160601</v>
      </c>
      <c r="M197" s="405" t="str">
        <f>'Unit Savings Calculations'!R193</f>
        <v>Exhibit 1.5A_R North Shore EEPS_Adjustable_Savings_Goal_Template.xlsx, Pipe Insulation Detail Tab</v>
      </c>
      <c r="N197" s="298">
        <v>51.249515380658096</v>
      </c>
      <c r="O197" s="298">
        <v>51.249515380658096</v>
      </c>
      <c r="P197" s="298">
        <v>51.249515380658096</v>
      </c>
      <c r="Q197" s="298">
        <v>51.249515380658096</v>
      </c>
      <c r="R197" s="299">
        <f>'Unit Savings Calculations'!$G193</f>
        <v>0.92</v>
      </c>
      <c r="S197" s="299">
        <f>'Unit Savings Calculations'!$G193</f>
        <v>0.92</v>
      </c>
      <c r="T197" s="299">
        <f>'Unit Savings Calculations'!$G193</f>
        <v>0.92</v>
      </c>
      <c r="U197" s="299">
        <f>'Unit Savings Calculations'!$G193</f>
        <v>0.92</v>
      </c>
      <c r="V197" s="300">
        <f t="shared" si="104"/>
        <v>0</v>
      </c>
      <c r="W197" s="300">
        <f t="shared" si="105"/>
        <v>0</v>
      </c>
      <c r="X197" s="300">
        <f t="shared" si="106"/>
        <v>0</v>
      </c>
      <c r="Y197" s="300">
        <f t="shared" si="107"/>
        <v>0</v>
      </c>
      <c r="Z197" s="300">
        <f t="shared" si="108"/>
        <v>0</v>
      </c>
      <c r="AA197" s="295"/>
      <c r="AB197" s="295"/>
      <c r="AC197" s="298">
        <f>'Unit Savings Calculations'!N193</f>
        <v>51.249515380658096</v>
      </c>
      <c r="AD197" s="295"/>
      <c r="AE197" s="300">
        <f t="shared" si="72"/>
        <v>0</v>
      </c>
      <c r="AF197" s="297">
        <f t="shared" si="73"/>
        <v>0</v>
      </c>
      <c r="AG197" s="295"/>
      <c r="AH197" s="295">
        <f t="shared" si="74"/>
        <v>0</v>
      </c>
      <c r="AI197" s="298">
        <f>'Unit Savings Calculations'!O193</f>
        <v>51.249515380658096</v>
      </c>
      <c r="AJ197" s="405" t="s">
        <v>879</v>
      </c>
      <c r="AK197" s="300">
        <f t="shared" si="75"/>
        <v>0</v>
      </c>
      <c r="AL197" s="297">
        <f t="shared" si="76"/>
        <v>0</v>
      </c>
      <c r="AM197" s="295"/>
      <c r="AN197" s="295"/>
      <c r="AO197" s="298">
        <f>'Unit Savings Calculations'!P193</f>
        <v>51.249515380658096</v>
      </c>
      <c r="AP197" s="405" t="s">
        <v>764</v>
      </c>
      <c r="AQ197" s="300">
        <f t="shared" si="77"/>
        <v>0</v>
      </c>
      <c r="AR197" s="297">
        <f t="shared" si="78"/>
        <v>0</v>
      </c>
      <c r="AS197" s="295"/>
      <c r="AT197" s="295"/>
      <c r="AU197" s="298">
        <f>'Unit Savings Calculations'!Q193</f>
        <v>51.249515380658096</v>
      </c>
      <c r="AV197" s="405" t="str">
        <f t="shared" si="79"/>
        <v>n/a</v>
      </c>
      <c r="AW197" s="300">
        <f t="shared" si="80"/>
        <v>0</v>
      </c>
      <c r="AX197" s="297">
        <f t="shared" si="81"/>
        <v>0</v>
      </c>
      <c r="AY197" s="300">
        <f t="shared" si="82"/>
        <v>0</v>
      </c>
      <c r="AZ197" s="300">
        <f t="shared" si="83"/>
        <v>0</v>
      </c>
      <c r="BA197" s="300">
        <f t="shared" si="84"/>
        <v>0</v>
      </c>
      <c r="BB197" s="300">
        <f t="shared" si="85"/>
        <v>0</v>
      </c>
      <c r="BC197" s="301">
        <f t="shared" si="86"/>
        <v>0</v>
      </c>
      <c r="BD197" s="295" t="s">
        <v>764</v>
      </c>
      <c r="BE197" s="302" t="str">
        <f t="shared" si="87"/>
        <v>Exhibit 1.5A_R North Shore EEPS_Adjustable_Savings_Goal_Template.xlsx, Pipe Insulation Detail Tab</v>
      </c>
      <c r="BF197" s="304"/>
    </row>
    <row r="198" spans="1:58" ht="15.75" customHeight="1">
      <c r="A198" s="295" t="str">
        <f>'Unit Savings Calculations'!C194</f>
        <v>Bus - SB Rebates</v>
      </c>
      <c r="B198" s="295" t="str">
        <f>'Unit Savings Calculations'!D194</f>
        <v>Pipe Insulation - Steam X-Large Fitting</v>
      </c>
      <c r="C198" s="296">
        <f t="shared" si="88"/>
        <v>1</v>
      </c>
      <c r="D198" s="295" t="str">
        <f>'Unit Savings Calculations'!T194</f>
        <v>4.4.14</v>
      </c>
      <c r="E198" s="460">
        <f>INDEX('Unit Savings Calculations'!$H$4:$H$421,MATCH('Measure-Level Adjustments Tab'!$A198&amp;"_"&amp;'Measure-Level Adjustments Tab'!$B198,'Unit Savings Calculations'!$A$4:$A$421,0))</f>
        <v>15</v>
      </c>
      <c r="F198" s="460">
        <f>INDEX('Unit Savings Calculations'!$I$4:$I$421,MATCH('Measure-Level Adjustments Tab'!A198&amp;"_"&amp;'Measure-Level Adjustments Tab'!B198,'Unit Savings Calculations'!$A$4:$A$421,0))</f>
        <v>15</v>
      </c>
      <c r="G198" s="295" t="str">
        <f>'Unit Savings Calculations'!E194</f>
        <v>each</v>
      </c>
      <c r="H198" s="297">
        <f>'Unit Savings Calculations'!$F194*'Unit Savings Calculations'!J194</f>
        <v>0</v>
      </c>
      <c r="I198" s="297">
        <f>'Unit Savings Calculations'!$F194*'Unit Savings Calculations'!K194</f>
        <v>0</v>
      </c>
      <c r="J198" s="297">
        <f>'Unit Savings Calculations'!$F194*'Unit Savings Calculations'!L194</f>
        <v>0</v>
      </c>
      <c r="K198" s="297">
        <f>'Unit Savings Calculations'!$F194*'Unit Savings Calculations'!M194</f>
        <v>0</v>
      </c>
      <c r="L198" s="295" t="str">
        <f>'Unit Savings Calculations'!U194</f>
        <v>CI-HVC-PINS-V04-160601</v>
      </c>
      <c r="M198" s="405" t="str">
        <f>'Unit Savings Calculations'!R194</f>
        <v>Exhibit 1.5A_R North Shore EEPS_Adjustable_Savings_Goal_Template.xlsx, Pipe Insulation Detail Tab</v>
      </c>
      <c r="N198" s="298">
        <v>99.138118398437726</v>
      </c>
      <c r="O198" s="298">
        <v>99.138118398437726</v>
      </c>
      <c r="P198" s="298">
        <v>99.138118398437726</v>
      </c>
      <c r="Q198" s="298">
        <v>99.138118398437726</v>
      </c>
      <c r="R198" s="299">
        <f>'Unit Savings Calculations'!$G194</f>
        <v>0.92</v>
      </c>
      <c r="S198" s="299">
        <f>'Unit Savings Calculations'!$G194</f>
        <v>0.92</v>
      </c>
      <c r="T198" s="299">
        <f>'Unit Savings Calculations'!$G194</f>
        <v>0.92</v>
      </c>
      <c r="U198" s="299">
        <f>'Unit Savings Calculations'!$G194</f>
        <v>0.92</v>
      </c>
      <c r="V198" s="300">
        <f t="shared" si="104"/>
        <v>0</v>
      </c>
      <c r="W198" s="300">
        <f t="shared" si="105"/>
        <v>0</v>
      </c>
      <c r="X198" s="300">
        <f t="shared" si="106"/>
        <v>0</v>
      </c>
      <c r="Y198" s="300">
        <f t="shared" si="107"/>
        <v>0</v>
      </c>
      <c r="Z198" s="300">
        <f t="shared" si="108"/>
        <v>0</v>
      </c>
      <c r="AA198" s="295"/>
      <c r="AB198" s="295"/>
      <c r="AC198" s="298">
        <f>'Unit Savings Calculations'!N194</f>
        <v>99.138118398437726</v>
      </c>
      <c r="AD198" s="295"/>
      <c r="AE198" s="300">
        <f t="shared" si="72"/>
        <v>0</v>
      </c>
      <c r="AF198" s="297">
        <f t="shared" si="73"/>
        <v>0</v>
      </c>
      <c r="AG198" s="295"/>
      <c r="AH198" s="295">
        <f t="shared" si="74"/>
        <v>0</v>
      </c>
      <c r="AI198" s="298">
        <f>'Unit Savings Calculations'!O194</f>
        <v>99.138118398437726</v>
      </c>
      <c r="AJ198" s="405" t="s">
        <v>879</v>
      </c>
      <c r="AK198" s="300">
        <f t="shared" si="75"/>
        <v>0</v>
      </c>
      <c r="AL198" s="297">
        <f t="shared" si="76"/>
        <v>0</v>
      </c>
      <c r="AM198" s="295"/>
      <c r="AN198" s="295"/>
      <c r="AO198" s="298">
        <f>'Unit Savings Calculations'!P194</f>
        <v>99.138118398437726</v>
      </c>
      <c r="AP198" s="405" t="s">
        <v>764</v>
      </c>
      <c r="AQ198" s="300">
        <f t="shared" si="77"/>
        <v>0</v>
      </c>
      <c r="AR198" s="297">
        <f t="shared" si="78"/>
        <v>0</v>
      </c>
      <c r="AS198" s="295"/>
      <c r="AT198" s="295"/>
      <c r="AU198" s="298">
        <f>'Unit Savings Calculations'!Q194</f>
        <v>99.138118398437726</v>
      </c>
      <c r="AV198" s="405" t="str">
        <f t="shared" si="79"/>
        <v>n/a</v>
      </c>
      <c r="AW198" s="300">
        <f t="shared" si="80"/>
        <v>0</v>
      </c>
      <c r="AX198" s="297">
        <f t="shared" si="81"/>
        <v>0</v>
      </c>
      <c r="AY198" s="300">
        <f t="shared" si="82"/>
        <v>0</v>
      </c>
      <c r="AZ198" s="300">
        <f t="shared" si="83"/>
        <v>0</v>
      </c>
      <c r="BA198" s="300">
        <f t="shared" si="84"/>
        <v>0</v>
      </c>
      <c r="BB198" s="300">
        <f t="shared" si="85"/>
        <v>0</v>
      </c>
      <c r="BC198" s="301">
        <f t="shared" si="86"/>
        <v>0</v>
      </c>
      <c r="BD198" s="295" t="s">
        <v>764</v>
      </c>
      <c r="BE198" s="302" t="str">
        <f t="shared" si="87"/>
        <v>Exhibit 1.5A_R North Shore EEPS_Adjustable_Savings_Goal_Template.xlsx, Pipe Insulation Detail Tab</v>
      </c>
      <c r="BF198" s="304"/>
    </row>
    <row r="199" spans="1:58" ht="15.75" customHeight="1">
      <c r="A199" s="295" t="str">
        <f>'Unit Savings Calculations'!C195</f>
        <v>Bus - SB Rebates</v>
      </c>
      <c r="B199" s="295" t="str">
        <f>'Unit Savings Calculations'!D195</f>
        <v>Pipe Insulation - Steam Med Valve</v>
      </c>
      <c r="C199" s="296">
        <f t="shared" si="88"/>
        <v>1</v>
      </c>
      <c r="D199" s="295" t="str">
        <f>'Unit Savings Calculations'!T195</f>
        <v>4.4.14</v>
      </c>
      <c r="E199" s="460">
        <f>INDEX('Unit Savings Calculations'!$H$4:$H$421,MATCH('Measure-Level Adjustments Tab'!$A199&amp;"_"&amp;'Measure-Level Adjustments Tab'!$B199,'Unit Savings Calculations'!$A$4:$A$421,0))</f>
        <v>15</v>
      </c>
      <c r="F199" s="460">
        <f>INDEX('Unit Savings Calculations'!$I$4:$I$421,MATCH('Measure-Level Adjustments Tab'!A199&amp;"_"&amp;'Measure-Level Adjustments Tab'!B199,'Unit Savings Calculations'!$A$4:$A$421,0))</f>
        <v>15</v>
      </c>
      <c r="G199" s="295" t="str">
        <f>'Unit Savings Calculations'!E195</f>
        <v>each</v>
      </c>
      <c r="H199" s="297">
        <f>'Unit Savings Calculations'!$F195*'Unit Savings Calculations'!J195</f>
        <v>0</v>
      </c>
      <c r="I199" s="297">
        <f>'Unit Savings Calculations'!$F195*'Unit Savings Calculations'!K195</f>
        <v>0</v>
      </c>
      <c r="J199" s="297">
        <f>'Unit Savings Calculations'!$F195*'Unit Savings Calculations'!L195</f>
        <v>0</v>
      </c>
      <c r="K199" s="297">
        <f>'Unit Savings Calculations'!$F195*'Unit Savings Calculations'!M195</f>
        <v>0</v>
      </c>
      <c r="L199" s="295" t="str">
        <f>'Unit Savings Calculations'!U195</f>
        <v>CI-HVC-PINS-V04-160601</v>
      </c>
      <c r="M199" s="405" t="str">
        <f>'Unit Savings Calculations'!R195</f>
        <v>Exhibit 1.5A_R North Shore EEPS_Adjustable_Savings_Goal_Template.xlsx, Pipe Insulation Detail Tab</v>
      </c>
      <c r="N199" s="298">
        <v>37.423389683572815</v>
      </c>
      <c r="O199" s="298">
        <v>37.423389683572815</v>
      </c>
      <c r="P199" s="298">
        <v>37.423389683572815</v>
      </c>
      <c r="Q199" s="298">
        <v>37.423389683572815</v>
      </c>
      <c r="R199" s="299">
        <f>'Unit Savings Calculations'!$G195</f>
        <v>0.92</v>
      </c>
      <c r="S199" s="299">
        <f>'Unit Savings Calculations'!$G195</f>
        <v>0.92</v>
      </c>
      <c r="T199" s="299">
        <f>'Unit Savings Calculations'!$G195</f>
        <v>0.92</v>
      </c>
      <c r="U199" s="299">
        <f>'Unit Savings Calculations'!$G195</f>
        <v>0.92</v>
      </c>
      <c r="V199" s="300">
        <f t="shared" si="104"/>
        <v>0</v>
      </c>
      <c r="W199" s="300">
        <f t="shared" si="105"/>
        <v>0</v>
      </c>
      <c r="X199" s="300">
        <f t="shared" si="106"/>
        <v>0</v>
      </c>
      <c r="Y199" s="300">
        <f t="shared" si="107"/>
        <v>0</v>
      </c>
      <c r="Z199" s="300">
        <f t="shared" si="108"/>
        <v>0</v>
      </c>
      <c r="AA199" s="295"/>
      <c r="AB199" s="295"/>
      <c r="AC199" s="298">
        <f>'Unit Savings Calculations'!N195</f>
        <v>37.423389683572815</v>
      </c>
      <c r="AD199" s="295"/>
      <c r="AE199" s="300">
        <f t="shared" si="72"/>
        <v>0</v>
      </c>
      <c r="AF199" s="297">
        <f t="shared" si="73"/>
        <v>0</v>
      </c>
      <c r="AG199" s="295"/>
      <c r="AH199" s="295">
        <f t="shared" si="74"/>
        <v>0</v>
      </c>
      <c r="AI199" s="298">
        <f>'Unit Savings Calculations'!O195</f>
        <v>37.423389683572815</v>
      </c>
      <c r="AJ199" s="405" t="s">
        <v>879</v>
      </c>
      <c r="AK199" s="300">
        <f t="shared" si="75"/>
        <v>0</v>
      </c>
      <c r="AL199" s="297">
        <f t="shared" si="76"/>
        <v>0</v>
      </c>
      <c r="AM199" s="295"/>
      <c r="AN199" s="295"/>
      <c r="AO199" s="298">
        <f>'Unit Savings Calculations'!P195</f>
        <v>37.423389683572815</v>
      </c>
      <c r="AP199" s="405" t="s">
        <v>764</v>
      </c>
      <c r="AQ199" s="300">
        <f t="shared" si="77"/>
        <v>0</v>
      </c>
      <c r="AR199" s="297">
        <f t="shared" si="78"/>
        <v>0</v>
      </c>
      <c r="AS199" s="295"/>
      <c r="AT199" s="295"/>
      <c r="AU199" s="298">
        <f>'Unit Savings Calculations'!Q195</f>
        <v>37.423389683572815</v>
      </c>
      <c r="AV199" s="405" t="str">
        <f t="shared" si="79"/>
        <v>n/a</v>
      </c>
      <c r="AW199" s="300">
        <f t="shared" si="80"/>
        <v>0</v>
      </c>
      <c r="AX199" s="297">
        <f t="shared" si="81"/>
        <v>0</v>
      </c>
      <c r="AY199" s="300">
        <f t="shared" si="82"/>
        <v>0</v>
      </c>
      <c r="AZ199" s="300">
        <f t="shared" si="83"/>
        <v>0</v>
      </c>
      <c r="BA199" s="300">
        <f t="shared" si="84"/>
        <v>0</v>
      </c>
      <c r="BB199" s="300">
        <f t="shared" si="85"/>
        <v>0</v>
      </c>
      <c r="BC199" s="301">
        <f t="shared" si="86"/>
        <v>0</v>
      </c>
      <c r="BD199" s="295" t="s">
        <v>764</v>
      </c>
      <c r="BE199" s="302" t="str">
        <f t="shared" si="87"/>
        <v>Exhibit 1.5A_R North Shore EEPS_Adjustable_Savings_Goal_Template.xlsx, Pipe Insulation Detail Tab</v>
      </c>
      <c r="BF199" s="304"/>
    </row>
    <row r="200" spans="1:58" ht="15.75" customHeight="1">
      <c r="A200" s="295" t="str">
        <f>'Unit Savings Calculations'!C196</f>
        <v>Bus - SB Rebates</v>
      </c>
      <c r="B200" s="295" t="str">
        <f>'Unit Savings Calculations'!D196</f>
        <v>Pipe Insulation - Steam Large Valve</v>
      </c>
      <c r="C200" s="296">
        <f t="shared" si="88"/>
        <v>1</v>
      </c>
      <c r="D200" s="295" t="str">
        <f>'Unit Savings Calculations'!T196</f>
        <v>4.4.14</v>
      </c>
      <c r="E200" s="460">
        <f>INDEX('Unit Savings Calculations'!$H$4:$H$421,MATCH('Measure-Level Adjustments Tab'!$A200&amp;"_"&amp;'Measure-Level Adjustments Tab'!$B200,'Unit Savings Calculations'!$A$4:$A$421,0))</f>
        <v>15</v>
      </c>
      <c r="F200" s="460">
        <f>INDEX('Unit Savings Calculations'!$I$4:$I$421,MATCH('Measure-Level Adjustments Tab'!A200&amp;"_"&amp;'Measure-Level Adjustments Tab'!B200,'Unit Savings Calculations'!$A$4:$A$421,0))</f>
        <v>15</v>
      </c>
      <c r="G200" s="295" t="str">
        <f>'Unit Savings Calculations'!E196</f>
        <v>each</v>
      </c>
      <c r="H200" s="297">
        <f>'Unit Savings Calculations'!$F196*'Unit Savings Calculations'!J196</f>
        <v>0</v>
      </c>
      <c r="I200" s="297">
        <f>'Unit Savings Calculations'!$F196*'Unit Savings Calculations'!K196</f>
        <v>0</v>
      </c>
      <c r="J200" s="297">
        <f>'Unit Savings Calculations'!$F196*'Unit Savings Calculations'!L196</f>
        <v>0</v>
      </c>
      <c r="K200" s="297">
        <f>'Unit Savings Calculations'!$F196*'Unit Savings Calculations'!M196</f>
        <v>0</v>
      </c>
      <c r="L200" s="295" t="str">
        <f>'Unit Savings Calculations'!U196</f>
        <v>CI-HVC-PINS-V04-160601</v>
      </c>
      <c r="M200" s="405" t="str">
        <f>'Unit Savings Calculations'!R196</f>
        <v>Exhibit 1.5A_R North Shore EEPS_Adjustable_Savings_Goal_Template.xlsx, Pipe Insulation Detail Tab</v>
      </c>
      <c r="N200" s="298">
        <v>107.52607289087437</v>
      </c>
      <c r="O200" s="298">
        <v>107.52607289087437</v>
      </c>
      <c r="P200" s="298">
        <v>107.52607289087437</v>
      </c>
      <c r="Q200" s="298">
        <v>107.52607289087437</v>
      </c>
      <c r="R200" s="299">
        <f>'Unit Savings Calculations'!$G196</f>
        <v>0.92</v>
      </c>
      <c r="S200" s="299">
        <f>'Unit Savings Calculations'!$G196</f>
        <v>0.92</v>
      </c>
      <c r="T200" s="299">
        <f>'Unit Savings Calculations'!$G196</f>
        <v>0.92</v>
      </c>
      <c r="U200" s="299">
        <f>'Unit Savings Calculations'!$G196</f>
        <v>0.92</v>
      </c>
      <c r="V200" s="300">
        <f t="shared" si="104"/>
        <v>0</v>
      </c>
      <c r="W200" s="300">
        <f t="shared" si="105"/>
        <v>0</v>
      </c>
      <c r="X200" s="300">
        <f t="shared" si="106"/>
        <v>0</v>
      </c>
      <c r="Y200" s="300">
        <f t="shared" si="107"/>
        <v>0</v>
      </c>
      <c r="Z200" s="300">
        <f t="shared" si="108"/>
        <v>0</v>
      </c>
      <c r="AA200" s="295"/>
      <c r="AB200" s="295"/>
      <c r="AC200" s="298">
        <f>'Unit Savings Calculations'!N196</f>
        <v>107.52607289087437</v>
      </c>
      <c r="AD200" s="295"/>
      <c r="AE200" s="300">
        <f t="shared" si="72"/>
        <v>0</v>
      </c>
      <c r="AF200" s="297">
        <f t="shared" si="73"/>
        <v>0</v>
      </c>
      <c r="AG200" s="295"/>
      <c r="AH200" s="295">
        <f t="shared" si="74"/>
        <v>0</v>
      </c>
      <c r="AI200" s="298">
        <f>'Unit Savings Calculations'!O196</f>
        <v>107.52607289087437</v>
      </c>
      <c r="AJ200" s="405" t="s">
        <v>879</v>
      </c>
      <c r="AK200" s="300">
        <f t="shared" si="75"/>
        <v>0</v>
      </c>
      <c r="AL200" s="297">
        <f t="shared" si="76"/>
        <v>0</v>
      </c>
      <c r="AM200" s="295"/>
      <c r="AN200" s="295"/>
      <c r="AO200" s="298">
        <f>'Unit Savings Calculations'!P196</f>
        <v>107.52607289087437</v>
      </c>
      <c r="AP200" s="405" t="s">
        <v>764</v>
      </c>
      <c r="AQ200" s="300">
        <f t="shared" si="77"/>
        <v>0</v>
      </c>
      <c r="AR200" s="297">
        <f t="shared" si="78"/>
        <v>0</v>
      </c>
      <c r="AS200" s="295"/>
      <c r="AT200" s="295"/>
      <c r="AU200" s="298">
        <f>'Unit Savings Calculations'!Q196</f>
        <v>107.52607289087437</v>
      </c>
      <c r="AV200" s="405" t="str">
        <f t="shared" si="79"/>
        <v>n/a</v>
      </c>
      <c r="AW200" s="300">
        <f t="shared" si="80"/>
        <v>0</v>
      </c>
      <c r="AX200" s="297">
        <f t="shared" si="81"/>
        <v>0</v>
      </c>
      <c r="AY200" s="300">
        <f t="shared" si="82"/>
        <v>0</v>
      </c>
      <c r="AZ200" s="300">
        <f t="shared" si="83"/>
        <v>0</v>
      </c>
      <c r="BA200" s="300">
        <f t="shared" si="84"/>
        <v>0</v>
      </c>
      <c r="BB200" s="300">
        <f t="shared" si="85"/>
        <v>0</v>
      </c>
      <c r="BC200" s="301">
        <f t="shared" si="86"/>
        <v>0</v>
      </c>
      <c r="BD200" s="295" t="s">
        <v>764</v>
      </c>
      <c r="BE200" s="302" t="str">
        <f t="shared" si="87"/>
        <v>Exhibit 1.5A_R North Shore EEPS_Adjustable_Savings_Goal_Template.xlsx, Pipe Insulation Detail Tab</v>
      </c>
      <c r="BF200" s="304"/>
    </row>
    <row r="201" spans="1:58" ht="15.75" customHeight="1">
      <c r="A201" s="295" t="str">
        <f>'Unit Savings Calculations'!C197</f>
        <v>Bus - SB Rebates</v>
      </c>
      <c r="B201" s="295" t="str">
        <f>'Unit Savings Calculations'!D197</f>
        <v>Pipe Insulation - Steam X-Large Valve</v>
      </c>
      <c r="C201" s="296">
        <f t="shared" si="88"/>
        <v>1</v>
      </c>
      <c r="D201" s="295" t="str">
        <f>'Unit Savings Calculations'!T197</f>
        <v>4.4.14</v>
      </c>
      <c r="E201" s="460">
        <f>INDEX('Unit Savings Calculations'!$H$4:$H$421,MATCH('Measure-Level Adjustments Tab'!$A201&amp;"_"&amp;'Measure-Level Adjustments Tab'!$B201,'Unit Savings Calculations'!$A$4:$A$421,0))</f>
        <v>15</v>
      </c>
      <c r="F201" s="460">
        <f>INDEX('Unit Savings Calculations'!$I$4:$I$421,MATCH('Measure-Level Adjustments Tab'!A201&amp;"_"&amp;'Measure-Level Adjustments Tab'!B201,'Unit Savings Calculations'!$A$4:$A$421,0))</f>
        <v>15</v>
      </c>
      <c r="G201" s="295" t="str">
        <f>'Unit Savings Calculations'!E197</f>
        <v>each</v>
      </c>
      <c r="H201" s="297">
        <f>'Unit Savings Calculations'!$F197*'Unit Savings Calculations'!J197</f>
        <v>0</v>
      </c>
      <c r="I201" s="297">
        <f>'Unit Savings Calculations'!$F197*'Unit Savings Calculations'!K197</f>
        <v>0</v>
      </c>
      <c r="J201" s="297">
        <f>'Unit Savings Calculations'!$F197*'Unit Savings Calculations'!L197</f>
        <v>0</v>
      </c>
      <c r="K201" s="297">
        <f>'Unit Savings Calculations'!$F197*'Unit Savings Calculations'!M197</f>
        <v>0</v>
      </c>
      <c r="L201" s="295" t="str">
        <f>'Unit Savings Calculations'!U197</f>
        <v>CI-HVC-PINS-V04-160601</v>
      </c>
      <c r="M201" s="405" t="str">
        <f>'Unit Savings Calculations'!R197</f>
        <v>Exhibit 1.5A_R North Shore EEPS_Adjustable_Savings_Goal_Template.xlsx, Pipe Insulation Detail Tab</v>
      </c>
      <c r="N201" s="298">
        <v>175.06254164158375</v>
      </c>
      <c r="O201" s="298">
        <v>175.06254164158375</v>
      </c>
      <c r="P201" s="298">
        <v>175.06254164158375</v>
      </c>
      <c r="Q201" s="298">
        <v>175.06254164158375</v>
      </c>
      <c r="R201" s="299">
        <f>'Unit Savings Calculations'!$G197</f>
        <v>0.92</v>
      </c>
      <c r="S201" s="299">
        <f>'Unit Savings Calculations'!$G197</f>
        <v>0.92</v>
      </c>
      <c r="T201" s="299">
        <f>'Unit Savings Calculations'!$G197</f>
        <v>0.92</v>
      </c>
      <c r="U201" s="299">
        <f>'Unit Savings Calculations'!$G197</f>
        <v>0.92</v>
      </c>
      <c r="V201" s="300">
        <f t="shared" si="104"/>
        <v>0</v>
      </c>
      <c r="W201" s="300">
        <f t="shared" si="105"/>
        <v>0</v>
      </c>
      <c r="X201" s="300">
        <f t="shared" si="106"/>
        <v>0</v>
      </c>
      <c r="Y201" s="300">
        <f t="shared" si="107"/>
        <v>0</v>
      </c>
      <c r="Z201" s="300">
        <f t="shared" si="108"/>
        <v>0</v>
      </c>
      <c r="AA201" s="295"/>
      <c r="AB201" s="295"/>
      <c r="AC201" s="298">
        <f>'Unit Savings Calculations'!N197</f>
        <v>175.06254164158375</v>
      </c>
      <c r="AD201" s="295"/>
      <c r="AE201" s="300">
        <f t="shared" si="72"/>
        <v>0</v>
      </c>
      <c r="AF201" s="297">
        <f t="shared" si="73"/>
        <v>0</v>
      </c>
      <c r="AG201" s="295"/>
      <c r="AH201" s="295">
        <f t="shared" si="74"/>
        <v>0</v>
      </c>
      <c r="AI201" s="298">
        <f>'Unit Savings Calculations'!O197</f>
        <v>175.06254164158375</v>
      </c>
      <c r="AJ201" s="405" t="s">
        <v>879</v>
      </c>
      <c r="AK201" s="300">
        <f t="shared" si="75"/>
        <v>0</v>
      </c>
      <c r="AL201" s="297">
        <f t="shared" si="76"/>
        <v>0</v>
      </c>
      <c r="AM201" s="295"/>
      <c r="AN201" s="295"/>
      <c r="AO201" s="298">
        <f>'Unit Savings Calculations'!P197</f>
        <v>175.06254164158375</v>
      </c>
      <c r="AP201" s="405" t="s">
        <v>764</v>
      </c>
      <c r="AQ201" s="300">
        <f t="shared" si="77"/>
        <v>0</v>
      </c>
      <c r="AR201" s="297">
        <f t="shared" si="78"/>
        <v>0</v>
      </c>
      <c r="AS201" s="295"/>
      <c r="AT201" s="295"/>
      <c r="AU201" s="298">
        <f>'Unit Savings Calculations'!Q197</f>
        <v>175.06254164158375</v>
      </c>
      <c r="AV201" s="405" t="str">
        <f t="shared" ref="AV201:AV264" si="109">AP201</f>
        <v>n/a</v>
      </c>
      <c r="AW201" s="300">
        <f t="shared" si="80"/>
        <v>0</v>
      </c>
      <c r="AX201" s="297">
        <f t="shared" si="81"/>
        <v>0</v>
      </c>
      <c r="AY201" s="300">
        <f t="shared" ref="AY201:AY264" si="110">IF(C201=1,AE201,V201)</f>
        <v>0</v>
      </c>
      <c r="AZ201" s="300">
        <f t="shared" ref="AZ201:AZ264" si="111">IF(C201=1,AK201,W201)</f>
        <v>0</v>
      </c>
      <c r="BA201" s="300">
        <f t="shared" ref="BA201:BA264" si="112">IF(C201=1,AQ201,X201)</f>
        <v>0</v>
      </c>
      <c r="BB201" s="300">
        <f t="shared" ref="BB201:BB264" si="113">IF(C201=1,AW201,Y201)</f>
        <v>0</v>
      </c>
      <c r="BC201" s="301">
        <f t="shared" ref="BC201:BC264" si="114">AY201+AZ201+BA201+BB201</f>
        <v>0</v>
      </c>
      <c r="BD201" s="295" t="s">
        <v>764</v>
      </c>
      <c r="BE201" s="302" t="str">
        <f t="shared" ref="BE201:BE264" si="115">M201</f>
        <v>Exhibit 1.5A_R North Shore EEPS_Adjustable_Savings_Goal_Template.xlsx, Pipe Insulation Detail Tab</v>
      </c>
      <c r="BF201" s="304"/>
    </row>
    <row r="202" spans="1:58" ht="15.75" customHeight="1">
      <c r="A202" s="295" t="str">
        <f>'Unit Savings Calculations'!C198</f>
        <v>Bus - SB Rebates</v>
      </c>
      <c r="B202" s="295" t="str">
        <f>'Unit Savings Calculations'!D198</f>
        <v>Pre Rinse Sprayer</v>
      </c>
      <c r="C202" s="296">
        <f t="shared" si="88"/>
        <v>1</v>
      </c>
      <c r="D202" s="295" t="str">
        <f>'Unit Savings Calculations'!T198</f>
        <v>4.2.11</v>
      </c>
      <c r="E202" s="460">
        <f>INDEX('Unit Savings Calculations'!$H$4:$H$421,MATCH('Measure-Level Adjustments Tab'!$A202&amp;"_"&amp;'Measure-Level Adjustments Tab'!$B202,'Unit Savings Calculations'!$A$4:$A$421,0))</f>
        <v>5</v>
      </c>
      <c r="F202" s="460">
        <f>INDEX('Unit Savings Calculations'!$I$4:$I$421,MATCH('Measure-Level Adjustments Tab'!A202&amp;"_"&amp;'Measure-Level Adjustments Tab'!B202,'Unit Savings Calculations'!$A$4:$A$421,0))</f>
        <v>5</v>
      </c>
      <c r="G202" s="295" t="str">
        <f>'Unit Savings Calculations'!E198</f>
        <v>each</v>
      </c>
      <c r="H202" s="297">
        <f>'Unit Savings Calculations'!$F198*'Unit Savings Calculations'!J198</f>
        <v>5</v>
      </c>
      <c r="I202" s="297">
        <f>'Unit Savings Calculations'!$F198*'Unit Savings Calculations'!K198</f>
        <v>5</v>
      </c>
      <c r="J202" s="297">
        <f>'Unit Savings Calculations'!$F198*'Unit Savings Calculations'!L198</f>
        <v>5</v>
      </c>
      <c r="K202" s="297">
        <f>'Unit Savings Calculations'!$F198*'Unit Savings Calculations'!M198</f>
        <v>5</v>
      </c>
      <c r="L202" s="295" t="str">
        <f>'Unit Savings Calculations'!U198</f>
        <v>CI-FSE-SPRY-V04-180101</v>
      </c>
      <c r="M202" s="405" t="str">
        <f>'Unit Savings Calculations'!R198</f>
        <v>Exhibit 1.5A_R North Shore EEPS_Adjustable_Savings_Goal_Template.xlsx, Pipe Insulation Detail Tab</v>
      </c>
      <c r="N202" s="298">
        <v>110.52077400000002</v>
      </c>
      <c r="O202" s="298">
        <v>110.52077400000002</v>
      </c>
      <c r="P202" s="298">
        <v>110.52077400000002</v>
      </c>
      <c r="Q202" s="298">
        <v>110.52077400000002</v>
      </c>
      <c r="R202" s="299">
        <f>'Unit Savings Calculations'!$G198</f>
        <v>0.92</v>
      </c>
      <c r="S202" s="299">
        <f>'Unit Savings Calculations'!$G198</f>
        <v>0.92</v>
      </c>
      <c r="T202" s="299">
        <f>'Unit Savings Calculations'!$G198</f>
        <v>0.92</v>
      </c>
      <c r="U202" s="299">
        <f>'Unit Savings Calculations'!$G198</f>
        <v>0.92</v>
      </c>
      <c r="V202" s="300">
        <f t="shared" si="104"/>
        <v>508.39556040000014</v>
      </c>
      <c r="W202" s="300">
        <f t="shared" si="105"/>
        <v>508.39556040000014</v>
      </c>
      <c r="X202" s="300">
        <f t="shared" si="106"/>
        <v>508.39556040000014</v>
      </c>
      <c r="Y202" s="300">
        <f t="shared" si="107"/>
        <v>508.39556040000014</v>
      </c>
      <c r="Z202" s="300">
        <f t="shared" si="108"/>
        <v>2033.5822416000005</v>
      </c>
      <c r="AA202" s="295"/>
      <c r="AB202" s="295"/>
      <c r="AC202" s="298">
        <f>'Unit Savings Calculations'!N198</f>
        <v>51.167025000000002</v>
      </c>
      <c r="AD202" s="295"/>
      <c r="AE202" s="300">
        <f t="shared" ref="AE202:AE265" si="116">H202*AC202*R202</f>
        <v>235.36831500000002</v>
      </c>
      <c r="AF202" s="297">
        <f t="shared" ref="AF202:AF265" si="117">AE202-V202</f>
        <v>-273.02724540000008</v>
      </c>
      <c r="AG202" s="295"/>
      <c r="AH202" s="295">
        <f t="shared" ref="AH202:AH265" si="118">AB202</f>
        <v>0</v>
      </c>
      <c r="AI202" s="298">
        <f>'Unit Savings Calculations'!O198</f>
        <v>51.167025000000002</v>
      </c>
      <c r="AJ202" s="405" t="s">
        <v>879</v>
      </c>
      <c r="AK202" s="300">
        <f t="shared" ref="AK202:AK265" si="119">I202*AI202*S202</f>
        <v>235.36831500000002</v>
      </c>
      <c r="AL202" s="297">
        <f t="shared" ref="AL202:AL265" si="120">AK202-W202</f>
        <v>-273.02724540000008</v>
      </c>
      <c r="AM202" s="295"/>
      <c r="AN202" s="295"/>
      <c r="AO202" s="298">
        <f>'Unit Savings Calculations'!P198</f>
        <v>51.167025000000002</v>
      </c>
      <c r="AP202" s="405" t="s">
        <v>1429</v>
      </c>
      <c r="AQ202" s="300">
        <f t="shared" ref="AQ202:AQ265" si="121">J202*AO202*T202</f>
        <v>235.36831500000002</v>
      </c>
      <c r="AR202" s="297">
        <f t="shared" ref="AR202:AR265" si="122">AQ202-X202</f>
        <v>-273.02724540000008</v>
      </c>
      <c r="AS202" s="295"/>
      <c r="AT202" s="295"/>
      <c r="AU202" s="298">
        <f>'Unit Savings Calculations'!Q198</f>
        <v>51.167025000000002</v>
      </c>
      <c r="AV202" s="405" t="str">
        <f t="shared" si="109"/>
        <v>Updated base and EE flow rates</v>
      </c>
      <c r="AW202" s="300">
        <f t="shared" ref="AW202:AW265" si="123">K202*AU202*U202</f>
        <v>235.36831500000002</v>
      </c>
      <c r="AX202" s="297">
        <f t="shared" ref="AX202:AX265" si="124">AW202-Y202</f>
        <v>-273.02724540000008</v>
      </c>
      <c r="AY202" s="300">
        <f t="shared" si="110"/>
        <v>235.36831500000002</v>
      </c>
      <c r="AZ202" s="300">
        <f t="shared" si="111"/>
        <v>235.36831500000002</v>
      </c>
      <c r="BA202" s="300">
        <f t="shared" si="112"/>
        <v>235.36831500000002</v>
      </c>
      <c r="BB202" s="300">
        <f t="shared" si="113"/>
        <v>235.36831500000002</v>
      </c>
      <c r="BC202" s="301">
        <f t="shared" si="114"/>
        <v>941.4732600000001</v>
      </c>
      <c r="BD202" s="295" t="s">
        <v>764</v>
      </c>
      <c r="BE202" s="302" t="str">
        <f t="shared" si="115"/>
        <v>Exhibit 1.5A_R North Shore EEPS_Adjustable_Savings_Goal_Template.xlsx, Pipe Insulation Detail Tab</v>
      </c>
      <c r="BF202" s="304"/>
    </row>
    <row r="203" spans="1:58" ht="15.75" customHeight="1">
      <c r="A203" s="295" t="str">
        <f>'Unit Savings Calculations'!C199</f>
        <v>Bus - SB Rebates</v>
      </c>
      <c r="B203" s="295" t="str">
        <f>'Unit Savings Calculations'!D199</f>
        <v>Steam Boiler ≥82% AFUE, &gt;300MBh TE</v>
      </c>
      <c r="C203" s="296">
        <f t="shared" si="88"/>
        <v>1</v>
      </c>
      <c r="D203" s="295" t="str">
        <f>'Unit Savings Calculations'!T199</f>
        <v>4.4.10</v>
      </c>
      <c r="E203" s="460">
        <f>INDEX('Unit Savings Calculations'!$H$4:$H$421,MATCH('Measure-Level Adjustments Tab'!$A203&amp;"_"&amp;'Measure-Level Adjustments Tab'!$B203,'Unit Savings Calculations'!$A$4:$A$421,0))</f>
        <v>20</v>
      </c>
      <c r="F203" s="460">
        <f>INDEX('Unit Savings Calculations'!$I$4:$I$421,MATCH('Measure-Level Adjustments Tab'!A203&amp;"_"&amp;'Measure-Level Adjustments Tab'!B203,'Unit Savings Calculations'!$A$4:$A$421,0))</f>
        <v>20</v>
      </c>
      <c r="G203" s="295" t="str">
        <f>'Unit Savings Calculations'!E199</f>
        <v>MBH</v>
      </c>
      <c r="H203" s="297">
        <f>'Unit Savings Calculations'!$F199*'Unit Savings Calculations'!J199</f>
        <v>0</v>
      </c>
      <c r="I203" s="297">
        <f>'Unit Savings Calculations'!$F199*'Unit Savings Calculations'!K199</f>
        <v>0</v>
      </c>
      <c r="J203" s="297">
        <f>'Unit Savings Calculations'!$F199*'Unit Savings Calculations'!L199</f>
        <v>0</v>
      </c>
      <c r="K203" s="297">
        <f>'Unit Savings Calculations'!$F199*'Unit Savings Calculations'!M199</f>
        <v>0</v>
      </c>
      <c r="L203" s="295" t="str">
        <f>'Unit Savings Calculations'!U199</f>
        <v>CI-HVC-BOIL-V05-150601</v>
      </c>
      <c r="M203" s="405" t="str">
        <f>'Unit Savings Calculations'!R199</f>
        <v>Exhibit 1.5A_R North Shore EEPS_Adjustable_Savings_Goal_Template.xlsx, Unit Savings Calculations Tab</v>
      </c>
      <c r="N203" s="298">
        <v>0.60265822784809941</v>
      </c>
      <c r="O203" s="298">
        <v>0.60265822784809941</v>
      </c>
      <c r="P203" s="298">
        <v>0.60265822784809941</v>
      </c>
      <c r="Q203" s="298">
        <v>0.60265822784809941</v>
      </c>
      <c r="R203" s="299">
        <f>'Unit Savings Calculations'!$G199</f>
        <v>0.92</v>
      </c>
      <c r="S203" s="299">
        <f>'Unit Savings Calculations'!$G199</f>
        <v>0.92</v>
      </c>
      <c r="T203" s="299">
        <f>'Unit Savings Calculations'!$G199</f>
        <v>0.92</v>
      </c>
      <c r="U203" s="299">
        <f>'Unit Savings Calculations'!$G199</f>
        <v>0.92</v>
      </c>
      <c r="V203" s="300">
        <f t="shared" si="104"/>
        <v>0</v>
      </c>
      <c r="W203" s="300">
        <f t="shared" si="105"/>
        <v>0</v>
      </c>
      <c r="X203" s="300">
        <f t="shared" si="106"/>
        <v>0</v>
      </c>
      <c r="Y203" s="300">
        <f t="shared" si="107"/>
        <v>0</v>
      </c>
      <c r="Z203" s="300">
        <f t="shared" si="108"/>
        <v>0</v>
      </c>
      <c r="AA203" s="295"/>
      <c r="AB203" s="295"/>
      <c r="AC203" s="298">
        <f>'Unit Savings Calculations'!N199</f>
        <v>0.61860759493670714</v>
      </c>
      <c r="AD203" s="295"/>
      <c r="AE203" s="300">
        <f t="shared" si="116"/>
        <v>0</v>
      </c>
      <c r="AF203" s="297">
        <f t="shared" si="117"/>
        <v>0</v>
      </c>
      <c r="AG203" s="295"/>
      <c r="AH203" s="295">
        <f t="shared" si="118"/>
        <v>0</v>
      </c>
      <c r="AI203" s="298">
        <f>'Unit Savings Calculations'!O199</f>
        <v>0.61860759493670714</v>
      </c>
      <c r="AJ203" s="405" t="s">
        <v>879</v>
      </c>
      <c r="AK203" s="300">
        <f t="shared" si="119"/>
        <v>0</v>
      </c>
      <c r="AL203" s="297">
        <f t="shared" si="120"/>
        <v>0</v>
      </c>
      <c r="AM203" s="295"/>
      <c r="AN203" s="295"/>
      <c r="AO203" s="298">
        <f>'Unit Savings Calculations'!P199</f>
        <v>0.61860759493670714</v>
      </c>
      <c r="AP203" s="405" t="s">
        <v>1443</v>
      </c>
      <c r="AQ203" s="300">
        <f t="shared" si="121"/>
        <v>0</v>
      </c>
      <c r="AR203" s="297">
        <f t="shared" si="122"/>
        <v>0</v>
      </c>
      <c r="AS203" s="295"/>
      <c r="AT203" s="295"/>
      <c r="AU203" s="298">
        <f>'Unit Savings Calculations'!Q199</f>
        <v>0.61860759493670714</v>
      </c>
      <c r="AV203" s="405" t="str">
        <f t="shared" si="109"/>
        <v>Updated heating EFLH</v>
      </c>
      <c r="AW203" s="300">
        <f t="shared" si="123"/>
        <v>0</v>
      </c>
      <c r="AX203" s="297">
        <f t="shared" si="124"/>
        <v>0</v>
      </c>
      <c r="AY203" s="300">
        <f t="shared" si="110"/>
        <v>0</v>
      </c>
      <c r="AZ203" s="300">
        <f t="shared" si="111"/>
        <v>0</v>
      </c>
      <c r="BA203" s="300">
        <f t="shared" si="112"/>
        <v>0</v>
      </c>
      <c r="BB203" s="300">
        <f t="shared" si="113"/>
        <v>0</v>
      </c>
      <c r="BC203" s="301">
        <f t="shared" si="114"/>
        <v>0</v>
      </c>
      <c r="BD203" s="295" t="s">
        <v>764</v>
      </c>
      <c r="BE203" s="302" t="str">
        <f t="shared" si="115"/>
        <v>Exhibit 1.5A_R North Shore EEPS_Adjustable_Savings_Goal_Template.xlsx, Unit Savings Calculations Tab</v>
      </c>
      <c r="BF203" s="304"/>
    </row>
    <row r="204" spans="1:58" ht="15.75" customHeight="1">
      <c r="A204" s="295" t="str">
        <f>'Unit Savings Calculations'!C200</f>
        <v>Bus - SB Rebates</v>
      </c>
      <c r="B204" s="295" t="str">
        <f>'Unit Savings Calculations'!D200</f>
        <v>Steam Traps - Dry Cleaner/Industrial</v>
      </c>
      <c r="C204" s="296">
        <f t="shared" si="88"/>
        <v>1</v>
      </c>
      <c r="D204" s="295" t="str">
        <f>'Unit Savings Calculations'!T200</f>
        <v>4.4.16</v>
      </c>
      <c r="E204" s="460">
        <f>INDEX('Unit Savings Calculations'!$H$4:$H$421,MATCH('Measure-Level Adjustments Tab'!$A204&amp;"_"&amp;'Measure-Level Adjustments Tab'!$B204,'Unit Savings Calculations'!$A$4:$A$421,0))</f>
        <v>6</v>
      </c>
      <c r="F204" s="460">
        <f>INDEX('Unit Savings Calculations'!$I$4:$I$421,MATCH('Measure-Level Adjustments Tab'!A204&amp;"_"&amp;'Measure-Level Adjustments Tab'!B204,'Unit Savings Calculations'!$A$4:$A$421,0))</f>
        <v>6</v>
      </c>
      <c r="G204" s="295" t="str">
        <f>'Unit Savings Calculations'!E200</f>
        <v>each</v>
      </c>
      <c r="H204" s="297">
        <f>'Unit Savings Calculations'!$F200*'Unit Savings Calculations'!J200</f>
        <v>0</v>
      </c>
      <c r="I204" s="297">
        <f>'Unit Savings Calculations'!$F200*'Unit Savings Calculations'!K200</f>
        <v>0</v>
      </c>
      <c r="J204" s="297">
        <f>'Unit Savings Calculations'!$F200*'Unit Savings Calculations'!L200</f>
        <v>0</v>
      </c>
      <c r="K204" s="297">
        <f>'Unit Savings Calculations'!$F200*'Unit Savings Calculations'!M200</f>
        <v>0</v>
      </c>
      <c r="L204" s="295" t="str">
        <f>'Unit Savings Calculations'!U200</f>
        <v>CI-HVC-STRE-V05-180101</v>
      </c>
      <c r="M204" s="405" t="str">
        <f>'Unit Savings Calculations'!R200</f>
        <v>Exhibit 1.5A_R North Shore EEPS_Adjustable_Savings_Goal_Template.xlsx, Unit Savings Calculations Tab</v>
      </c>
      <c r="N204" s="298">
        <v>137.91939591078068</v>
      </c>
      <c r="O204" s="298">
        <v>137.91939591078068</v>
      </c>
      <c r="P204" s="298">
        <v>137.91939591078068</v>
      </c>
      <c r="Q204" s="298">
        <v>137.91939591078068</v>
      </c>
      <c r="R204" s="299">
        <f>'Unit Savings Calculations'!$G200</f>
        <v>0.92</v>
      </c>
      <c r="S204" s="299">
        <f>'Unit Savings Calculations'!$G200</f>
        <v>0.92</v>
      </c>
      <c r="T204" s="299">
        <f>'Unit Savings Calculations'!$G200</f>
        <v>0.92</v>
      </c>
      <c r="U204" s="299">
        <f>'Unit Savings Calculations'!$G200</f>
        <v>0.92</v>
      </c>
      <c r="V204" s="300">
        <f t="shared" si="104"/>
        <v>0</v>
      </c>
      <c r="W204" s="300">
        <f t="shared" si="105"/>
        <v>0</v>
      </c>
      <c r="X204" s="300">
        <f t="shared" si="106"/>
        <v>0</v>
      </c>
      <c r="Y204" s="300">
        <f t="shared" si="107"/>
        <v>0</v>
      </c>
      <c r="Z204" s="300">
        <f t="shared" si="108"/>
        <v>0</v>
      </c>
      <c r="AA204" s="295"/>
      <c r="AB204" s="295"/>
      <c r="AC204" s="298">
        <f>'Unit Savings Calculations'!N200</f>
        <v>137.91939591078068</v>
      </c>
      <c r="AD204" s="295"/>
      <c r="AE204" s="300">
        <f t="shared" si="116"/>
        <v>0</v>
      </c>
      <c r="AF204" s="297">
        <f t="shared" si="117"/>
        <v>0</v>
      </c>
      <c r="AG204" s="295"/>
      <c r="AH204" s="295">
        <f t="shared" si="118"/>
        <v>0</v>
      </c>
      <c r="AI204" s="298">
        <f>'Unit Savings Calculations'!O200</f>
        <v>137.91939591078068</v>
      </c>
      <c r="AJ204" s="405" t="s">
        <v>879</v>
      </c>
      <c r="AK204" s="300">
        <f t="shared" si="119"/>
        <v>0</v>
      </c>
      <c r="AL204" s="297">
        <f t="shared" si="120"/>
        <v>0</v>
      </c>
      <c r="AM204" s="295"/>
      <c r="AN204" s="295"/>
      <c r="AO204" s="298">
        <f>'Unit Savings Calculations'!P200</f>
        <v>137.91939591078068</v>
      </c>
      <c r="AP204" s="405" t="s">
        <v>764</v>
      </c>
      <c r="AQ204" s="300">
        <f t="shared" si="121"/>
        <v>0</v>
      </c>
      <c r="AR204" s="297">
        <f t="shared" si="122"/>
        <v>0</v>
      </c>
      <c r="AS204" s="295"/>
      <c r="AT204" s="295"/>
      <c r="AU204" s="298">
        <f>'Unit Savings Calculations'!Q200</f>
        <v>137.91939591078068</v>
      </c>
      <c r="AV204" s="405" t="str">
        <f t="shared" si="109"/>
        <v>n/a</v>
      </c>
      <c r="AW204" s="300">
        <f t="shared" si="123"/>
        <v>0</v>
      </c>
      <c r="AX204" s="297">
        <f t="shared" si="124"/>
        <v>0</v>
      </c>
      <c r="AY204" s="300">
        <f t="shared" si="110"/>
        <v>0</v>
      </c>
      <c r="AZ204" s="300">
        <f t="shared" si="111"/>
        <v>0</v>
      </c>
      <c r="BA204" s="300">
        <f t="shared" si="112"/>
        <v>0</v>
      </c>
      <c r="BB204" s="300">
        <f t="shared" si="113"/>
        <v>0</v>
      </c>
      <c r="BC204" s="301">
        <f t="shared" si="114"/>
        <v>0</v>
      </c>
      <c r="BD204" s="295" t="s">
        <v>764</v>
      </c>
      <c r="BE204" s="302" t="str">
        <f t="shared" si="115"/>
        <v>Exhibit 1.5A_R North Shore EEPS_Adjustable_Savings_Goal_Template.xlsx, Unit Savings Calculations Tab</v>
      </c>
      <c r="BF204" s="304"/>
    </row>
    <row r="205" spans="1:58" ht="15.75" customHeight="1">
      <c r="A205" s="295" t="str">
        <f>'Unit Savings Calculations'!C201</f>
        <v>Bus - SB Rebates</v>
      </c>
      <c r="B205" s="295" t="str">
        <f>'Unit Savings Calculations'!D201</f>
        <v>Steam Traps - HVAC Repair/Rep - Audit</v>
      </c>
      <c r="C205" s="296">
        <f t="shared" si="88"/>
        <v>1</v>
      </c>
      <c r="D205" s="295" t="str">
        <f>'Unit Savings Calculations'!T201</f>
        <v>4.4.16</v>
      </c>
      <c r="E205" s="460">
        <f>INDEX('Unit Savings Calculations'!$H$4:$H$421,MATCH('Measure-Level Adjustments Tab'!$A205&amp;"_"&amp;'Measure-Level Adjustments Tab'!$B205,'Unit Savings Calculations'!$A$4:$A$421,0))</f>
        <v>6</v>
      </c>
      <c r="F205" s="460">
        <f>INDEX('Unit Savings Calculations'!$I$4:$I$421,MATCH('Measure-Level Adjustments Tab'!A205&amp;"_"&amp;'Measure-Level Adjustments Tab'!B205,'Unit Savings Calculations'!$A$4:$A$421,0))</f>
        <v>6</v>
      </c>
      <c r="G205" s="295" t="str">
        <f>'Unit Savings Calculations'!E201</f>
        <v>each</v>
      </c>
      <c r="H205" s="297">
        <f>'Unit Savings Calculations'!$F201*'Unit Savings Calculations'!J201</f>
        <v>7</v>
      </c>
      <c r="I205" s="297">
        <f>'Unit Savings Calculations'!$F201*'Unit Savings Calculations'!K201</f>
        <v>7</v>
      </c>
      <c r="J205" s="297">
        <f>'Unit Savings Calculations'!$F201*'Unit Savings Calculations'!L201</f>
        <v>7</v>
      </c>
      <c r="K205" s="297">
        <f>'Unit Savings Calculations'!$F201*'Unit Savings Calculations'!M201</f>
        <v>7</v>
      </c>
      <c r="L205" s="295" t="str">
        <f>'Unit Savings Calculations'!U201</f>
        <v>CI-HVC-STRE-V05-180101</v>
      </c>
      <c r="M205" s="405" t="str">
        <f>'Unit Savings Calculations'!R201</f>
        <v>Exhibit 1.5A_R North Shore EEPS_Adjustable_Savings_Goal_Template.xlsx, Unit Savings Calculations Tab</v>
      </c>
      <c r="N205" s="298">
        <v>88.453924126394057</v>
      </c>
      <c r="O205" s="298">
        <v>88.453924126394057</v>
      </c>
      <c r="P205" s="298">
        <v>88.453924126394057</v>
      </c>
      <c r="Q205" s="298">
        <v>88.453924126394057</v>
      </c>
      <c r="R205" s="299">
        <f>'Unit Savings Calculations'!$G201</f>
        <v>0.92</v>
      </c>
      <c r="S205" s="299">
        <f>'Unit Savings Calculations'!$G201</f>
        <v>0.92</v>
      </c>
      <c r="T205" s="299">
        <f>'Unit Savings Calculations'!$G201</f>
        <v>0.92</v>
      </c>
      <c r="U205" s="299">
        <f>'Unit Savings Calculations'!$G201</f>
        <v>0.92</v>
      </c>
      <c r="V205" s="300">
        <f t="shared" si="104"/>
        <v>569.64327137397765</v>
      </c>
      <c r="W205" s="300">
        <f t="shared" si="105"/>
        <v>569.64327137397765</v>
      </c>
      <c r="X205" s="300">
        <f t="shared" si="106"/>
        <v>569.64327137397765</v>
      </c>
      <c r="Y205" s="300">
        <f t="shared" si="107"/>
        <v>569.64327137397765</v>
      </c>
      <c r="Z205" s="300">
        <f t="shared" si="108"/>
        <v>2278.5730854959106</v>
      </c>
      <c r="AA205" s="295"/>
      <c r="AB205" s="295"/>
      <c r="AC205" s="298">
        <f>'Unit Savings Calculations'!N201</f>
        <v>88.453924126394057</v>
      </c>
      <c r="AD205" s="295"/>
      <c r="AE205" s="300">
        <f t="shared" si="116"/>
        <v>569.64327137397765</v>
      </c>
      <c r="AF205" s="297">
        <f t="shared" si="117"/>
        <v>0</v>
      </c>
      <c r="AG205" s="295"/>
      <c r="AH205" s="295">
        <f t="shared" si="118"/>
        <v>0</v>
      </c>
      <c r="AI205" s="298">
        <f>'Unit Savings Calculations'!O201</f>
        <v>88.453924126394057</v>
      </c>
      <c r="AJ205" s="405" t="s">
        <v>879</v>
      </c>
      <c r="AK205" s="300">
        <f t="shared" si="119"/>
        <v>569.64327137397765</v>
      </c>
      <c r="AL205" s="297">
        <f t="shared" si="120"/>
        <v>0</v>
      </c>
      <c r="AM205" s="295"/>
      <c r="AN205" s="295"/>
      <c r="AO205" s="298">
        <f>'Unit Savings Calculations'!P201</f>
        <v>88.453924126394057</v>
      </c>
      <c r="AP205" s="405" t="s">
        <v>764</v>
      </c>
      <c r="AQ205" s="300">
        <f t="shared" si="121"/>
        <v>569.64327137397765</v>
      </c>
      <c r="AR205" s="297">
        <f t="shared" si="122"/>
        <v>0</v>
      </c>
      <c r="AS205" s="295"/>
      <c r="AT205" s="295"/>
      <c r="AU205" s="298">
        <f>'Unit Savings Calculations'!Q201</f>
        <v>88.453924126394057</v>
      </c>
      <c r="AV205" s="405" t="str">
        <f t="shared" si="109"/>
        <v>n/a</v>
      </c>
      <c r="AW205" s="300">
        <f t="shared" si="123"/>
        <v>569.64327137397765</v>
      </c>
      <c r="AX205" s="297">
        <f t="shared" si="124"/>
        <v>0</v>
      </c>
      <c r="AY205" s="300">
        <f t="shared" si="110"/>
        <v>569.64327137397765</v>
      </c>
      <c r="AZ205" s="300">
        <f t="shared" si="111"/>
        <v>569.64327137397765</v>
      </c>
      <c r="BA205" s="300">
        <f t="shared" si="112"/>
        <v>569.64327137397765</v>
      </c>
      <c r="BB205" s="300">
        <f t="shared" si="113"/>
        <v>569.64327137397765</v>
      </c>
      <c r="BC205" s="301">
        <f t="shared" si="114"/>
        <v>2278.5730854959106</v>
      </c>
      <c r="BD205" s="295" t="s">
        <v>764</v>
      </c>
      <c r="BE205" s="302" t="str">
        <f t="shared" si="115"/>
        <v>Exhibit 1.5A_R North Shore EEPS_Adjustable_Savings_Goal_Template.xlsx, Unit Savings Calculations Tab</v>
      </c>
      <c r="BF205" s="304"/>
    </row>
    <row r="206" spans="1:58" ht="15.75" customHeight="1">
      <c r="A206" s="295" t="str">
        <f>'Unit Savings Calculations'!C202</f>
        <v>Bus - SB Rebates</v>
      </c>
      <c r="B206" s="295" t="str">
        <f>'Unit Savings Calculations'!D202</f>
        <v>Steam Traps - HVAC Repair/Rep - No Audit</v>
      </c>
      <c r="C206" s="296">
        <f t="shared" si="88"/>
        <v>1</v>
      </c>
      <c r="D206" s="295" t="str">
        <f>'Unit Savings Calculations'!T202</f>
        <v>4.4.16</v>
      </c>
      <c r="E206" s="460">
        <f>INDEX('Unit Savings Calculations'!$H$4:$H$421,MATCH('Measure-Level Adjustments Tab'!$A206&amp;"_"&amp;'Measure-Level Adjustments Tab'!$B206,'Unit Savings Calculations'!$A$4:$A$421,0))</f>
        <v>6</v>
      </c>
      <c r="F206" s="460">
        <f>INDEX('Unit Savings Calculations'!$I$4:$I$421,MATCH('Measure-Level Adjustments Tab'!A206&amp;"_"&amp;'Measure-Level Adjustments Tab'!B206,'Unit Savings Calculations'!$A$4:$A$421,0))</f>
        <v>6</v>
      </c>
      <c r="G206" s="295" t="str">
        <f>'Unit Savings Calculations'!E202</f>
        <v>each</v>
      </c>
      <c r="H206" s="297">
        <f>'Unit Savings Calculations'!$F202*'Unit Savings Calculations'!J202</f>
        <v>2</v>
      </c>
      <c r="I206" s="297">
        <f>'Unit Savings Calculations'!$F202*'Unit Savings Calculations'!K202</f>
        <v>2</v>
      </c>
      <c r="J206" s="297">
        <f>'Unit Savings Calculations'!$F202*'Unit Savings Calculations'!L202</f>
        <v>2</v>
      </c>
      <c r="K206" s="297">
        <f>'Unit Savings Calculations'!$F202*'Unit Savings Calculations'!M202</f>
        <v>2</v>
      </c>
      <c r="L206" s="295" t="str">
        <f>'Unit Savings Calculations'!U202</f>
        <v>CI-HVC-STRE-V05-180101</v>
      </c>
      <c r="M206" s="405" t="str">
        <f>'Unit Savings Calculations'!R202</f>
        <v>Exhibit 1.5A_R North Shore EEPS_Adjustable_Savings_Goal_Template.xlsx, Unit Savings Calculations Tab</v>
      </c>
      <c r="N206" s="298">
        <v>88.453924126394057</v>
      </c>
      <c r="O206" s="298">
        <v>88.453924126394057</v>
      </c>
      <c r="P206" s="298">
        <v>88.453924126394057</v>
      </c>
      <c r="Q206" s="298">
        <v>88.453924126394057</v>
      </c>
      <c r="R206" s="299">
        <f>'Unit Savings Calculations'!$G202</f>
        <v>0.92</v>
      </c>
      <c r="S206" s="299">
        <f>'Unit Savings Calculations'!$G202</f>
        <v>0.92</v>
      </c>
      <c r="T206" s="299">
        <f>'Unit Savings Calculations'!$G202</f>
        <v>0.92</v>
      </c>
      <c r="U206" s="299">
        <f>'Unit Savings Calculations'!$G202</f>
        <v>0.92</v>
      </c>
      <c r="V206" s="300">
        <f t="shared" si="104"/>
        <v>162.75522039256506</v>
      </c>
      <c r="W206" s="300">
        <f t="shared" si="105"/>
        <v>162.75522039256506</v>
      </c>
      <c r="X206" s="300">
        <f t="shared" si="106"/>
        <v>162.75522039256506</v>
      </c>
      <c r="Y206" s="300">
        <f t="shared" si="107"/>
        <v>162.75522039256506</v>
      </c>
      <c r="Z206" s="300">
        <f t="shared" si="108"/>
        <v>651.02088157026026</v>
      </c>
      <c r="AA206" s="295"/>
      <c r="AB206" s="295"/>
      <c r="AC206" s="298">
        <f>'Unit Savings Calculations'!N202</f>
        <v>88.453924126394057</v>
      </c>
      <c r="AD206" s="295"/>
      <c r="AE206" s="300">
        <f t="shared" si="116"/>
        <v>162.75522039256506</v>
      </c>
      <c r="AF206" s="297">
        <f t="shared" si="117"/>
        <v>0</v>
      </c>
      <c r="AG206" s="295"/>
      <c r="AH206" s="295">
        <f t="shared" si="118"/>
        <v>0</v>
      </c>
      <c r="AI206" s="298">
        <f>'Unit Savings Calculations'!O202</f>
        <v>88.453924126394057</v>
      </c>
      <c r="AJ206" s="405" t="s">
        <v>879</v>
      </c>
      <c r="AK206" s="300">
        <f t="shared" si="119"/>
        <v>162.75522039256506</v>
      </c>
      <c r="AL206" s="297">
        <f t="shared" si="120"/>
        <v>0</v>
      </c>
      <c r="AM206" s="295"/>
      <c r="AN206" s="295"/>
      <c r="AO206" s="298">
        <f>'Unit Savings Calculations'!P202</f>
        <v>88.453924126394057</v>
      </c>
      <c r="AP206" s="405" t="s">
        <v>764</v>
      </c>
      <c r="AQ206" s="300">
        <f t="shared" si="121"/>
        <v>162.75522039256506</v>
      </c>
      <c r="AR206" s="297">
        <f t="shared" si="122"/>
        <v>0</v>
      </c>
      <c r="AS206" s="295"/>
      <c r="AT206" s="295"/>
      <c r="AU206" s="298">
        <f>'Unit Savings Calculations'!Q202</f>
        <v>88.453924126394057</v>
      </c>
      <c r="AV206" s="405" t="str">
        <f t="shared" si="109"/>
        <v>n/a</v>
      </c>
      <c r="AW206" s="300">
        <f t="shared" si="123"/>
        <v>162.75522039256506</v>
      </c>
      <c r="AX206" s="297">
        <f t="shared" si="124"/>
        <v>0</v>
      </c>
      <c r="AY206" s="300">
        <f t="shared" si="110"/>
        <v>162.75522039256506</v>
      </c>
      <c r="AZ206" s="300">
        <f t="shared" si="111"/>
        <v>162.75522039256506</v>
      </c>
      <c r="BA206" s="300">
        <f t="shared" si="112"/>
        <v>162.75522039256506</v>
      </c>
      <c r="BB206" s="300">
        <f t="shared" si="113"/>
        <v>162.75522039256506</v>
      </c>
      <c r="BC206" s="301">
        <f t="shared" si="114"/>
        <v>651.02088157026026</v>
      </c>
      <c r="BD206" s="295" t="s">
        <v>764</v>
      </c>
      <c r="BE206" s="302" t="str">
        <f t="shared" si="115"/>
        <v>Exhibit 1.5A_R North Shore EEPS_Adjustable_Savings_Goal_Template.xlsx, Unit Savings Calculations Tab</v>
      </c>
      <c r="BF206" s="304"/>
    </row>
    <row r="207" spans="1:58" ht="15.75" customHeight="1">
      <c r="A207" s="295" t="str">
        <f>'Unit Savings Calculations'!C203</f>
        <v>Bus - SB Rebates</v>
      </c>
      <c r="B207" s="295" t="str">
        <f>'Unit Savings Calculations'!D203</f>
        <v>Steam Traps - Test</v>
      </c>
      <c r="C207" s="296">
        <f t="shared" si="88"/>
        <v>0</v>
      </c>
      <c r="D207" s="295" t="str">
        <f>'Unit Savings Calculations'!T203</f>
        <v>Custom</v>
      </c>
      <c r="E207" s="460">
        <f>INDEX('Unit Savings Calculations'!$H$4:$H$421,MATCH('Measure-Level Adjustments Tab'!$A207&amp;"_"&amp;'Measure-Level Adjustments Tab'!$B207,'Unit Savings Calculations'!$A$4:$A$421,0))</f>
        <v>3</v>
      </c>
      <c r="F207" s="460">
        <f>INDEX('Unit Savings Calculations'!$I$4:$I$421,MATCH('Measure-Level Adjustments Tab'!A207&amp;"_"&amp;'Measure-Level Adjustments Tab'!B207,'Unit Savings Calculations'!$A$4:$A$421,0))</f>
        <v>3</v>
      </c>
      <c r="G207" s="295" t="str">
        <f>'Unit Savings Calculations'!E203</f>
        <v>each</v>
      </c>
      <c r="H207" s="297">
        <f>'Unit Savings Calculations'!$F203*'Unit Savings Calculations'!J203</f>
        <v>3</v>
      </c>
      <c r="I207" s="297">
        <f>'Unit Savings Calculations'!$F203*'Unit Savings Calculations'!K203</f>
        <v>3</v>
      </c>
      <c r="J207" s="297">
        <f>'Unit Savings Calculations'!$F203*'Unit Savings Calculations'!L203</f>
        <v>3</v>
      </c>
      <c r="K207" s="297">
        <f>'Unit Savings Calculations'!$F203*'Unit Savings Calculations'!M203</f>
        <v>3</v>
      </c>
      <c r="L207" s="295" t="str">
        <f>'Unit Savings Calculations'!U203</f>
        <v>Custom</v>
      </c>
      <c r="M207" s="405" t="str">
        <f>'Unit Savings Calculations'!R203</f>
        <v>Custom</v>
      </c>
      <c r="N207" s="298">
        <v>0</v>
      </c>
      <c r="O207" s="298">
        <v>0</v>
      </c>
      <c r="P207" s="298">
        <v>0</v>
      </c>
      <c r="Q207" s="298">
        <v>0</v>
      </c>
      <c r="R207" s="299">
        <f>'Unit Savings Calculations'!$G203</f>
        <v>0.92</v>
      </c>
      <c r="S207" s="299">
        <f>'Unit Savings Calculations'!$G203</f>
        <v>0.92</v>
      </c>
      <c r="T207" s="299">
        <f>'Unit Savings Calculations'!$G203</f>
        <v>0.92</v>
      </c>
      <c r="U207" s="299">
        <f>'Unit Savings Calculations'!$G203</f>
        <v>0.92</v>
      </c>
      <c r="V207" s="300">
        <f t="shared" si="104"/>
        <v>0</v>
      </c>
      <c r="W207" s="300">
        <f t="shared" si="105"/>
        <v>0</v>
      </c>
      <c r="X207" s="300">
        <f t="shared" si="106"/>
        <v>0</v>
      </c>
      <c r="Y207" s="300">
        <f t="shared" si="107"/>
        <v>0</v>
      </c>
      <c r="Z207" s="300">
        <f t="shared" si="108"/>
        <v>0</v>
      </c>
      <c r="AA207" s="406"/>
      <c r="AB207" s="406"/>
      <c r="AC207" s="409">
        <f>'Unit Savings Calculations'!N203</f>
        <v>0</v>
      </c>
      <c r="AD207" s="406"/>
      <c r="AE207" s="407">
        <f t="shared" si="116"/>
        <v>0</v>
      </c>
      <c r="AF207" s="408">
        <f t="shared" si="117"/>
        <v>0</v>
      </c>
      <c r="AG207" s="406"/>
      <c r="AH207" s="406">
        <f t="shared" si="118"/>
        <v>0</v>
      </c>
      <c r="AI207" s="409">
        <f>'Unit Savings Calculations'!O203</f>
        <v>0</v>
      </c>
      <c r="AJ207" s="457" t="s">
        <v>879</v>
      </c>
      <c r="AK207" s="407">
        <f t="shared" si="119"/>
        <v>0</v>
      </c>
      <c r="AL207" s="408">
        <f t="shared" si="120"/>
        <v>0</v>
      </c>
      <c r="AM207" s="406"/>
      <c r="AN207" s="406"/>
      <c r="AO207" s="409">
        <f>'Unit Savings Calculations'!P203</f>
        <v>0</v>
      </c>
      <c r="AP207" s="457" t="s">
        <v>764</v>
      </c>
      <c r="AQ207" s="407">
        <f t="shared" si="121"/>
        <v>0</v>
      </c>
      <c r="AR207" s="408">
        <f t="shared" si="122"/>
        <v>0</v>
      </c>
      <c r="AS207" s="406"/>
      <c r="AT207" s="406"/>
      <c r="AU207" s="409">
        <f>'Unit Savings Calculations'!Q203</f>
        <v>0</v>
      </c>
      <c r="AV207" s="457" t="str">
        <f t="shared" si="109"/>
        <v>n/a</v>
      </c>
      <c r="AW207" s="407">
        <f t="shared" si="123"/>
        <v>0</v>
      </c>
      <c r="AX207" s="408">
        <f t="shared" si="124"/>
        <v>0</v>
      </c>
      <c r="AY207" s="300">
        <f t="shared" si="110"/>
        <v>0</v>
      </c>
      <c r="AZ207" s="300">
        <f t="shared" si="111"/>
        <v>0</v>
      </c>
      <c r="BA207" s="300">
        <f t="shared" si="112"/>
        <v>0</v>
      </c>
      <c r="BB207" s="300">
        <f t="shared" si="113"/>
        <v>0</v>
      </c>
      <c r="BC207" s="301">
        <f t="shared" si="114"/>
        <v>0</v>
      </c>
      <c r="BD207" s="295" t="s">
        <v>764</v>
      </c>
      <c r="BE207" s="302" t="str">
        <f t="shared" si="115"/>
        <v>Custom</v>
      </c>
      <c r="BF207" s="304"/>
    </row>
    <row r="208" spans="1:58" ht="15.75" customHeight="1">
      <c r="A208" s="295" t="str">
        <f>'Unit Savings Calculations'!C204</f>
        <v>Bus - SB Rebates</v>
      </c>
      <c r="B208" s="295" t="str">
        <f>'Unit Savings Calculations'!D204</f>
        <v>Thermostat - Programmable</v>
      </c>
      <c r="C208" s="296">
        <f t="shared" si="88"/>
        <v>1</v>
      </c>
      <c r="D208" s="295" t="str">
        <f>'Unit Savings Calculations'!T204</f>
        <v>4.4.18</v>
      </c>
      <c r="E208" s="460">
        <f>INDEX('Unit Savings Calculations'!$H$4:$H$421,MATCH('Measure-Level Adjustments Tab'!$A208&amp;"_"&amp;'Measure-Level Adjustments Tab'!$B208,'Unit Savings Calculations'!$A$4:$A$421,0))</f>
        <v>4</v>
      </c>
      <c r="F208" s="460">
        <f>INDEX('Unit Savings Calculations'!$I$4:$I$421,MATCH('Measure-Level Adjustments Tab'!A208&amp;"_"&amp;'Measure-Level Adjustments Tab'!B208,'Unit Savings Calculations'!$A$4:$A$421,0))</f>
        <v>4</v>
      </c>
      <c r="G208" s="295" t="str">
        <f>'Unit Savings Calculations'!E204</f>
        <v>each</v>
      </c>
      <c r="H208" s="297">
        <f>'Unit Savings Calculations'!$F204*'Unit Savings Calculations'!J204</f>
        <v>5</v>
      </c>
      <c r="I208" s="297">
        <f>'Unit Savings Calculations'!$F204*'Unit Savings Calculations'!K204</f>
        <v>5</v>
      </c>
      <c r="J208" s="297">
        <f>'Unit Savings Calculations'!$F204*'Unit Savings Calculations'!L204</f>
        <v>5</v>
      </c>
      <c r="K208" s="297">
        <f>'Unit Savings Calculations'!$F204*'Unit Savings Calculations'!M204</f>
        <v>5</v>
      </c>
      <c r="L208" s="295" t="str">
        <f>'Unit Savings Calculations'!U204</f>
        <v>CI-HVC-PROG-V02-150601</v>
      </c>
      <c r="M208" s="405" t="str">
        <f>'Unit Savings Calculations'!R204</f>
        <v>Exhibit 1.5A_R North Shore EEPS_Adjustable_Savings_Goal_Template.xlsx, Thermostat Detail Tab</v>
      </c>
      <c r="N208" s="298">
        <v>124.68584320000001</v>
      </c>
      <c r="O208" s="298">
        <v>124.68584320000001</v>
      </c>
      <c r="P208" s="298">
        <v>124.68584320000001</v>
      </c>
      <c r="Q208" s="298">
        <v>124.68584320000001</v>
      </c>
      <c r="R208" s="299">
        <f>'Unit Savings Calculations'!$G204</f>
        <v>0.92</v>
      </c>
      <c r="S208" s="299">
        <f>'Unit Savings Calculations'!$G204</f>
        <v>0.92</v>
      </c>
      <c r="T208" s="299">
        <f>'Unit Savings Calculations'!$G204</f>
        <v>0.92</v>
      </c>
      <c r="U208" s="299">
        <f>'Unit Savings Calculations'!$G204</f>
        <v>0.92</v>
      </c>
      <c r="V208" s="300">
        <f t="shared" si="104"/>
        <v>573.55487872000003</v>
      </c>
      <c r="W208" s="300">
        <f t="shared" si="105"/>
        <v>573.55487872000003</v>
      </c>
      <c r="X208" s="300">
        <f t="shared" si="106"/>
        <v>573.55487872000003</v>
      </c>
      <c r="Y208" s="300">
        <f t="shared" si="107"/>
        <v>573.55487872000003</v>
      </c>
      <c r="Z208" s="300">
        <f t="shared" si="108"/>
        <v>2294.2195148800001</v>
      </c>
      <c r="AA208" s="295"/>
      <c r="AB208" s="295"/>
      <c r="AC208" s="298">
        <f>'Unit Savings Calculations'!N204</f>
        <v>124.68584320000001</v>
      </c>
      <c r="AD208" s="295"/>
      <c r="AE208" s="300">
        <f t="shared" si="116"/>
        <v>573.55487872000003</v>
      </c>
      <c r="AF208" s="297">
        <f t="shared" si="117"/>
        <v>0</v>
      </c>
      <c r="AG208" s="295"/>
      <c r="AH208" s="295">
        <f t="shared" si="118"/>
        <v>0</v>
      </c>
      <c r="AI208" s="298">
        <f>'Unit Savings Calculations'!O204</f>
        <v>124.68584320000001</v>
      </c>
      <c r="AJ208" s="405" t="s">
        <v>879</v>
      </c>
      <c r="AK208" s="300">
        <f t="shared" si="119"/>
        <v>573.55487872000003</v>
      </c>
      <c r="AL208" s="297">
        <f t="shared" si="120"/>
        <v>0</v>
      </c>
      <c r="AM208" s="295"/>
      <c r="AN208" s="295"/>
      <c r="AO208" s="298">
        <f>'Unit Savings Calculations'!P204</f>
        <v>124.68584320000001</v>
      </c>
      <c r="AP208" s="405" t="s">
        <v>764</v>
      </c>
      <c r="AQ208" s="300">
        <f t="shared" si="121"/>
        <v>573.55487872000003</v>
      </c>
      <c r="AR208" s="297">
        <f t="shared" si="122"/>
        <v>0</v>
      </c>
      <c r="AS208" s="295"/>
      <c r="AT208" s="295"/>
      <c r="AU208" s="298">
        <f>'Unit Savings Calculations'!Q204</f>
        <v>124.68584320000001</v>
      </c>
      <c r="AV208" s="405" t="str">
        <f t="shared" si="109"/>
        <v>n/a</v>
      </c>
      <c r="AW208" s="300">
        <f t="shared" si="123"/>
        <v>573.55487872000003</v>
      </c>
      <c r="AX208" s="297">
        <f t="shared" si="124"/>
        <v>0</v>
      </c>
      <c r="AY208" s="300">
        <f t="shared" si="110"/>
        <v>573.55487872000003</v>
      </c>
      <c r="AZ208" s="300">
        <f t="shared" si="111"/>
        <v>573.55487872000003</v>
      </c>
      <c r="BA208" s="300">
        <f t="shared" si="112"/>
        <v>573.55487872000003</v>
      </c>
      <c r="BB208" s="300">
        <f t="shared" si="113"/>
        <v>573.55487872000003</v>
      </c>
      <c r="BC208" s="301">
        <f t="shared" si="114"/>
        <v>2294.2195148800001</v>
      </c>
      <c r="BD208" s="295" t="s">
        <v>764</v>
      </c>
      <c r="BE208" s="302" t="str">
        <f t="shared" si="115"/>
        <v>Exhibit 1.5A_R North Shore EEPS_Adjustable_Savings_Goal_Template.xlsx, Thermostat Detail Tab</v>
      </c>
      <c r="BF208" s="304"/>
    </row>
    <row r="209" spans="1:58" ht="15.75" customHeight="1">
      <c r="A209" s="295" t="str">
        <f>'Unit Savings Calculations'!C205</f>
        <v>Bus - SB Rebates</v>
      </c>
      <c r="B209" s="295" t="str">
        <f>'Unit Savings Calculations'!D205</f>
        <v>Water Heater - Storage 88% TE ≥75MBh</v>
      </c>
      <c r="C209" s="296">
        <f t="shared" si="88"/>
        <v>1</v>
      </c>
      <c r="D209" s="295" t="str">
        <f>'Unit Savings Calculations'!T205</f>
        <v>4.3.1</v>
      </c>
      <c r="E209" s="460">
        <f>INDEX('Unit Savings Calculations'!$H$4:$H$421,MATCH('Measure-Level Adjustments Tab'!$A209&amp;"_"&amp;'Measure-Level Adjustments Tab'!$B209,'Unit Savings Calculations'!$A$4:$A$421,0))</f>
        <v>15</v>
      </c>
      <c r="F209" s="460">
        <f>INDEX('Unit Savings Calculations'!$I$4:$I$421,MATCH('Measure-Level Adjustments Tab'!A209&amp;"_"&amp;'Measure-Level Adjustments Tab'!B209,'Unit Savings Calculations'!$A$4:$A$421,0))</f>
        <v>15</v>
      </c>
      <c r="G209" s="295" t="str">
        <f>'Unit Savings Calculations'!E205</f>
        <v>each</v>
      </c>
      <c r="H209" s="297">
        <f>'Unit Savings Calculations'!$F205*'Unit Savings Calculations'!J205</f>
        <v>0</v>
      </c>
      <c r="I209" s="297">
        <f>'Unit Savings Calculations'!$F205*'Unit Savings Calculations'!K205</f>
        <v>0</v>
      </c>
      <c r="J209" s="297">
        <f>'Unit Savings Calculations'!$F205*'Unit Savings Calculations'!L205</f>
        <v>0</v>
      </c>
      <c r="K209" s="297">
        <f>'Unit Savings Calculations'!$F205*'Unit Savings Calculations'!M205</f>
        <v>0</v>
      </c>
      <c r="L209" s="295" t="str">
        <f>'Unit Savings Calculations'!U205</f>
        <v>CI-HW-STWH-V03-180101</v>
      </c>
      <c r="M209" s="405" t="str">
        <f>'Unit Savings Calculations'!R205</f>
        <v>Exhibit 1.5A_R North Shore EEPS_Adjustable_Savings_Goal_Template.xlsx, Unit Savings Calculations Tab</v>
      </c>
      <c r="N209" s="298">
        <v>135.66827090062347</v>
      </c>
      <c r="O209" s="298">
        <v>135.66827090062347</v>
      </c>
      <c r="P209" s="298">
        <v>135.66827090062347</v>
      </c>
      <c r="Q209" s="298">
        <v>135.66827090062347</v>
      </c>
      <c r="R209" s="299">
        <f>'Unit Savings Calculations'!$G205</f>
        <v>0.92</v>
      </c>
      <c r="S209" s="299">
        <f>'Unit Savings Calculations'!$G205</f>
        <v>0.92</v>
      </c>
      <c r="T209" s="299">
        <f>'Unit Savings Calculations'!$G205</f>
        <v>0.92</v>
      </c>
      <c r="U209" s="299">
        <f>'Unit Savings Calculations'!$G205</f>
        <v>0.92</v>
      </c>
      <c r="V209" s="300">
        <f t="shared" si="104"/>
        <v>0</v>
      </c>
      <c r="W209" s="300">
        <f t="shared" si="105"/>
        <v>0</v>
      </c>
      <c r="X209" s="300">
        <f t="shared" si="106"/>
        <v>0</v>
      </c>
      <c r="Y209" s="300">
        <f t="shared" si="107"/>
        <v>0</v>
      </c>
      <c r="Z209" s="300">
        <f t="shared" si="108"/>
        <v>0</v>
      </c>
      <c r="AA209" s="295"/>
      <c r="AB209" s="295"/>
      <c r="AC209" s="298">
        <f>'Unit Savings Calculations'!N205</f>
        <v>1514.573584976577</v>
      </c>
      <c r="AD209" s="295"/>
      <c r="AE209" s="300">
        <f t="shared" si="116"/>
        <v>0</v>
      </c>
      <c r="AF209" s="297">
        <f t="shared" si="117"/>
        <v>0</v>
      </c>
      <c r="AG209" s="295"/>
      <c r="AH209" s="295">
        <f t="shared" si="118"/>
        <v>0</v>
      </c>
      <c r="AI209" s="298">
        <f>'Unit Savings Calculations'!O205</f>
        <v>1514.573584976577</v>
      </c>
      <c r="AJ209" s="405" t="s">
        <v>895</v>
      </c>
      <c r="AK209" s="300">
        <f t="shared" si="119"/>
        <v>0</v>
      </c>
      <c r="AL209" s="297">
        <f t="shared" si="120"/>
        <v>0</v>
      </c>
      <c r="AM209" s="295"/>
      <c r="AN209" s="295"/>
      <c r="AO209" s="298">
        <f>'Unit Savings Calculations'!P205</f>
        <v>1514.573584976577</v>
      </c>
      <c r="AP209" s="405" t="s">
        <v>764</v>
      </c>
      <c r="AQ209" s="300">
        <f t="shared" si="121"/>
        <v>0</v>
      </c>
      <c r="AR209" s="297">
        <f t="shared" si="122"/>
        <v>0</v>
      </c>
      <c r="AS209" s="295"/>
      <c r="AT209" s="295"/>
      <c r="AU209" s="298">
        <f>'Unit Savings Calculations'!Q205</f>
        <v>1514.573584976577</v>
      </c>
      <c r="AV209" s="405" t="str">
        <f t="shared" si="109"/>
        <v>n/a</v>
      </c>
      <c r="AW209" s="300">
        <f t="shared" si="123"/>
        <v>0</v>
      </c>
      <c r="AX209" s="297">
        <f t="shared" si="124"/>
        <v>0</v>
      </c>
      <c r="AY209" s="300">
        <f t="shared" si="110"/>
        <v>0</v>
      </c>
      <c r="AZ209" s="300">
        <f t="shared" si="111"/>
        <v>0</v>
      </c>
      <c r="BA209" s="300">
        <f t="shared" si="112"/>
        <v>0</v>
      </c>
      <c r="BB209" s="300">
        <f t="shared" si="113"/>
        <v>0</v>
      </c>
      <c r="BC209" s="301">
        <f t="shared" si="114"/>
        <v>0</v>
      </c>
      <c r="BD209" s="295" t="s">
        <v>764</v>
      </c>
      <c r="BE209" s="302" t="str">
        <f t="shared" si="115"/>
        <v>Exhibit 1.5A_R North Shore EEPS_Adjustable_Savings_Goal_Template.xlsx, Unit Savings Calculations Tab</v>
      </c>
      <c r="BF209" s="304"/>
    </row>
    <row r="210" spans="1:58" ht="15.75" customHeight="1">
      <c r="A210" s="295" t="str">
        <f>'Unit Savings Calculations'!C206</f>
        <v>Bus - SB Rebates</v>
      </c>
      <c r="B210" s="295" t="str">
        <f>'Unit Savings Calculations'!D206</f>
        <v>Water Heater 88% TE - Laundromat</v>
      </c>
      <c r="C210" s="296">
        <f t="shared" si="88"/>
        <v>0</v>
      </c>
      <c r="D210" s="295" t="str">
        <f>'Unit Savings Calculations'!T206</f>
        <v>Custom</v>
      </c>
      <c r="E210" s="460">
        <f>INDEX('Unit Savings Calculations'!$H$4:$H$421,MATCH('Measure-Level Adjustments Tab'!$A210&amp;"_"&amp;'Measure-Level Adjustments Tab'!$B210,'Unit Savings Calculations'!$A$4:$A$421,0))</f>
        <v>15</v>
      </c>
      <c r="F210" s="460">
        <f>INDEX('Unit Savings Calculations'!$I$4:$I$421,MATCH('Measure-Level Adjustments Tab'!A210&amp;"_"&amp;'Measure-Level Adjustments Tab'!B210,'Unit Savings Calculations'!$A$4:$A$421,0))</f>
        <v>15</v>
      </c>
      <c r="G210" s="295" t="str">
        <f>'Unit Savings Calculations'!E206</f>
        <v>MBH</v>
      </c>
      <c r="H210" s="297">
        <f>'Unit Savings Calculations'!$F206*'Unit Savings Calculations'!J206</f>
        <v>0</v>
      </c>
      <c r="I210" s="297">
        <f>'Unit Savings Calculations'!$F206*'Unit Savings Calculations'!K206</f>
        <v>0</v>
      </c>
      <c r="J210" s="297">
        <f>'Unit Savings Calculations'!$F206*'Unit Savings Calculations'!L206</f>
        <v>0</v>
      </c>
      <c r="K210" s="297">
        <f>'Unit Savings Calculations'!$F206*'Unit Savings Calculations'!M206</f>
        <v>0</v>
      </c>
      <c r="L210" s="295" t="str">
        <f>'Unit Savings Calculations'!U206</f>
        <v>Custom</v>
      </c>
      <c r="M210" s="405" t="str">
        <f>'Unit Savings Calculations'!R206</f>
        <v>Exhibit 1.5A_R North Shore EEPS_Adjustable_Savings_Goal_Template.xlsx, Laundromat Broiler Tab</v>
      </c>
      <c r="N210" s="298">
        <v>1.0567132867132856</v>
      </c>
      <c r="O210" s="298">
        <v>1.0567132867132856</v>
      </c>
      <c r="P210" s="298">
        <v>1.0567132867132856</v>
      </c>
      <c r="Q210" s="298">
        <v>1.0567132867132856</v>
      </c>
      <c r="R210" s="299">
        <f>'Unit Savings Calculations'!$G206</f>
        <v>0.92</v>
      </c>
      <c r="S210" s="299">
        <f>'Unit Savings Calculations'!$G206</f>
        <v>0.92</v>
      </c>
      <c r="T210" s="299">
        <f>'Unit Savings Calculations'!$G206</f>
        <v>0.92</v>
      </c>
      <c r="U210" s="299">
        <f>'Unit Savings Calculations'!$G206</f>
        <v>0.92</v>
      </c>
      <c r="V210" s="300">
        <f t="shared" si="104"/>
        <v>0</v>
      </c>
      <c r="W210" s="300">
        <f t="shared" si="105"/>
        <v>0</v>
      </c>
      <c r="X210" s="300">
        <f t="shared" si="106"/>
        <v>0</v>
      </c>
      <c r="Y210" s="300">
        <f t="shared" si="107"/>
        <v>0</v>
      </c>
      <c r="Z210" s="300">
        <f t="shared" si="108"/>
        <v>0</v>
      </c>
      <c r="AA210" s="406"/>
      <c r="AB210" s="406"/>
      <c r="AC210" s="409">
        <f>'Unit Savings Calculations'!N206</f>
        <v>1.0567132867132856</v>
      </c>
      <c r="AD210" s="406"/>
      <c r="AE210" s="407">
        <f t="shared" si="116"/>
        <v>0</v>
      </c>
      <c r="AF210" s="408">
        <f t="shared" si="117"/>
        <v>0</v>
      </c>
      <c r="AG210" s="406"/>
      <c r="AH210" s="406">
        <f t="shared" si="118"/>
        <v>0</v>
      </c>
      <c r="AI210" s="409">
        <f>'Unit Savings Calculations'!O206</f>
        <v>1.0567132867132856</v>
      </c>
      <c r="AJ210" s="457" t="s">
        <v>879</v>
      </c>
      <c r="AK210" s="407">
        <f t="shared" si="119"/>
        <v>0</v>
      </c>
      <c r="AL210" s="408">
        <f t="shared" si="120"/>
        <v>0</v>
      </c>
      <c r="AM210" s="406"/>
      <c r="AN210" s="406"/>
      <c r="AO210" s="409">
        <f>'Unit Savings Calculations'!P206</f>
        <v>1.0567132867132856</v>
      </c>
      <c r="AP210" s="457" t="s">
        <v>764</v>
      </c>
      <c r="AQ210" s="407">
        <f t="shared" si="121"/>
        <v>0</v>
      </c>
      <c r="AR210" s="408">
        <f t="shared" si="122"/>
        <v>0</v>
      </c>
      <c r="AS210" s="406"/>
      <c r="AT210" s="406"/>
      <c r="AU210" s="409">
        <f>'Unit Savings Calculations'!Q206</f>
        <v>1.0567132867132856</v>
      </c>
      <c r="AV210" s="457" t="str">
        <f t="shared" si="109"/>
        <v>n/a</v>
      </c>
      <c r="AW210" s="407">
        <f t="shared" si="123"/>
        <v>0</v>
      </c>
      <c r="AX210" s="408">
        <f t="shared" si="124"/>
        <v>0</v>
      </c>
      <c r="AY210" s="300">
        <f t="shared" si="110"/>
        <v>0</v>
      </c>
      <c r="AZ210" s="300">
        <f t="shared" si="111"/>
        <v>0</v>
      </c>
      <c r="BA210" s="300">
        <f t="shared" si="112"/>
        <v>0</v>
      </c>
      <c r="BB210" s="300">
        <f t="shared" si="113"/>
        <v>0</v>
      </c>
      <c r="BC210" s="301">
        <f t="shared" si="114"/>
        <v>0</v>
      </c>
      <c r="BD210" s="295" t="s">
        <v>764</v>
      </c>
      <c r="BE210" s="302" t="str">
        <f t="shared" si="115"/>
        <v>Exhibit 1.5A_R North Shore EEPS_Adjustable_Savings_Goal_Template.xlsx, Laundromat Broiler Tab</v>
      </c>
      <c r="BF210" s="304"/>
    </row>
    <row r="211" spans="1:58" ht="15.75" customHeight="1">
      <c r="A211" s="295" t="str">
        <f>'Unit Savings Calculations'!C207</f>
        <v>Bus - SB Rebates</v>
      </c>
      <c r="B211" s="295" t="str">
        <f>'Unit Savings Calculations'!D207</f>
        <v>Water Heater 95% TE - Laundromat</v>
      </c>
      <c r="C211" s="296">
        <f t="shared" si="88"/>
        <v>0</v>
      </c>
      <c r="D211" s="295" t="str">
        <f>'Unit Savings Calculations'!T207</f>
        <v>Custom</v>
      </c>
      <c r="E211" s="460">
        <f>INDEX('Unit Savings Calculations'!$H$4:$H$421,MATCH('Measure-Level Adjustments Tab'!$A211&amp;"_"&amp;'Measure-Level Adjustments Tab'!$B211,'Unit Savings Calculations'!$A$4:$A$421,0))</f>
        <v>15</v>
      </c>
      <c r="F211" s="460">
        <f>INDEX('Unit Savings Calculations'!$I$4:$I$421,MATCH('Measure-Level Adjustments Tab'!A211&amp;"_"&amp;'Measure-Level Adjustments Tab'!B211,'Unit Savings Calculations'!$A$4:$A$421,0))</f>
        <v>15</v>
      </c>
      <c r="G211" s="295" t="str">
        <f>'Unit Savings Calculations'!E207</f>
        <v>MBH</v>
      </c>
      <c r="H211" s="297">
        <f>'Unit Savings Calculations'!$F207*'Unit Savings Calculations'!J207</f>
        <v>0</v>
      </c>
      <c r="I211" s="297">
        <f>'Unit Savings Calculations'!$F207*'Unit Savings Calculations'!K207</f>
        <v>0</v>
      </c>
      <c r="J211" s="297">
        <f>'Unit Savings Calculations'!$F207*'Unit Savings Calculations'!L207</f>
        <v>0</v>
      </c>
      <c r="K211" s="297">
        <f>'Unit Savings Calculations'!$F207*'Unit Savings Calculations'!M207</f>
        <v>0</v>
      </c>
      <c r="L211" s="295" t="str">
        <f>'Unit Savings Calculations'!U207</f>
        <v>Custom</v>
      </c>
      <c r="M211" s="405" t="str">
        <f>'Unit Savings Calculations'!R207</f>
        <v>Exhibit 1.5A_R North Shore EEPS_Adjustable_Savings_Goal_Template.xlsx, Laundromat Broiler Tab</v>
      </c>
      <c r="N211" s="298">
        <v>1.8353441295546562</v>
      </c>
      <c r="O211" s="298">
        <v>1.8353441295546562</v>
      </c>
      <c r="P211" s="298">
        <v>1.8353441295546562</v>
      </c>
      <c r="Q211" s="298">
        <v>1.8353441295546562</v>
      </c>
      <c r="R211" s="299">
        <f>'Unit Savings Calculations'!$G207</f>
        <v>0.92</v>
      </c>
      <c r="S211" s="299">
        <f>'Unit Savings Calculations'!$G207</f>
        <v>0.92</v>
      </c>
      <c r="T211" s="299">
        <f>'Unit Savings Calculations'!$G207</f>
        <v>0.92</v>
      </c>
      <c r="U211" s="299">
        <f>'Unit Savings Calculations'!$G207</f>
        <v>0.92</v>
      </c>
      <c r="V211" s="300">
        <f t="shared" si="104"/>
        <v>0</v>
      </c>
      <c r="W211" s="300">
        <f t="shared" si="105"/>
        <v>0</v>
      </c>
      <c r="X211" s="300">
        <f t="shared" si="106"/>
        <v>0</v>
      </c>
      <c r="Y211" s="300">
        <f t="shared" si="107"/>
        <v>0</v>
      </c>
      <c r="Z211" s="300">
        <f t="shared" si="108"/>
        <v>0</v>
      </c>
      <c r="AA211" s="406"/>
      <c r="AB211" s="406"/>
      <c r="AC211" s="409">
        <f>'Unit Savings Calculations'!N207</f>
        <v>1.8353441295546562</v>
      </c>
      <c r="AD211" s="406"/>
      <c r="AE211" s="407">
        <f t="shared" si="116"/>
        <v>0</v>
      </c>
      <c r="AF211" s="408">
        <f t="shared" si="117"/>
        <v>0</v>
      </c>
      <c r="AG211" s="406"/>
      <c r="AH211" s="406">
        <f t="shared" si="118"/>
        <v>0</v>
      </c>
      <c r="AI211" s="409">
        <f>'Unit Savings Calculations'!O207</f>
        <v>1.8353441295546562</v>
      </c>
      <c r="AJ211" s="457" t="s">
        <v>879</v>
      </c>
      <c r="AK211" s="407">
        <f t="shared" si="119"/>
        <v>0</v>
      </c>
      <c r="AL211" s="408">
        <f t="shared" si="120"/>
        <v>0</v>
      </c>
      <c r="AM211" s="406"/>
      <c r="AN211" s="406"/>
      <c r="AO211" s="409">
        <f>'Unit Savings Calculations'!P207</f>
        <v>1.8353441295546562</v>
      </c>
      <c r="AP211" s="457" t="s">
        <v>764</v>
      </c>
      <c r="AQ211" s="407">
        <f t="shared" si="121"/>
        <v>0</v>
      </c>
      <c r="AR211" s="408">
        <f t="shared" si="122"/>
        <v>0</v>
      </c>
      <c r="AS211" s="406"/>
      <c r="AT211" s="406"/>
      <c r="AU211" s="409">
        <f>'Unit Savings Calculations'!Q207</f>
        <v>1.8353441295546562</v>
      </c>
      <c r="AV211" s="457" t="str">
        <f t="shared" si="109"/>
        <v>n/a</v>
      </c>
      <c r="AW211" s="407">
        <f t="shared" si="123"/>
        <v>0</v>
      </c>
      <c r="AX211" s="408">
        <f t="shared" si="124"/>
        <v>0</v>
      </c>
      <c r="AY211" s="300">
        <f t="shared" si="110"/>
        <v>0</v>
      </c>
      <c r="AZ211" s="300">
        <f t="shared" si="111"/>
        <v>0</v>
      </c>
      <c r="BA211" s="300">
        <f t="shared" si="112"/>
        <v>0</v>
      </c>
      <c r="BB211" s="300">
        <f t="shared" si="113"/>
        <v>0</v>
      </c>
      <c r="BC211" s="301">
        <f t="shared" si="114"/>
        <v>0</v>
      </c>
      <c r="BD211" s="295" t="s">
        <v>764</v>
      </c>
      <c r="BE211" s="302" t="str">
        <f t="shared" si="115"/>
        <v>Exhibit 1.5A_R North Shore EEPS_Adjustable_Savings_Goal_Template.xlsx, Laundromat Broiler Tab</v>
      </c>
      <c r="BF211" s="304"/>
    </row>
    <row r="212" spans="1:58" ht="15.75" customHeight="1">
      <c r="A212" s="295" t="str">
        <f>'Unit Savings Calculations'!C208</f>
        <v>Bus - SB Rebates -PTA</v>
      </c>
      <c r="B212" s="295" t="str">
        <f>'Unit Savings Calculations'!D208</f>
        <v>Boiler ≥88% AFUE, &lt;300MBh (SB)</v>
      </c>
      <c r="C212" s="296">
        <f t="shared" si="88"/>
        <v>1</v>
      </c>
      <c r="D212" s="295" t="str">
        <f>'Unit Savings Calculations'!T208</f>
        <v>4.4.10</v>
      </c>
      <c r="E212" s="460">
        <f>INDEX('Unit Savings Calculations'!$H$4:$H$421,MATCH('Measure-Level Adjustments Tab'!$A212&amp;"_"&amp;'Measure-Level Adjustments Tab'!$B212,'Unit Savings Calculations'!$A$4:$A$421,0))</f>
        <v>20</v>
      </c>
      <c r="F212" s="460">
        <f>INDEX('Unit Savings Calculations'!$I$4:$I$421,MATCH('Measure-Level Adjustments Tab'!A212&amp;"_"&amp;'Measure-Level Adjustments Tab'!B212,'Unit Savings Calculations'!$A$4:$A$421,0))</f>
        <v>20</v>
      </c>
      <c r="G212" s="295" t="str">
        <f>'Unit Savings Calculations'!E208</f>
        <v>MBH</v>
      </c>
      <c r="H212" s="297">
        <f>'Unit Savings Calculations'!$F208*'Unit Savings Calculations'!J208</f>
        <v>0</v>
      </c>
      <c r="I212" s="297">
        <f>'Unit Savings Calculations'!$F208*'Unit Savings Calculations'!K208</f>
        <v>0</v>
      </c>
      <c r="J212" s="297">
        <f>'Unit Savings Calculations'!$F208*'Unit Savings Calculations'!L208</f>
        <v>0</v>
      </c>
      <c r="K212" s="297">
        <f>'Unit Savings Calculations'!$F208*'Unit Savings Calculations'!M208</f>
        <v>0</v>
      </c>
      <c r="L212" s="295" t="str">
        <f>'Unit Savings Calculations'!U208</f>
        <v>CI-HVC-BOIL-V05-150601</v>
      </c>
      <c r="M212" s="405" t="str">
        <f>'Unit Savings Calculations'!R208</f>
        <v>Exhibit 1.5A_R North Shore EEPS_Adjustable_Savings_Goal_Template.xlsx, Unit Savings Calculations Tab</v>
      </c>
      <c r="N212" s="298">
        <v>1.161219512195123</v>
      </c>
      <c r="O212" s="298">
        <v>1.161219512195123</v>
      </c>
      <c r="P212" s="298">
        <v>1.161219512195123</v>
      </c>
      <c r="Q212" s="298">
        <v>1.161219512195123</v>
      </c>
      <c r="R212" s="299">
        <f>'Unit Savings Calculations'!$G208</f>
        <v>0.92</v>
      </c>
      <c r="S212" s="299">
        <f>'Unit Savings Calculations'!$G208</f>
        <v>0.92</v>
      </c>
      <c r="T212" s="299">
        <f>'Unit Savings Calculations'!$G208</f>
        <v>0.92</v>
      </c>
      <c r="U212" s="299">
        <f>'Unit Savings Calculations'!$G208</f>
        <v>0.92</v>
      </c>
      <c r="V212" s="300">
        <f t="shared" si="104"/>
        <v>0</v>
      </c>
      <c r="W212" s="300">
        <f t="shared" si="105"/>
        <v>0</v>
      </c>
      <c r="X212" s="300">
        <f t="shared" si="106"/>
        <v>0</v>
      </c>
      <c r="Y212" s="300">
        <f t="shared" si="107"/>
        <v>0</v>
      </c>
      <c r="Z212" s="300">
        <f t="shared" si="108"/>
        <v>0</v>
      </c>
      <c r="AA212" s="295"/>
      <c r="AB212" s="295"/>
      <c r="AC212" s="298">
        <f>'Unit Savings Calculations'!N208</f>
        <v>1.1919512195121962</v>
      </c>
      <c r="AD212" s="295"/>
      <c r="AE212" s="300">
        <f t="shared" si="116"/>
        <v>0</v>
      </c>
      <c r="AF212" s="297">
        <f t="shared" si="117"/>
        <v>0</v>
      </c>
      <c r="AG212" s="295"/>
      <c r="AH212" s="295">
        <f t="shared" si="118"/>
        <v>0</v>
      </c>
      <c r="AI212" s="298">
        <f>'Unit Savings Calculations'!O208</f>
        <v>1.1919512195121962</v>
      </c>
      <c r="AJ212" s="405" t="s">
        <v>879</v>
      </c>
      <c r="AK212" s="300">
        <f t="shared" si="119"/>
        <v>0</v>
      </c>
      <c r="AL212" s="297">
        <f t="shared" si="120"/>
        <v>0</v>
      </c>
      <c r="AM212" s="295"/>
      <c r="AN212" s="295"/>
      <c r="AO212" s="298">
        <f>'Unit Savings Calculations'!P208</f>
        <v>1.1919512195121962</v>
      </c>
      <c r="AP212" s="405" t="s">
        <v>1443</v>
      </c>
      <c r="AQ212" s="300">
        <f t="shared" si="121"/>
        <v>0</v>
      </c>
      <c r="AR212" s="297">
        <f t="shared" si="122"/>
        <v>0</v>
      </c>
      <c r="AS212" s="295"/>
      <c r="AT212" s="295"/>
      <c r="AU212" s="298">
        <f>'Unit Savings Calculations'!Q208</f>
        <v>1.1919512195121962</v>
      </c>
      <c r="AV212" s="405" t="str">
        <f t="shared" si="109"/>
        <v>Updated heating EFLH</v>
      </c>
      <c r="AW212" s="300">
        <f t="shared" si="123"/>
        <v>0</v>
      </c>
      <c r="AX212" s="297">
        <f t="shared" si="124"/>
        <v>0</v>
      </c>
      <c r="AY212" s="300">
        <f t="shared" si="110"/>
        <v>0</v>
      </c>
      <c r="AZ212" s="300">
        <f t="shared" si="111"/>
        <v>0</v>
      </c>
      <c r="BA212" s="300">
        <f t="shared" si="112"/>
        <v>0</v>
      </c>
      <c r="BB212" s="300">
        <f t="shared" si="113"/>
        <v>0</v>
      </c>
      <c r="BC212" s="301">
        <f t="shared" si="114"/>
        <v>0</v>
      </c>
      <c r="BD212" s="295" t="s">
        <v>764</v>
      </c>
      <c r="BE212" s="302" t="str">
        <f t="shared" si="115"/>
        <v>Exhibit 1.5A_R North Shore EEPS_Adjustable_Savings_Goal_Template.xlsx, Unit Savings Calculations Tab</v>
      </c>
      <c r="BF212" s="304"/>
    </row>
    <row r="213" spans="1:58" ht="15.75" customHeight="1">
      <c r="A213" s="295" t="str">
        <f>'Unit Savings Calculations'!C209</f>
        <v>Bus - SB Rebates -PTA</v>
      </c>
      <c r="B213" s="295" t="str">
        <f>'Unit Savings Calculations'!D209</f>
        <v>Boiler ≥88% AFUE, ≥300MBh TE (SB)</v>
      </c>
      <c r="C213" s="296">
        <f t="shared" si="88"/>
        <v>1</v>
      </c>
      <c r="D213" s="295" t="str">
        <f>'Unit Savings Calculations'!T209</f>
        <v>4.4.10</v>
      </c>
      <c r="E213" s="460">
        <f>INDEX('Unit Savings Calculations'!$H$4:$H$421,MATCH('Measure-Level Adjustments Tab'!$A213&amp;"_"&amp;'Measure-Level Adjustments Tab'!$B213,'Unit Savings Calculations'!$A$4:$A$421,0))</f>
        <v>20</v>
      </c>
      <c r="F213" s="460">
        <f>INDEX('Unit Savings Calculations'!$I$4:$I$421,MATCH('Measure-Level Adjustments Tab'!A213&amp;"_"&amp;'Measure-Level Adjustments Tab'!B213,'Unit Savings Calculations'!$A$4:$A$421,0))</f>
        <v>20</v>
      </c>
      <c r="G213" s="295" t="str">
        <f>'Unit Savings Calculations'!E209</f>
        <v>MBH</v>
      </c>
      <c r="H213" s="297">
        <f>'Unit Savings Calculations'!$F209*'Unit Savings Calculations'!J209</f>
        <v>700</v>
      </c>
      <c r="I213" s="297">
        <f>'Unit Savings Calculations'!$F209*'Unit Savings Calculations'!K209</f>
        <v>700</v>
      </c>
      <c r="J213" s="297">
        <f>'Unit Savings Calculations'!$F209*'Unit Savings Calculations'!L209</f>
        <v>700</v>
      </c>
      <c r="K213" s="297">
        <f>'Unit Savings Calculations'!$F209*'Unit Savings Calculations'!M209</f>
        <v>700</v>
      </c>
      <c r="L213" s="295" t="str">
        <f>'Unit Savings Calculations'!U209</f>
        <v>CI-HVC-BOIL-V05-150601</v>
      </c>
      <c r="M213" s="405" t="str">
        <f>'Unit Savings Calculations'!R209</f>
        <v>Exhibit 1.5A_R North Shore EEPS_Adjustable_Savings_Goal_Template.xlsx, Unit Savings Calculations Tab</v>
      </c>
      <c r="N213" s="298">
        <v>1.5869999999999991</v>
      </c>
      <c r="O213" s="298">
        <v>1.5869999999999991</v>
      </c>
      <c r="P213" s="298">
        <v>1.5869999999999991</v>
      </c>
      <c r="Q213" s="298">
        <v>1.5869999999999991</v>
      </c>
      <c r="R213" s="299">
        <f>'Unit Savings Calculations'!$G209</f>
        <v>0.92</v>
      </c>
      <c r="S213" s="299">
        <f>'Unit Savings Calculations'!$G209</f>
        <v>0.92</v>
      </c>
      <c r="T213" s="299">
        <f>'Unit Savings Calculations'!$G209</f>
        <v>0.92</v>
      </c>
      <c r="U213" s="299">
        <f>'Unit Savings Calculations'!$G209</f>
        <v>0.92</v>
      </c>
      <c r="V213" s="300">
        <f t="shared" si="104"/>
        <v>1022.0279999999995</v>
      </c>
      <c r="W213" s="300">
        <f t="shared" si="105"/>
        <v>1022.0279999999995</v>
      </c>
      <c r="X213" s="300">
        <f t="shared" si="106"/>
        <v>1022.0279999999995</v>
      </c>
      <c r="Y213" s="300">
        <f t="shared" si="107"/>
        <v>1022.0279999999995</v>
      </c>
      <c r="Z213" s="300">
        <f t="shared" si="108"/>
        <v>4088.1119999999978</v>
      </c>
      <c r="AA213" s="295"/>
      <c r="AB213" s="295"/>
      <c r="AC213" s="298">
        <f>'Unit Savings Calculations'!N209</f>
        <v>1.6289999999999993</v>
      </c>
      <c r="AD213" s="295"/>
      <c r="AE213" s="300">
        <f t="shared" si="116"/>
        <v>1049.0759999999996</v>
      </c>
      <c r="AF213" s="297">
        <f t="shared" si="117"/>
        <v>27.048000000000116</v>
      </c>
      <c r="AG213" s="295"/>
      <c r="AH213" s="295">
        <f t="shared" si="118"/>
        <v>0</v>
      </c>
      <c r="AI213" s="298">
        <f>'Unit Savings Calculations'!O209</f>
        <v>1.6289999999999993</v>
      </c>
      <c r="AJ213" s="405" t="s">
        <v>879</v>
      </c>
      <c r="AK213" s="300">
        <f t="shared" si="119"/>
        <v>1049.0759999999996</v>
      </c>
      <c r="AL213" s="297">
        <f t="shared" si="120"/>
        <v>27.048000000000116</v>
      </c>
      <c r="AM213" s="295"/>
      <c r="AN213" s="295"/>
      <c r="AO213" s="298">
        <f>'Unit Savings Calculations'!P209</f>
        <v>1.6289999999999993</v>
      </c>
      <c r="AP213" s="405" t="s">
        <v>1443</v>
      </c>
      <c r="AQ213" s="300">
        <f t="shared" si="121"/>
        <v>1049.0759999999996</v>
      </c>
      <c r="AR213" s="297">
        <f t="shared" si="122"/>
        <v>27.048000000000116</v>
      </c>
      <c r="AS213" s="295"/>
      <c r="AT213" s="295"/>
      <c r="AU213" s="298">
        <f>'Unit Savings Calculations'!Q209</f>
        <v>1.6289999999999993</v>
      </c>
      <c r="AV213" s="405" t="str">
        <f t="shared" si="109"/>
        <v>Updated heating EFLH</v>
      </c>
      <c r="AW213" s="300">
        <f t="shared" si="123"/>
        <v>1049.0759999999996</v>
      </c>
      <c r="AX213" s="297">
        <f t="shared" si="124"/>
        <v>27.048000000000116</v>
      </c>
      <c r="AY213" s="300">
        <f t="shared" si="110"/>
        <v>1049.0759999999996</v>
      </c>
      <c r="AZ213" s="300">
        <f t="shared" si="111"/>
        <v>1049.0759999999996</v>
      </c>
      <c r="BA213" s="300">
        <f t="shared" si="112"/>
        <v>1049.0759999999996</v>
      </c>
      <c r="BB213" s="300">
        <f t="shared" si="113"/>
        <v>1049.0759999999996</v>
      </c>
      <c r="BC213" s="301">
        <f t="shared" si="114"/>
        <v>4196.3039999999983</v>
      </c>
      <c r="BD213" s="295" t="s">
        <v>764</v>
      </c>
      <c r="BE213" s="302" t="str">
        <f t="shared" si="115"/>
        <v>Exhibit 1.5A_R North Shore EEPS_Adjustable_Savings_Goal_Template.xlsx, Unit Savings Calculations Tab</v>
      </c>
      <c r="BF213" s="304"/>
    </row>
    <row r="214" spans="1:58" ht="15.75" customHeight="1">
      <c r="A214" s="295" t="str">
        <f>'Unit Savings Calculations'!C210</f>
        <v>Bus - SB Rebates -PTA</v>
      </c>
      <c r="B214" s="295" t="str">
        <f>'Unit Savings Calculations'!D210</f>
        <v>Boiler Reset Controls (SB)</v>
      </c>
      <c r="C214" s="296">
        <f t="shared" si="88"/>
        <v>1</v>
      </c>
      <c r="D214" s="295" t="str">
        <f>'Unit Savings Calculations'!T210</f>
        <v>4.4.4</v>
      </c>
      <c r="E214" s="460">
        <f>INDEX('Unit Savings Calculations'!$H$4:$H$421,MATCH('Measure-Level Adjustments Tab'!$A214&amp;"_"&amp;'Measure-Level Adjustments Tab'!$B214,'Unit Savings Calculations'!$A$4:$A$421,0))</f>
        <v>20</v>
      </c>
      <c r="F214" s="460">
        <f>INDEX('Unit Savings Calculations'!$I$4:$I$421,MATCH('Measure-Level Adjustments Tab'!A214&amp;"_"&amp;'Measure-Level Adjustments Tab'!B214,'Unit Savings Calculations'!$A$4:$A$421,0))</f>
        <v>20</v>
      </c>
      <c r="G214" s="295" t="str">
        <f>'Unit Savings Calculations'!E210</f>
        <v>MBH</v>
      </c>
      <c r="H214" s="297">
        <f>'Unit Savings Calculations'!$F210*'Unit Savings Calculations'!J210</f>
        <v>1000</v>
      </c>
      <c r="I214" s="297">
        <f>'Unit Savings Calculations'!$F210*'Unit Savings Calculations'!K210</f>
        <v>1000</v>
      </c>
      <c r="J214" s="297">
        <f>'Unit Savings Calculations'!$F210*'Unit Savings Calculations'!L210</f>
        <v>1000</v>
      </c>
      <c r="K214" s="297">
        <f>'Unit Savings Calculations'!$F210*'Unit Savings Calculations'!M210</f>
        <v>1000</v>
      </c>
      <c r="L214" s="295" t="str">
        <f>'Unit Savings Calculations'!U210</f>
        <v>CI-HVC-BLRC-V03-150601</v>
      </c>
      <c r="M214" s="405" t="str">
        <f>'Unit Savings Calculations'!R210</f>
        <v>Exhibit 1.5A_R North Shore EEPS_Adjustable_Savings_Goal_Template.xlsx, Unit Savings Calculations Tab</v>
      </c>
      <c r="N214" s="298">
        <v>1.2696000000000001</v>
      </c>
      <c r="O214" s="298">
        <v>1.2696000000000001</v>
      </c>
      <c r="P214" s="298">
        <v>1.2696000000000001</v>
      </c>
      <c r="Q214" s="298">
        <v>1.2696000000000001</v>
      </c>
      <c r="R214" s="299">
        <f>'Unit Savings Calculations'!$G210</f>
        <v>0.92</v>
      </c>
      <c r="S214" s="299">
        <f>'Unit Savings Calculations'!$G210</f>
        <v>0.92</v>
      </c>
      <c r="T214" s="299">
        <f>'Unit Savings Calculations'!$G210</f>
        <v>0.92</v>
      </c>
      <c r="U214" s="299">
        <f>'Unit Savings Calculations'!$G210</f>
        <v>0.92</v>
      </c>
      <c r="V214" s="300">
        <f t="shared" si="104"/>
        <v>1168.0320000000002</v>
      </c>
      <c r="W214" s="300">
        <f t="shared" si="105"/>
        <v>1168.0320000000002</v>
      </c>
      <c r="X214" s="300">
        <f t="shared" si="106"/>
        <v>1168.0320000000002</v>
      </c>
      <c r="Y214" s="300">
        <f t="shared" si="107"/>
        <v>1168.0320000000002</v>
      </c>
      <c r="Z214" s="300">
        <f t="shared" si="108"/>
        <v>4672.1280000000006</v>
      </c>
      <c r="AA214" s="295"/>
      <c r="AB214" s="295"/>
      <c r="AC214" s="298">
        <f>'Unit Savings Calculations'!N210</f>
        <v>1.3031999999999999</v>
      </c>
      <c r="AD214" s="295"/>
      <c r="AE214" s="300">
        <f t="shared" si="116"/>
        <v>1198.944</v>
      </c>
      <c r="AF214" s="297">
        <f t="shared" si="117"/>
        <v>30.911999999999807</v>
      </c>
      <c r="AG214" s="295"/>
      <c r="AH214" s="295">
        <f t="shared" si="118"/>
        <v>0</v>
      </c>
      <c r="AI214" s="298">
        <f>'Unit Savings Calculations'!O210</f>
        <v>1.3031999999999999</v>
      </c>
      <c r="AJ214" s="405" t="s">
        <v>879</v>
      </c>
      <c r="AK214" s="300">
        <f t="shared" si="119"/>
        <v>1198.944</v>
      </c>
      <c r="AL214" s="297">
        <f t="shared" si="120"/>
        <v>30.911999999999807</v>
      </c>
      <c r="AM214" s="295"/>
      <c r="AN214" s="295"/>
      <c r="AO214" s="298">
        <f>'Unit Savings Calculations'!P210</f>
        <v>1.3031999999999999</v>
      </c>
      <c r="AP214" s="405" t="s">
        <v>1443</v>
      </c>
      <c r="AQ214" s="300">
        <f t="shared" si="121"/>
        <v>1198.944</v>
      </c>
      <c r="AR214" s="297">
        <f t="shared" si="122"/>
        <v>30.911999999999807</v>
      </c>
      <c r="AS214" s="295"/>
      <c r="AT214" s="295"/>
      <c r="AU214" s="298">
        <f>'Unit Savings Calculations'!Q210</f>
        <v>1.3031999999999999</v>
      </c>
      <c r="AV214" s="405" t="str">
        <f t="shared" si="109"/>
        <v>Updated heating EFLH</v>
      </c>
      <c r="AW214" s="300">
        <f t="shared" si="123"/>
        <v>1198.944</v>
      </c>
      <c r="AX214" s="297">
        <f t="shared" si="124"/>
        <v>30.911999999999807</v>
      </c>
      <c r="AY214" s="300">
        <f t="shared" si="110"/>
        <v>1198.944</v>
      </c>
      <c r="AZ214" s="300">
        <f t="shared" si="111"/>
        <v>1198.944</v>
      </c>
      <c r="BA214" s="300">
        <f t="shared" si="112"/>
        <v>1198.944</v>
      </c>
      <c r="BB214" s="300">
        <f t="shared" si="113"/>
        <v>1198.944</v>
      </c>
      <c r="BC214" s="301">
        <f t="shared" si="114"/>
        <v>4795.7759999999998</v>
      </c>
      <c r="BD214" s="295" t="s">
        <v>764</v>
      </c>
      <c r="BE214" s="302" t="str">
        <f t="shared" si="115"/>
        <v>Exhibit 1.5A_R North Shore EEPS_Adjustable_Savings_Goal_Template.xlsx, Unit Savings Calculations Tab</v>
      </c>
      <c r="BF214" s="304"/>
    </row>
    <row r="215" spans="1:58" ht="15.75" customHeight="1">
      <c r="A215" s="295" t="str">
        <f>'Unit Savings Calculations'!C211</f>
        <v>Bus - SB Rebates -PTA</v>
      </c>
      <c r="B215" s="295" t="str">
        <f>'Unit Savings Calculations'!D211</f>
        <v>Boiler Tune Up - Process</v>
      </c>
      <c r="C215" s="296">
        <f t="shared" si="88"/>
        <v>1</v>
      </c>
      <c r="D215" s="295" t="str">
        <f>'Unit Savings Calculations'!T211</f>
        <v>4.4.3</v>
      </c>
      <c r="E215" s="460">
        <f>INDEX('Unit Savings Calculations'!$H$4:$H$421,MATCH('Measure-Level Adjustments Tab'!$A215&amp;"_"&amp;'Measure-Level Adjustments Tab'!$B215,'Unit Savings Calculations'!$A$4:$A$421,0))</f>
        <v>3</v>
      </c>
      <c r="F215" s="460">
        <f>INDEX('Unit Savings Calculations'!$I$4:$I$421,MATCH('Measure-Level Adjustments Tab'!A215&amp;"_"&amp;'Measure-Level Adjustments Tab'!B215,'Unit Savings Calculations'!$A$4:$A$421,0))</f>
        <v>3</v>
      </c>
      <c r="G215" s="295" t="str">
        <f>'Unit Savings Calculations'!E211</f>
        <v>MBH</v>
      </c>
      <c r="H215" s="297">
        <f>'Unit Savings Calculations'!$F211*'Unit Savings Calculations'!J211</f>
        <v>0</v>
      </c>
      <c r="I215" s="297">
        <f>'Unit Savings Calculations'!$F211*'Unit Savings Calculations'!K211</f>
        <v>0</v>
      </c>
      <c r="J215" s="297">
        <f>'Unit Savings Calculations'!$F211*'Unit Savings Calculations'!L211</f>
        <v>0</v>
      </c>
      <c r="K215" s="297">
        <f>'Unit Savings Calculations'!$F211*'Unit Savings Calculations'!M211</f>
        <v>0</v>
      </c>
      <c r="L215" s="295" t="str">
        <f>'Unit Savings Calculations'!U211</f>
        <v>CI-HVC-PBTU-V05-160601</v>
      </c>
      <c r="M215" s="405" t="str">
        <f>'Unit Savings Calculations'!R211</f>
        <v>Exhibit 1.5A_R North Shore EEPS_Adjustable_Savings_Goal_Template.xlsx, Unit Savings Calculations Tab</v>
      </c>
      <c r="N215" s="298">
        <v>0.83823507428978783</v>
      </c>
      <c r="O215" s="298">
        <v>0.83823507428978783</v>
      </c>
      <c r="P215" s="298">
        <v>0.83823507428978783</v>
      </c>
      <c r="Q215" s="298">
        <v>0.83823507428978783</v>
      </c>
      <c r="R215" s="299">
        <f>'Unit Savings Calculations'!$G211</f>
        <v>0.92</v>
      </c>
      <c r="S215" s="299">
        <f>'Unit Savings Calculations'!$G211</f>
        <v>0.92</v>
      </c>
      <c r="T215" s="299">
        <f>'Unit Savings Calculations'!$G211</f>
        <v>0.92</v>
      </c>
      <c r="U215" s="299">
        <f>'Unit Savings Calculations'!$G211</f>
        <v>0.92</v>
      </c>
      <c r="V215" s="300">
        <f t="shared" si="104"/>
        <v>0</v>
      </c>
      <c r="W215" s="300">
        <f t="shared" si="105"/>
        <v>0</v>
      </c>
      <c r="X215" s="300">
        <f t="shared" si="106"/>
        <v>0</v>
      </c>
      <c r="Y215" s="300">
        <f t="shared" si="107"/>
        <v>0</v>
      </c>
      <c r="Z215" s="300">
        <f t="shared" si="108"/>
        <v>0</v>
      </c>
      <c r="AA215" s="295"/>
      <c r="AB215" s="295"/>
      <c r="AC215" s="298">
        <f>'Unit Savings Calculations'!N211</f>
        <v>0.83823507428978783</v>
      </c>
      <c r="AD215" s="295"/>
      <c r="AE215" s="300">
        <f t="shared" si="116"/>
        <v>0</v>
      </c>
      <c r="AF215" s="297">
        <f t="shared" si="117"/>
        <v>0</v>
      </c>
      <c r="AG215" s="295"/>
      <c r="AH215" s="295">
        <f t="shared" si="118"/>
        <v>0</v>
      </c>
      <c r="AI215" s="298">
        <f>'Unit Savings Calculations'!O211</f>
        <v>0.83823507428978783</v>
      </c>
      <c r="AJ215" s="405" t="s">
        <v>879</v>
      </c>
      <c r="AK215" s="300">
        <f t="shared" si="119"/>
        <v>0</v>
      </c>
      <c r="AL215" s="297">
        <f t="shared" si="120"/>
        <v>0</v>
      </c>
      <c r="AM215" s="295"/>
      <c r="AN215" s="295"/>
      <c r="AO215" s="298">
        <f>'Unit Savings Calculations'!P211</f>
        <v>0.83823507428978783</v>
      </c>
      <c r="AP215" s="405" t="s">
        <v>764</v>
      </c>
      <c r="AQ215" s="300">
        <f t="shared" si="121"/>
        <v>0</v>
      </c>
      <c r="AR215" s="297">
        <f t="shared" si="122"/>
        <v>0</v>
      </c>
      <c r="AS215" s="295"/>
      <c r="AT215" s="295"/>
      <c r="AU215" s="298">
        <f>'Unit Savings Calculations'!Q211</f>
        <v>0.83823507428978783</v>
      </c>
      <c r="AV215" s="405" t="str">
        <f t="shared" si="109"/>
        <v>n/a</v>
      </c>
      <c r="AW215" s="300">
        <f t="shared" si="123"/>
        <v>0</v>
      </c>
      <c r="AX215" s="297">
        <f t="shared" si="124"/>
        <v>0</v>
      </c>
      <c r="AY215" s="300">
        <f t="shared" si="110"/>
        <v>0</v>
      </c>
      <c r="AZ215" s="300">
        <f t="shared" si="111"/>
        <v>0</v>
      </c>
      <c r="BA215" s="300">
        <f t="shared" si="112"/>
        <v>0</v>
      </c>
      <c r="BB215" s="300">
        <f t="shared" si="113"/>
        <v>0</v>
      </c>
      <c r="BC215" s="301">
        <f t="shared" si="114"/>
        <v>0</v>
      </c>
      <c r="BD215" s="295" t="s">
        <v>764</v>
      </c>
      <c r="BE215" s="302" t="str">
        <f t="shared" si="115"/>
        <v>Exhibit 1.5A_R North Shore EEPS_Adjustable_Savings_Goal_Template.xlsx, Unit Savings Calculations Tab</v>
      </c>
      <c r="BF215" s="304"/>
    </row>
    <row r="216" spans="1:58" ht="15.75" customHeight="1">
      <c r="A216" s="295" t="str">
        <f>'Unit Savings Calculations'!C212</f>
        <v>Bus - SB Rebates -PTA</v>
      </c>
      <c r="B216" s="295" t="str">
        <f>'Unit Savings Calculations'!D212</f>
        <v>Boiler Tune Up - Space Heating (SB)</v>
      </c>
      <c r="C216" s="296">
        <f t="shared" ref="C216:C279" si="125">IF(D216="Custom",0,1)</f>
        <v>1</v>
      </c>
      <c r="D216" s="295" t="str">
        <f>'Unit Savings Calculations'!T212</f>
        <v>4.4.2</v>
      </c>
      <c r="E216" s="460">
        <f>INDEX('Unit Savings Calculations'!$H$4:$H$421,MATCH('Measure-Level Adjustments Tab'!$A216&amp;"_"&amp;'Measure-Level Adjustments Tab'!$B216,'Unit Savings Calculations'!$A$4:$A$421,0))</f>
        <v>3</v>
      </c>
      <c r="F216" s="460">
        <f>INDEX('Unit Savings Calculations'!$I$4:$I$421,MATCH('Measure-Level Adjustments Tab'!A216&amp;"_"&amp;'Measure-Level Adjustments Tab'!B216,'Unit Savings Calculations'!$A$4:$A$421,0))</f>
        <v>3</v>
      </c>
      <c r="G216" s="295" t="str">
        <f>'Unit Savings Calculations'!E212</f>
        <v>MBH</v>
      </c>
      <c r="H216" s="297">
        <f>'Unit Savings Calculations'!$F212*'Unit Savings Calculations'!J212</f>
        <v>400</v>
      </c>
      <c r="I216" s="297">
        <f>'Unit Savings Calculations'!$F212*'Unit Savings Calculations'!K212</f>
        <v>400</v>
      </c>
      <c r="J216" s="297">
        <f>'Unit Savings Calculations'!$F212*'Unit Savings Calculations'!L212</f>
        <v>400</v>
      </c>
      <c r="K216" s="297">
        <f>'Unit Savings Calculations'!$F212*'Unit Savings Calculations'!M212</f>
        <v>400</v>
      </c>
      <c r="L216" s="295" t="str">
        <f>'Unit Savings Calculations'!U212</f>
        <v>CI-HVC-BLRT-V06-160601</v>
      </c>
      <c r="M216" s="405" t="str">
        <f>'Unit Savings Calculations'!R212</f>
        <v>Exhibit 1.5A_R North Shore EEPS_Adjustable_Savings_Goal_Template.xlsx, Unit Savings Calculations Tab</v>
      </c>
      <c r="N216" s="298">
        <v>0.37064104123585789</v>
      </c>
      <c r="O216" s="298">
        <v>0.37064104123585789</v>
      </c>
      <c r="P216" s="298">
        <v>0.37064104123585789</v>
      </c>
      <c r="Q216" s="298">
        <v>0.37064104123585789</v>
      </c>
      <c r="R216" s="299">
        <f>'Unit Savings Calculations'!$G212</f>
        <v>0.92</v>
      </c>
      <c r="S216" s="299">
        <f>'Unit Savings Calculations'!$G212</f>
        <v>0.92</v>
      </c>
      <c r="T216" s="299">
        <f>'Unit Savings Calculations'!$G212</f>
        <v>0.92</v>
      </c>
      <c r="U216" s="299">
        <f>'Unit Savings Calculations'!$G212</f>
        <v>0.92</v>
      </c>
      <c r="V216" s="300">
        <f t="shared" si="104"/>
        <v>136.39590317479573</v>
      </c>
      <c r="W216" s="300">
        <f t="shared" si="105"/>
        <v>136.39590317479573</v>
      </c>
      <c r="X216" s="300">
        <f t="shared" si="106"/>
        <v>136.39590317479573</v>
      </c>
      <c r="Y216" s="300">
        <f t="shared" si="107"/>
        <v>136.39590317479573</v>
      </c>
      <c r="Z216" s="300">
        <f t="shared" si="108"/>
        <v>545.58361269918294</v>
      </c>
      <c r="AA216" s="295"/>
      <c r="AB216" s="295"/>
      <c r="AC216" s="298">
        <f>'Unit Savings Calculations'!N212</f>
        <v>0.38045006690183525</v>
      </c>
      <c r="AD216" s="295"/>
      <c r="AE216" s="300">
        <f t="shared" si="116"/>
        <v>140.00562461987539</v>
      </c>
      <c r="AF216" s="297">
        <f t="shared" si="117"/>
        <v>3.6097214450796571</v>
      </c>
      <c r="AG216" s="295"/>
      <c r="AH216" s="295">
        <f t="shared" si="118"/>
        <v>0</v>
      </c>
      <c r="AI216" s="298">
        <f>'Unit Savings Calculations'!O212</f>
        <v>0.38045006690183525</v>
      </c>
      <c r="AJ216" s="405" t="s">
        <v>879</v>
      </c>
      <c r="AK216" s="300">
        <f t="shared" si="119"/>
        <v>140.00562461987539</v>
      </c>
      <c r="AL216" s="297">
        <f t="shared" si="120"/>
        <v>3.6097214450796571</v>
      </c>
      <c r="AM216" s="295"/>
      <c r="AN216" s="295"/>
      <c r="AO216" s="298">
        <f>'Unit Savings Calculations'!P212</f>
        <v>0.38045006690183525</v>
      </c>
      <c r="AP216" s="405" t="s">
        <v>1443</v>
      </c>
      <c r="AQ216" s="300">
        <f t="shared" si="121"/>
        <v>140.00562461987539</v>
      </c>
      <c r="AR216" s="297">
        <f t="shared" si="122"/>
        <v>3.6097214450796571</v>
      </c>
      <c r="AS216" s="295"/>
      <c r="AT216" s="295"/>
      <c r="AU216" s="298">
        <f>'Unit Savings Calculations'!Q212</f>
        <v>0.38045006690183525</v>
      </c>
      <c r="AV216" s="405" t="str">
        <f t="shared" si="109"/>
        <v>Updated heating EFLH</v>
      </c>
      <c r="AW216" s="300">
        <f t="shared" si="123"/>
        <v>140.00562461987539</v>
      </c>
      <c r="AX216" s="297">
        <f t="shared" si="124"/>
        <v>3.6097214450796571</v>
      </c>
      <c r="AY216" s="300">
        <f t="shared" si="110"/>
        <v>140.00562461987539</v>
      </c>
      <c r="AZ216" s="300">
        <f t="shared" si="111"/>
        <v>140.00562461987539</v>
      </c>
      <c r="BA216" s="300">
        <f t="shared" si="112"/>
        <v>140.00562461987539</v>
      </c>
      <c r="BB216" s="300">
        <f t="shared" si="113"/>
        <v>140.00562461987539</v>
      </c>
      <c r="BC216" s="301">
        <f t="shared" si="114"/>
        <v>560.02249847950156</v>
      </c>
      <c r="BD216" s="295" t="s">
        <v>764</v>
      </c>
      <c r="BE216" s="302" t="str">
        <f t="shared" si="115"/>
        <v>Exhibit 1.5A_R North Shore EEPS_Adjustable_Savings_Goal_Template.xlsx, Unit Savings Calculations Tab</v>
      </c>
      <c r="BF216" s="304"/>
    </row>
    <row r="217" spans="1:58" ht="15.75" customHeight="1">
      <c r="A217" s="295" t="str">
        <f>'Unit Savings Calculations'!C213</f>
        <v>Bus - SB Rebates -PTA</v>
      </c>
      <c r="B217" s="295" t="str">
        <f>'Unit Savings Calculations'!D213</f>
        <v>Condensing Unit Heater</v>
      </c>
      <c r="C217" s="296">
        <f t="shared" si="125"/>
        <v>1</v>
      </c>
      <c r="D217" s="295" t="str">
        <f>'Unit Savings Calculations'!T213</f>
        <v>4.4.5</v>
      </c>
      <c r="E217" s="460">
        <f>INDEX('Unit Savings Calculations'!$H$4:$H$421,MATCH('Measure-Level Adjustments Tab'!$A217&amp;"_"&amp;'Measure-Level Adjustments Tab'!$B217,'Unit Savings Calculations'!$A$4:$A$421,0))</f>
        <v>12</v>
      </c>
      <c r="F217" s="460">
        <f>INDEX('Unit Savings Calculations'!$I$4:$I$421,MATCH('Measure-Level Adjustments Tab'!A217&amp;"_"&amp;'Measure-Level Adjustments Tab'!B217,'Unit Savings Calculations'!$A$4:$A$421,0))</f>
        <v>12</v>
      </c>
      <c r="G217" s="295" t="str">
        <f>'Unit Savings Calculations'!E213</f>
        <v>MBH</v>
      </c>
      <c r="H217" s="297">
        <f>'Unit Savings Calculations'!$F213*'Unit Savings Calculations'!J213</f>
        <v>0</v>
      </c>
      <c r="I217" s="297">
        <f>'Unit Savings Calculations'!$F213*'Unit Savings Calculations'!K213</f>
        <v>0</v>
      </c>
      <c r="J217" s="297">
        <f>'Unit Savings Calculations'!$F213*'Unit Savings Calculations'!L213</f>
        <v>0</v>
      </c>
      <c r="K217" s="297">
        <f>'Unit Savings Calculations'!$F213*'Unit Savings Calculations'!M213</f>
        <v>0</v>
      </c>
      <c r="L217" s="295" t="str">
        <f>'Unit Savings Calculations'!U213</f>
        <v>CI-HVC-CUHT-V01-120601</v>
      </c>
      <c r="M217" s="405" t="str">
        <f>'Unit Savings Calculations'!R213</f>
        <v>Exhibit 1.5A_R North Shore EEPS_Adjustable_Savings_Goal_Template.xlsx, Unit Savings Calculations Tab</v>
      </c>
      <c r="N217" s="298">
        <v>1.7733333333333334</v>
      </c>
      <c r="O217" s="298">
        <v>1.7733333333333334</v>
      </c>
      <c r="P217" s="298">
        <v>1.7733333333333334</v>
      </c>
      <c r="Q217" s="298">
        <v>1.7733333333333334</v>
      </c>
      <c r="R217" s="299">
        <f>'Unit Savings Calculations'!$G213</f>
        <v>0.92</v>
      </c>
      <c r="S217" s="299">
        <f>'Unit Savings Calculations'!$G213</f>
        <v>0.92</v>
      </c>
      <c r="T217" s="299">
        <f>'Unit Savings Calculations'!$G213</f>
        <v>0.92</v>
      </c>
      <c r="U217" s="299">
        <f>'Unit Savings Calculations'!$G213</f>
        <v>0.92</v>
      </c>
      <c r="V217" s="300">
        <f t="shared" si="104"/>
        <v>0</v>
      </c>
      <c r="W217" s="300">
        <f t="shared" si="105"/>
        <v>0</v>
      </c>
      <c r="X217" s="300">
        <f t="shared" si="106"/>
        <v>0</v>
      </c>
      <c r="Y217" s="300">
        <f t="shared" si="107"/>
        <v>0</v>
      </c>
      <c r="Z217" s="300">
        <f t="shared" si="108"/>
        <v>0</v>
      </c>
      <c r="AA217" s="295"/>
      <c r="AB217" s="295"/>
      <c r="AC217" s="298">
        <f>'Unit Savings Calculations'!N213</f>
        <v>1.7733333333333334</v>
      </c>
      <c r="AD217" s="295"/>
      <c r="AE217" s="300">
        <f t="shared" si="116"/>
        <v>0</v>
      </c>
      <c r="AF217" s="297">
        <f t="shared" si="117"/>
        <v>0</v>
      </c>
      <c r="AG217" s="295"/>
      <c r="AH217" s="295">
        <f t="shared" si="118"/>
        <v>0</v>
      </c>
      <c r="AI217" s="298">
        <f>'Unit Savings Calculations'!O213</f>
        <v>1.7733333333333334</v>
      </c>
      <c r="AJ217" s="405" t="s">
        <v>879</v>
      </c>
      <c r="AK217" s="300">
        <f t="shared" si="119"/>
        <v>0</v>
      </c>
      <c r="AL217" s="297">
        <f t="shared" si="120"/>
        <v>0</v>
      </c>
      <c r="AM217" s="295"/>
      <c r="AN217" s="295"/>
      <c r="AO217" s="298">
        <f>'Unit Savings Calculations'!P213</f>
        <v>1.7733333333333334</v>
      </c>
      <c r="AP217" s="405" t="s">
        <v>764</v>
      </c>
      <c r="AQ217" s="300">
        <f t="shared" si="121"/>
        <v>0</v>
      </c>
      <c r="AR217" s="297">
        <f t="shared" si="122"/>
        <v>0</v>
      </c>
      <c r="AS217" s="295"/>
      <c r="AT217" s="295"/>
      <c r="AU217" s="298">
        <f>'Unit Savings Calculations'!Q213</f>
        <v>1.7733333333333334</v>
      </c>
      <c r="AV217" s="405" t="str">
        <f t="shared" si="109"/>
        <v>n/a</v>
      </c>
      <c r="AW217" s="300">
        <f t="shared" si="123"/>
        <v>0</v>
      </c>
      <c r="AX217" s="297">
        <f t="shared" si="124"/>
        <v>0</v>
      </c>
      <c r="AY217" s="300">
        <f t="shared" si="110"/>
        <v>0</v>
      </c>
      <c r="AZ217" s="300">
        <f t="shared" si="111"/>
        <v>0</v>
      </c>
      <c r="BA217" s="300">
        <f t="shared" si="112"/>
        <v>0</v>
      </c>
      <c r="BB217" s="300">
        <f t="shared" si="113"/>
        <v>0</v>
      </c>
      <c r="BC217" s="301">
        <f t="shared" si="114"/>
        <v>0</v>
      </c>
      <c r="BD217" s="295" t="s">
        <v>764</v>
      </c>
      <c r="BE217" s="302" t="str">
        <f t="shared" si="115"/>
        <v>Exhibit 1.5A_R North Shore EEPS_Adjustable_Savings_Goal_Template.xlsx, Unit Savings Calculations Tab</v>
      </c>
      <c r="BF217" s="304"/>
    </row>
    <row r="218" spans="1:58" ht="15.75" customHeight="1">
      <c r="A218" s="295" t="str">
        <f>'Unit Savings Calculations'!C214</f>
        <v>Bus - SB Rebates -PTA</v>
      </c>
      <c r="B218" s="295" t="str">
        <f>'Unit Savings Calculations'!D214</f>
        <v>DCV - Kitchen</v>
      </c>
      <c r="C218" s="296">
        <f t="shared" si="125"/>
        <v>1</v>
      </c>
      <c r="D218" s="295" t="str">
        <f>'Unit Savings Calculations'!T214</f>
        <v>4.2.16</v>
      </c>
      <c r="E218" s="460">
        <f>INDEX('Unit Savings Calculations'!$H$4:$H$421,MATCH('Measure-Level Adjustments Tab'!$A218&amp;"_"&amp;'Measure-Level Adjustments Tab'!$B218,'Unit Savings Calculations'!$A$4:$A$421,0))</f>
        <v>15</v>
      </c>
      <c r="F218" s="460">
        <f>INDEX('Unit Savings Calculations'!$I$4:$I$421,MATCH('Measure-Level Adjustments Tab'!A218&amp;"_"&amp;'Measure-Level Adjustments Tab'!B218,'Unit Savings Calculations'!$A$4:$A$421,0))</f>
        <v>15</v>
      </c>
      <c r="G218" s="295" t="str">
        <f>'Unit Savings Calculations'!E214</f>
        <v>each</v>
      </c>
      <c r="H218" s="297">
        <f>'Unit Savings Calculations'!$F214*'Unit Savings Calculations'!J214</f>
        <v>0</v>
      </c>
      <c r="I218" s="297">
        <f>'Unit Savings Calculations'!$F214*'Unit Savings Calculations'!K214</f>
        <v>0</v>
      </c>
      <c r="J218" s="297">
        <f>'Unit Savings Calculations'!$F214*'Unit Savings Calculations'!L214</f>
        <v>0</v>
      </c>
      <c r="K218" s="297">
        <f>'Unit Savings Calculations'!$F214*'Unit Savings Calculations'!M214</f>
        <v>0</v>
      </c>
      <c r="L218" s="295" t="str">
        <f>'Unit Savings Calculations'!U214</f>
        <v>CI-FSE-VENT-V03-160601</v>
      </c>
      <c r="M218" s="405" t="str">
        <f>'Unit Savings Calculations'!R214</f>
        <v>Exhibit 1.5A_R North Shore EEPS_Adjustable_Savings_Goal_Template.xlsx, Unit Savings Calculations Tab</v>
      </c>
      <c r="N218" s="298">
        <v>5998.5</v>
      </c>
      <c r="O218" s="298">
        <v>5998.5</v>
      </c>
      <c r="P218" s="298">
        <v>5998.5</v>
      </c>
      <c r="Q218" s="298">
        <v>5998.5</v>
      </c>
      <c r="R218" s="299">
        <f>'Unit Savings Calculations'!$G214</f>
        <v>0.92</v>
      </c>
      <c r="S218" s="299">
        <f>'Unit Savings Calculations'!$G214</f>
        <v>0.92</v>
      </c>
      <c r="T218" s="299">
        <f>'Unit Savings Calculations'!$G214</f>
        <v>0.92</v>
      </c>
      <c r="U218" s="299">
        <f>'Unit Savings Calculations'!$G214</f>
        <v>0.92</v>
      </c>
      <c r="V218" s="300">
        <f t="shared" si="104"/>
        <v>0</v>
      </c>
      <c r="W218" s="300">
        <f t="shared" si="105"/>
        <v>0</v>
      </c>
      <c r="X218" s="300">
        <f t="shared" si="106"/>
        <v>0</v>
      </c>
      <c r="Y218" s="300">
        <f t="shared" si="107"/>
        <v>0</v>
      </c>
      <c r="Z218" s="300">
        <f t="shared" si="108"/>
        <v>0</v>
      </c>
      <c r="AA218" s="295"/>
      <c r="AB218" s="295"/>
      <c r="AC218" s="298">
        <f>'Unit Savings Calculations'!N214</f>
        <v>5998.5</v>
      </c>
      <c r="AD218" s="295"/>
      <c r="AE218" s="300">
        <f t="shared" si="116"/>
        <v>0</v>
      </c>
      <c r="AF218" s="297">
        <f t="shared" si="117"/>
        <v>0</v>
      </c>
      <c r="AG218" s="295"/>
      <c r="AH218" s="295">
        <f t="shared" si="118"/>
        <v>0</v>
      </c>
      <c r="AI218" s="298">
        <f>'Unit Savings Calculations'!O214</f>
        <v>5998.5</v>
      </c>
      <c r="AJ218" s="405" t="s">
        <v>879</v>
      </c>
      <c r="AK218" s="300">
        <f t="shared" si="119"/>
        <v>0</v>
      </c>
      <c r="AL218" s="297">
        <f t="shared" si="120"/>
        <v>0</v>
      </c>
      <c r="AM218" s="295"/>
      <c r="AN218" s="295"/>
      <c r="AO218" s="298">
        <f>'Unit Savings Calculations'!P214</f>
        <v>5998.5</v>
      </c>
      <c r="AP218" s="405" t="s">
        <v>764</v>
      </c>
      <c r="AQ218" s="300">
        <f t="shared" si="121"/>
        <v>0</v>
      </c>
      <c r="AR218" s="297">
        <f t="shared" si="122"/>
        <v>0</v>
      </c>
      <c r="AS218" s="295"/>
      <c r="AT218" s="295"/>
      <c r="AU218" s="298">
        <f>'Unit Savings Calculations'!Q214</f>
        <v>5998.5</v>
      </c>
      <c r="AV218" s="405" t="str">
        <f t="shared" si="109"/>
        <v>n/a</v>
      </c>
      <c r="AW218" s="300">
        <f t="shared" si="123"/>
        <v>0</v>
      </c>
      <c r="AX218" s="297">
        <f t="shared" si="124"/>
        <v>0</v>
      </c>
      <c r="AY218" s="300">
        <f t="shared" si="110"/>
        <v>0</v>
      </c>
      <c r="AZ218" s="300">
        <f t="shared" si="111"/>
        <v>0</v>
      </c>
      <c r="BA218" s="300">
        <f t="shared" si="112"/>
        <v>0</v>
      </c>
      <c r="BB218" s="300">
        <f t="shared" si="113"/>
        <v>0</v>
      </c>
      <c r="BC218" s="301">
        <f t="shared" si="114"/>
        <v>0</v>
      </c>
      <c r="BD218" s="295" t="s">
        <v>764</v>
      </c>
      <c r="BE218" s="302" t="str">
        <f t="shared" si="115"/>
        <v>Exhibit 1.5A_R North Shore EEPS_Adjustable_Savings_Goal_Template.xlsx, Unit Savings Calculations Tab</v>
      </c>
      <c r="BF218" s="304"/>
    </row>
    <row r="219" spans="1:58" ht="15.75" customHeight="1">
      <c r="A219" s="295" t="str">
        <f>'Unit Savings Calculations'!C215</f>
        <v>Bus - SB Rebates -PTA</v>
      </c>
      <c r="B219" s="295" t="str">
        <f>'Unit Savings Calculations'!D215</f>
        <v>Direct Fired Heaters</v>
      </c>
      <c r="C219" s="296">
        <f t="shared" si="125"/>
        <v>0</v>
      </c>
      <c r="D219" s="295" t="str">
        <f>'Unit Savings Calculations'!T215</f>
        <v>Custom</v>
      </c>
      <c r="E219" s="460">
        <f>INDEX('Unit Savings Calculations'!$H$4:$H$421,MATCH('Measure-Level Adjustments Tab'!$A219&amp;"_"&amp;'Measure-Level Adjustments Tab'!$B219,'Unit Savings Calculations'!$A$4:$A$421,0))</f>
        <v>20</v>
      </c>
      <c r="F219" s="460">
        <f>INDEX('Unit Savings Calculations'!$I$4:$I$421,MATCH('Measure-Level Adjustments Tab'!A219&amp;"_"&amp;'Measure-Level Adjustments Tab'!B219,'Unit Savings Calculations'!$A$4:$A$421,0))</f>
        <v>20</v>
      </c>
      <c r="G219" s="295" t="str">
        <f>'Unit Savings Calculations'!E215</f>
        <v>MBH</v>
      </c>
      <c r="H219" s="297">
        <f>'Unit Savings Calculations'!$F215*'Unit Savings Calculations'!J215</f>
        <v>0</v>
      </c>
      <c r="I219" s="297">
        <f>'Unit Savings Calculations'!$F215*'Unit Savings Calculations'!K215</f>
        <v>0</v>
      </c>
      <c r="J219" s="297">
        <f>'Unit Savings Calculations'!$F215*'Unit Savings Calculations'!L215</f>
        <v>0</v>
      </c>
      <c r="K219" s="297">
        <f>'Unit Savings Calculations'!$F215*'Unit Savings Calculations'!M215</f>
        <v>0</v>
      </c>
      <c r="L219" s="295" t="str">
        <f>'Unit Savings Calculations'!U215</f>
        <v>Custom</v>
      </c>
      <c r="M219" s="405" t="str">
        <f>'Unit Savings Calculations'!R215</f>
        <v>Custom</v>
      </c>
      <c r="N219" s="298">
        <v>2.3084999999999987</v>
      </c>
      <c r="O219" s="298">
        <v>2.3084999999999987</v>
      </c>
      <c r="P219" s="298">
        <v>2.3084999999999987</v>
      </c>
      <c r="Q219" s="298">
        <v>2.3084999999999987</v>
      </c>
      <c r="R219" s="299">
        <f>'Unit Savings Calculations'!$G215</f>
        <v>0.92</v>
      </c>
      <c r="S219" s="299">
        <f>'Unit Savings Calculations'!$G215</f>
        <v>0.92</v>
      </c>
      <c r="T219" s="299">
        <f>'Unit Savings Calculations'!$G215</f>
        <v>0.92</v>
      </c>
      <c r="U219" s="299">
        <f>'Unit Savings Calculations'!$G215</f>
        <v>0.92</v>
      </c>
      <c r="V219" s="300">
        <f t="shared" si="104"/>
        <v>0</v>
      </c>
      <c r="W219" s="300">
        <f t="shared" si="105"/>
        <v>0</v>
      </c>
      <c r="X219" s="300">
        <f t="shared" si="106"/>
        <v>0</v>
      </c>
      <c r="Y219" s="300">
        <f t="shared" si="107"/>
        <v>0</v>
      </c>
      <c r="Z219" s="300">
        <f t="shared" si="108"/>
        <v>0</v>
      </c>
      <c r="AA219" s="406"/>
      <c r="AB219" s="406"/>
      <c r="AC219" s="409">
        <f>'Unit Savings Calculations'!N215</f>
        <v>2.5169999999999986</v>
      </c>
      <c r="AD219" s="406"/>
      <c r="AE219" s="407">
        <f t="shared" si="116"/>
        <v>0</v>
      </c>
      <c r="AF219" s="408">
        <f t="shared" si="117"/>
        <v>0</v>
      </c>
      <c r="AG219" s="406"/>
      <c r="AH219" s="406">
        <f t="shared" si="118"/>
        <v>0</v>
      </c>
      <c r="AI219" s="409">
        <f>'Unit Savings Calculations'!O215</f>
        <v>2.5169999999999986</v>
      </c>
      <c r="AJ219" s="457" t="s">
        <v>879</v>
      </c>
      <c r="AK219" s="407">
        <f t="shared" si="119"/>
        <v>0</v>
      </c>
      <c r="AL219" s="408">
        <f t="shared" si="120"/>
        <v>0</v>
      </c>
      <c r="AM219" s="406"/>
      <c r="AN219" s="406"/>
      <c r="AO219" s="409">
        <f>'Unit Savings Calculations'!P215</f>
        <v>2.5169999999999986</v>
      </c>
      <c r="AP219" s="457" t="s">
        <v>1443</v>
      </c>
      <c r="AQ219" s="407">
        <f t="shared" si="121"/>
        <v>0</v>
      </c>
      <c r="AR219" s="408">
        <f t="shared" si="122"/>
        <v>0</v>
      </c>
      <c r="AS219" s="406"/>
      <c r="AT219" s="406"/>
      <c r="AU219" s="409">
        <f>'Unit Savings Calculations'!Q215</f>
        <v>2.5169999999999986</v>
      </c>
      <c r="AV219" s="457" t="str">
        <f t="shared" si="109"/>
        <v>Updated heating EFLH</v>
      </c>
      <c r="AW219" s="407">
        <f t="shared" si="123"/>
        <v>0</v>
      </c>
      <c r="AX219" s="408">
        <f t="shared" si="124"/>
        <v>0</v>
      </c>
      <c r="AY219" s="300">
        <f t="shared" si="110"/>
        <v>0</v>
      </c>
      <c r="AZ219" s="300">
        <f t="shared" si="111"/>
        <v>0</v>
      </c>
      <c r="BA219" s="300">
        <f t="shared" si="112"/>
        <v>0</v>
      </c>
      <c r="BB219" s="300">
        <f t="shared" si="113"/>
        <v>0</v>
      </c>
      <c r="BC219" s="301">
        <f t="shared" si="114"/>
        <v>0</v>
      </c>
      <c r="BD219" s="295" t="s">
        <v>764</v>
      </c>
      <c r="BE219" s="302" t="str">
        <f t="shared" si="115"/>
        <v>Custom</v>
      </c>
      <c r="BF219" s="304"/>
    </row>
    <row r="220" spans="1:58" ht="15.75" customHeight="1">
      <c r="A220" s="295" t="str">
        <f>'Unit Savings Calculations'!C216</f>
        <v>Bus - SB Rebates -PTA</v>
      </c>
      <c r="B220" s="295" t="str">
        <f>'Unit Savings Calculations'!D216</f>
        <v>High Speed Washer - Hotel/Motel/Hospital</v>
      </c>
      <c r="C220" s="296">
        <f t="shared" si="125"/>
        <v>1</v>
      </c>
      <c r="D220" s="295" t="str">
        <f>'Unit Savings Calculations'!T216</f>
        <v>4.8.5</v>
      </c>
      <c r="E220" s="460">
        <f>INDEX('Unit Savings Calculations'!$H$4:$H$421,MATCH('Measure-Level Adjustments Tab'!$A220&amp;"_"&amp;'Measure-Level Adjustments Tab'!$B220,'Unit Savings Calculations'!$A$4:$A$421,0))</f>
        <v>7</v>
      </c>
      <c r="F220" s="460">
        <f>INDEX('Unit Savings Calculations'!$I$4:$I$421,MATCH('Measure-Level Adjustments Tab'!A220&amp;"_"&amp;'Measure-Level Adjustments Tab'!B220,'Unit Savings Calculations'!$A$4:$A$421,0))</f>
        <v>7</v>
      </c>
      <c r="G220" s="295" t="str">
        <f>'Unit Savings Calculations'!E216</f>
        <v>lb-capacity</v>
      </c>
      <c r="H220" s="297">
        <f>'Unit Savings Calculations'!$F216*'Unit Savings Calculations'!J216</f>
        <v>1000</v>
      </c>
      <c r="I220" s="297">
        <f>'Unit Savings Calculations'!$F216*'Unit Savings Calculations'!K216</f>
        <v>1000</v>
      </c>
      <c r="J220" s="297">
        <f>'Unit Savings Calculations'!$F216*'Unit Savings Calculations'!L216</f>
        <v>1000</v>
      </c>
      <c r="K220" s="297">
        <f>'Unit Savings Calculations'!$F216*'Unit Savings Calculations'!M216</f>
        <v>1000</v>
      </c>
      <c r="L220" s="295" t="str">
        <f>'Unit Savings Calculations'!U216</f>
        <v>CI-MSC-HSCW-V01-180101</v>
      </c>
      <c r="M220" s="405" t="str">
        <f>'Unit Savings Calculations'!R216</f>
        <v>Exhibit 1.5A_R North Shore EEPS_Adjustable_Savings_Goal_Template.xlsx, Unit Savings Calculations Tab</v>
      </c>
      <c r="N220" s="298">
        <v>11.243232000000003</v>
      </c>
      <c r="O220" s="298">
        <v>11.243232000000003</v>
      </c>
      <c r="P220" s="298">
        <v>11.243232000000003</v>
      </c>
      <c r="Q220" s="298">
        <v>11.243232000000003</v>
      </c>
      <c r="R220" s="299">
        <f>'Unit Savings Calculations'!$G216</f>
        <v>0.92</v>
      </c>
      <c r="S220" s="299">
        <f>'Unit Savings Calculations'!$G216</f>
        <v>0.92</v>
      </c>
      <c r="T220" s="299">
        <f>'Unit Savings Calculations'!$G216</f>
        <v>0.92</v>
      </c>
      <c r="U220" s="299">
        <f>'Unit Savings Calculations'!$G216</f>
        <v>0.92</v>
      </c>
      <c r="V220" s="300">
        <f t="shared" si="104"/>
        <v>10343.773440000003</v>
      </c>
      <c r="W220" s="300">
        <f t="shared" si="105"/>
        <v>10343.773440000003</v>
      </c>
      <c r="X220" s="300">
        <f t="shared" si="106"/>
        <v>10343.773440000003</v>
      </c>
      <c r="Y220" s="300">
        <f t="shared" si="107"/>
        <v>10343.773440000003</v>
      </c>
      <c r="Z220" s="300">
        <f t="shared" si="108"/>
        <v>41375.093760000011</v>
      </c>
      <c r="AA220" s="295"/>
      <c r="AB220" s="295"/>
      <c r="AC220" s="298">
        <f>'Unit Savings Calculations'!N216</f>
        <v>11.243232000000003</v>
      </c>
      <c r="AD220" s="295"/>
      <c r="AE220" s="300">
        <f t="shared" si="116"/>
        <v>10343.773440000003</v>
      </c>
      <c r="AF220" s="297">
        <f t="shared" si="117"/>
        <v>0</v>
      </c>
      <c r="AG220" s="295"/>
      <c r="AH220" s="295">
        <f t="shared" si="118"/>
        <v>0</v>
      </c>
      <c r="AI220" s="298">
        <f>'Unit Savings Calculations'!O216</f>
        <v>11.243232000000003</v>
      </c>
      <c r="AJ220" s="405" t="s">
        <v>879</v>
      </c>
      <c r="AK220" s="300">
        <f t="shared" si="119"/>
        <v>10343.773440000003</v>
      </c>
      <c r="AL220" s="297">
        <f t="shared" si="120"/>
        <v>0</v>
      </c>
      <c r="AM220" s="295"/>
      <c r="AN220" s="295"/>
      <c r="AO220" s="298">
        <f>'Unit Savings Calculations'!P216</f>
        <v>11.243232000000003</v>
      </c>
      <c r="AP220" s="405" t="s">
        <v>764</v>
      </c>
      <c r="AQ220" s="300">
        <f t="shared" si="121"/>
        <v>10343.773440000003</v>
      </c>
      <c r="AR220" s="297">
        <f t="shared" si="122"/>
        <v>0</v>
      </c>
      <c r="AS220" s="295"/>
      <c r="AT220" s="295"/>
      <c r="AU220" s="298">
        <f>'Unit Savings Calculations'!Q216</f>
        <v>11.243232000000003</v>
      </c>
      <c r="AV220" s="405" t="str">
        <f t="shared" si="109"/>
        <v>n/a</v>
      </c>
      <c r="AW220" s="300">
        <f t="shared" si="123"/>
        <v>10343.773440000003</v>
      </c>
      <c r="AX220" s="297">
        <f t="shared" si="124"/>
        <v>0</v>
      </c>
      <c r="AY220" s="300">
        <f t="shared" si="110"/>
        <v>10343.773440000003</v>
      </c>
      <c r="AZ220" s="300">
        <f t="shared" si="111"/>
        <v>10343.773440000003</v>
      </c>
      <c r="BA220" s="300">
        <f t="shared" si="112"/>
        <v>10343.773440000003</v>
      </c>
      <c r="BB220" s="300">
        <f t="shared" si="113"/>
        <v>10343.773440000003</v>
      </c>
      <c r="BC220" s="301">
        <f t="shared" si="114"/>
        <v>41375.093760000011</v>
      </c>
      <c r="BD220" s="295" t="s">
        <v>764</v>
      </c>
      <c r="BE220" s="302" t="str">
        <f t="shared" si="115"/>
        <v>Exhibit 1.5A_R North Shore EEPS_Adjustable_Savings_Goal_Template.xlsx, Unit Savings Calculations Tab</v>
      </c>
      <c r="BF220" s="304"/>
    </row>
    <row r="221" spans="1:58" ht="15.75" customHeight="1">
      <c r="A221" s="295" t="str">
        <f>'Unit Savings Calculations'!C217</f>
        <v>Bus - SB Rebates -PTA</v>
      </c>
      <c r="B221" s="295" t="str">
        <f>'Unit Savings Calculations'!D217</f>
        <v>High Speed Washer - Laundromat</v>
      </c>
      <c r="C221" s="296">
        <f t="shared" si="125"/>
        <v>1</v>
      </c>
      <c r="D221" s="295" t="str">
        <f>'Unit Savings Calculations'!T217</f>
        <v>4.8.5</v>
      </c>
      <c r="E221" s="460">
        <f>INDEX('Unit Savings Calculations'!$H$4:$H$421,MATCH('Measure-Level Adjustments Tab'!$A221&amp;"_"&amp;'Measure-Level Adjustments Tab'!$B221,'Unit Savings Calculations'!$A$4:$A$421,0))</f>
        <v>7</v>
      </c>
      <c r="F221" s="460">
        <f>INDEX('Unit Savings Calculations'!$I$4:$I$421,MATCH('Measure-Level Adjustments Tab'!A221&amp;"_"&amp;'Measure-Level Adjustments Tab'!B221,'Unit Savings Calculations'!$A$4:$A$421,0))</f>
        <v>7</v>
      </c>
      <c r="G221" s="295" t="str">
        <f>'Unit Savings Calculations'!E217</f>
        <v>lb-capacity</v>
      </c>
      <c r="H221" s="297">
        <f>'Unit Savings Calculations'!$F217*'Unit Savings Calculations'!J217</f>
        <v>0</v>
      </c>
      <c r="I221" s="297">
        <f>'Unit Savings Calculations'!$F217*'Unit Savings Calculations'!K217</f>
        <v>0</v>
      </c>
      <c r="J221" s="297">
        <f>'Unit Savings Calculations'!$F217*'Unit Savings Calculations'!L217</f>
        <v>0</v>
      </c>
      <c r="K221" s="297">
        <f>'Unit Savings Calculations'!$F217*'Unit Savings Calculations'!M217</f>
        <v>0</v>
      </c>
      <c r="L221" s="295" t="str">
        <f>'Unit Savings Calculations'!U217</f>
        <v>CI-MSC-HSCW-V01-180101</v>
      </c>
      <c r="M221" s="405" t="str">
        <f>'Unit Savings Calculations'!R217</f>
        <v>Exhibit 1.5A_R North Shore EEPS_Adjustable_Savings_Goal_Template.xlsx, Unit Savings Calculations Tab</v>
      </c>
      <c r="N221" s="298">
        <v>4.648644</v>
      </c>
      <c r="O221" s="298">
        <v>4.648644</v>
      </c>
      <c r="P221" s="298">
        <v>4.648644</v>
      </c>
      <c r="Q221" s="298">
        <v>4.648644</v>
      </c>
      <c r="R221" s="299">
        <f>'Unit Savings Calculations'!$G217</f>
        <v>0.92</v>
      </c>
      <c r="S221" s="299">
        <f>'Unit Savings Calculations'!$G217</f>
        <v>0.92</v>
      </c>
      <c r="T221" s="299">
        <f>'Unit Savings Calculations'!$G217</f>
        <v>0.92</v>
      </c>
      <c r="U221" s="299">
        <f>'Unit Savings Calculations'!$G217</f>
        <v>0.92</v>
      </c>
      <c r="V221" s="300">
        <f t="shared" si="104"/>
        <v>0</v>
      </c>
      <c r="W221" s="300">
        <f t="shared" si="105"/>
        <v>0</v>
      </c>
      <c r="X221" s="300">
        <f t="shared" si="106"/>
        <v>0</v>
      </c>
      <c r="Y221" s="300">
        <f t="shared" si="107"/>
        <v>0</v>
      </c>
      <c r="Z221" s="300">
        <f t="shared" si="108"/>
        <v>0</v>
      </c>
      <c r="AA221" s="295"/>
      <c r="AB221" s="295"/>
      <c r="AC221" s="298">
        <f>'Unit Savings Calculations'!N217</f>
        <v>4.648644</v>
      </c>
      <c r="AD221" s="295"/>
      <c r="AE221" s="300">
        <f t="shared" si="116"/>
        <v>0</v>
      </c>
      <c r="AF221" s="297">
        <f t="shared" si="117"/>
        <v>0</v>
      </c>
      <c r="AG221" s="295"/>
      <c r="AH221" s="295">
        <f t="shared" si="118"/>
        <v>0</v>
      </c>
      <c r="AI221" s="298">
        <f>'Unit Savings Calculations'!O217</f>
        <v>4.648644</v>
      </c>
      <c r="AJ221" s="405" t="s">
        <v>879</v>
      </c>
      <c r="AK221" s="300">
        <f t="shared" si="119"/>
        <v>0</v>
      </c>
      <c r="AL221" s="297">
        <f t="shared" si="120"/>
        <v>0</v>
      </c>
      <c r="AM221" s="295"/>
      <c r="AN221" s="295"/>
      <c r="AO221" s="298">
        <f>'Unit Savings Calculations'!P217</f>
        <v>4.648644</v>
      </c>
      <c r="AP221" s="405" t="s">
        <v>764</v>
      </c>
      <c r="AQ221" s="300">
        <f t="shared" si="121"/>
        <v>0</v>
      </c>
      <c r="AR221" s="297">
        <f t="shared" si="122"/>
        <v>0</v>
      </c>
      <c r="AS221" s="295"/>
      <c r="AT221" s="295"/>
      <c r="AU221" s="298">
        <f>'Unit Savings Calculations'!Q217</f>
        <v>4.648644</v>
      </c>
      <c r="AV221" s="405" t="str">
        <f t="shared" si="109"/>
        <v>n/a</v>
      </c>
      <c r="AW221" s="300">
        <f t="shared" si="123"/>
        <v>0</v>
      </c>
      <c r="AX221" s="297">
        <f t="shared" si="124"/>
        <v>0</v>
      </c>
      <c r="AY221" s="300">
        <f t="shared" si="110"/>
        <v>0</v>
      </c>
      <c r="AZ221" s="300">
        <f t="shared" si="111"/>
        <v>0</v>
      </c>
      <c r="BA221" s="300">
        <f t="shared" si="112"/>
        <v>0</v>
      </c>
      <c r="BB221" s="300">
        <f t="shared" si="113"/>
        <v>0</v>
      </c>
      <c r="BC221" s="301">
        <f t="shared" si="114"/>
        <v>0</v>
      </c>
      <c r="BD221" s="295" t="s">
        <v>764</v>
      </c>
      <c r="BE221" s="302" t="str">
        <f t="shared" si="115"/>
        <v>Exhibit 1.5A_R North Shore EEPS_Adjustable_Savings_Goal_Template.xlsx, Unit Savings Calculations Tab</v>
      </c>
      <c r="BF221" s="304"/>
    </row>
    <row r="222" spans="1:58" ht="15.75" customHeight="1">
      <c r="A222" s="295" t="str">
        <f>'Unit Savings Calculations'!C218</f>
        <v>Bus - SB Rebates -PTA</v>
      </c>
      <c r="B222" s="295" t="str">
        <f>'Unit Savings Calculations'!D218</f>
        <v>Infrared Heater</v>
      </c>
      <c r="C222" s="296">
        <f t="shared" si="125"/>
        <v>1</v>
      </c>
      <c r="D222" s="295" t="str">
        <f>'Unit Savings Calculations'!T218</f>
        <v>4.4.12</v>
      </c>
      <c r="E222" s="460">
        <f>INDEX('Unit Savings Calculations'!$H$4:$H$421,MATCH('Measure-Level Adjustments Tab'!$A222&amp;"_"&amp;'Measure-Level Adjustments Tab'!$B222,'Unit Savings Calculations'!$A$4:$A$421,0))</f>
        <v>12</v>
      </c>
      <c r="F222" s="460">
        <f>INDEX('Unit Savings Calculations'!$I$4:$I$421,MATCH('Measure-Level Adjustments Tab'!A222&amp;"_"&amp;'Measure-Level Adjustments Tab'!B222,'Unit Savings Calculations'!$A$4:$A$421,0))</f>
        <v>12</v>
      </c>
      <c r="G222" s="295" t="str">
        <f>'Unit Savings Calculations'!E218</f>
        <v>MBH</v>
      </c>
      <c r="H222" s="297">
        <f>'Unit Savings Calculations'!$F218*'Unit Savings Calculations'!J218</f>
        <v>0</v>
      </c>
      <c r="I222" s="297">
        <f>'Unit Savings Calculations'!$F218*'Unit Savings Calculations'!K218</f>
        <v>0</v>
      </c>
      <c r="J222" s="297">
        <f>'Unit Savings Calculations'!$F218*'Unit Savings Calculations'!L218</f>
        <v>0</v>
      </c>
      <c r="K222" s="297">
        <f>'Unit Savings Calculations'!$F218*'Unit Savings Calculations'!M218</f>
        <v>0</v>
      </c>
      <c r="L222" s="295" t="str">
        <f>'Unit Savings Calculations'!U218</f>
        <v>CI-HVC-IRHT-V01-120601</v>
      </c>
      <c r="M222" s="405" t="str">
        <f>'Unit Savings Calculations'!R218</f>
        <v>Exhibit 1.5A_R North Shore EEPS_Adjustable_Savings_Goal_Template.xlsx, Unit Savings Calculations Tab</v>
      </c>
      <c r="N222" s="298">
        <v>3.0066666666666668</v>
      </c>
      <c r="O222" s="298">
        <v>3.0066666666666668</v>
      </c>
      <c r="P222" s="298">
        <v>3.0066666666666668</v>
      </c>
      <c r="Q222" s="298">
        <v>3.0066666666666668</v>
      </c>
      <c r="R222" s="299">
        <f>'Unit Savings Calculations'!$G218</f>
        <v>0.92</v>
      </c>
      <c r="S222" s="299">
        <f>'Unit Savings Calculations'!$G218</f>
        <v>0.92</v>
      </c>
      <c r="T222" s="299">
        <f>'Unit Savings Calculations'!$G218</f>
        <v>0.92</v>
      </c>
      <c r="U222" s="299">
        <f>'Unit Savings Calculations'!$G218</f>
        <v>0.92</v>
      </c>
      <c r="V222" s="300">
        <f t="shared" ref="V222:V285" si="126">H222*N222*R222</f>
        <v>0</v>
      </c>
      <c r="W222" s="300">
        <f t="shared" ref="W222:W285" si="127">I222*O222*S222</f>
        <v>0</v>
      </c>
      <c r="X222" s="300">
        <f t="shared" ref="X222:X285" si="128">J222*P222*T222</f>
        <v>0</v>
      </c>
      <c r="Y222" s="300">
        <f t="shared" ref="Y222:Y285" si="129">K222*Q222*U222</f>
        <v>0</v>
      </c>
      <c r="Z222" s="300">
        <f t="shared" ref="Z222:Z285" si="130">V222+W222+X222+Y222</f>
        <v>0</v>
      </c>
      <c r="AA222" s="295"/>
      <c r="AB222" s="295"/>
      <c r="AC222" s="298">
        <f>'Unit Savings Calculations'!N218</f>
        <v>3.0066666666666668</v>
      </c>
      <c r="AD222" s="295"/>
      <c r="AE222" s="300">
        <f t="shared" si="116"/>
        <v>0</v>
      </c>
      <c r="AF222" s="297">
        <f t="shared" si="117"/>
        <v>0</v>
      </c>
      <c r="AG222" s="295"/>
      <c r="AH222" s="295">
        <f t="shared" si="118"/>
        <v>0</v>
      </c>
      <c r="AI222" s="298">
        <f>'Unit Savings Calculations'!O218</f>
        <v>3.0066666666666668</v>
      </c>
      <c r="AJ222" s="405" t="s">
        <v>879</v>
      </c>
      <c r="AK222" s="300">
        <f t="shared" si="119"/>
        <v>0</v>
      </c>
      <c r="AL222" s="297">
        <f t="shared" si="120"/>
        <v>0</v>
      </c>
      <c r="AM222" s="295"/>
      <c r="AN222" s="295"/>
      <c r="AO222" s="298">
        <f>'Unit Savings Calculations'!P218</f>
        <v>3.0066666666666668</v>
      </c>
      <c r="AP222" s="405" t="s">
        <v>764</v>
      </c>
      <c r="AQ222" s="300">
        <f t="shared" si="121"/>
        <v>0</v>
      </c>
      <c r="AR222" s="297">
        <f t="shared" si="122"/>
        <v>0</v>
      </c>
      <c r="AS222" s="295"/>
      <c r="AT222" s="295"/>
      <c r="AU222" s="298">
        <f>'Unit Savings Calculations'!Q218</f>
        <v>3.0066666666666668</v>
      </c>
      <c r="AV222" s="405" t="str">
        <f t="shared" si="109"/>
        <v>n/a</v>
      </c>
      <c r="AW222" s="300">
        <f t="shared" si="123"/>
        <v>0</v>
      </c>
      <c r="AX222" s="297">
        <f t="shared" si="124"/>
        <v>0</v>
      </c>
      <c r="AY222" s="300">
        <f t="shared" si="110"/>
        <v>0</v>
      </c>
      <c r="AZ222" s="300">
        <f t="shared" si="111"/>
        <v>0</v>
      </c>
      <c r="BA222" s="300">
        <f t="shared" si="112"/>
        <v>0</v>
      </c>
      <c r="BB222" s="300">
        <f t="shared" si="113"/>
        <v>0</v>
      </c>
      <c r="BC222" s="301">
        <f t="shared" si="114"/>
        <v>0</v>
      </c>
      <c r="BD222" s="295" t="s">
        <v>764</v>
      </c>
      <c r="BE222" s="302" t="str">
        <f t="shared" si="115"/>
        <v>Exhibit 1.5A_R North Shore EEPS_Adjustable_Savings_Goal_Template.xlsx, Unit Savings Calculations Tab</v>
      </c>
      <c r="BF222" s="304"/>
    </row>
    <row r="223" spans="1:58" ht="15.75" customHeight="1">
      <c r="A223" s="295" t="str">
        <f>'Unit Savings Calculations'!C219</f>
        <v>Bus - SB Rebates -PTA</v>
      </c>
      <c r="B223" s="295" t="str">
        <f>'Unit Savings Calculations'!D219</f>
        <v>Modulating Commercial Gas Clothes Dryer</v>
      </c>
      <c r="C223" s="296">
        <f t="shared" si="125"/>
        <v>1</v>
      </c>
      <c r="D223" s="295" t="str">
        <f>'Unit Savings Calculations'!T219</f>
        <v>4.8.4</v>
      </c>
      <c r="E223" s="460">
        <f>INDEX('Unit Savings Calculations'!$H$4:$H$421,MATCH('Measure-Level Adjustments Tab'!$A223&amp;"_"&amp;'Measure-Level Adjustments Tab'!$B223,'Unit Savings Calculations'!$A$4:$A$421,0))</f>
        <v>14</v>
      </c>
      <c r="F223" s="460">
        <f>INDEX('Unit Savings Calculations'!$I$4:$I$421,MATCH('Measure-Level Adjustments Tab'!A223&amp;"_"&amp;'Measure-Level Adjustments Tab'!B223,'Unit Savings Calculations'!$A$4:$A$421,0))</f>
        <v>14</v>
      </c>
      <c r="G223" s="295" t="str">
        <f>'Unit Savings Calculations'!E219</f>
        <v>each</v>
      </c>
      <c r="H223" s="297">
        <f>'Unit Savings Calculations'!$F219*'Unit Savings Calculations'!J219</f>
        <v>0</v>
      </c>
      <c r="I223" s="297">
        <f>'Unit Savings Calculations'!$F219*'Unit Savings Calculations'!K219</f>
        <v>0</v>
      </c>
      <c r="J223" s="297">
        <f>'Unit Savings Calculations'!$F219*'Unit Savings Calculations'!L219</f>
        <v>0</v>
      </c>
      <c r="K223" s="297">
        <f>'Unit Savings Calculations'!$F219*'Unit Savings Calculations'!M219</f>
        <v>0</v>
      </c>
      <c r="L223" s="295" t="str">
        <f>'Unit Savings Calculations'!U219</f>
        <v>CI-MSC-MODD-V01-160601</v>
      </c>
      <c r="M223" s="405" t="str">
        <f>'Unit Savings Calculations'!R219</f>
        <v>Exhibit 1.5A_R North Shore EEPS_Adjustable_Savings_Goal_Template.xlsx, Unit Savings Calculations Tab</v>
      </c>
      <c r="N223" s="298">
        <v>266.94</v>
      </c>
      <c r="O223" s="298">
        <v>266.94</v>
      </c>
      <c r="P223" s="298">
        <v>266.94</v>
      </c>
      <c r="Q223" s="298">
        <v>266.94</v>
      </c>
      <c r="R223" s="299">
        <f>'Unit Savings Calculations'!$G219</f>
        <v>0.92</v>
      </c>
      <c r="S223" s="299">
        <f>'Unit Savings Calculations'!$G219</f>
        <v>0.92</v>
      </c>
      <c r="T223" s="299">
        <f>'Unit Savings Calculations'!$G219</f>
        <v>0.92</v>
      </c>
      <c r="U223" s="299">
        <f>'Unit Savings Calculations'!$G219</f>
        <v>0.92</v>
      </c>
      <c r="V223" s="300">
        <f t="shared" si="126"/>
        <v>0</v>
      </c>
      <c r="W223" s="300">
        <f t="shared" si="127"/>
        <v>0</v>
      </c>
      <c r="X223" s="300">
        <f t="shared" si="128"/>
        <v>0</v>
      </c>
      <c r="Y223" s="300">
        <f t="shared" si="129"/>
        <v>0</v>
      </c>
      <c r="Z223" s="300">
        <f t="shared" si="130"/>
        <v>0</v>
      </c>
      <c r="AA223" s="295"/>
      <c r="AB223" s="295"/>
      <c r="AC223" s="298">
        <f>'Unit Savings Calculations'!N219</f>
        <v>266.94</v>
      </c>
      <c r="AD223" s="295"/>
      <c r="AE223" s="300">
        <f t="shared" si="116"/>
        <v>0</v>
      </c>
      <c r="AF223" s="297">
        <f t="shared" si="117"/>
        <v>0</v>
      </c>
      <c r="AG223" s="295"/>
      <c r="AH223" s="295">
        <f t="shared" si="118"/>
        <v>0</v>
      </c>
      <c r="AI223" s="298">
        <f>'Unit Savings Calculations'!O219</f>
        <v>266.94</v>
      </c>
      <c r="AJ223" s="405" t="s">
        <v>879</v>
      </c>
      <c r="AK223" s="300">
        <f t="shared" si="119"/>
        <v>0</v>
      </c>
      <c r="AL223" s="297">
        <f t="shared" si="120"/>
        <v>0</v>
      </c>
      <c r="AM223" s="295"/>
      <c r="AN223" s="295"/>
      <c r="AO223" s="298">
        <f>'Unit Savings Calculations'!P219</f>
        <v>266.94</v>
      </c>
      <c r="AP223" s="405" t="s">
        <v>764</v>
      </c>
      <c r="AQ223" s="300">
        <f t="shared" si="121"/>
        <v>0</v>
      </c>
      <c r="AR223" s="297">
        <f t="shared" si="122"/>
        <v>0</v>
      </c>
      <c r="AS223" s="295"/>
      <c r="AT223" s="295"/>
      <c r="AU223" s="298">
        <f>'Unit Savings Calculations'!Q219</f>
        <v>266.94</v>
      </c>
      <c r="AV223" s="405" t="str">
        <f t="shared" si="109"/>
        <v>n/a</v>
      </c>
      <c r="AW223" s="300">
        <f t="shared" si="123"/>
        <v>0</v>
      </c>
      <c r="AX223" s="297">
        <f t="shared" si="124"/>
        <v>0</v>
      </c>
      <c r="AY223" s="300">
        <f t="shared" si="110"/>
        <v>0</v>
      </c>
      <c r="AZ223" s="300">
        <f t="shared" si="111"/>
        <v>0</v>
      </c>
      <c r="BA223" s="300">
        <f t="shared" si="112"/>
        <v>0</v>
      </c>
      <c r="BB223" s="300">
        <f t="shared" si="113"/>
        <v>0</v>
      </c>
      <c r="BC223" s="301">
        <f t="shared" si="114"/>
        <v>0</v>
      </c>
      <c r="BD223" s="295" t="s">
        <v>764</v>
      </c>
      <c r="BE223" s="302" t="str">
        <f t="shared" si="115"/>
        <v>Exhibit 1.5A_R North Shore EEPS_Adjustable_Savings_Goal_Template.xlsx, Unit Savings Calculations Tab</v>
      </c>
      <c r="BF223" s="304"/>
    </row>
    <row r="224" spans="1:58" ht="15.75" customHeight="1">
      <c r="A224" s="295" t="str">
        <f>'Unit Savings Calculations'!C220</f>
        <v>Bus - SB Rebates -PTA</v>
      </c>
      <c r="B224" s="295" t="str">
        <f>'Unit Savings Calculations'!D220</f>
        <v>Ozone Laundry</v>
      </c>
      <c r="C224" s="296">
        <f t="shared" si="125"/>
        <v>1</v>
      </c>
      <c r="D224" s="295" t="str">
        <f>'Unit Savings Calculations'!T220</f>
        <v>4.3.6</v>
      </c>
      <c r="E224" s="460">
        <f>INDEX('Unit Savings Calculations'!$H$4:$H$421,MATCH('Measure-Level Adjustments Tab'!$A224&amp;"_"&amp;'Measure-Level Adjustments Tab'!$B224,'Unit Savings Calculations'!$A$4:$A$421,0))</f>
        <v>10</v>
      </c>
      <c r="F224" s="460">
        <f>INDEX('Unit Savings Calculations'!$I$4:$I$421,MATCH('Measure-Level Adjustments Tab'!A224&amp;"_"&amp;'Measure-Level Adjustments Tab'!B224,'Unit Savings Calculations'!$A$4:$A$421,0))</f>
        <v>10</v>
      </c>
      <c r="G224" s="295" t="str">
        <f>'Unit Savings Calculations'!E220</f>
        <v>lb-capacity</v>
      </c>
      <c r="H224" s="297">
        <f>'Unit Savings Calculations'!$F220*'Unit Savings Calculations'!J220</f>
        <v>0</v>
      </c>
      <c r="I224" s="297">
        <f>'Unit Savings Calculations'!$F220*'Unit Savings Calculations'!K220</f>
        <v>0</v>
      </c>
      <c r="J224" s="297">
        <f>'Unit Savings Calculations'!$F220*'Unit Savings Calculations'!L220</f>
        <v>0</v>
      </c>
      <c r="K224" s="297">
        <f>'Unit Savings Calculations'!$F220*'Unit Savings Calculations'!M220</f>
        <v>0</v>
      </c>
      <c r="L224" s="295" t="str">
        <f>'Unit Savings Calculations'!U220</f>
        <v>CI-HW-OZLD-VO1-140601</v>
      </c>
      <c r="M224" s="405" t="str">
        <f>'Unit Savings Calculations'!R220</f>
        <v>Exhibit 1.5A_R North Shore EEPS_Adjustable_Savings_Goal_Template.xlsx, Unit Savings Calculations Tab</v>
      </c>
      <c r="N224" s="298">
        <v>30.722664192350027</v>
      </c>
      <c r="O224" s="298">
        <v>30.722664192350027</v>
      </c>
      <c r="P224" s="298">
        <v>30.722664192350027</v>
      </c>
      <c r="Q224" s="298">
        <v>30.722664192350027</v>
      </c>
      <c r="R224" s="299">
        <f>'Unit Savings Calculations'!$G220</f>
        <v>0.92</v>
      </c>
      <c r="S224" s="299">
        <f>'Unit Savings Calculations'!$G220</f>
        <v>0.92</v>
      </c>
      <c r="T224" s="299">
        <f>'Unit Savings Calculations'!$G220</f>
        <v>0.92</v>
      </c>
      <c r="U224" s="299">
        <f>'Unit Savings Calculations'!$G220</f>
        <v>0.92</v>
      </c>
      <c r="V224" s="300">
        <f t="shared" si="126"/>
        <v>0</v>
      </c>
      <c r="W224" s="300">
        <f t="shared" si="127"/>
        <v>0</v>
      </c>
      <c r="X224" s="300">
        <f t="shared" si="128"/>
        <v>0</v>
      </c>
      <c r="Y224" s="300">
        <f t="shared" si="129"/>
        <v>0</v>
      </c>
      <c r="Z224" s="300">
        <f t="shared" si="130"/>
        <v>0</v>
      </c>
      <c r="AA224" s="295"/>
      <c r="AB224" s="295"/>
      <c r="AC224" s="298">
        <f>'Unit Savings Calculations'!N220</f>
        <v>30.722664192350027</v>
      </c>
      <c r="AD224" s="295"/>
      <c r="AE224" s="300">
        <f t="shared" si="116"/>
        <v>0</v>
      </c>
      <c r="AF224" s="297">
        <f t="shared" si="117"/>
        <v>0</v>
      </c>
      <c r="AG224" s="295"/>
      <c r="AH224" s="295">
        <f t="shared" si="118"/>
        <v>0</v>
      </c>
      <c r="AI224" s="298">
        <f>'Unit Savings Calculations'!O220</f>
        <v>30.722664192350027</v>
      </c>
      <c r="AJ224" s="405" t="s">
        <v>879</v>
      </c>
      <c r="AK224" s="300">
        <f t="shared" si="119"/>
        <v>0</v>
      </c>
      <c r="AL224" s="297">
        <f t="shared" si="120"/>
        <v>0</v>
      </c>
      <c r="AM224" s="295"/>
      <c r="AN224" s="295"/>
      <c r="AO224" s="298">
        <f>'Unit Savings Calculations'!P220</f>
        <v>30.722664192350027</v>
      </c>
      <c r="AP224" s="405" t="s">
        <v>764</v>
      </c>
      <c r="AQ224" s="300">
        <f t="shared" si="121"/>
        <v>0</v>
      </c>
      <c r="AR224" s="297">
        <f t="shared" si="122"/>
        <v>0</v>
      </c>
      <c r="AS224" s="295"/>
      <c r="AT224" s="295"/>
      <c r="AU224" s="298">
        <f>'Unit Savings Calculations'!Q220</f>
        <v>30.722664192350027</v>
      </c>
      <c r="AV224" s="405" t="str">
        <f t="shared" si="109"/>
        <v>n/a</v>
      </c>
      <c r="AW224" s="300">
        <f t="shared" si="123"/>
        <v>0</v>
      </c>
      <c r="AX224" s="297">
        <f t="shared" si="124"/>
        <v>0</v>
      </c>
      <c r="AY224" s="300">
        <f t="shared" si="110"/>
        <v>0</v>
      </c>
      <c r="AZ224" s="300">
        <f t="shared" si="111"/>
        <v>0</v>
      </c>
      <c r="BA224" s="300">
        <f t="shared" si="112"/>
        <v>0</v>
      </c>
      <c r="BB224" s="300">
        <f t="shared" si="113"/>
        <v>0</v>
      </c>
      <c r="BC224" s="301">
        <f t="shared" si="114"/>
        <v>0</v>
      </c>
      <c r="BD224" s="295" t="s">
        <v>764</v>
      </c>
      <c r="BE224" s="302" t="str">
        <f t="shared" si="115"/>
        <v>Exhibit 1.5A_R North Shore EEPS_Adjustable_Savings_Goal_Template.xlsx, Unit Savings Calculations Tab</v>
      </c>
      <c r="BF224" s="304"/>
    </row>
    <row r="225" spans="1:58" ht="15.75" customHeight="1">
      <c r="A225" s="295" t="str">
        <f>'Unit Savings Calculations'!C221</f>
        <v>Bus - SB Rebates -PTA</v>
      </c>
      <c r="B225" s="295" t="str">
        <f>'Unit Savings Calculations'!D221</f>
        <v>Pipe Insulation - Dry Cleaners</v>
      </c>
      <c r="C225" s="296">
        <f t="shared" si="125"/>
        <v>1</v>
      </c>
      <c r="D225" s="295" t="str">
        <f>'Unit Savings Calculations'!T221</f>
        <v>4.4.14</v>
      </c>
      <c r="E225" s="460">
        <f>INDEX('Unit Savings Calculations'!$H$4:$H$421,MATCH('Measure-Level Adjustments Tab'!$A225&amp;"_"&amp;'Measure-Level Adjustments Tab'!$B225,'Unit Savings Calculations'!$A$4:$A$421,0))</f>
        <v>15</v>
      </c>
      <c r="F225" s="460">
        <f>INDEX('Unit Savings Calculations'!$I$4:$I$421,MATCH('Measure-Level Adjustments Tab'!A225&amp;"_"&amp;'Measure-Level Adjustments Tab'!B225,'Unit Savings Calculations'!$A$4:$A$421,0))</f>
        <v>15</v>
      </c>
      <c r="G225" s="295" t="str">
        <f>'Unit Savings Calculations'!E221</f>
        <v>ft</v>
      </c>
      <c r="H225" s="297">
        <f>'Unit Savings Calculations'!$F221*'Unit Savings Calculations'!J221</f>
        <v>0</v>
      </c>
      <c r="I225" s="297">
        <f>'Unit Savings Calculations'!$F221*'Unit Savings Calculations'!K221</f>
        <v>0</v>
      </c>
      <c r="J225" s="297">
        <f>'Unit Savings Calculations'!$F221*'Unit Savings Calculations'!L221</f>
        <v>0</v>
      </c>
      <c r="K225" s="297">
        <f>'Unit Savings Calculations'!$F221*'Unit Savings Calculations'!M221</f>
        <v>0</v>
      </c>
      <c r="L225" s="295" t="str">
        <f>'Unit Savings Calculations'!U221</f>
        <v>CI-HVC-PINS-V04-160601</v>
      </c>
      <c r="M225" s="405" t="str">
        <f>'Unit Savings Calculations'!R221</f>
        <v>Exhibit 1.5A_R North Shore EEPS_Adjustable_Savings_Goal_Template.xlsx, Pipe Insulation Detail Tab</v>
      </c>
      <c r="N225" s="298">
        <v>4.1509563815028345</v>
      </c>
      <c r="O225" s="298">
        <v>4.1509563815028345</v>
      </c>
      <c r="P225" s="298">
        <v>4.1509563815028345</v>
      </c>
      <c r="Q225" s="298">
        <v>4.1509563815028345</v>
      </c>
      <c r="R225" s="299">
        <f>'Unit Savings Calculations'!$G221</f>
        <v>0.92</v>
      </c>
      <c r="S225" s="299">
        <f>'Unit Savings Calculations'!$G221</f>
        <v>0.92</v>
      </c>
      <c r="T225" s="299">
        <f>'Unit Savings Calculations'!$G221</f>
        <v>0.92</v>
      </c>
      <c r="U225" s="299">
        <f>'Unit Savings Calculations'!$G221</f>
        <v>0.92</v>
      </c>
      <c r="V225" s="300">
        <f t="shared" si="126"/>
        <v>0</v>
      </c>
      <c r="W225" s="300">
        <f t="shared" si="127"/>
        <v>0</v>
      </c>
      <c r="X225" s="300">
        <f t="shared" si="128"/>
        <v>0</v>
      </c>
      <c r="Y225" s="300">
        <f t="shared" si="129"/>
        <v>0</v>
      </c>
      <c r="Z225" s="300">
        <f t="shared" si="130"/>
        <v>0</v>
      </c>
      <c r="AA225" s="295"/>
      <c r="AB225" s="295"/>
      <c r="AC225" s="298">
        <f>'Unit Savings Calculations'!N221</f>
        <v>4.1509563815028345</v>
      </c>
      <c r="AD225" s="295"/>
      <c r="AE225" s="300">
        <f t="shared" si="116"/>
        <v>0</v>
      </c>
      <c r="AF225" s="297">
        <f t="shared" si="117"/>
        <v>0</v>
      </c>
      <c r="AG225" s="295"/>
      <c r="AH225" s="295">
        <f t="shared" si="118"/>
        <v>0</v>
      </c>
      <c r="AI225" s="298">
        <f>'Unit Savings Calculations'!O221</f>
        <v>4.1509563815028345</v>
      </c>
      <c r="AJ225" s="405" t="s">
        <v>879</v>
      </c>
      <c r="AK225" s="300">
        <f t="shared" si="119"/>
        <v>0</v>
      </c>
      <c r="AL225" s="297">
        <f t="shared" si="120"/>
        <v>0</v>
      </c>
      <c r="AM225" s="295"/>
      <c r="AN225" s="295"/>
      <c r="AO225" s="298">
        <f>'Unit Savings Calculations'!P221</f>
        <v>4.1509563815028345</v>
      </c>
      <c r="AP225" s="405" t="s">
        <v>764</v>
      </c>
      <c r="AQ225" s="300">
        <f t="shared" si="121"/>
        <v>0</v>
      </c>
      <c r="AR225" s="297">
        <f t="shared" si="122"/>
        <v>0</v>
      </c>
      <c r="AS225" s="295"/>
      <c r="AT225" s="295"/>
      <c r="AU225" s="298">
        <f>'Unit Savings Calculations'!Q221</f>
        <v>4.1509563815028345</v>
      </c>
      <c r="AV225" s="405" t="str">
        <f t="shared" si="109"/>
        <v>n/a</v>
      </c>
      <c r="AW225" s="300">
        <f t="shared" si="123"/>
        <v>0</v>
      </c>
      <c r="AX225" s="297">
        <f t="shared" si="124"/>
        <v>0</v>
      </c>
      <c r="AY225" s="300">
        <f t="shared" si="110"/>
        <v>0</v>
      </c>
      <c r="AZ225" s="300">
        <f t="shared" si="111"/>
        <v>0</v>
      </c>
      <c r="BA225" s="300">
        <f t="shared" si="112"/>
        <v>0</v>
      </c>
      <c r="BB225" s="300">
        <f t="shared" si="113"/>
        <v>0</v>
      </c>
      <c r="BC225" s="301">
        <f t="shared" si="114"/>
        <v>0</v>
      </c>
      <c r="BD225" s="295" t="s">
        <v>764</v>
      </c>
      <c r="BE225" s="302" t="str">
        <f t="shared" si="115"/>
        <v>Exhibit 1.5A_R North Shore EEPS_Adjustable_Savings_Goal_Template.xlsx, Pipe Insulation Detail Tab</v>
      </c>
      <c r="BF225" s="304"/>
    </row>
    <row r="226" spans="1:58" ht="15.75" customHeight="1">
      <c r="A226" s="295" t="str">
        <f>'Unit Savings Calculations'!C222</f>
        <v>Bus - SB Rebates -PTA</v>
      </c>
      <c r="B226" s="295" t="str">
        <f>'Unit Savings Calculations'!D222</f>
        <v>Pipe Insulation - Dry Cleaners -Elbows</v>
      </c>
      <c r="C226" s="296">
        <f t="shared" si="125"/>
        <v>1</v>
      </c>
      <c r="D226" s="295" t="str">
        <f>'Unit Savings Calculations'!T222</f>
        <v>4.4.14</v>
      </c>
      <c r="E226" s="460">
        <f>INDEX('Unit Savings Calculations'!$H$4:$H$421,MATCH('Measure-Level Adjustments Tab'!$A226&amp;"_"&amp;'Measure-Level Adjustments Tab'!$B226,'Unit Savings Calculations'!$A$4:$A$421,0))</f>
        <v>15</v>
      </c>
      <c r="F226" s="460">
        <f>INDEX('Unit Savings Calculations'!$I$4:$I$421,MATCH('Measure-Level Adjustments Tab'!A226&amp;"_"&amp;'Measure-Level Adjustments Tab'!B226,'Unit Savings Calculations'!$A$4:$A$421,0))</f>
        <v>15</v>
      </c>
      <c r="G226" s="295" t="str">
        <f>'Unit Savings Calculations'!E222</f>
        <v>ft</v>
      </c>
      <c r="H226" s="297">
        <f>'Unit Savings Calculations'!$F222*'Unit Savings Calculations'!J222</f>
        <v>0</v>
      </c>
      <c r="I226" s="297">
        <f>'Unit Savings Calculations'!$F222*'Unit Savings Calculations'!K222</f>
        <v>0</v>
      </c>
      <c r="J226" s="297">
        <f>'Unit Savings Calculations'!$F222*'Unit Savings Calculations'!L222</f>
        <v>0</v>
      </c>
      <c r="K226" s="297">
        <f>'Unit Savings Calculations'!$F222*'Unit Savings Calculations'!M222</f>
        <v>0</v>
      </c>
      <c r="L226" s="295" t="str">
        <f>'Unit Savings Calculations'!U222</f>
        <v>CI-HVC-PINS-V04-160601</v>
      </c>
      <c r="M226" s="405" t="str">
        <f>'Unit Savings Calculations'!R222</f>
        <v>Exhibit 1.5A_R North Shore EEPS_Adjustable_Savings_Goal_Template.xlsx, Pipe Insulation Detail Tab</v>
      </c>
      <c r="N226" s="298">
        <v>1.9924590631213606</v>
      </c>
      <c r="O226" s="298">
        <v>1.9924590631213606</v>
      </c>
      <c r="P226" s="298">
        <v>1.9924590631213606</v>
      </c>
      <c r="Q226" s="298">
        <v>1.9924590631213606</v>
      </c>
      <c r="R226" s="299">
        <f>'Unit Savings Calculations'!$G222</f>
        <v>0.92</v>
      </c>
      <c r="S226" s="299">
        <f>'Unit Savings Calculations'!$G222</f>
        <v>0.92</v>
      </c>
      <c r="T226" s="299">
        <f>'Unit Savings Calculations'!$G222</f>
        <v>0.92</v>
      </c>
      <c r="U226" s="299">
        <f>'Unit Savings Calculations'!$G222</f>
        <v>0.92</v>
      </c>
      <c r="V226" s="300">
        <f t="shared" si="126"/>
        <v>0</v>
      </c>
      <c r="W226" s="300">
        <f t="shared" si="127"/>
        <v>0</v>
      </c>
      <c r="X226" s="300">
        <f t="shared" si="128"/>
        <v>0</v>
      </c>
      <c r="Y226" s="300">
        <f t="shared" si="129"/>
        <v>0</v>
      </c>
      <c r="Z226" s="300">
        <f t="shared" si="130"/>
        <v>0</v>
      </c>
      <c r="AA226" s="295"/>
      <c r="AB226" s="295"/>
      <c r="AC226" s="298">
        <f>'Unit Savings Calculations'!N222</f>
        <v>1.9924590631213606</v>
      </c>
      <c r="AD226" s="295"/>
      <c r="AE226" s="300">
        <f t="shared" si="116"/>
        <v>0</v>
      </c>
      <c r="AF226" s="297">
        <f t="shared" si="117"/>
        <v>0</v>
      </c>
      <c r="AG226" s="295"/>
      <c r="AH226" s="295">
        <f t="shared" si="118"/>
        <v>0</v>
      </c>
      <c r="AI226" s="298">
        <f>'Unit Savings Calculations'!O222</f>
        <v>1.9924590631213606</v>
      </c>
      <c r="AJ226" s="405" t="s">
        <v>879</v>
      </c>
      <c r="AK226" s="300">
        <f t="shared" si="119"/>
        <v>0</v>
      </c>
      <c r="AL226" s="297">
        <f t="shared" si="120"/>
        <v>0</v>
      </c>
      <c r="AM226" s="295"/>
      <c r="AN226" s="295"/>
      <c r="AO226" s="298">
        <f>'Unit Savings Calculations'!P222</f>
        <v>1.9924590631213606</v>
      </c>
      <c r="AP226" s="405" t="s">
        <v>764</v>
      </c>
      <c r="AQ226" s="300">
        <f t="shared" si="121"/>
        <v>0</v>
      </c>
      <c r="AR226" s="297">
        <f t="shared" si="122"/>
        <v>0</v>
      </c>
      <c r="AS226" s="295"/>
      <c r="AT226" s="295"/>
      <c r="AU226" s="298">
        <f>'Unit Savings Calculations'!Q222</f>
        <v>1.9924590631213606</v>
      </c>
      <c r="AV226" s="405" t="str">
        <f t="shared" si="109"/>
        <v>n/a</v>
      </c>
      <c r="AW226" s="300">
        <f t="shared" si="123"/>
        <v>0</v>
      </c>
      <c r="AX226" s="297">
        <f t="shared" si="124"/>
        <v>0</v>
      </c>
      <c r="AY226" s="300">
        <f t="shared" si="110"/>
        <v>0</v>
      </c>
      <c r="AZ226" s="300">
        <f t="shared" si="111"/>
        <v>0</v>
      </c>
      <c r="BA226" s="300">
        <f t="shared" si="112"/>
        <v>0</v>
      </c>
      <c r="BB226" s="300">
        <f t="shared" si="113"/>
        <v>0</v>
      </c>
      <c r="BC226" s="301">
        <f t="shared" si="114"/>
        <v>0</v>
      </c>
      <c r="BD226" s="295" t="s">
        <v>764</v>
      </c>
      <c r="BE226" s="302" t="str">
        <f t="shared" si="115"/>
        <v>Exhibit 1.5A_R North Shore EEPS_Adjustable_Savings_Goal_Template.xlsx, Pipe Insulation Detail Tab</v>
      </c>
      <c r="BF226" s="304"/>
    </row>
    <row r="227" spans="1:58" ht="15.75" customHeight="1">
      <c r="A227" s="295" t="str">
        <f>'Unit Savings Calculations'!C223</f>
        <v>Bus - SB Rebates -PTA</v>
      </c>
      <c r="B227" s="295" t="str">
        <f>'Unit Savings Calculations'!D223</f>
        <v>Pipe Insulation - HW Small 1" to 2"</v>
      </c>
      <c r="C227" s="296">
        <f t="shared" si="125"/>
        <v>1</v>
      </c>
      <c r="D227" s="295" t="str">
        <f>'Unit Savings Calculations'!T223</f>
        <v>4.4.14</v>
      </c>
      <c r="E227" s="460">
        <f>INDEX('Unit Savings Calculations'!$H$4:$H$421,MATCH('Measure-Level Adjustments Tab'!$A227&amp;"_"&amp;'Measure-Level Adjustments Tab'!$B227,'Unit Savings Calculations'!$A$4:$A$421,0))</f>
        <v>15</v>
      </c>
      <c r="F227" s="460">
        <f>INDEX('Unit Savings Calculations'!$I$4:$I$421,MATCH('Measure-Level Adjustments Tab'!A227&amp;"_"&amp;'Measure-Level Adjustments Tab'!B227,'Unit Savings Calculations'!$A$4:$A$421,0))</f>
        <v>15</v>
      </c>
      <c r="G227" s="295" t="str">
        <f>'Unit Savings Calculations'!E223</f>
        <v>ft</v>
      </c>
      <c r="H227" s="297">
        <f>'Unit Savings Calculations'!$F223*'Unit Savings Calculations'!J223</f>
        <v>150</v>
      </c>
      <c r="I227" s="297">
        <f>'Unit Savings Calculations'!$F223*'Unit Savings Calculations'!K223</f>
        <v>150</v>
      </c>
      <c r="J227" s="297">
        <f>'Unit Savings Calculations'!$F223*'Unit Savings Calculations'!L223</f>
        <v>150</v>
      </c>
      <c r="K227" s="297">
        <f>'Unit Savings Calculations'!$F223*'Unit Savings Calculations'!M223</f>
        <v>150</v>
      </c>
      <c r="L227" s="295" t="str">
        <f>'Unit Savings Calculations'!U223</f>
        <v>CI-HVC-PINS-V04-160601</v>
      </c>
      <c r="M227" s="405" t="str">
        <f>'Unit Savings Calculations'!R223</f>
        <v>Exhibit 1.5A_R North Shore EEPS_Adjustable_Savings_Goal_Template.xlsx, Pipe Insulation Detail Tab</v>
      </c>
      <c r="N227" s="298">
        <v>2.6588140926267867</v>
      </c>
      <c r="O227" s="298">
        <v>2.6588140926267867</v>
      </c>
      <c r="P227" s="298">
        <v>2.6588140926267867</v>
      </c>
      <c r="Q227" s="298">
        <v>2.6588140926267867</v>
      </c>
      <c r="R227" s="299">
        <f>'Unit Savings Calculations'!$G223</f>
        <v>0.92</v>
      </c>
      <c r="S227" s="299">
        <f>'Unit Savings Calculations'!$G223</f>
        <v>0.92</v>
      </c>
      <c r="T227" s="299">
        <f>'Unit Savings Calculations'!$G223</f>
        <v>0.92</v>
      </c>
      <c r="U227" s="299">
        <f>'Unit Savings Calculations'!$G223</f>
        <v>0.92</v>
      </c>
      <c r="V227" s="300">
        <f t="shared" si="126"/>
        <v>366.91634478249659</v>
      </c>
      <c r="W227" s="300">
        <f t="shared" si="127"/>
        <v>366.91634478249659</v>
      </c>
      <c r="X227" s="300">
        <f t="shared" si="128"/>
        <v>366.91634478249659</v>
      </c>
      <c r="Y227" s="300">
        <f t="shared" si="129"/>
        <v>366.91634478249659</v>
      </c>
      <c r="Z227" s="300">
        <f t="shared" si="130"/>
        <v>1467.6653791299864</v>
      </c>
      <c r="AA227" s="295"/>
      <c r="AB227" s="295"/>
      <c r="AC227" s="298">
        <f>'Unit Savings Calculations'!N223</f>
        <v>2.6588140926267867</v>
      </c>
      <c r="AD227" s="295"/>
      <c r="AE227" s="300">
        <f t="shared" si="116"/>
        <v>366.91634478249659</v>
      </c>
      <c r="AF227" s="297">
        <f t="shared" si="117"/>
        <v>0</v>
      </c>
      <c r="AG227" s="295"/>
      <c r="AH227" s="295">
        <f t="shared" si="118"/>
        <v>0</v>
      </c>
      <c r="AI227" s="298">
        <f>'Unit Savings Calculations'!O223</f>
        <v>2.6588140926267867</v>
      </c>
      <c r="AJ227" s="405" t="s">
        <v>879</v>
      </c>
      <c r="AK227" s="300">
        <f t="shared" si="119"/>
        <v>366.91634478249659</v>
      </c>
      <c r="AL227" s="297">
        <f t="shared" si="120"/>
        <v>0</v>
      </c>
      <c r="AM227" s="295"/>
      <c r="AN227" s="295"/>
      <c r="AO227" s="298">
        <f>'Unit Savings Calculations'!P223</f>
        <v>2.6588140926267867</v>
      </c>
      <c r="AP227" s="405" t="s">
        <v>764</v>
      </c>
      <c r="AQ227" s="300">
        <f t="shared" si="121"/>
        <v>366.91634478249659</v>
      </c>
      <c r="AR227" s="297">
        <f t="shared" si="122"/>
        <v>0</v>
      </c>
      <c r="AS227" s="295"/>
      <c r="AT227" s="295"/>
      <c r="AU227" s="298">
        <f>'Unit Savings Calculations'!Q223</f>
        <v>2.6588140926267867</v>
      </c>
      <c r="AV227" s="405" t="str">
        <f t="shared" si="109"/>
        <v>n/a</v>
      </c>
      <c r="AW227" s="300">
        <f t="shared" si="123"/>
        <v>366.91634478249659</v>
      </c>
      <c r="AX227" s="297">
        <f t="shared" si="124"/>
        <v>0</v>
      </c>
      <c r="AY227" s="300">
        <f t="shared" si="110"/>
        <v>366.91634478249659</v>
      </c>
      <c r="AZ227" s="300">
        <f t="shared" si="111"/>
        <v>366.91634478249659</v>
      </c>
      <c r="BA227" s="300">
        <f t="shared" si="112"/>
        <v>366.91634478249659</v>
      </c>
      <c r="BB227" s="300">
        <f t="shared" si="113"/>
        <v>366.91634478249659</v>
      </c>
      <c r="BC227" s="301">
        <f t="shared" si="114"/>
        <v>1467.6653791299864</v>
      </c>
      <c r="BD227" s="295" t="s">
        <v>764</v>
      </c>
      <c r="BE227" s="302" t="str">
        <f t="shared" si="115"/>
        <v>Exhibit 1.5A_R North Shore EEPS_Adjustable_Savings_Goal_Template.xlsx, Pipe Insulation Detail Tab</v>
      </c>
      <c r="BF227" s="304"/>
    </row>
    <row r="228" spans="1:58" ht="15.75" customHeight="1">
      <c r="A228" s="295" t="str">
        <f>'Unit Savings Calculations'!C224</f>
        <v>Bus - SB Rebates -PTA</v>
      </c>
      <c r="B228" s="295" t="str">
        <f>'Unit Savings Calculations'!D224</f>
        <v>Pipe Insulation - HW Medium 2.1" to 4"</v>
      </c>
      <c r="C228" s="296">
        <f t="shared" si="125"/>
        <v>1</v>
      </c>
      <c r="D228" s="295" t="str">
        <f>'Unit Savings Calculations'!T224</f>
        <v>4.4.14</v>
      </c>
      <c r="E228" s="460">
        <f>INDEX('Unit Savings Calculations'!$H$4:$H$421,MATCH('Measure-Level Adjustments Tab'!$A228&amp;"_"&amp;'Measure-Level Adjustments Tab'!$B228,'Unit Savings Calculations'!$A$4:$A$421,0))</f>
        <v>15</v>
      </c>
      <c r="F228" s="460">
        <f>INDEX('Unit Savings Calculations'!$I$4:$I$421,MATCH('Measure-Level Adjustments Tab'!A228&amp;"_"&amp;'Measure-Level Adjustments Tab'!B228,'Unit Savings Calculations'!$A$4:$A$421,0))</f>
        <v>15</v>
      </c>
      <c r="G228" s="295" t="str">
        <f>'Unit Savings Calculations'!E224</f>
        <v>ft</v>
      </c>
      <c r="H228" s="297">
        <f>'Unit Savings Calculations'!$F224*'Unit Savings Calculations'!J224</f>
        <v>750</v>
      </c>
      <c r="I228" s="297">
        <f>'Unit Savings Calculations'!$F224*'Unit Savings Calculations'!K224</f>
        <v>750</v>
      </c>
      <c r="J228" s="297">
        <f>'Unit Savings Calculations'!$F224*'Unit Savings Calculations'!L224</f>
        <v>750</v>
      </c>
      <c r="K228" s="297">
        <f>'Unit Savings Calculations'!$F224*'Unit Savings Calculations'!M224</f>
        <v>750</v>
      </c>
      <c r="L228" s="295" t="str">
        <f>'Unit Savings Calculations'!U224</f>
        <v>CI-HVC-PINS-V04-160601</v>
      </c>
      <c r="M228" s="405" t="str">
        <f>'Unit Savings Calculations'!R224</f>
        <v>Exhibit 1.5A_R North Shore EEPS_Adjustable_Savings_Goal_Template.xlsx, Pipe Insulation Detail Tab</v>
      </c>
      <c r="N228" s="298">
        <v>5.2492031493764015</v>
      </c>
      <c r="O228" s="298">
        <v>5.2492031493764015</v>
      </c>
      <c r="P228" s="298">
        <v>5.2492031493764015</v>
      </c>
      <c r="Q228" s="298">
        <v>5.2492031493764015</v>
      </c>
      <c r="R228" s="299">
        <f>'Unit Savings Calculations'!$G224</f>
        <v>0.92</v>
      </c>
      <c r="S228" s="299">
        <f>'Unit Savings Calculations'!$G224</f>
        <v>0.92</v>
      </c>
      <c r="T228" s="299">
        <f>'Unit Savings Calculations'!$G224</f>
        <v>0.92</v>
      </c>
      <c r="U228" s="299">
        <f>'Unit Savings Calculations'!$G224</f>
        <v>0.92</v>
      </c>
      <c r="V228" s="300">
        <f t="shared" si="126"/>
        <v>3621.950173069717</v>
      </c>
      <c r="W228" s="300">
        <f t="shared" si="127"/>
        <v>3621.950173069717</v>
      </c>
      <c r="X228" s="300">
        <f t="shared" si="128"/>
        <v>3621.950173069717</v>
      </c>
      <c r="Y228" s="300">
        <f t="shared" si="129"/>
        <v>3621.950173069717</v>
      </c>
      <c r="Z228" s="300">
        <f t="shared" si="130"/>
        <v>14487.800692278868</v>
      </c>
      <c r="AA228" s="295"/>
      <c r="AB228" s="295"/>
      <c r="AC228" s="298">
        <f>'Unit Savings Calculations'!N224</f>
        <v>5.2492031493764015</v>
      </c>
      <c r="AD228" s="295"/>
      <c r="AE228" s="300">
        <f t="shared" si="116"/>
        <v>3621.950173069717</v>
      </c>
      <c r="AF228" s="297">
        <f t="shared" si="117"/>
        <v>0</v>
      </c>
      <c r="AG228" s="295"/>
      <c r="AH228" s="295">
        <f t="shared" si="118"/>
        <v>0</v>
      </c>
      <c r="AI228" s="298">
        <f>'Unit Savings Calculations'!O224</f>
        <v>5.2492031493764015</v>
      </c>
      <c r="AJ228" s="405" t="s">
        <v>879</v>
      </c>
      <c r="AK228" s="300">
        <f t="shared" si="119"/>
        <v>3621.950173069717</v>
      </c>
      <c r="AL228" s="297">
        <f t="shared" si="120"/>
        <v>0</v>
      </c>
      <c r="AM228" s="295"/>
      <c r="AN228" s="295"/>
      <c r="AO228" s="298">
        <f>'Unit Savings Calculations'!P224</f>
        <v>5.2492031493764015</v>
      </c>
      <c r="AP228" s="405" t="s">
        <v>764</v>
      </c>
      <c r="AQ228" s="300">
        <f t="shared" si="121"/>
        <v>3621.950173069717</v>
      </c>
      <c r="AR228" s="297">
        <f t="shared" si="122"/>
        <v>0</v>
      </c>
      <c r="AS228" s="295"/>
      <c r="AT228" s="295"/>
      <c r="AU228" s="298">
        <f>'Unit Savings Calculations'!Q224</f>
        <v>5.2492031493764015</v>
      </c>
      <c r="AV228" s="405" t="str">
        <f t="shared" si="109"/>
        <v>n/a</v>
      </c>
      <c r="AW228" s="300">
        <f t="shared" si="123"/>
        <v>3621.950173069717</v>
      </c>
      <c r="AX228" s="297">
        <f t="shared" si="124"/>
        <v>0</v>
      </c>
      <c r="AY228" s="300">
        <f t="shared" si="110"/>
        <v>3621.950173069717</v>
      </c>
      <c r="AZ228" s="300">
        <f t="shared" si="111"/>
        <v>3621.950173069717</v>
      </c>
      <c r="BA228" s="300">
        <f t="shared" si="112"/>
        <v>3621.950173069717</v>
      </c>
      <c r="BB228" s="300">
        <f t="shared" si="113"/>
        <v>3621.950173069717</v>
      </c>
      <c r="BC228" s="301">
        <f t="shared" si="114"/>
        <v>14487.800692278868</v>
      </c>
      <c r="BD228" s="295" t="s">
        <v>764</v>
      </c>
      <c r="BE228" s="302" t="str">
        <f t="shared" si="115"/>
        <v>Exhibit 1.5A_R North Shore EEPS_Adjustable_Savings_Goal_Template.xlsx, Pipe Insulation Detail Tab</v>
      </c>
      <c r="BF228" s="304"/>
    </row>
    <row r="229" spans="1:58" ht="15.75" customHeight="1">
      <c r="A229" s="295" t="str">
        <f>'Unit Savings Calculations'!C225</f>
        <v>Bus - SB Rebates -PTA</v>
      </c>
      <c r="B229" s="295" t="str">
        <f>'Unit Savings Calculations'!D225</f>
        <v>Pipe Insulation - HW Large &gt;4"</v>
      </c>
      <c r="C229" s="296">
        <f t="shared" si="125"/>
        <v>1</v>
      </c>
      <c r="D229" s="295" t="str">
        <f>'Unit Savings Calculations'!T225</f>
        <v>4.4.14</v>
      </c>
      <c r="E229" s="460">
        <f>INDEX('Unit Savings Calculations'!$H$4:$H$421,MATCH('Measure-Level Adjustments Tab'!$A229&amp;"_"&amp;'Measure-Level Adjustments Tab'!$B229,'Unit Savings Calculations'!$A$4:$A$421,0))</f>
        <v>15</v>
      </c>
      <c r="F229" s="460">
        <f>INDEX('Unit Savings Calculations'!$I$4:$I$421,MATCH('Measure-Level Adjustments Tab'!A229&amp;"_"&amp;'Measure-Level Adjustments Tab'!B229,'Unit Savings Calculations'!$A$4:$A$421,0))</f>
        <v>15</v>
      </c>
      <c r="G229" s="295" t="str">
        <f>'Unit Savings Calculations'!E225</f>
        <v>ft</v>
      </c>
      <c r="H229" s="297">
        <f>'Unit Savings Calculations'!$F225*'Unit Savings Calculations'!J225</f>
        <v>150</v>
      </c>
      <c r="I229" s="297">
        <f>'Unit Savings Calculations'!$F225*'Unit Savings Calculations'!K225</f>
        <v>150</v>
      </c>
      <c r="J229" s="297">
        <f>'Unit Savings Calculations'!$F225*'Unit Savings Calculations'!L225</f>
        <v>150</v>
      </c>
      <c r="K229" s="297">
        <f>'Unit Savings Calculations'!$F225*'Unit Savings Calculations'!M225</f>
        <v>150</v>
      </c>
      <c r="L229" s="295" t="str">
        <f>'Unit Savings Calculations'!U225</f>
        <v>CI-HVC-PINS-V04-160601</v>
      </c>
      <c r="M229" s="405" t="str">
        <f>'Unit Savings Calculations'!R225</f>
        <v>Exhibit 1.5A_R North Shore EEPS_Adjustable_Savings_Goal_Template.xlsx, Pipe Insulation Detail Tab</v>
      </c>
      <c r="N229" s="298">
        <v>9.0407613085908682</v>
      </c>
      <c r="O229" s="298">
        <v>9.0407613085908682</v>
      </c>
      <c r="P229" s="298">
        <v>9.0407613085908682</v>
      </c>
      <c r="Q229" s="298">
        <v>9.0407613085908682</v>
      </c>
      <c r="R229" s="299">
        <f>'Unit Savings Calculations'!$G225</f>
        <v>0.92</v>
      </c>
      <c r="S229" s="299">
        <f>'Unit Savings Calculations'!$G225</f>
        <v>0.92</v>
      </c>
      <c r="T229" s="299">
        <f>'Unit Savings Calculations'!$G225</f>
        <v>0.92</v>
      </c>
      <c r="U229" s="299">
        <f>'Unit Savings Calculations'!$G225</f>
        <v>0.92</v>
      </c>
      <c r="V229" s="300">
        <f t="shared" si="126"/>
        <v>1247.6250605855398</v>
      </c>
      <c r="W229" s="300">
        <f t="shared" si="127"/>
        <v>1247.6250605855398</v>
      </c>
      <c r="X229" s="300">
        <f t="shared" si="128"/>
        <v>1247.6250605855398</v>
      </c>
      <c r="Y229" s="300">
        <f t="shared" si="129"/>
        <v>1247.6250605855398</v>
      </c>
      <c r="Z229" s="300">
        <f t="shared" si="130"/>
        <v>4990.5002423421593</v>
      </c>
      <c r="AA229" s="295"/>
      <c r="AB229" s="295"/>
      <c r="AC229" s="298">
        <f>'Unit Savings Calculations'!N225</f>
        <v>9.0407613085908682</v>
      </c>
      <c r="AD229" s="295"/>
      <c r="AE229" s="300">
        <f t="shared" si="116"/>
        <v>1247.6250605855398</v>
      </c>
      <c r="AF229" s="297">
        <f t="shared" si="117"/>
        <v>0</v>
      </c>
      <c r="AG229" s="295"/>
      <c r="AH229" s="295">
        <f t="shared" si="118"/>
        <v>0</v>
      </c>
      <c r="AI229" s="298">
        <f>'Unit Savings Calculations'!O225</f>
        <v>9.0407613085908682</v>
      </c>
      <c r="AJ229" s="405" t="s">
        <v>879</v>
      </c>
      <c r="AK229" s="300">
        <f t="shared" si="119"/>
        <v>1247.6250605855398</v>
      </c>
      <c r="AL229" s="297">
        <f t="shared" si="120"/>
        <v>0</v>
      </c>
      <c r="AM229" s="295"/>
      <c r="AN229" s="295"/>
      <c r="AO229" s="298">
        <f>'Unit Savings Calculations'!P225</f>
        <v>9.0407613085908682</v>
      </c>
      <c r="AP229" s="405" t="s">
        <v>764</v>
      </c>
      <c r="AQ229" s="300">
        <f t="shared" si="121"/>
        <v>1247.6250605855398</v>
      </c>
      <c r="AR229" s="297">
        <f t="shared" si="122"/>
        <v>0</v>
      </c>
      <c r="AS229" s="295"/>
      <c r="AT229" s="295"/>
      <c r="AU229" s="298">
        <f>'Unit Savings Calculations'!Q225</f>
        <v>9.0407613085908682</v>
      </c>
      <c r="AV229" s="405" t="str">
        <f t="shared" si="109"/>
        <v>n/a</v>
      </c>
      <c r="AW229" s="300">
        <f t="shared" si="123"/>
        <v>1247.6250605855398</v>
      </c>
      <c r="AX229" s="297">
        <f t="shared" si="124"/>
        <v>0</v>
      </c>
      <c r="AY229" s="300">
        <f t="shared" si="110"/>
        <v>1247.6250605855398</v>
      </c>
      <c r="AZ229" s="300">
        <f t="shared" si="111"/>
        <v>1247.6250605855398</v>
      </c>
      <c r="BA229" s="300">
        <f t="shared" si="112"/>
        <v>1247.6250605855398</v>
      </c>
      <c r="BB229" s="300">
        <f t="shared" si="113"/>
        <v>1247.6250605855398</v>
      </c>
      <c r="BC229" s="301">
        <f t="shared" si="114"/>
        <v>4990.5002423421593</v>
      </c>
      <c r="BD229" s="295" t="s">
        <v>764</v>
      </c>
      <c r="BE229" s="302" t="str">
        <f t="shared" si="115"/>
        <v>Exhibit 1.5A_R North Shore EEPS_Adjustable_Savings_Goal_Template.xlsx, Pipe Insulation Detail Tab</v>
      </c>
      <c r="BF229" s="304"/>
    </row>
    <row r="230" spans="1:58" ht="15.75" customHeight="1">
      <c r="A230" s="295" t="str">
        <f>'Unit Savings Calculations'!C226</f>
        <v>Bus - SB Rebates -PTA</v>
      </c>
      <c r="B230" s="295" t="str">
        <f>'Unit Savings Calculations'!D226</f>
        <v>Pipe Insulation - Steam - Small 1" to 2"</v>
      </c>
      <c r="C230" s="296">
        <f t="shared" si="125"/>
        <v>1</v>
      </c>
      <c r="D230" s="295" t="str">
        <f>'Unit Savings Calculations'!T226</f>
        <v>4.4.14</v>
      </c>
      <c r="E230" s="460">
        <f>INDEX('Unit Savings Calculations'!$H$4:$H$421,MATCH('Measure-Level Adjustments Tab'!$A230&amp;"_"&amp;'Measure-Level Adjustments Tab'!$B230,'Unit Savings Calculations'!$A$4:$A$421,0))</f>
        <v>15</v>
      </c>
      <c r="F230" s="460">
        <f>INDEX('Unit Savings Calculations'!$I$4:$I$421,MATCH('Measure-Level Adjustments Tab'!A230&amp;"_"&amp;'Measure-Level Adjustments Tab'!B230,'Unit Savings Calculations'!$A$4:$A$421,0))</f>
        <v>15</v>
      </c>
      <c r="G230" s="295" t="str">
        <f>'Unit Savings Calculations'!E226</f>
        <v>ft</v>
      </c>
      <c r="H230" s="297">
        <f>'Unit Savings Calculations'!$F226*'Unit Savings Calculations'!J226</f>
        <v>300</v>
      </c>
      <c r="I230" s="297">
        <f>'Unit Savings Calculations'!$F226*'Unit Savings Calculations'!K226</f>
        <v>300</v>
      </c>
      <c r="J230" s="297">
        <f>'Unit Savings Calculations'!$F226*'Unit Savings Calculations'!L226</f>
        <v>300</v>
      </c>
      <c r="K230" s="297">
        <f>'Unit Savings Calculations'!$F226*'Unit Savings Calculations'!M226</f>
        <v>300</v>
      </c>
      <c r="L230" s="295" t="str">
        <f>'Unit Savings Calculations'!U226</f>
        <v>CI-HVC-PINS-V04-160601</v>
      </c>
      <c r="M230" s="405" t="str">
        <f>'Unit Savings Calculations'!R226</f>
        <v>Exhibit 1.5A_R North Shore EEPS_Adjustable_Savings_Goal_Template.xlsx, Pipe Insulation Detail Tab</v>
      </c>
      <c r="N230" s="298">
        <v>3.1854757047967208</v>
      </c>
      <c r="O230" s="298">
        <v>3.1854757047967208</v>
      </c>
      <c r="P230" s="298">
        <v>3.1854757047967208</v>
      </c>
      <c r="Q230" s="298">
        <v>3.1854757047967208</v>
      </c>
      <c r="R230" s="299">
        <f>'Unit Savings Calculations'!$G226</f>
        <v>0.92</v>
      </c>
      <c r="S230" s="299">
        <f>'Unit Savings Calculations'!$G226</f>
        <v>0.92</v>
      </c>
      <c r="T230" s="299">
        <f>'Unit Savings Calculations'!$G226</f>
        <v>0.92</v>
      </c>
      <c r="U230" s="299">
        <f>'Unit Savings Calculations'!$G226</f>
        <v>0.92</v>
      </c>
      <c r="V230" s="300">
        <f t="shared" si="126"/>
        <v>879.19129452389495</v>
      </c>
      <c r="W230" s="300">
        <f t="shared" si="127"/>
        <v>879.19129452389495</v>
      </c>
      <c r="X230" s="300">
        <f t="shared" si="128"/>
        <v>879.19129452389495</v>
      </c>
      <c r="Y230" s="300">
        <f t="shared" si="129"/>
        <v>879.19129452389495</v>
      </c>
      <c r="Z230" s="300">
        <f t="shared" si="130"/>
        <v>3516.7651780955798</v>
      </c>
      <c r="AA230" s="295"/>
      <c r="AB230" s="295"/>
      <c r="AC230" s="298">
        <f>'Unit Savings Calculations'!N226</f>
        <v>3.1854757047967208</v>
      </c>
      <c r="AD230" s="295"/>
      <c r="AE230" s="300">
        <f t="shared" si="116"/>
        <v>879.19129452389495</v>
      </c>
      <c r="AF230" s="297">
        <f t="shared" si="117"/>
        <v>0</v>
      </c>
      <c r="AG230" s="295"/>
      <c r="AH230" s="295">
        <f t="shared" si="118"/>
        <v>0</v>
      </c>
      <c r="AI230" s="298">
        <f>'Unit Savings Calculations'!O226</f>
        <v>3.1854757047967208</v>
      </c>
      <c r="AJ230" s="405" t="s">
        <v>879</v>
      </c>
      <c r="AK230" s="300">
        <f t="shared" si="119"/>
        <v>879.19129452389495</v>
      </c>
      <c r="AL230" s="297">
        <f t="shared" si="120"/>
        <v>0</v>
      </c>
      <c r="AM230" s="295"/>
      <c r="AN230" s="295"/>
      <c r="AO230" s="298">
        <f>'Unit Savings Calculations'!P226</f>
        <v>3.1854757047967208</v>
      </c>
      <c r="AP230" s="405" t="s">
        <v>764</v>
      </c>
      <c r="AQ230" s="300">
        <f t="shared" si="121"/>
        <v>879.19129452389495</v>
      </c>
      <c r="AR230" s="297">
        <f t="shared" si="122"/>
        <v>0</v>
      </c>
      <c r="AS230" s="295"/>
      <c r="AT230" s="295"/>
      <c r="AU230" s="298">
        <f>'Unit Savings Calculations'!Q226</f>
        <v>3.1854757047967208</v>
      </c>
      <c r="AV230" s="405" t="str">
        <f t="shared" si="109"/>
        <v>n/a</v>
      </c>
      <c r="AW230" s="300">
        <f t="shared" si="123"/>
        <v>879.19129452389495</v>
      </c>
      <c r="AX230" s="297">
        <f t="shared" si="124"/>
        <v>0</v>
      </c>
      <c r="AY230" s="300">
        <f t="shared" si="110"/>
        <v>879.19129452389495</v>
      </c>
      <c r="AZ230" s="300">
        <f t="shared" si="111"/>
        <v>879.19129452389495</v>
      </c>
      <c r="BA230" s="300">
        <f t="shared" si="112"/>
        <v>879.19129452389495</v>
      </c>
      <c r="BB230" s="300">
        <f t="shared" si="113"/>
        <v>879.19129452389495</v>
      </c>
      <c r="BC230" s="301">
        <f t="shared" si="114"/>
        <v>3516.7651780955798</v>
      </c>
      <c r="BD230" s="295" t="s">
        <v>764</v>
      </c>
      <c r="BE230" s="302" t="str">
        <f t="shared" si="115"/>
        <v>Exhibit 1.5A_R North Shore EEPS_Adjustable_Savings_Goal_Template.xlsx, Pipe Insulation Detail Tab</v>
      </c>
      <c r="BF230" s="304"/>
    </row>
    <row r="231" spans="1:58" ht="15.75" customHeight="1">
      <c r="A231" s="295" t="str">
        <f>'Unit Savings Calculations'!C227</f>
        <v>Bus - SB Rebates -PTA</v>
      </c>
      <c r="B231" s="295" t="str">
        <f>'Unit Savings Calculations'!D227</f>
        <v>Pipe Insulation - Steam - Med 2.1" to 5"</v>
      </c>
      <c r="C231" s="296">
        <f t="shared" si="125"/>
        <v>1</v>
      </c>
      <c r="D231" s="295" t="str">
        <f>'Unit Savings Calculations'!T227</f>
        <v>4.4.14</v>
      </c>
      <c r="E231" s="460">
        <f>INDEX('Unit Savings Calculations'!$H$4:$H$421,MATCH('Measure-Level Adjustments Tab'!$A231&amp;"_"&amp;'Measure-Level Adjustments Tab'!$B231,'Unit Savings Calculations'!$A$4:$A$421,0))</f>
        <v>15</v>
      </c>
      <c r="F231" s="460">
        <f>INDEX('Unit Savings Calculations'!$I$4:$I$421,MATCH('Measure-Level Adjustments Tab'!A231&amp;"_"&amp;'Measure-Level Adjustments Tab'!B231,'Unit Savings Calculations'!$A$4:$A$421,0))</f>
        <v>15</v>
      </c>
      <c r="G231" s="295" t="str">
        <f>'Unit Savings Calculations'!E227</f>
        <v>ft</v>
      </c>
      <c r="H231" s="297">
        <f>'Unit Savings Calculations'!$F227*'Unit Savings Calculations'!J227</f>
        <v>450</v>
      </c>
      <c r="I231" s="297">
        <f>'Unit Savings Calculations'!$F227*'Unit Savings Calculations'!K227</f>
        <v>450</v>
      </c>
      <c r="J231" s="297">
        <f>'Unit Savings Calculations'!$F227*'Unit Savings Calculations'!L227</f>
        <v>450</v>
      </c>
      <c r="K231" s="297">
        <f>'Unit Savings Calculations'!$F227*'Unit Savings Calculations'!M227</f>
        <v>450</v>
      </c>
      <c r="L231" s="295" t="str">
        <f>'Unit Savings Calculations'!U227</f>
        <v>CI-HVC-PINS-V04-160601</v>
      </c>
      <c r="M231" s="405" t="str">
        <f>'Unit Savings Calculations'!R227</f>
        <v>Exhibit 1.5A_R North Shore EEPS_Adjustable_Savings_Goal_Template.xlsx, Pipe Insulation Detail Tab</v>
      </c>
      <c r="N231" s="298">
        <v>13.148126788517139</v>
      </c>
      <c r="O231" s="298">
        <v>13.148126788517139</v>
      </c>
      <c r="P231" s="298">
        <v>13.148126788517139</v>
      </c>
      <c r="Q231" s="298">
        <v>13.148126788517139</v>
      </c>
      <c r="R231" s="299">
        <f>'Unit Savings Calculations'!$G227</f>
        <v>0.92</v>
      </c>
      <c r="S231" s="299">
        <f>'Unit Savings Calculations'!$G227</f>
        <v>0.92</v>
      </c>
      <c r="T231" s="299">
        <f>'Unit Savings Calculations'!$G227</f>
        <v>0.92</v>
      </c>
      <c r="U231" s="299">
        <f>'Unit Savings Calculations'!$G227</f>
        <v>0.92</v>
      </c>
      <c r="V231" s="300">
        <f t="shared" si="126"/>
        <v>5443.3244904460962</v>
      </c>
      <c r="W231" s="300">
        <f t="shared" si="127"/>
        <v>5443.3244904460962</v>
      </c>
      <c r="X231" s="300">
        <f t="shared" si="128"/>
        <v>5443.3244904460962</v>
      </c>
      <c r="Y231" s="300">
        <f t="shared" si="129"/>
        <v>5443.3244904460962</v>
      </c>
      <c r="Z231" s="300">
        <f t="shared" si="130"/>
        <v>21773.297961784385</v>
      </c>
      <c r="AA231" s="295"/>
      <c r="AB231" s="295"/>
      <c r="AC231" s="298">
        <f>'Unit Savings Calculations'!N227</f>
        <v>13.148126788517139</v>
      </c>
      <c r="AD231" s="295"/>
      <c r="AE231" s="300">
        <f t="shared" si="116"/>
        <v>5443.3244904460962</v>
      </c>
      <c r="AF231" s="297">
        <f t="shared" si="117"/>
        <v>0</v>
      </c>
      <c r="AG231" s="295"/>
      <c r="AH231" s="295">
        <f t="shared" si="118"/>
        <v>0</v>
      </c>
      <c r="AI231" s="298">
        <f>'Unit Savings Calculations'!O227</f>
        <v>13.148126788517139</v>
      </c>
      <c r="AJ231" s="405" t="s">
        <v>879</v>
      </c>
      <c r="AK231" s="300">
        <f t="shared" si="119"/>
        <v>5443.3244904460962</v>
      </c>
      <c r="AL231" s="297">
        <f t="shared" si="120"/>
        <v>0</v>
      </c>
      <c r="AM231" s="295"/>
      <c r="AN231" s="295"/>
      <c r="AO231" s="298">
        <f>'Unit Savings Calculations'!P227</f>
        <v>13.148126788517139</v>
      </c>
      <c r="AP231" s="405" t="s">
        <v>764</v>
      </c>
      <c r="AQ231" s="300">
        <f t="shared" si="121"/>
        <v>5443.3244904460962</v>
      </c>
      <c r="AR231" s="297">
        <f t="shared" si="122"/>
        <v>0</v>
      </c>
      <c r="AS231" s="295"/>
      <c r="AT231" s="295"/>
      <c r="AU231" s="298">
        <f>'Unit Savings Calculations'!Q227</f>
        <v>13.148126788517139</v>
      </c>
      <c r="AV231" s="405" t="str">
        <f t="shared" si="109"/>
        <v>n/a</v>
      </c>
      <c r="AW231" s="300">
        <f t="shared" si="123"/>
        <v>5443.3244904460962</v>
      </c>
      <c r="AX231" s="297">
        <f t="shared" si="124"/>
        <v>0</v>
      </c>
      <c r="AY231" s="300">
        <f t="shared" si="110"/>
        <v>5443.3244904460962</v>
      </c>
      <c r="AZ231" s="300">
        <f t="shared" si="111"/>
        <v>5443.3244904460962</v>
      </c>
      <c r="BA231" s="300">
        <f t="shared" si="112"/>
        <v>5443.3244904460962</v>
      </c>
      <c r="BB231" s="300">
        <f t="shared" si="113"/>
        <v>5443.3244904460962</v>
      </c>
      <c r="BC231" s="301">
        <f t="shared" si="114"/>
        <v>21773.297961784385</v>
      </c>
      <c r="BD231" s="295" t="s">
        <v>764</v>
      </c>
      <c r="BE231" s="302" t="str">
        <f t="shared" si="115"/>
        <v>Exhibit 1.5A_R North Shore EEPS_Adjustable_Savings_Goal_Template.xlsx, Pipe Insulation Detail Tab</v>
      </c>
      <c r="BF231" s="304"/>
    </row>
    <row r="232" spans="1:58" ht="15.75" customHeight="1">
      <c r="A232" s="295" t="str">
        <f>'Unit Savings Calculations'!C228</f>
        <v>Bus - SB Rebates -PTA</v>
      </c>
      <c r="B232" s="295" t="str">
        <f>'Unit Savings Calculations'!D228</f>
        <v>Pipe Insulation - Steam - Large 5.1" to 8"</v>
      </c>
      <c r="C232" s="296">
        <f t="shared" si="125"/>
        <v>1</v>
      </c>
      <c r="D232" s="295" t="str">
        <f>'Unit Savings Calculations'!T228</f>
        <v>4.4.14</v>
      </c>
      <c r="E232" s="460">
        <f>INDEX('Unit Savings Calculations'!$H$4:$H$421,MATCH('Measure-Level Adjustments Tab'!$A232&amp;"_"&amp;'Measure-Level Adjustments Tab'!$B232,'Unit Savings Calculations'!$A$4:$A$421,0))</f>
        <v>15</v>
      </c>
      <c r="F232" s="460">
        <f>INDEX('Unit Savings Calculations'!$I$4:$I$421,MATCH('Measure-Level Adjustments Tab'!A232&amp;"_"&amp;'Measure-Level Adjustments Tab'!B232,'Unit Savings Calculations'!$A$4:$A$421,0))</f>
        <v>15</v>
      </c>
      <c r="G232" s="295" t="str">
        <f>'Unit Savings Calculations'!E228</f>
        <v>ft</v>
      </c>
      <c r="H232" s="297">
        <f>'Unit Savings Calculations'!$F228*'Unit Savings Calculations'!J228</f>
        <v>300</v>
      </c>
      <c r="I232" s="297">
        <f>'Unit Savings Calculations'!$F228*'Unit Savings Calculations'!K228</f>
        <v>300</v>
      </c>
      <c r="J232" s="297">
        <f>'Unit Savings Calculations'!$F228*'Unit Savings Calculations'!L228</f>
        <v>300</v>
      </c>
      <c r="K232" s="297">
        <f>'Unit Savings Calculations'!$F228*'Unit Savings Calculations'!M228</f>
        <v>300</v>
      </c>
      <c r="L232" s="295" t="str">
        <f>'Unit Savings Calculations'!U228</f>
        <v>CI-HVC-PINS-V04-160601</v>
      </c>
      <c r="M232" s="405" t="str">
        <f>'Unit Savings Calculations'!R228</f>
        <v>Exhibit 1.5A_R North Shore EEPS_Adjustable_Savings_Goal_Template.xlsx, Pipe Insulation Detail Tab</v>
      </c>
      <c r="N232" s="298">
        <v>24.25563238537794</v>
      </c>
      <c r="O232" s="298">
        <v>24.25563238537794</v>
      </c>
      <c r="P232" s="298">
        <v>24.25563238537794</v>
      </c>
      <c r="Q232" s="298">
        <v>24.25563238537794</v>
      </c>
      <c r="R232" s="299">
        <f>'Unit Savings Calculations'!$G228</f>
        <v>0.92</v>
      </c>
      <c r="S232" s="299">
        <f>'Unit Savings Calculations'!$G228</f>
        <v>0.92</v>
      </c>
      <c r="T232" s="299">
        <f>'Unit Savings Calculations'!$G228</f>
        <v>0.92</v>
      </c>
      <c r="U232" s="299">
        <f>'Unit Savings Calculations'!$G228</f>
        <v>0.92</v>
      </c>
      <c r="V232" s="300">
        <f t="shared" si="126"/>
        <v>6694.5545383643112</v>
      </c>
      <c r="W232" s="300">
        <f t="shared" si="127"/>
        <v>6694.5545383643112</v>
      </c>
      <c r="X232" s="300">
        <f t="shared" si="128"/>
        <v>6694.5545383643112</v>
      </c>
      <c r="Y232" s="300">
        <f t="shared" si="129"/>
        <v>6694.5545383643112</v>
      </c>
      <c r="Z232" s="300">
        <f t="shared" si="130"/>
        <v>26778.218153457245</v>
      </c>
      <c r="AA232" s="295"/>
      <c r="AB232" s="295"/>
      <c r="AC232" s="298">
        <f>'Unit Savings Calculations'!N228</f>
        <v>24.25563238537794</v>
      </c>
      <c r="AD232" s="295"/>
      <c r="AE232" s="300">
        <f t="shared" si="116"/>
        <v>6694.5545383643112</v>
      </c>
      <c r="AF232" s="297">
        <f t="shared" si="117"/>
        <v>0</v>
      </c>
      <c r="AG232" s="295"/>
      <c r="AH232" s="295">
        <f t="shared" si="118"/>
        <v>0</v>
      </c>
      <c r="AI232" s="298">
        <f>'Unit Savings Calculations'!O228</f>
        <v>24.25563238537794</v>
      </c>
      <c r="AJ232" s="405" t="s">
        <v>879</v>
      </c>
      <c r="AK232" s="300">
        <f t="shared" si="119"/>
        <v>6694.5545383643112</v>
      </c>
      <c r="AL232" s="297">
        <f t="shared" si="120"/>
        <v>0</v>
      </c>
      <c r="AM232" s="295"/>
      <c r="AN232" s="295"/>
      <c r="AO232" s="298">
        <f>'Unit Savings Calculations'!P228</f>
        <v>24.25563238537794</v>
      </c>
      <c r="AP232" s="405" t="s">
        <v>764</v>
      </c>
      <c r="AQ232" s="300">
        <f t="shared" si="121"/>
        <v>6694.5545383643112</v>
      </c>
      <c r="AR232" s="297">
        <f t="shared" si="122"/>
        <v>0</v>
      </c>
      <c r="AS232" s="295"/>
      <c r="AT232" s="295"/>
      <c r="AU232" s="298">
        <f>'Unit Savings Calculations'!Q228</f>
        <v>24.25563238537794</v>
      </c>
      <c r="AV232" s="405" t="str">
        <f t="shared" si="109"/>
        <v>n/a</v>
      </c>
      <c r="AW232" s="300">
        <f t="shared" si="123"/>
        <v>6694.5545383643112</v>
      </c>
      <c r="AX232" s="297">
        <f t="shared" si="124"/>
        <v>0</v>
      </c>
      <c r="AY232" s="300">
        <f t="shared" si="110"/>
        <v>6694.5545383643112</v>
      </c>
      <c r="AZ232" s="300">
        <f t="shared" si="111"/>
        <v>6694.5545383643112</v>
      </c>
      <c r="BA232" s="300">
        <f t="shared" si="112"/>
        <v>6694.5545383643112</v>
      </c>
      <c r="BB232" s="300">
        <f t="shared" si="113"/>
        <v>6694.5545383643112</v>
      </c>
      <c r="BC232" s="301">
        <f t="shared" si="114"/>
        <v>26778.218153457245</v>
      </c>
      <c r="BD232" s="295" t="s">
        <v>764</v>
      </c>
      <c r="BE232" s="302" t="str">
        <f t="shared" si="115"/>
        <v>Exhibit 1.5A_R North Shore EEPS_Adjustable_Savings_Goal_Template.xlsx, Pipe Insulation Detail Tab</v>
      </c>
      <c r="BF232" s="304"/>
    </row>
    <row r="233" spans="1:58" ht="15.75" customHeight="1">
      <c r="A233" s="295" t="str">
        <f>'Unit Savings Calculations'!C229</f>
        <v>Bus - SB Rebates -PTA</v>
      </c>
      <c r="B233" s="295" t="str">
        <f>'Unit Savings Calculations'!D229</f>
        <v>Pipe Insulation - Steam - X-Large &gt;8"</v>
      </c>
      <c r="C233" s="296">
        <f t="shared" si="125"/>
        <v>1</v>
      </c>
      <c r="D233" s="295" t="str">
        <f>'Unit Savings Calculations'!T229</f>
        <v>4.4.14</v>
      </c>
      <c r="E233" s="460">
        <f>INDEX('Unit Savings Calculations'!$H$4:$H$421,MATCH('Measure-Level Adjustments Tab'!$A233&amp;"_"&amp;'Measure-Level Adjustments Tab'!$B233,'Unit Savings Calculations'!$A$4:$A$421,0))</f>
        <v>15</v>
      </c>
      <c r="F233" s="460">
        <f>INDEX('Unit Savings Calculations'!$I$4:$I$421,MATCH('Measure-Level Adjustments Tab'!A233&amp;"_"&amp;'Measure-Level Adjustments Tab'!B233,'Unit Savings Calculations'!$A$4:$A$421,0))</f>
        <v>15</v>
      </c>
      <c r="G233" s="295" t="str">
        <f>'Unit Savings Calculations'!E229</f>
        <v>ft</v>
      </c>
      <c r="H233" s="297">
        <f>'Unit Savings Calculations'!$F229*'Unit Savings Calculations'!J229</f>
        <v>0</v>
      </c>
      <c r="I233" s="297">
        <f>'Unit Savings Calculations'!$F229*'Unit Savings Calculations'!K229</f>
        <v>0</v>
      </c>
      <c r="J233" s="297">
        <f>'Unit Savings Calculations'!$F229*'Unit Savings Calculations'!L229</f>
        <v>0</v>
      </c>
      <c r="K233" s="297">
        <f>'Unit Savings Calculations'!$F229*'Unit Savings Calculations'!M229</f>
        <v>0</v>
      </c>
      <c r="L233" s="295" t="str">
        <f>'Unit Savings Calculations'!U229</f>
        <v>CI-HVC-PINS-V04-160601</v>
      </c>
      <c r="M233" s="405" t="str">
        <f>'Unit Savings Calculations'!R229</f>
        <v>Exhibit 1.5A_R North Shore EEPS_Adjustable_Savings_Goal_Template.xlsx, Pipe Insulation Detail Tab</v>
      </c>
      <c r="N233" s="298">
        <v>35.984797966765058</v>
      </c>
      <c r="O233" s="298">
        <v>35.984797966765058</v>
      </c>
      <c r="P233" s="298">
        <v>35.984797966765058</v>
      </c>
      <c r="Q233" s="298">
        <v>35.984797966765058</v>
      </c>
      <c r="R233" s="299">
        <f>'Unit Savings Calculations'!$G229</f>
        <v>0.92</v>
      </c>
      <c r="S233" s="299">
        <f>'Unit Savings Calculations'!$G229</f>
        <v>0.92</v>
      </c>
      <c r="T233" s="299">
        <f>'Unit Savings Calculations'!$G229</f>
        <v>0.92</v>
      </c>
      <c r="U233" s="299">
        <f>'Unit Savings Calculations'!$G229</f>
        <v>0.92</v>
      </c>
      <c r="V233" s="300">
        <f t="shared" si="126"/>
        <v>0</v>
      </c>
      <c r="W233" s="300">
        <f t="shared" si="127"/>
        <v>0</v>
      </c>
      <c r="X233" s="300">
        <f t="shared" si="128"/>
        <v>0</v>
      </c>
      <c r="Y233" s="300">
        <f t="shared" si="129"/>
        <v>0</v>
      </c>
      <c r="Z233" s="300">
        <f t="shared" si="130"/>
        <v>0</v>
      </c>
      <c r="AA233" s="295"/>
      <c r="AB233" s="295"/>
      <c r="AC233" s="298">
        <f>'Unit Savings Calculations'!N229</f>
        <v>35.984797966765058</v>
      </c>
      <c r="AD233" s="295"/>
      <c r="AE233" s="300">
        <f t="shared" si="116"/>
        <v>0</v>
      </c>
      <c r="AF233" s="297">
        <f t="shared" si="117"/>
        <v>0</v>
      </c>
      <c r="AG233" s="295"/>
      <c r="AH233" s="295">
        <f t="shared" si="118"/>
        <v>0</v>
      </c>
      <c r="AI233" s="298">
        <f>'Unit Savings Calculations'!O229</f>
        <v>35.984797966765058</v>
      </c>
      <c r="AJ233" s="405" t="s">
        <v>879</v>
      </c>
      <c r="AK233" s="300">
        <f t="shared" si="119"/>
        <v>0</v>
      </c>
      <c r="AL233" s="297">
        <f t="shared" si="120"/>
        <v>0</v>
      </c>
      <c r="AM233" s="295"/>
      <c r="AN233" s="295"/>
      <c r="AO233" s="298">
        <f>'Unit Savings Calculations'!P229</f>
        <v>35.984797966765058</v>
      </c>
      <c r="AP233" s="405" t="s">
        <v>764</v>
      </c>
      <c r="AQ233" s="300">
        <f t="shared" si="121"/>
        <v>0</v>
      </c>
      <c r="AR233" s="297">
        <f t="shared" si="122"/>
        <v>0</v>
      </c>
      <c r="AS233" s="295"/>
      <c r="AT233" s="295"/>
      <c r="AU233" s="298">
        <f>'Unit Savings Calculations'!Q229</f>
        <v>35.984797966765058</v>
      </c>
      <c r="AV233" s="405" t="str">
        <f t="shared" si="109"/>
        <v>n/a</v>
      </c>
      <c r="AW233" s="300">
        <f t="shared" si="123"/>
        <v>0</v>
      </c>
      <c r="AX233" s="297">
        <f t="shared" si="124"/>
        <v>0</v>
      </c>
      <c r="AY233" s="300">
        <f t="shared" si="110"/>
        <v>0</v>
      </c>
      <c r="AZ233" s="300">
        <f t="shared" si="111"/>
        <v>0</v>
      </c>
      <c r="BA233" s="300">
        <f t="shared" si="112"/>
        <v>0</v>
      </c>
      <c r="BB233" s="300">
        <f t="shared" si="113"/>
        <v>0</v>
      </c>
      <c r="BC233" s="301">
        <f t="shared" si="114"/>
        <v>0</v>
      </c>
      <c r="BD233" s="295" t="s">
        <v>764</v>
      </c>
      <c r="BE233" s="302" t="str">
        <f t="shared" si="115"/>
        <v>Exhibit 1.5A_R North Shore EEPS_Adjustable_Savings_Goal_Template.xlsx, Pipe Insulation Detail Tab</v>
      </c>
      <c r="BF233" s="304"/>
    </row>
    <row r="234" spans="1:58" ht="15.75" customHeight="1">
      <c r="A234" s="295" t="str">
        <f>'Unit Savings Calculations'!C230</f>
        <v>Bus - SB Rebates -PTA</v>
      </c>
      <c r="B234" s="295" t="str">
        <f>'Unit Savings Calculations'!D230</f>
        <v>Pipe Insulation - Steam Med Fitting</v>
      </c>
      <c r="C234" s="296">
        <f t="shared" si="125"/>
        <v>1</v>
      </c>
      <c r="D234" s="295" t="str">
        <f>'Unit Savings Calculations'!T230</f>
        <v>4.4.14</v>
      </c>
      <c r="E234" s="460">
        <f>INDEX('Unit Savings Calculations'!$H$4:$H$421,MATCH('Measure-Level Adjustments Tab'!$A234&amp;"_"&amp;'Measure-Level Adjustments Tab'!$B234,'Unit Savings Calculations'!$A$4:$A$421,0))</f>
        <v>15</v>
      </c>
      <c r="F234" s="460">
        <f>INDEX('Unit Savings Calculations'!$I$4:$I$421,MATCH('Measure-Level Adjustments Tab'!A234&amp;"_"&amp;'Measure-Level Adjustments Tab'!B234,'Unit Savings Calculations'!$A$4:$A$421,0))</f>
        <v>15</v>
      </c>
      <c r="G234" s="295" t="str">
        <f>'Unit Savings Calculations'!E230</f>
        <v>each</v>
      </c>
      <c r="H234" s="297">
        <f>'Unit Savings Calculations'!$F230*'Unit Savings Calculations'!J230</f>
        <v>0</v>
      </c>
      <c r="I234" s="297">
        <f>'Unit Savings Calculations'!$F230*'Unit Savings Calculations'!K230</f>
        <v>0</v>
      </c>
      <c r="J234" s="297">
        <f>'Unit Savings Calculations'!$F230*'Unit Savings Calculations'!L230</f>
        <v>0</v>
      </c>
      <c r="K234" s="297">
        <f>'Unit Savings Calculations'!$F230*'Unit Savings Calculations'!M230</f>
        <v>0</v>
      </c>
      <c r="L234" s="295" t="str">
        <f>'Unit Savings Calculations'!U230</f>
        <v>CI-HVC-PINS-V04-160601</v>
      </c>
      <c r="M234" s="405" t="str">
        <f>'Unit Savings Calculations'!R230</f>
        <v>Exhibit 1.5A_R North Shore EEPS_Adjustable_Savings_Goal_Template.xlsx, Pipe Insulation Detail Tab</v>
      </c>
      <c r="N234" s="298">
        <v>12.515179237984789</v>
      </c>
      <c r="O234" s="298">
        <v>12.515179237984789</v>
      </c>
      <c r="P234" s="298">
        <v>12.515179237984789</v>
      </c>
      <c r="Q234" s="298">
        <v>12.515179237984789</v>
      </c>
      <c r="R234" s="299">
        <f>'Unit Savings Calculations'!$G230</f>
        <v>0.92</v>
      </c>
      <c r="S234" s="299">
        <f>'Unit Savings Calculations'!$G230</f>
        <v>0.92</v>
      </c>
      <c r="T234" s="299">
        <f>'Unit Savings Calculations'!$G230</f>
        <v>0.92</v>
      </c>
      <c r="U234" s="299">
        <f>'Unit Savings Calculations'!$G230</f>
        <v>0.92</v>
      </c>
      <c r="V234" s="300">
        <f t="shared" si="126"/>
        <v>0</v>
      </c>
      <c r="W234" s="300">
        <f t="shared" si="127"/>
        <v>0</v>
      </c>
      <c r="X234" s="300">
        <f t="shared" si="128"/>
        <v>0</v>
      </c>
      <c r="Y234" s="300">
        <f t="shared" si="129"/>
        <v>0</v>
      </c>
      <c r="Z234" s="300">
        <f t="shared" si="130"/>
        <v>0</v>
      </c>
      <c r="AA234" s="295"/>
      <c r="AB234" s="295"/>
      <c r="AC234" s="298">
        <f>'Unit Savings Calculations'!N230</f>
        <v>12.515179237984789</v>
      </c>
      <c r="AD234" s="295"/>
      <c r="AE234" s="300">
        <f t="shared" si="116"/>
        <v>0</v>
      </c>
      <c r="AF234" s="297">
        <f t="shared" si="117"/>
        <v>0</v>
      </c>
      <c r="AG234" s="295"/>
      <c r="AH234" s="295">
        <f t="shared" si="118"/>
        <v>0</v>
      </c>
      <c r="AI234" s="298">
        <f>'Unit Savings Calculations'!O230</f>
        <v>12.515179237984789</v>
      </c>
      <c r="AJ234" s="405" t="s">
        <v>879</v>
      </c>
      <c r="AK234" s="300">
        <f t="shared" si="119"/>
        <v>0</v>
      </c>
      <c r="AL234" s="297">
        <f t="shared" si="120"/>
        <v>0</v>
      </c>
      <c r="AM234" s="295"/>
      <c r="AN234" s="295"/>
      <c r="AO234" s="298">
        <f>'Unit Savings Calculations'!P230</f>
        <v>12.515179237984789</v>
      </c>
      <c r="AP234" s="405" t="s">
        <v>764</v>
      </c>
      <c r="AQ234" s="300">
        <f t="shared" si="121"/>
        <v>0</v>
      </c>
      <c r="AR234" s="297">
        <f t="shared" si="122"/>
        <v>0</v>
      </c>
      <c r="AS234" s="295"/>
      <c r="AT234" s="295"/>
      <c r="AU234" s="298">
        <f>'Unit Savings Calculations'!Q230</f>
        <v>12.515179237984789</v>
      </c>
      <c r="AV234" s="405" t="str">
        <f t="shared" si="109"/>
        <v>n/a</v>
      </c>
      <c r="AW234" s="300">
        <f t="shared" si="123"/>
        <v>0</v>
      </c>
      <c r="AX234" s="297">
        <f t="shared" si="124"/>
        <v>0</v>
      </c>
      <c r="AY234" s="300">
        <f t="shared" si="110"/>
        <v>0</v>
      </c>
      <c r="AZ234" s="300">
        <f t="shared" si="111"/>
        <v>0</v>
      </c>
      <c r="BA234" s="300">
        <f t="shared" si="112"/>
        <v>0</v>
      </c>
      <c r="BB234" s="300">
        <f t="shared" si="113"/>
        <v>0</v>
      </c>
      <c r="BC234" s="301">
        <f t="shared" si="114"/>
        <v>0</v>
      </c>
      <c r="BD234" s="295" t="s">
        <v>764</v>
      </c>
      <c r="BE234" s="302" t="str">
        <f t="shared" si="115"/>
        <v>Exhibit 1.5A_R North Shore EEPS_Adjustable_Savings_Goal_Template.xlsx, Pipe Insulation Detail Tab</v>
      </c>
      <c r="BF234" s="304"/>
    </row>
    <row r="235" spans="1:58" ht="15.75" customHeight="1">
      <c r="A235" s="295" t="str">
        <f>'Unit Savings Calculations'!C231</f>
        <v>Bus - SB Rebates -PTA</v>
      </c>
      <c r="B235" s="295" t="str">
        <f>'Unit Savings Calculations'!D231</f>
        <v>Pipe Insulation - Steam Large Fitting</v>
      </c>
      <c r="C235" s="296">
        <f t="shared" si="125"/>
        <v>1</v>
      </c>
      <c r="D235" s="295" t="str">
        <f>'Unit Savings Calculations'!T231</f>
        <v>4.4.14</v>
      </c>
      <c r="E235" s="460">
        <f>INDEX('Unit Savings Calculations'!$H$4:$H$421,MATCH('Measure-Level Adjustments Tab'!$A235&amp;"_"&amp;'Measure-Level Adjustments Tab'!$B235,'Unit Savings Calculations'!$A$4:$A$421,0))</f>
        <v>15</v>
      </c>
      <c r="F235" s="460">
        <f>INDEX('Unit Savings Calculations'!$I$4:$I$421,MATCH('Measure-Level Adjustments Tab'!A235&amp;"_"&amp;'Measure-Level Adjustments Tab'!B235,'Unit Savings Calculations'!$A$4:$A$421,0))</f>
        <v>15</v>
      </c>
      <c r="G235" s="295" t="str">
        <f>'Unit Savings Calculations'!E231</f>
        <v>each</v>
      </c>
      <c r="H235" s="297">
        <f>'Unit Savings Calculations'!$F231*'Unit Savings Calculations'!J231</f>
        <v>0</v>
      </c>
      <c r="I235" s="297">
        <f>'Unit Savings Calculations'!$F231*'Unit Savings Calculations'!K231</f>
        <v>0</v>
      </c>
      <c r="J235" s="297">
        <f>'Unit Savings Calculations'!$F231*'Unit Savings Calculations'!L231</f>
        <v>0</v>
      </c>
      <c r="K235" s="297">
        <f>'Unit Savings Calculations'!$F231*'Unit Savings Calculations'!M231</f>
        <v>0</v>
      </c>
      <c r="L235" s="295" t="str">
        <f>'Unit Savings Calculations'!U231</f>
        <v>CI-HVC-PINS-V04-160601</v>
      </c>
      <c r="M235" s="405" t="str">
        <f>'Unit Savings Calculations'!R231</f>
        <v>Exhibit 1.5A_R North Shore EEPS_Adjustable_Savings_Goal_Template.xlsx, Pipe Insulation Detail Tab</v>
      </c>
      <c r="N235" s="298">
        <v>51.249515380658096</v>
      </c>
      <c r="O235" s="298">
        <v>51.249515380658096</v>
      </c>
      <c r="P235" s="298">
        <v>51.249515380658096</v>
      </c>
      <c r="Q235" s="298">
        <v>51.249515380658096</v>
      </c>
      <c r="R235" s="299">
        <f>'Unit Savings Calculations'!$G231</f>
        <v>0.92</v>
      </c>
      <c r="S235" s="299">
        <f>'Unit Savings Calculations'!$G231</f>
        <v>0.92</v>
      </c>
      <c r="T235" s="299">
        <f>'Unit Savings Calculations'!$G231</f>
        <v>0.92</v>
      </c>
      <c r="U235" s="299">
        <f>'Unit Savings Calculations'!$G231</f>
        <v>0.92</v>
      </c>
      <c r="V235" s="300">
        <f t="shared" si="126"/>
        <v>0</v>
      </c>
      <c r="W235" s="300">
        <f t="shared" si="127"/>
        <v>0</v>
      </c>
      <c r="X235" s="300">
        <f t="shared" si="128"/>
        <v>0</v>
      </c>
      <c r="Y235" s="300">
        <f t="shared" si="129"/>
        <v>0</v>
      </c>
      <c r="Z235" s="300">
        <f t="shared" si="130"/>
        <v>0</v>
      </c>
      <c r="AA235" s="295"/>
      <c r="AB235" s="295"/>
      <c r="AC235" s="298">
        <f>'Unit Savings Calculations'!N231</f>
        <v>51.249515380658096</v>
      </c>
      <c r="AD235" s="295"/>
      <c r="AE235" s="300">
        <f t="shared" si="116"/>
        <v>0</v>
      </c>
      <c r="AF235" s="297">
        <f t="shared" si="117"/>
        <v>0</v>
      </c>
      <c r="AG235" s="295"/>
      <c r="AH235" s="295">
        <f t="shared" si="118"/>
        <v>0</v>
      </c>
      <c r="AI235" s="298">
        <f>'Unit Savings Calculations'!O231</f>
        <v>51.249515380658096</v>
      </c>
      <c r="AJ235" s="405" t="s">
        <v>879</v>
      </c>
      <c r="AK235" s="300">
        <f t="shared" si="119"/>
        <v>0</v>
      </c>
      <c r="AL235" s="297">
        <f t="shared" si="120"/>
        <v>0</v>
      </c>
      <c r="AM235" s="295"/>
      <c r="AN235" s="295"/>
      <c r="AO235" s="298">
        <f>'Unit Savings Calculations'!P231</f>
        <v>51.249515380658096</v>
      </c>
      <c r="AP235" s="405" t="s">
        <v>764</v>
      </c>
      <c r="AQ235" s="300">
        <f t="shared" si="121"/>
        <v>0</v>
      </c>
      <c r="AR235" s="297">
        <f t="shared" si="122"/>
        <v>0</v>
      </c>
      <c r="AS235" s="295"/>
      <c r="AT235" s="295"/>
      <c r="AU235" s="298">
        <f>'Unit Savings Calculations'!Q231</f>
        <v>51.249515380658096</v>
      </c>
      <c r="AV235" s="405" t="str">
        <f t="shared" si="109"/>
        <v>n/a</v>
      </c>
      <c r="AW235" s="300">
        <f t="shared" si="123"/>
        <v>0</v>
      </c>
      <c r="AX235" s="297">
        <f t="shared" si="124"/>
        <v>0</v>
      </c>
      <c r="AY235" s="300">
        <f t="shared" si="110"/>
        <v>0</v>
      </c>
      <c r="AZ235" s="300">
        <f t="shared" si="111"/>
        <v>0</v>
      </c>
      <c r="BA235" s="300">
        <f t="shared" si="112"/>
        <v>0</v>
      </c>
      <c r="BB235" s="300">
        <f t="shared" si="113"/>
        <v>0</v>
      </c>
      <c r="BC235" s="301">
        <f t="shared" si="114"/>
        <v>0</v>
      </c>
      <c r="BD235" s="295" t="s">
        <v>764</v>
      </c>
      <c r="BE235" s="302" t="str">
        <f t="shared" si="115"/>
        <v>Exhibit 1.5A_R North Shore EEPS_Adjustable_Savings_Goal_Template.xlsx, Pipe Insulation Detail Tab</v>
      </c>
      <c r="BF235" s="304"/>
    </row>
    <row r="236" spans="1:58" ht="15.75" customHeight="1">
      <c r="A236" s="295" t="str">
        <f>'Unit Savings Calculations'!C232</f>
        <v>Bus - SB Rebates -PTA</v>
      </c>
      <c r="B236" s="295" t="str">
        <f>'Unit Savings Calculations'!D232</f>
        <v>Pipe Insulation - Steam X-Large Fitting</v>
      </c>
      <c r="C236" s="296">
        <f t="shared" si="125"/>
        <v>1</v>
      </c>
      <c r="D236" s="295" t="str">
        <f>'Unit Savings Calculations'!T232</f>
        <v>4.4.14</v>
      </c>
      <c r="E236" s="460">
        <f>INDEX('Unit Savings Calculations'!$H$4:$H$421,MATCH('Measure-Level Adjustments Tab'!$A236&amp;"_"&amp;'Measure-Level Adjustments Tab'!$B236,'Unit Savings Calculations'!$A$4:$A$421,0))</f>
        <v>15</v>
      </c>
      <c r="F236" s="460">
        <f>INDEX('Unit Savings Calculations'!$I$4:$I$421,MATCH('Measure-Level Adjustments Tab'!A236&amp;"_"&amp;'Measure-Level Adjustments Tab'!B236,'Unit Savings Calculations'!$A$4:$A$421,0))</f>
        <v>15</v>
      </c>
      <c r="G236" s="295" t="str">
        <f>'Unit Savings Calculations'!E232</f>
        <v>each</v>
      </c>
      <c r="H236" s="297">
        <f>'Unit Savings Calculations'!$F232*'Unit Savings Calculations'!J232</f>
        <v>0</v>
      </c>
      <c r="I236" s="297">
        <f>'Unit Savings Calculations'!$F232*'Unit Savings Calculations'!K232</f>
        <v>0</v>
      </c>
      <c r="J236" s="297">
        <f>'Unit Savings Calculations'!$F232*'Unit Savings Calculations'!L232</f>
        <v>0</v>
      </c>
      <c r="K236" s="297">
        <f>'Unit Savings Calculations'!$F232*'Unit Savings Calculations'!M232</f>
        <v>0</v>
      </c>
      <c r="L236" s="295" t="str">
        <f>'Unit Savings Calculations'!U232</f>
        <v>CI-HVC-PINS-V04-160601</v>
      </c>
      <c r="M236" s="405" t="str">
        <f>'Unit Savings Calculations'!R232</f>
        <v>Exhibit 1.5A_R North Shore EEPS_Adjustable_Savings_Goal_Template.xlsx, Pipe Insulation Detail Tab</v>
      </c>
      <c r="N236" s="298">
        <v>99.138118398437726</v>
      </c>
      <c r="O236" s="298">
        <v>99.138118398437726</v>
      </c>
      <c r="P236" s="298">
        <v>99.138118398437726</v>
      </c>
      <c r="Q236" s="298">
        <v>99.138118398437726</v>
      </c>
      <c r="R236" s="299">
        <f>'Unit Savings Calculations'!$G232</f>
        <v>0.92</v>
      </c>
      <c r="S236" s="299">
        <f>'Unit Savings Calculations'!$G232</f>
        <v>0.92</v>
      </c>
      <c r="T236" s="299">
        <f>'Unit Savings Calculations'!$G232</f>
        <v>0.92</v>
      </c>
      <c r="U236" s="299">
        <f>'Unit Savings Calculations'!$G232</f>
        <v>0.92</v>
      </c>
      <c r="V236" s="300">
        <f t="shared" si="126"/>
        <v>0</v>
      </c>
      <c r="W236" s="300">
        <f t="shared" si="127"/>
        <v>0</v>
      </c>
      <c r="X236" s="300">
        <f t="shared" si="128"/>
        <v>0</v>
      </c>
      <c r="Y236" s="300">
        <f t="shared" si="129"/>
        <v>0</v>
      </c>
      <c r="Z236" s="300">
        <f t="shared" si="130"/>
        <v>0</v>
      </c>
      <c r="AA236" s="295"/>
      <c r="AB236" s="295"/>
      <c r="AC236" s="298">
        <f>'Unit Savings Calculations'!N232</f>
        <v>99.138118398437726</v>
      </c>
      <c r="AD236" s="295"/>
      <c r="AE236" s="300">
        <f t="shared" si="116"/>
        <v>0</v>
      </c>
      <c r="AF236" s="297">
        <f t="shared" si="117"/>
        <v>0</v>
      </c>
      <c r="AG236" s="295"/>
      <c r="AH236" s="295">
        <f t="shared" si="118"/>
        <v>0</v>
      </c>
      <c r="AI236" s="298">
        <f>'Unit Savings Calculations'!O232</f>
        <v>99.138118398437726</v>
      </c>
      <c r="AJ236" s="405" t="s">
        <v>879</v>
      </c>
      <c r="AK236" s="300">
        <f t="shared" si="119"/>
        <v>0</v>
      </c>
      <c r="AL236" s="297">
        <f t="shared" si="120"/>
        <v>0</v>
      </c>
      <c r="AM236" s="295"/>
      <c r="AN236" s="295"/>
      <c r="AO236" s="298">
        <f>'Unit Savings Calculations'!P232</f>
        <v>99.138118398437726</v>
      </c>
      <c r="AP236" s="405" t="s">
        <v>764</v>
      </c>
      <c r="AQ236" s="300">
        <f t="shared" si="121"/>
        <v>0</v>
      </c>
      <c r="AR236" s="297">
        <f t="shared" si="122"/>
        <v>0</v>
      </c>
      <c r="AS236" s="295"/>
      <c r="AT236" s="295"/>
      <c r="AU236" s="298">
        <f>'Unit Savings Calculations'!Q232</f>
        <v>99.138118398437726</v>
      </c>
      <c r="AV236" s="405" t="str">
        <f t="shared" si="109"/>
        <v>n/a</v>
      </c>
      <c r="AW236" s="300">
        <f t="shared" si="123"/>
        <v>0</v>
      </c>
      <c r="AX236" s="297">
        <f t="shared" si="124"/>
        <v>0</v>
      </c>
      <c r="AY236" s="300">
        <f t="shared" si="110"/>
        <v>0</v>
      </c>
      <c r="AZ236" s="300">
        <f t="shared" si="111"/>
        <v>0</v>
      </c>
      <c r="BA236" s="300">
        <f t="shared" si="112"/>
        <v>0</v>
      </c>
      <c r="BB236" s="300">
        <f t="shared" si="113"/>
        <v>0</v>
      </c>
      <c r="BC236" s="301">
        <f t="shared" si="114"/>
        <v>0</v>
      </c>
      <c r="BD236" s="295" t="s">
        <v>764</v>
      </c>
      <c r="BE236" s="302" t="str">
        <f t="shared" si="115"/>
        <v>Exhibit 1.5A_R North Shore EEPS_Adjustable_Savings_Goal_Template.xlsx, Pipe Insulation Detail Tab</v>
      </c>
      <c r="BF236" s="304"/>
    </row>
    <row r="237" spans="1:58" ht="15.75" customHeight="1">
      <c r="A237" s="295" t="str">
        <f>'Unit Savings Calculations'!C233</f>
        <v>Bus - SB Rebates -PTA</v>
      </c>
      <c r="B237" s="295" t="str">
        <f>'Unit Savings Calculations'!D233</f>
        <v>Pipe Insulation - Steam Med Valve</v>
      </c>
      <c r="C237" s="296">
        <f t="shared" si="125"/>
        <v>1</v>
      </c>
      <c r="D237" s="295" t="str">
        <f>'Unit Savings Calculations'!T233</f>
        <v>4.4.14</v>
      </c>
      <c r="E237" s="460">
        <f>INDEX('Unit Savings Calculations'!$H$4:$H$421,MATCH('Measure-Level Adjustments Tab'!$A237&amp;"_"&amp;'Measure-Level Adjustments Tab'!$B237,'Unit Savings Calculations'!$A$4:$A$421,0))</f>
        <v>15</v>
      </c>
      <c r="F237" s="460">
        <f>INDEX('Unit Savings Calculations'!$I$4:$I$421,MATCH('Measure-Level Adjustments Tab'!A237&amp;"_"&amp;'Measure-Level Adjustments Tab'!B237,'Unit Savings Calculations'!$A$4:$A$421,0))</f>
        <v>15</v>
      </c>
      <c r="G237" s="295" t="str">
        <f>'Unit Savings Calculations'!E233</f>
        <v>each</v>
      </c>
      <c r="H237" s="297">
        <f>'Unit Savings Calculations'!$F233*'Unit Savings Calculations'!J233</f>
        <v>0</v>
      </c>
      <c r="I237" s="297">
        <f>'Unit Savings Calculations'!$F233*'Unit Savings Calculations'!K233</f>
        <v>0</v>
      </c>
      <c r="J237" s="297">
        <f>'Unit Savings Calculations'!$F233*'Unit Savings Calculations'!L233</f>
        <v>0</v>
      </c>
      <c r="K237" s="297">
        <f>'Unit Savings Calculations'!$F233*'Unit Savings Calculations'!M233</f>
        <v>0</v>
      </c>
      <c r="L237" s="295" t="str">
        <f>'Unit Savings Calculations'!U233</f>
        <v>CI-HVC-PINS-V04-160601</v>
      </c>
      <c r="M237" s="405" t="str">
        <f>'Unit Savings Calculations'!R233</f>
        <v>Exhibit 1.5A_R North Shore EEPS_Adjustable_Savings_Goal_Template.xlsx, Pipe Insulation Detail Tab</v>
      </c>
      <c r="N237" s="298">
        <v>37.423389683572815</v>
      </c>
      <c r="O237" s="298">
        <v>37.423389683572815</v>
      </c>
      <c r="P237" s="298">
        <v>37.423389683572815</v>
      </c>
      <c r="Q237" s="298">
        <v>37.423389683572815</v>
      </c>
      <c r="R237" s="299">
        <f>'Unit Savings Calculations'!$G233</f>
        <v>0.92</v>
      </c>
      <c r="S237" s="299">
        <f>'Unit Savings Calculations'!$G233</f>
        <v>0.92</v>
      </c>
      <c r="T237" s="299">
        <f>'Unit Savings Calculations'!$G233</f>
        <v>0.92</v>
      </c>
      <c r="U237" s="299">
        <f>'Unit Savings Calculations'!$G233</f>
        <v>0.92</v>
      </c>
      <c r="V237" s="300">
        <f t="shared" si="126"/>
        <v>0</v>
      </c>
      <c r="W237" s="300">
        <f t="shared" si="127"/>
        <v>0</v>
      </c>
      <c r="X237" s="300">
        <f t="shared" si="128"/>
        <v>0</v>
      </c>
      <c r="Y237" s="300">
        <f t="shared" si="129"/>
        <v>0</v>
      </c>
      <c r="Z237" s="300">
        <f t="shared" si="130"/>
        <v>0</v>
      </c>
      <c r="AA237" s="295"/>
      <c r="AB237" s="295"/>
      <c r="AC237" s="298">
        <f>'Unit Savings Calculations'!N233</f>
        <v>37.423389683572815</v>
      </c>
      <c r="AD237" s="295"/>
      <c r="AE237" s="300">
        <f t="shared" si="116"/>
        <v>0</v>
      </c>
      <c r="AF237" s="297">
        <f t="shared" si="117"/>
        <v>0</v>
      </c>
      <c r="AG237" s="295"/>
      <c r="AH237" s="295">
        <f t="shared" si="118"/>
        <v>0</v>
      </c>
      <c r="AI237" s="298">
        <f>'Unit Savings Calculations'!O233</f>
        <v>37.423389683572815</v>
      </c>
      <c r="AJ237" s="405" t="s">
        <v>879</v>
      </c>
      <c r="AK237" s="300">
        <f t="shared" si="119"/>
        <v>0</v>
      </c>
      <c r="AL237" s="297">
        <f t="shared" si="120"/>
        <v>0</v>
      </c>
      <c r="AM237" s="295"/>
      <c r="AN237" s="295"/>
      <c r="AO237" s="298">
        <f>'Unit Savings Calculations'!P233</f>
        <v>37.423389683572815</v>
      </c>
      <c r="AP237" s="405" t="s">
        <v>764</v>
      </c>
      <c r="AQ237" s="300">
        <f t="shared" si="121"/>
        <v>0</v>
      </c>
      <c r="AR237" s="297">
        <f t="shared" si="122"/>
        <v>0</v>
      </c>
      <c r="AS237" s="295"/>
      <c r="AT237" s="295"/>
      <c r="AU237" s="298">
        <f>'Unit Savings Calculations'!Q233</f>
        <v>37.423389683572815</v>
      </c>
      <c r="AV237" s="405" t="str">
        <f t="shared" si="109"/>
        <v>n/a</v>
      </c>
      <c r="AW237" s="300">
        <f t="shared" si="123"/>
        <v>0</v>
      </c>
      <c r="AX237" s="297">
        <f t="shared" si="124"/>
        <v>0</v>
      </c>
      <c r="AY237" s="300">
        <f t="shared" si="110"/>
        <v>0</v>
      </c>
      <c r="AZ237" s="300">
        <f t="shared" si="111"/>
        <v>0</v>
      </c>
      <c r="BA237" s="300">
        <f t="shared" si="112"/>
        <v>0</v>
      </c>
      <c r="BB237" s="300">
        <f t="shared" si="113"/>
        <v>0</v>
      </c>
      <c r="BC237" s="301">
        <f t="shared" si="114"/>
        <v>0</v>
      </c>
      <c r="BD237" s="295" t="s">
        <v>764</v>
      </c>
      <c r="BE237" s="302" t="str">
        <f t="shared" si="115"/>
        <v>Exhibit 1.5A_R North Shore EEPS_Adjustable_Savings_Goal_Template.xlsx, Pipe Insulation Detail Tab</v>
      </c>
      <c r="BF237" s="304"/>
    </row>
    <row r="238" spans="1:58" ht="15.75" customHeight="1">
      <c r="A238" s="295" t="str">
        <f>'Unit Savings Calculations'!C234</f>
        <v>Bus - SB Rebates -PTA</v>
      </c>
      <c r="B238" s="295" t="str">
        <f>'Unit Savings Calculations'!D234</f>
        <v>Pipe Insulation - Steam Large Valve</v>
      </c>
      <c r="C238" s="296">
        <f t="shared" si="125"/>
        <v>1</v>
      </c>
      <c r="D238" s="295" t="str">
        <f>'Unit Savings Calculations'!T234</f>
        <v>4.4.14</v>
      </c>
      <c r="E238" s="460">
        <f>INDEX('Unit Savings Calculations'!$H$4:$H$421,MATCH('Measure-Level Adjustments Tab'!$A238&amp;"_"&amp;'Measure-Level Adjustments Tab'!$B238,'Unit Savings Calculations'!$A$4:$A$421,0))</f>
        <v>15</v>
      </c>
      <c r="F238" s="460">
        <f>INDEX('Unit Savings Calculations'!$I$4:$I$421,MATCH('Measure-Level Adjustments Tab'!A238&amp;"_"&amp;'Measure-Level Adjustments Tab'!B238,'Unit Savings Calculations'!$A$4:$A$421,0))</f>
        <v>15</v>
      </c>
      <c r="G238" s="295" t="str">
        <f>'Unit Savings Calculations'!E234</f>
        <v>each</v>
      </c>
      <c r="H238" s="297">
        <f>'Unit Savings Calculations'!$F234*'Unit Savings Calculations'!J234</f>
        <v>0</v>
      </c>
      <c r="I238" s="297">
        <f>'Unit Savings Calculations'!$F234*'Unit Savings Calculations'!K234</f>
        <v>0</v>
      </c>
      <c r="J238" s="297">
        <f>'Unit Savings Calculations'!$F234*'Unit Savings Calculations'!L234</f>
        <v>0</v>
      </c>
      <c r="K238" s="297">
        <f>'Unit Savings Calculations'!$F234*'Unit Savings Calculations'!M234</f>
        <v>0</v>
      </c>
      <c r="L238" s="295" t="str">
        <f>'Unit Savings Calculations'!U234</f>
        <v>CI-HVC-PINS-V04-160601</v>
      </c>
      <c r="M238" s="405" t="str">
        <f>'Unit Savings Calculations'!R234</f>
        <v>Exhibit 1.5A_R North Shore EEPS_Adjustable_Savings_Goal_Template.xlsx, Pipe Insulation Detail Tab</v>
      </c>
      <c r="N238" s="298">
        <v>107.52607289087437</v>
      </c>
      <c r="O238" s="298">
        <v>107.52607289087437</v>
      </c>
      <c r="P238" s="298">
        <v>107.52607289087437</v>
      </c>
      <c r="Q238" s="298">
        <v>107.52607289087437</v>
      </c>
      <c r="R238" s="299">
        <f>'Unit Savings Calculations'!$G234</f>
        <v>0.92</v>
      </c>
      <c r="S238" s="299">
        <f>'Unit Savings Calculations'!$G234</f>
        <v>0.92</v>
      </c>
      <c r="T238" s="299">
        <f>'Unit Savings Calculations'!$G234</f>
        <v>0.92</v>
      </c>
      <c r="U238" s="299">
        <f>'Unit Savings Calculations'!$G234</f>
        <v>0.92</v>
      </c>
      <c r="V238" s="300">
        <f t="shared" si="126"/>
        <v>0</v>
      </c>
      <c r="W238" s="300">
        <f t="shared" si="127"/>
        <v>0</v>
      </c>
      <c r="X238" s="300">
        <f t="shared" si="128"/>
        <v>0</v>
      </c>
      <c r="Y238" s="300">
        <f t="shared" si="129"/>
        <v>0</v>
      </c>
      <c r="Z238" s="300">
        <f t="shared" si="130"/>
        <v>0</v>
      </c>
      <c r="AA238" s="295"/>
      <c r="AB238" s="295"/>
      <c r="AC238" s="298">
        <f>'Unit Savings Calculations'!N234</f>
        <v>107.52607289087437</v>
      </c>
      <c r="AD238" s="295"/>
      <c r="AE238" s="300">
        <f t="shared" si="116"/>
        <v>0</v>
      </c>
      <c r="AF238" s="297">
        <f t="shared" si="117"/>
        <v>0</v>
      </c>
      <c r="AG238" s="295"/>
      <c r="AH238" s="295">
        <f t="shared" si="118"/>
        <v>0</v>
      </c>
      <c r="AI238" s="298">
        <f>'Unit Savings Calculations'!O234</f>
        <v>107.52607289087437</v>
      </c>
      <c r="AJ238" s="405" t="s">
        <v>879</v>
      </c>
      <c r="AK238" s="300">
        <f t="shared" si="119"/>
        <v>0</v>
      </c>
      <c r="AL238" s="297">
        <f t="shared" si="120"/>
        <v>0</v>
      </c>
      <c r="AM238" s="295"/>
      <c r="AN238" s="295"/>
      <c r="AO238" s="298">
        <f>'Unit Savings Calculations'!P234</f>
        <v>107.52607289087437</v>
      </c>
      <c r="AP238" s="405" t="s">
        <v>764</v>
      </c>
      <c r="AQ238" s="300">
        <f t="shared" si="121"/>
        <v>0</v>
      </c>
      <c r="AR238" s="297">
        <f t="shared" si="122"/>
        <v>0</v>
      </c>
      <c r="AS238" s="295"/>
      <c r="AT238" s="295"/>
      <c r="AU238" s="298">
        <f>'Unit Savings Calculations'!Q234</f>
        <v>107.52607289087437</v>
      </c>
      <c r="AV238" s="405" t="str">
        <f t="shared" si="109"/>
        <v>n/a</v>
      </c>
      <c r="AW238" s="300">
        <f t="shared" si="123"/>
        <v>0</v>
      </c>
      <c r="AX238" s="297">
        <f t="shared" si="124"/>
        <v>0</v>
      </c>
      <c r="AY238" s="300">
        <f t="shared" si="110"/>
        <v>0</v>
      </c>
      <c r="AZ238" s="300">
        <f t="shared" si="111"/>
        <v>0</v>
      </c>
      <c r="BA238" s="300">
        <f t="shared" si="112"/>
        <v>0</v>
      </c>
      <c r="BB238" s="300">
        <f t="shared" si="113"/>
        <v>0</v>
      </c>
      <c r="BC238" s="301">
        <f t="shared" si="114"/>
        <v>0</v>
      </c>
      <c r="BD238" s="295" t="s">
        <v>764</v>
      </c>
      <c r="BE238" s="302" t="str">
        <f t="shared" si="115"/>
        <v>Exhibit 1.5A_R North Shore EEPS_Adjustable_Savings_Goal_Template.xlsx, Pipe Insulation Detail Tab</v>
      </c>
      <c r="BF238" s="304"/>
    </row>
    <row r="239" spans="1:58" ht="15.75" customHeight="1">
      <c r="A239" s="295" t="str">
        <f>'Unit Savings Calculations'!C235</f>
        <v>Bus - SB Rebates -PTA</v>
      </c>
      <c r="B239" s="295" t="str">
        <f>'Unit Savings Calculations'!D235</f>
        <v>Pipe Insulation - Steam X-Large Valve</v>
      </c>
      <c r="C239" s="296">
        <f t="shared" si="125"/>
        <v>1</v>
      </c>
      <c r="D239" s="295" t="str">
        <f>'Unit Savings Calculations'!T235</f>
        <v>4.4.14</v>
      </c>
      <c r="E239" s="460">
        <f>INDEX('Unit Savings Calculations'!$H$4:$H$421,MATCH('Measure-Level Adjustments Tab'!$A239&amp;"_"&amp;'Measure-Level Adjustments Tab'!$B239,'Unit Savings Calculations'!$A$4:$A$421,0))</f>
        <v>15</v>
      </c>
      <c r="F239" s="460">
        <f>INDEX('Unit Savings Calculations'!$I$4:$I$421,MATCH('Measure-Level Adjustments Tab'!A239&amp;"_"&amp;'Measure-Level Adjustments Tab'!B239,'Unit Savings Calculations'!$A$4:$A$421,0))</f>
        <v>15</v>
      </c>
      <c r="G239" s="295" t="str">
        <f>'Unit Savings Calculations'!E235</f>
        <v>each</v>
      </c>
      <c r="H239" s="297">
        <f>'Unit Savings Calculations'!$F235*'Unit Savings Calculations'!J235</f>
        <v>0</v>
      </c>
      <c r="I239" s="297">
        <f>'Unit Savings Calculations'!$F235*'Unit Savings Calculations'!K235</f>
        <v>0</v>
      </c>
      <c r="J239" s="297">
        <f>'Unit Savings Calculations'!$F235*'Unit Savings Calculations'!L235</f>
        <v>0</v>
      </c>
      <c r="K239" s="297">
        <f>'Unit Savings Calculations'!$F235*'Unit Savings Calculations'!M235</f>
        <v>0</v>
      </c>
      <c r="L239" s="295" t="str">
        <f>'Unit Savings Calculations'!U235</f>
        <v>CI-HVC-PINS-V04-160601</v>
      </c>
      <c r="M239" s="405" t="str">
        <f>'Unit Savings Calculations'!R235</f>
        <v>Exhibit 1.5A_R North Shore EEPS_Adjustable_Savings_Goal_Template.xlsx, Pipe Insulation Detail Tab</v>
      </c>
      <c r="N239" s="298">
        <v>175.06254164158375</v>
      </c>
      <c r="O239" s="298">
        <v>175.06254164158375</v>
      </c>
      <c r="P239" s="298">
        <v>175.06254164158375</v>
      </c>
      <c r="Q239" s="298">
        <v>175.06254164158375</v>
      </c>
      <c r="R239" s="299">
        <f>'Unit Savings Calculations'!$G235</f>
        <v>0.92</v>
      </c>
      <c r="S239" s="299">
        <f>'Unit Savings Calculations'!$G235</f>
        <v>0.92</v>
      </c>
      <c r="T239" s="299">
        <f>'Unit Savings Calculations'!$G235</f>
        <v>0.92</v>
      </c>
      <c r="U239" s="299">
        <f>'Unit Savings Calculations'!$G235</f>
        <v>0.92</v>
      </c>
      <c r="V239" s="300">
        <f t="shared" si="126"/>
        <v>0</v>
      </c>
      <c r="W239" s="300">
        <f t="shared" si="127"/>
        <v>0</v>
      </c>
      <c r="X239" s="300">
        <f t="shared" si="128"/>
        <v>0</v>
      </c>
      <c r="Y239" s="300">
        <f t="shared" si="129"/>
        <v>0</v>
      </c>
      <c r="Z239" s="300">
        <f t="shared" si="130"/>
        <v>0</v>
      </c>
      <c r="AA239" s="295"/>
      <c r="AB239" s="295"/>
      <c r="AC239" s="298">
        <f>'Unit Savings Calculations'!N235</f>
        <v>175.06254164158375</v>
      </c>
      <c r="AD239" s="295"/>
      <c r="AE239" s="300">
        <f t="shared" si="116"/>
        <v>0</v>
      </c>
      <c r="AF239" s="297">
        <f t="shared" si="117"/>
        <v>0</v>
      </c>
      <c r="AG239" s="295"/>
      <c r="AH239" s="295">
        <f t="shared" si="118"/>
        <v>0</v>
      </c>
      <c r="AI239" s="298">
        <f>'Unit Savings Calculations'!O235</f>
        <v>175.06254164158375</v>
      </c>
      <c r="AJ239" s="405" t="s">
        <v>879</v>
      </c>
      <c r="AK239" s="300">
        <f t="shared" si="119"/>
        <v>0</v>
      </c>
      <c r="AL239" s="297">
        <f t="shared" si="120"/>
        <v>0</v>
      </c>
      <c r="AM239" s="295"/>
      <c r="AN239" s="295"/>
      <c r="AO239" s="298">
        <f>'Unit Savings Calculations'!P235</f>
        <v>175.06254164158375</v>
      </c>
      <c r="AP239" s="405" t="s">
        <v>764</v>
      </c>
      <c r="AQ239" s="300">
        <f t="shared" si="121"/>
        <v>0</v>
      </c>
      <c r="AR239" s="297">
        <f t="shared" si="122"/>
        <v>0</v>
      </c>
      <c r="AS239" s="295"/>
      <c r="AT239" s="295"/>
      <c r="AU239" s="298">
        <f>'Unit Savings Calculations'!Q235</f>
        <v>175.06254164158375</v>
      </c>
      <c r="AV239" s="405" t="str">
        <f t="shared" si="109"/>
        <v>n/a</v>
      </c>
      <c r="AW239" s="300">
        <f t="shared" si="123"/>
        <v>0</v>
      </c>
      <c r="AX239" s="297">
        <f t="shared" si="124"/>
        <v>0</v>
      </c>
      <c r="AY239" s="300">
        <f t="shared" si="110"/>
        <v>0</v>
      </c>
      <c r="AZ239" s="300">
        <f t="shared" si="111"/>
        <v>0</v>
      </c>
      <c r="BA239" s="300">
        <f t="shared" si="112"/>
        <v>0</v>
      </c>
      <c r="BB239" s="300">
        <f t="shared" si="113"/>
        <v>0</v>
      </c>
      <c r="BC239" s="301">
        <f t="shared" si="114"/>
        <v>0</v>
      </c>
      <c r="BD239" s="295" t="s">
        <v>764</v>
      </c>
      <c r="BE239" s="302" t="str">
        <f t="shared" si="115"/>
        <v>Exhibit 1.5A_R North Shore EEPS_Adjustable_Savings_Goal_Template.xlsx, Pipe Insulation Detail Tab</v>
      </c>
      <c r="BF239" s="304"/>
    </row>
    <row r="240" spans="1:58" ht="15.75" customHeight="1">
      <c r="A240" s="295" t="str">
        <f>'Unit Savings Calculations'!C236</f>
        <v>Bus - SB Rebates -PTA</v>
      </c>
      <c r="B240" s="295" t="str">
        <f>'Unit Savings Calculations'!D236</f>
        <v>Pre Rinse Sprayer (P)</v>
      </c>
      <c r="C240" s="296">
        <f t="shared" si="125"/>
        <v>1</v>
      </c>
      <c r="D240" s="295" t="str">
        <f>'Unit Savings Calculations'!T236</f>
        <v>4.2.11</v>
      </c>
      <c r="E240" s="460">
        <f>INDEX('Unit Savings Calculations'!$H$4:$H$421,MATCH('Measure-Level Adjustments Tab'!$A240&amp;"_"&amp;'Measure-Level Adjustments Tab'!$B240,'Unit Savings Calculations'!$A$4:$A$421,0))</f>
        <v>5</v>
      </c>
      <c r="F240" s="460">
        <f>INDEX('Unit Savings Calculations'!$I$4:$I$421,MATCH('Measure-Level Adjustments Tab'!A240&amp;"_"&amp;'Measure-Level Adjustments Tab'!B240,'Unit Savings Calculations'!$A$4:$A$421,0))</f>
        <v>5</v>
      </c>
      <c r="G240" s="295" t="str">
        <f>'Unit Savings Calculations'!E236</f>
        <v>each</v>
      </c>
      <c r="H240" s="297">
        <f>'Unit Savings Calculations'!$F236*'Unit Savings Calculations'!J236</f>
        <v>0</v>
      </c>
      <c r="I240" s="297">
        <f>'Unit Savings Calculations'!$F236*'Unit Savings Calculations'!K236</f>
        <v>0</v>
      </c>
      <c r="J240" s="297">
        <f>'Unit Savings Calculations'!$F236*'Unit Savings Calculations'!L236</f>
        <v>0</v>
      </c>
      <c r="K240" s="297">
        <f>'Unit Savings Calculations'!$F236*'Unit Savings Calculations'!M236</f>
        <v>0</v>
      </c>
      <c r="L240" s="295" t="str">
        <f>'Unit Savings Calculations'!U236</f>
        <v>CI-FSE-SPRY-V04-180101</v>
      </c>
      <c r="M240" s="405" t="str">
        <f>'Unit Savings Calculations'!R236</f>
        <v>Exhibit 1.5A_R North Shore EEPS_Adjustable_Savings_Goal_Template.xlsx, Pipe Insulation Detail Tab</v>
      </c>
      <c r="N240" s="298">
        <v>110.52077400000002</v>
      </c>
      <c r="O240" s="298">
        <v>110.52077400000002</v>
      </c>
      <c r="P240" s="298">
        <v>110.52077400000002</v>
      </c>
      <c r="Q240" s="298">
        <v>110.52077400000002</v>
      </c>
      <c r="R240" s="299">
        <f>'Unit Savings Calculations'!$G236</f>
        <v>0.92</v>
      </c>
      <c r="S240" s="299">
        <f>'Unit Savings Calculations'!$G236</f>
        <v>0.92</v>
      </c>
      <c r="T240" s="299">
        <f>'Unit Savings Calculations'!$G236</f>
        <v>0.92</v>
      </c>
      <c r="U240" s="299">
        <f>'Unit Savings Calculations'!$G236</f>
        <v>0.92</v>
      </c>
      <c r="V240" s="300">
        <f t="shared" si="126"/>
        <v>0</v>
      </c>
      <c r="W240" s="300">
        <f t="shared" si="127"/>
        <v>0</v>
      </c>
      <c r="X240" s="300">
        <f t="shared" si="128"/>
        <v>0</v>
      </c>
      <c r="Y240" s="300">
        <f t="shared" si="129"/>
        <v>0</v>
      </c>
      <c r="Z240" s="300">
        <f t="shared" si="130"/>
        <v>0</v>
      </c>
      <c r="AA240" s="295"/>
      <c r="AB240" s="295"/>
      <c r="AC240" s="298">
        <f>'Unit Savings Calculations'!N236</f>
        <v>51.167025000000002</v>
      </c>
      <c r="AD240" s="295"/>
      <c r="AE240" s="300">
        <f t="shared" si="116"/>
        <v>0</v>
      </c>
      <c r="AF240" s="297">
        <f t="shared" si="117"/>
        <v>0</v>
      </c>
      <c r="AG240" s="295"/>
      <c r="AH240" s="295">
        <f t="shared" si="118"/>
        <v>0</v>
      </c>
      <c r="AI240" s="298">
        <f>'Unit Savings Calculations'!O236</f>
        <v>51.167025000000002</v>
      </c>
      <c r="AJ240" s="405" t="s">
        <v>879</v>
      </c>
      <c r="AK240" s="300">
        <f t="shared" si="119"/>
        <v>0</v>
      </c>
      <c r="AL240" s="297">
        <f t="shared" si="120"/>
        <v>0</v>
      </c>
      <c r="AM240" s="295"/>
      <c r="AN240" s="295"/>
      <c r="AO240" s="298">
        <f>'Unit Savings Calculations'!P236</f>
        <v>51.167025000000002</v>
      </c>
      <c r="AP240" s="405" t="s">
        <v>1429</v>
      </c>
      <c r="AQ240" s="300">
        <f t="shared" si="121"/>
        <v>0</v>
      </c>
      <c r="AR240" s="297">
        <f t="shared" si="122"/>
        <v>0</v>
      </c>
      <c r="AS240" s="295"/>
      <c r="AT240" s="295"/>
      <c r="AU240" s="298">
        <f>'Unit Savings Calculations'!Q236</f>
        <v>51.167025000000002</v>
      </c>
      <c r="AV240" s="405" t="str">
        <f t="shared" si="109"/>
        <v>Updated base and EE flow rates</v>
      </c>
      <c r="AW240" s="300">
        <f t="shared" si="123"/>
        <v>0</v>
      </c>
      <c r="AX240" s="297">
        <f t="shared" si="124"/>
        <v>0</v>
      </c>
      <c r="AY240" s="300">
        <f t="shared" si="110"/>
        <v>0</v>
      </c>
      <c r="AZ240" s="300">
        <f t="shared" si="111"/>
        <v>0</v>
      </c>
      <c r="BA240" s="300">
        <f t="shared" si="112"/>
        <v>0</v>
      </c>
      <c r="BB240" s="300">
        <f t="shared" si="113"/>
        <v>0</v>
      </c>
      <c r="BC240" s="301">
        <f t="shared" si="114"/>
        <v>0</v>
      </c>
      <c r="BD240" s="295" t="s">
        <v>764</v>
      </c>
      <c r="BE240" s="302" t="str">
        <f t="shared" si="115"/>
        <v>Exhibit 1.5A_R North Shore EEPS_Adjustable_Savings_Goal_Template.xlsx, Pipe Insulation Detail Tab</v>
      </c>
      <c r="BF240" s="304"/>
    </row>
    <row r="241" spans="1:58" ht="15.75" customHeight="1">
      <c r="A241" s="295" t="str">
        <f>'Unit Savings Calculations'!C237</f>
        <v>Bus - SB Rebates -PTA</v>
      </c>
      <c r="B241" s="295" t="str">
        <f>'Unit Savings Calculations'!D237</f>
        <v>Steam Boiler ≥82% AFUE, &gt;300MBh TE (SB)</v>
      </c>
      <c r="C241" s="296">
        <f t="shared" si="125"/>
        <v>1</v>
      </c>
      <c r="D241" s="295" t="str">
        <f>'Unit Savings Calculations'!T237</f>
        <v>4.4.10</v>
      </c>
      <c r="E241" s="460">
        <f>INDEX('Unit Savings Calculations'!$H$4:$H$421,MATCH('Measure-Level Adjustments Tab'!$A241&amp;"_"&amp;'Measure-Level Adjustments Tab'!$B241,'Unit Savings Calculations'!$A$4:$A$421,0))</f>
        <v>20</v>
      </c>
      <c r="F241" s="460">
        <f>INDEX('Unit Savings Calculations'!$I$4:$I$421,MATCH('Measure-Level Adjustments Tab'!A241&amp;"_"&amp;'Measure-Level Adjustments Tab'!B241,'Unit Savings Calculations'!$A$4:$A$421,0))</f>
        <v>20</v>
      </c>
      <c r="G241" s="295" t="str">
        <f>'Unit Savings Calculations'!E237</f>
        <v>MBH</v>
      </c>
      <c r="H241" s="297">
        <f>'Unit Savings Calculations'!$F237*'Unit Savings Calculations'!J237</f>
        <v>0</v>
      </c>
      <c r="I241" s="297">
        <f>'Unit Savings Calculations'!$F237*'Unit Savings Calculations'!K237</f>
        <v>0</v>
      </c>
      <c r="J241" s="297">
        <f>'Unit Savings Calculations'!$F237*'Unit Savings Calculations'!L237</f>
        <v>0</v>
      </c>
      <c r="K241" s="297">
        <f>'Unit Savings Calculations'!$F237*'Unit Savings Calculations'!M237</f>
        <v>0</v>
      </c>
      <c r="L241" s="295" t="str">
        <f>'Unit Savings Calculations'!U237</f>
        <v>CI-HVC-BOIL-V05-150601</v>
      </c>
      <c r="M241" s="405" t="str">
        <f>'Unit Savings Calculations'!R237</f>
        <v>Exhibit 1.5A_R North Shore EEPS_Adjustable_Savings_Goal_Template.xlsx, Unit Savings Calculations Tab</v>
      </c>
      <c r="N241" s="298">
        <v>0.60265822784809941</v>
      </c>
      <c r="O241" s="298">
        <v>0.60265822784809941</v>
      </c>
      <c r="P241" s="298">
        <v>0.60265822784809941</v>
      </c>
      <c r="Q241" s="298">
        <v>0.60265822784809941</v>
      </c>
      <c r="R241" s="299">
        <f>'Unit Savings Calculations'!$G237</f>
        <v>0.92</v>
      </c>
      <c r="S241" s="299">
        <f>'Unit Savings Calculations'!$G237</f>
        <v>0.92</v>
      </c>
      <c r="T241" s="299">
        <f>'Unit Savings Calculations'!$G237</f>
        <v>0.92</v>
      </c>
      <c r="U241" s="299">
        <f>'Unit Savings Calculations'!$G237</f>
        <v>0.92</v>
      </c>
      <c r="V241" s="300">
        <f t="shared" si="126"/>
        <v>0</v>
      </c>
      <c r="W241" s="300">
        <f t="shared" si="127"/>
        <v>0</v>
      </c>
      <c r="X241" s="300">
        <f t="shared" si="128"/>
        <v>0</v>
      </c>
      <c r="Y241" s="300">
        <f t="shared" si="129"/>
        <v>0</v>
      </c>
      <c r="Z241" s="300">
        <f t="shared" si="130"/>
        <v>0</v>
      </c>
      <c r="AA241" s="295"/>
      <c r="AB241" s="295"/>
      <c r="AC241" s="298">
        <f>'Unit Savings Calculations'!N237</f>
        <v>0.61860759493670714</v>
      </c>
      <c r="AD241" s="295"/>
      <c r="AE241" s="300">
        <f t="shared" si="116"/>
        <v>0</v>
      </c>
      <c r="AF241" s="297">
        <f t="shared" si="117"/>
        <v>0</v>
      </c>
      <c r="AG241" s="295"/>
      <c r="AH241" s="295">
        <f t="shared" si="118"/>
        <v>0</v>
      </c>
      <c r="AI241" s="298">
        <f>'Unit Savings Calculations'!O237</f>
        <v>0.61860759493670714</v>
      </c>
      <c r="AJ241" s="405" t="s">
        <v>879</v>
      </c>
      <c r="AK241" s="300">
        <f t="shared" si="119"/>
        <v>0</v>
      </c>
      <c r="AL241" s="297">
        <f t="shared" si="120"/>
        <v>0</v>
      </c>
      <c r="AM241" s="295"/>
      <c r="AN241" s="295"/>
      <c r="AO241" s="298">
        <f>'Unit Savings Calculations'!P237</f>
        <v>0.61860759493670714</v>
      </c>
      <c r="AP241" s="405" t="s">
        <v>1443</v>
      </c>
      <c r="AQ241" s="300">
        <f t="shared" si="121"/>
        <v>0</v>
      </c>
      <c r="AR241" s="297">
        <f t="shared" si="122"/>
        <v>0</v>
      </c>
      <c r="AS241" s="295"/>
      <c r="AT241" s="295"/>
      <c r="AU241" s="298">
        <f>'Unit Savings Calculations'!Q237</f>
        <v>0.61860759493670714</v>
      </c>
      <c r="AV241" s="405" t="str">
        <f t="shared" si="109"/>
        <v>Updated heating EFLH</v>
      </c>
      <c r="AW241" s="300">
        <f t="shared" si="123"/>
        <v>0</v>
      </c>
      <c r="AX241" s="297">
        <f t="shared" si="124"/>
        <v>0</v>
      </c>
      <c r="AY241" s="300">
        <f t="shared" si="110"/>
        <v>0</v>
      </c>
      <c r="AZ241" s="300">
        <f t="shared" si="111"/>
        <v>0</v>
      </c>
      <c r="BA241" s="300">
        <f t="shared" si="112"/>
        <v>0</v>
      </c>
      <c r="BB241" s="300">
        <f t="shared" si="113"/>
        <v>0</v>
      </c>
      <c r="BC241" s="301">
        <f t="shared" si="114"/>
        <v>0</v>
      </c>
      <c r="BD241" s="295" t="s">
        <v>764</v>
      </c>
      <c r="BE241" s="302" t="str">
        <f t="shared" si="115"/>
        <v>Exhibit 1.5A_R North Shore EEPS_Adjustable_Savings_Goal_Template.xlsx, Unit Savings Calculations Tab</v>
      </c>
      <c r="BF241" s="304"/>
    </row>
    <row r="242" spans="1:58" ht="15.75" customHeight="1">
      <c r="A242" s="295" t="str">
        <f>'Unit Savings Calculations'!C238</f>
        <v>Bus - SB Rebates -PTA</v>
      </c>
      <c r="B242" s="295" t="str">
        <f>'Unit Savings Calculations'!D238</f>
        <v>Steam Traps - Dry Cleaner/Industrial</v>
      </c>
      <c r="C242" s="296">
        <f t="shared" si="125"/>
        <v>1</v>
      </c>
      <c r="D242" s="295" t="str">
        <f>'Unit Savings Calculations'!T238</f>
        <v>4.4.16</v>
      </c>
      <c r="E242" s="460">
        <f>INDEX('Unit Savings Calculations'!$H$4:$H$421,MATCH('Measure-Level Adjustments Tab'!$A242&amp;"_"&amp;'Measure-Level Adjustments Tab'!$B242,'Unit Savings Calculations'!$A$4:$A$421,0))</f>
        <v>6</v>
      </c>
      <c r="F242" s="460">
        <f>INDEX('Unit Savings Calculations'!$I$4:$I$421,MATCH('Measure-Level Adjustments Tab'!A242&amp;"_"&amp;'Measure-Level Adjustments Tab'!B242,'Unit Savings Calculations'!$A$4:$A$421,0))</f>
        <v>6</v>
      </c>
      <c r="G242" s="295" t="str">
        <f>'Unit Savings Calculations'!E238</f>
        <v>each</v>
      </c>
      <c r="H242" s="297">
        <f>'Unit Savings Calculations'!$F238*'Unit Savings Calculations'!J238</f>
        <v>5</v>
      </c>
      <c r="I242" s="297">
        <f>'Unit Savings Calculations'!$F238*'Unit Savings Calculations'!K238</f>
        <v>5</v>
      </c>
      <c r="J242" s="297">
        <f>'Unit Savings Calculations'!$F238*'Unit Savings Calculations'!L238</f>
        <v>5</v>
      </c>
      <c r="K242" s="297">
        <f>'Unit Savings Calculations'!$F238*'Unit Savings Calculations'!M238</f>
        <v>5</v>
      </c>
      <c r="L242" s="295" t="str">
        <f>'Unit Savings Calculations'!U238</f>
        <v>CI-HVC-STRE-V05-180101</v>
      </c>
      <c r="M242" s="405" t="str">
        <f>'Unit Savings Calculations'!R238</f>
        <v>Exhibit 1.5A_R North Shore EEPS_Adjustable_Savings_Goal_Template.xlsx, Unit Savings Calculations Tab</v>
      </c>
      <c r="N242" s="298">
        <v>137.91939591078068</v>
      </c>
      <c r="O242" s="298">
        <v>137.91939591078068</v>
      </c>
      <c r="P242" s="298">
        <v>137.91939591078068</v>
      </c>
      <c r="Q242" s="298">
        <v>137.91939591078068</v>
      </c>
      <c r="R242" s="299">
        <f>'Unit Savings Calculations'!$G238</f>
        <v>0.92</v>
      </c>
      <c r="S242" s="299">
        <f>'Unit Savings Calculations'!$G238</f>
        <v>0.92</v>
      </c>
      <c r="T242" s="299">
        <f>'Unit Savings Calculations'!$G238</f>
        <v>0.92</v>
      </c>
      <c r="U242" s="299">
        <f>'Unit Savings Calculations'!$G238</f>
        <v>0.92</v>
      </c>
      <c r="V242" s="300">
        <f t="shared" si="126"/>
        <v>634.42922118959109</v>
      </c>
      <c r="W242" s="300">
        <f t="shared" si="127"/>
        <v>634.42922118959109</v>
      </c>
      <c r="X242" s="300">
        <f t="shared" si="128"/>
        <v>634.42922118959109</v>
      </c>
      <c r="Y242" s="300">
        <f t="shared" si="129"/>
        <v>634.42922118959109</v>
      </c>
      <c r="Z242" s="300">
        <f t="shared" si="130"/>
        <v>2537.7168847583644</v>
      </c>
      <c r="AA242" s="295"/>
      <c r="AB242" s="295"/>
      <c r="AC242" s="298">
        <f>'Unit Savings Calculations'!N238</f>
        <v>137.91939591078068</v>
      </c>
      <c r="AD242" s="295"/>
      <c r="AE242" s="300">
        <f t="shared" si="116"/>
        <v>634.42922118959109</v>
      </c>
      <c r="AF242" s="297">
        <f t="shared" si="117"/>
        <v>0</v>
      </c>
      <c r="AG242" s="295"/>
      <c r="AH242" s="295">
        <f t="shared" si="118"/>
        <v>0</v>
      </c>
      <c r="AI242" s="298">
        <f>'Unit Savings Calculations'!O238</f>
        <v>137.91939591078068</v>
      </c>
      <c r="AJ242" s="405" t="s">
        <v>879</v>
      </c>
      <c r="AK242" s="300">
        <f t="shared" si="119"/>
        <v>634.42922118959109</v>
      </c>
      <c r="AL242" s="297">
        <f t="shared" si="120"/>
        <v>0</v>
      </c>
      <c r="AM242" s="295"/>
      <c r="AN242" s="295"/>
      <c r="AO242" s="298">
        <f>'Unit Savings Calculations'!P238</f>
        <v>137.91939591078068</v>
      </c>
      <c r="AP242" s="405" t="s">
        <v>764</v>
      </c>
      <c r="AQ242" s="300">
        <f t="shared" si="121"/>
        <v>634.42922118959109</v>
      </c>
      <c r="AR242" s="297">
        <f t="shared" si="122"/>
        <v>0</v>
      </c>
      <c r="AS242" s="295"/>
      <c r="AT242" s="295"/>
      <c r="AU242" s="298">
        <f>'Unit Savings Calculations'!Q238</f>
        <v>137.91939591078068</v>
      </c>
      <c r="AV242" s="405" t="str">
        <f t="shared" si="109"/>
        <v>n/a</v>
      </c>
      <c r="AW242" s="300">
        <f t="shared" si="123"/>
        <v>634.42922118959109</v>
      </c>
      <c r="AX242" s="297">
        <f t="shared" si="124"/>
        <v>0</v>
      </c>
      <c r="AY242" s="300">
        <f t="shared" si="110"/>
        <v>634.42922118959109</v>
      </c>
      <c r="AZ242" s="300">
        <f t="shared" si="111"/>
        <v>634.42922118959109</v>
      </c>
      <c r="BA242" s="300">
        <f t="shared" si="112"/>
        <v>634.42922118959109</v>
      </c>
      <c r="BB242" s="300">
        <f t="shared" si="113"/>
        <v>634.42922118959109</v>
      </c>
      <c r="BC242" s="301">
        <f t="shared" si="114"/>
        <v>2537.7168847583644</v>
      </c>
      <c r="BD242" s="295" t="s">
        <v>764</v>
      </c>
      <c r="BE242" s="302" t="str">
        <f t="shared" si="115"/>
        <v>Exhibit 1.5A_R North Shore EEPS_Adjustable_Savings_Goal_Template.xlsx, Unit Savings Calculations Tab</v>
      </c>
      <c r="BF242" s="304"/>
    </row>
    <row r="243" spans="1:58" ht="15.75" customHeight="1">
      <c r="A243" s="295" t="str">
        <f>'Unit Savings Calculations'!C239</f>
        <v>Bus - SB Rebates -PTA</v>
      </c>
      <c r="B243" s="295" t="str">
        <f>'Unit Savings Calculations'!D239</f>
        <v>Steam Traps - HVAC Repair/Rep - Audit</v>
      </c>
      <c r="C243" s="296">
        <f t="shared" si="125"/>
        <v>1</v>
      </c>
      <c r="D243" s="295" t="str">
        <f>'Unit Savings Calculations'!T239</f>
        <v>4.4.16</v>
      </c>
      <c r="E243" s="460">
        <f>INDEX('Unit Savings Calculations'!$H$4:$H$421,MATCH('Measure-Level Adjustments Tab'!$A243&amp;"_"&amp;'Measure-Level Adjustments Tab'!$B243,'Unit Savings Calculations'!$A$4:$A$421,0))</f>
        <v>6</v>
      </c>
      <c r="F243" s="460">
        <f>INDEX('Unit Savings Calculations'!$I$4:$I$421,MATCH('Measure-Level Adjustments Tab'!A243&amp;"_"&amp;'Measure-Level Adjustments Tab'!B243,'Unit Savings Calculations'!$A$4:$A$421,0))</f>
        <v>6</v>
      </c>
      <c r="G243" s="295" t="str">
        <f>'Unit Savings Calculations'!E239</f>
        <v>each</v>
      </c>
      <c r="H243" s="297">
        <f>'Unit Savings Calculations'!$F239*'Unit Savings Calculations'!J239</f>
        <v>2</v>
      </c>
      <c r="I243" s="297">
        <f>'Unit Savings Calculations'!$F239*'Unit Savings Calculations'!K239</f>
        <v>2</v>
      </c>
      <c r="J243" s="297">
        <f>'Unit Savings Calculations'!$F239*'Unit Savings Calculations'!L239</f>
        <v>2</v>
      </c>
      <c r="K243" s="297">
        <f>'Unit Savings Calculations'!$F239*'Unit Savings Calculations'!M239</f>
        <v>2</v>
      </c>
      <c r="L243" s="295" t="str">
        <f>'Unit Savings Calculations'!U239</f>
        <v>CI-HVC-STRE-V05-180101</v>
      </c>
      <c r="M243" s="405" t="str">
        <f>'Unit Savings Calculations'!R239</f>
        <v>Exhibit 1.5A_R North Shore EEPS_Adjustable_Savings_Goal_Template.xlsx, Unit Savings Calculations Tab</v>
      </c>
      <c r="N243" s="298">
        <v>88.453924126394057</v>
      </c>
      <c r="O243" s="298">
        <v>88.453924126394057</v>
      </c>
      <c r="P243" s="298">
        <v>88.453924126394057</v>
      </c>
      <c r="Q243" s="298">
        <v>88.453924126394057</v>
      </c>
      <c r="R243" s="299">
        <f>'Unit Savings Calculations'!$G239</f>
        <v>0.92</v>
      </c>
      <c r="S243" s="299">
        <f>'Unit Savings Calculations'!$G239</f>
        <v>0.92</v>
      </c>
      <c r="T243" s="299">
        <f>'Unit Savings Calculations'!$G239</f>
        <v>0.92</v>
      </c>
      <c r="U243" s="299">
        <f>'Unit Savings Calculations'!$G239</f>
        <v>0.92</v>
      </c>
      <c r="V243" s="300">
        <f t="shared" si="126"/>
        <v>162.75522039256506</v>
      </c>
      <c r="W243" s="300">
        <f t="shared" si="127"/>
        <v>162.75522039256506</v>
      </c>
      <c r="X243" s="300">
        <f t="shared" si="128"/>
        <v>162.75522039256506</v>
      </c>
      <c r="Y243" s="300">
        <f t="shared" si="129"/>
        <v>162.75522039256506</v>
      </c>
      <c r="Z243" s="300">
        <f t="shared" si="130"/>
        <v>651.02088157026026</v>
      </c>
      <c r="AA243" s="295"/>
      <c r="AB243" s="295"/>
      <c r="AC243" s="298">
        <f>'Unit Savings Calculations'!N239</f>
        <v>88.453924126394057</v>
      </c>
      <c r="AD243" s="295"/>
      <c r="AE243" s="300">
        <f t="shared" si="116"/>
        <v>162.75522039256506</v>
      </c>
      <c r="AF243" s="297">
        <f t="shared" si="117"/>
        <v>0</v>
      </c>
      <c r="AG243" s="295"/>
      <c r="AH243" s="295">
        <f t="shared" si="118"/>
        <v>0</v>
      </c>
      <c r="AI243" s="298">
        <f>'Unit Savings Calculations'!O239</f>
        <v>88.453924126394057</v>
      </c>
      <c r="AJ243" s="405" t="s">
        <v>879</v>
      </c>
      <c r="AK243" s="300">
        <f t="shared" si="119"/>
        <v>162.75522039256506</v>
      </c>
      <c r="AL243" s="297">
        <f t="shared" si="120"/>
        <v>0</v>
      </c>
      <c r="AM243" s="295"/>
      <c r="AN243" s="295"/>
      <c r="AO243" s="298">
        <f>'Unit Savings Calculations'!P239</f>
        <v>88.453924126394057</v>
      </c>
      <c r="AP243" s="405" t="s">
        <v>764</v>
      </c>
      <c r="AQ243" s="300">
        <f t="shared" si="121"/>
        <v>162.75522039256506</v>
      </c>
      <c r="AR243" s="297">
        <f t="shared" si="122"/>
        <v>0</v>
      </c>
      <c r="AS243" s="295"/>
      <c r="AT243" s="295"/>
      <c r="AU243" s="298">
        <f>'Unit Savings Calculations'!Q239</f>
        <v>88.453924126394057</v>
      </c>
      <c r="AV243" s="405" t="str">
        <f t="shared" si="109"/>
        <v>n/a</v>
      </c>
      <c r="AW243" s="300">
        <f t="shared" si="123"/>
        <v>162.75522039256506</v>
      </c>
      <c r="AX243" s="297">
        <f t="shared" si="124"/>
        <v>0</v>
      </c>
      <c r="AY243" s="300">
        <f t="shared" si="110"/>
        <v>162.75522039256506</v>
      </c>
      <c r="AZ243" s="300">
        <f t="shared" si="111"/>
        <v>162.75522039256506</v>
      </c>
      <c r="BA243" s="300">
        <f t="shared" si="112"/>
        <v>162.75522039256506</v>
      </c>
      <c r="BB243" s="300">
        <f t="shared" si="113"/>
        <v>162.75522039256506</v>
      </c>
      <c r="BC243" s="301">
        <f t="shared" si="114"/>
        <v>651.02088157026026</v>
      </c>
      <c r="BD243" s="295" t="s">
        <v>764</v>
      </c>
      <c r="BE243" s="302" t="str">
        <f t="shared" si="115"/>
        <v>Exhibit 1.5A_R North Shore EEPS_Adjustable_Savings_Goal_Template.xlsx, Unit Savings Calculations Tab</v>
      </c>
      <c r="BF243" s="304"/>
    </row>
    <row r="244" spans="1:58" ht="15.75" customHeight="1">
      <c r="A244" s="295" t="str">
        <f>'Unit Savings Calculations'!C240</f>
        <v>Bus - SB Rebates -PTA</v>
      </c>
      <c r="B244" s="295" t="str">
        <f>'Unit Savings Calculations'!D240</f>
        <v>Steam Traps - HVAC Repair/Rep - No Audit</v>
      </c>
      <c r="C244" s="296">
        <f t="shared" si="125"/>
        <v>1</v>
      </c>
      <c r="D244" s="295" t="str">
        <f>'Unit Savings Calculations'!T240</f>
        <v>4.4.16</v>
      </c>
      <c r="E244" s="460">
        <f>INDEX('Unit Savings Calculations'!$H$4:$H$421,MATCH('Measure-Level Adjustments Tab'!$A244&amp;"_"&amp;'Measure-Level Adjustments Tab'!$B244,'Unit Savings Calculations'!$A$4:$A$421,0))</f>
        <v>6</v>
      </c>
      <c r="F244" s="460">
        <f>INDEX('Unit Savings Calculations'!$I$4:$I$421,MATCH('Measure-Level Adjustments Tab'!A244&amp;"_"&amp;'Measure-Level Adjustments Tab'!B244,'Unit Savings Calculations'!$A$4:$A$421,0))</f>
        <v>6</v>
      </c>
      <c r="G244" s="295" t="str">
        <f>'Unit Savings Calculations'!E240</f>
        <v>each</v>
      </c>
      <c r="H244" s="297">
        <f>'Unit Savings Calculations'!$F240*'Unit Savings Calculations'!J240</f>
        <v>2</v>
      </c>
      <c r="I244" s="297">
        <f>'Unit Savings Calculations'!$F240*'Unit Savings Calculations'!K240</f>
        <v>2</v>
      </c>
      <c r="J244" s="297">
        <f>'Unit Savings Calculations'!$F240*'Unit Savings Calculations'!L240</f>
        <v>2</v>
      </c>
      <c r="K244" s="297">
        <f>'Unit Savings Calculations'!$F240*'Unit Savings Calculations'!M240</f>
        <v>2</v>
      </c>
      <c r="L244" s="295" t="str">
        <f>'Unit Savings Calculations'!U240</f>
        <v>CI-HVC-STRE-V05-180101</v>
      </c>
      <c r="M244" s="405" t="str">
        <f>'Unit Savings Calculations'!R240</f>
        <v>Exhibit 1.5A_R North Shore EEPS_Adjustable_Savings_Goal_Template.xlsx, Unit Savings Calculations Tab</v>
      </c>
      <c r="N244" s="298">
        <v>88.453924126394057</v>
      </c>
      <c r="O244" s="298">
        <v>88.453924126394057</v>
      </c>
      <c r="P244" s="298">
        <v>88.453924126394057</v>
      </c>
      <c r="Q244" s="298">
        <v>88.453924126394057</v>
      </c>
      <c r="R244" s="299">
        <f>'Unit Savings Calculations'!$G240</f>
        <v>0.92</v>
      </c>
      <c r="S244" s="299">
        <f>'Unit Savings Calculations'!$G240</f>
        <v>0.92</v>
      </c>
      <c r="T244" s="299">
        <f>'Unit Savings Calculations'!$G240</f>
        <v>0.92</v>
      </c>
      <c r="U244" s="299">
        <f>'Unit Savings Calculations'!$G240</f>
        <v>0.92</v>
      </c>
      <c r="V244" s="300">
        <f t="shared" si="126"/>
        <v>162.75522039256506</v>
      </c>
      <c r="W244" s="300">
        <f t="shared" si="127"/>
        <v>162.75522039256506</v>
      </c>
      <c r="X244" s="300">
        <f t="shared" si="128"/>
        <v>162.75522039256506</v>
      </c>
      <c r="Y244" s="300">
        <f t="shared" si="129"/>
        <v>162.75522039256506</v>
      </c>
      <c r="Z244" s="300">
        <f t="shared" si="130"/>
        <v>651.02088157026026</v>
      </c>
      <c r="AA244" s="295"/>
      <c r="AB244" s="295"/>
      <c r="AC244" s="298">
        <f>'Unit Savings Calculations'!N240</f>
        <v>88.453924126394057</v>
      </c>
      <c r="AD244" s="295"/>
      <c r="AE244" s="300">
        <f t="shared" si="116"/>
        <v>162.75522039256506</v>
      </c>
      <c r="AF244" s="297">
        <f t="shared" si="117"/>
        <v>0</v>
      </c>
      <c r="AG244" s="295"/>
      <c r="AH244" s="295">
        <f t="shared" si="118"/>
        <v>0</v>
      </c>
      <c r="AI244" s="298">
        <f>'Unit Savings Calculations'!O240</f>
        <v>88.453924126394057</v>
      </c>
      <c r="AJ244" s="405" t="s">
        <v>879</v>
      </c>
      <c r="AK244" s="300">
        <f t="shared" si="119"/>
        <v>162.75522039256506</v>
      </c>
      <c r="AL244" s="297">
        <f t="shared" si="120"/>
        <v>0</v>
      </c>
      <c r="AM244" s="295"/>
      <c r="AN244" s="295"/>
      <c r="AO244" s="298">
        <f>'Unit Savings Calculations'!P240</f>
        <v>88.453924126394057</v>
      </c>
      <c r="AP244" s="405" t="s">
        <v>764</v>
      </c>
      <c r="AQ244" s="300">
        <f t="shared" si="121"/>
        <v>162.75522039256506</v>
      </c>
      <c r="AR244" s="297">
        <f t="shared" si="122"/>
        <v>0</v>
      </c>
      <c r="AS244" s="295"/>
      <c r="AT244" s="295"/>
      <c r="AU244" s="298">
        <f>'Unit Savings Calculations'!Q240</f>
        <v>88.453924126394057</v>
      </c>
      <c r="AV244" s="405" t="str">
        <f t="shared" si="109"/>
        <v>n/a</v>
      </c>
      <c r="AW244" s="300">
        <f t="shared" si="123"/>
        <v>162.75522039256506</v>
      </c>
      <c r="AX244" s="297">
        <f t="shared" si="124"/>
        <v>0</v>
      </c>
      <c r="AY244" s="300">
        <f t="shared" si="110"/>
        <v>162.75522039256506</v>
      </c>
      <c r="AZ244" s="300">
        <f t="shared" si="111"/>
        <v>162.75522039256506</v>
      </c>
      <c r="BA244" s="300">
        <f t="shared" si="112"/>
        <v>162.75522039256506</v>
      </c>
      <c r="BB244" s="300">
        <f t="shared" si="113"/>
        <v>162.75522039256506</v>
      </c>
      <c r="BC244" s="301">
        <f t="shared" si="114"/>
        <v>651.02088157026026</v>
      </c>
      <c r="BD244" s="295" t="s">
        <v>764</v>
      </c>
      <c r="BE244" s="302" t="str">
        <f t="shared" si="115"/>
        <v>Exhibit 1.5A_R North Shore EEPS_Adjustable_Savings_Goal_Template.xlsx, Unit Savings Calculations Tab</v>
      </c>
      <c r="BF244" s="304"/>
    </row>
    <row r="245" spans="1:58" ht="15.75" customHeight="1">
      <c r="A245" s="295" t="str">
        <f>'Unit Savings Calculations'!C241</f>
        <v>Bus - SB Rebates -PTA</v>
      </c>
      <c r="B245" s="295" t="str">
        <f>'Unit Savings Calculations'!D241</f>
        <v>Steam Traps - Test</v>
      </c>
      <c r="C245" s="296">
        <f t="shared" si="125"/>
        <v>0</v>
      </c>
      <c r="D245" s="295" t="str">
        <f>'Unit Savings Calculations'!T241</f>
        <v>Custom</v>
      </c>
      <c r="E245" s="460">
        <f>INDEX('Unit Savings Calculations'!$H$4:$H$421,MATCH('Measure-Level Adjustments Tab'!$A245&amp;"_"&amp;'Measure-Level Adjustments Tab'!$B245,'Unit Savings Calculations'!$A$4:$A$421,0))</f>
        <v>3</v>
      </c>
      <c r="F245" s="460">
        <f>INDEX('Unit Savings Calculations'!$I$4:$I$421,MATCH('Measure-Level Adjustments Tab'!A245&amp;"_"&amp;'Measure-Level Adjustments Tab'!B245,'Unit Savings Calculations'!$A$4:$A$421,0))</f>
        <v>3</v>
      </c>
      <c r="G245" s="295" t="str">
        <f>'Unit Savings Calculations'!E241</f>
        <v>each</v>
      </c>
      <c r="H245" s="297">
        <f>'Unit Savings Calculations'!$F241*'Unit Savings Calculations'!J241</f>
        <v>0</v>
      </c>
      <c r="I245" s="297">
        <f>'Unit Savings Calculations'!$F241*'Unit Savings Calculations'!K241</f>
        <v>0</v>
      </c>
      <c r="J245" s="297">
        <f>'Unit Savings Calculations'!$F241*'Unit Savings Calculations'!L241</f>
        <v>0</v>
      </c>
      <c r="K245" s="297">
        <f>'Unit Savings Calculations'!$F241*'Unit Savings Calculations'!M241</f>
        <v>0</v>
      </c>
      <c r="L245" s="295" t="str">
        <f>'Unit Savings Calculations'!U241</f>
        <v>Custom</v>
      </c>
      <c r="M245" s="405" t="str">
        <f>'Unit Savings Calculations'!R241</f>
        <v>Custom</v>
      </c>
      <c r="N245" s="298">
        <v>0</v>
      </c>
      <c r="O245" s="298">
        <v>0</v>
      </c>
      <c r="P245" s="298">
        <v>0</v>
      </c>
      <c r="Q245" s="298">
        <v>0</v>
      </c>
      <c r="R245" s="299">
        <f>'Unit Savings Calculations'!$G241</f>
        <v>0.92</v>
      </c>
      <c r="S245" s="299">
        <f>'Unit Savings Calculations'!$G241</f>
        <v>0.92</v>
      </c>
      <c r="T245" s="299">
        <f>'Unit Savings Calculations'!$G241</f>
        <v>0.92</v>
      </c>
      <c r="U245" s="299">
        <f>'Unit Savings Calculations'!$G241</f>
        <v>0.92</v>
      </c>
      <c r="V245" s="300">
        <f t="shared" si="126"/>
        <v>0</v>
      </c>
      <c r="W245" s="300">
        <f t="shared" si="127"/>
        <v>0</v>
      </c>
      <c r="X245" s="300">
        <f t="shared" si="128"/>
        <v>0</v>
      </c>
      <c r="Y245" s="300">
        <f t="shared" si="129"/>
        <v>0</v>
      </c>
      <c r="Z245" s="300">
        <f t="shared" si="130"/>
        <v>0</v>
      </c>
      <c r="AA245" s="406"/>
      <c r="AB245" s="406"/>
      <c r="AC245" s="409">
        <f>'Unit Savings Calculations'!N241</f>
        <v>0</v>
      </c>
      <c r="AD245" s="406"/>
      <c r="AE245" s="407">
        <f t="shared" si="116"/>
        <v>0</v>
      </c>
      <c r="AF245" s="408">
        <f t="shared" si="117"/>
        <v>0</v>
      </c>
      <c r="AG245" s="406"/>
      <c r="AH245" s="406">
        <f t="shared" si="118"/>
        <v>0</v>
      </c>
      <c r="AI245" s="409">
        <f>'Unit Savings Calculations'!O241</f>
        <v>0</v>
      </c>
      <c r="AJ245" s="457" t="s">
        <v>879</v>
      </c>
      <c r="AK245" s="407">
        <f t="shared" si="119"/>
        <v>0</v>
      </c>
      <c r="AL245" s="408">
        <f t="shared" si="120"/>
        <v>0</v>
      </c>
      <c r="AM245" s="406"/>
      <c r="AN245" s="406"/>
      <c r="AO245" s="409">
        <f>'Unit Savings Calculations'!P241</f>
        <v>0</v>
      </c>
      <c r="AP245" s="457" t="s">
        <v>764</v>
      </c>
      <c r="AQ245" s="407">
        <f t="shared" si="121"/>
        <v>0</v>
      </c>
      <c r="AR245" s="408">
        <f t="shared" si="122"/>
        <v>0</v>
      </c>
      <c r="AS245" s="406"/>
      <c r="AT245" s="406"/>
      <c r="AU245" s="409">
        <f>'Unit Savings Calculations'!Q241</f>
        <v>0</v>
      </c>
      <c r="AV245" s="457" t="str">
        <f t="shared" si="109"/>
        <v>n/a</v>
      </c>
      <c r="AW245" s="407">
        <f t="shared" si="123"/>
        <v>0</v>
      </c>
      <c r="AX245" s="408">
        <f t="shared" si="124"/>
        <v>0</v>
      </c>
      <c r="AY245" s="300">
        <f t="shared" si="110"/>
        <v>0</v>
      </c>
      <c r="AZ245" s="300">
        <f t="shared" si="111"/>
        <v>0</v>
      </c>
      <c r="BA245" s="300">
        <f t="shared" si="112"/>
        <v>0</v>
      </c>
      <c r="BB245" s="300">
        <f t="shared" si="113"/>
        <v>0</v>
      </c>
      <c r="BC245" s="301">
        <f t="shared" si="114"/>
        <v>0</v>
      </c>
      <c r="BD245" s="295" t="s">
        <v>764</v>
      </c>
      <c r="BE245" s="302" t="str">
        <f t="shared" si="115"/>
        <v>Custom</v>
      </c>
      <c r="BF245" s="304"/>
    </row>
    <row r="246" spans="1:58" ht="15.75" customHeight="1">
      <c r="A246" s="295" t="str">
        <f>'Unit Savings Calculations'!C242</f>
        <v>Bus - SB Rebates -PTA</v>
      </c>
      <c r="B246" s="295" t="str">
        <f>'Unit Savings Calculations'!D242</f>
        <v>Thermostat - Programmable</v>
      </c>
      <c r="C246" s="296">
        <f t="shared" si="125"/>
        <v>1</v>
      </c>
      <c r="D246" s="295" t="str">
        <f>'Unit Savings Calculations'!T242</f>
        <v>4.4.18</v>
      </c>
      <c r="E246" s="460">
        <f>INDEX('Unit Savings Calculations'!$H$4:$H$421,MATCH('Measure-Level Adjustments Tab'!$A246&amp;"_"&amp;'Measure-Level Adjustments Tab'!$B246,'Unit Savings Calculations'!$A$4:$A$421,0))</f>
        <v>4</v>
      </c>
      <c r="F246" s="460">
        <f>INDEX('Unit Savings Calculations'!$I$4:$I$421,MATCH('Measure-Level Adjustments Tab'!A246&amp;"_"&amp;'Measure-Level Adjustments Tab'!B246,'Unit Savings Calculations'!$A$4:$A$421,0))</f>
        <v>4</v>
      </c>
      <c r="G246" s="295" t="str">
        <f>'Unit Savings Calculations'!E242</f>
        <v>each</v>
      </c>
      <c r="H246" s="297">
        <f>'Unit Savings Calculations'!$F242*'Unit Savings Calculations'!J242</f>
        <v>0</v>
      </c>
      <c r="I246" s="297">
        <f>'Unit Savings Calculations'!$F242*'Unit Savings Calculations'!K242</f>
        <v>0</v>
      </c>
      <c r="J246" s="297">
        <f>'Unit Savings Calculations'!$F242*'Unit Savings Calculations'!L242</f>
        <v>0</v>
      </c>
      <c r="K246" s="297">
        <f>'Unit Savings Calculations'!$F242*'Unit Savings Calculations'!M242</f>
        <v>0</v>
      </c>
      <c r="L246" s="295" t="str">
        <f>'Unit Savings Calculations'!U242</f>
        <v>CI-HVC-PROG-V02-150601</v>
      </c>
      <c r="M246" s="405" t="str">
        <f>'Unit Savings Calculations'!R242</f>
        <v>Exhibit 1.5A_R North Shore EEPS_Adjustable_Savings_Goal_Template.xlsx, Thermostat Detail Tab</v>
      </c>
      <c r="N246" s="298">
        <v>124.68584320000001</v>
      </c>
      <c r="O246" s="298">
        <v>124.68584320000001</v>
      </c>
      <c r="P246" s="298">
        <v>124.68584320000001</v>
      </c>
      <c r="Q246" s="298">
        <v>124.68584320000001</v>
      </c>
      <c r="R246" s="299">
        <f>'Unit Savings Calculations'!$G242</f>
        <v>0.92</v>
      </c>
      <c r="S246" s="299">
        <f>'Unit Savings Calculations'!$G242</f>
        <v>0.92</v>
      </c>
      <c r="T246" s="299">
        <f>'Unit Savings Calculations'!$G242</f>
        <v>0.92</v>
      </c>
      <c r="U246" s="299">
        <f>'Unit Savings Calculations'!$G242</f>
        <v>0.92</v>
      </c>
      <c r="V246" s="300">
        <f t="shared" si="126"/>
        <v>0</v>
      </c>
      <c r="W246" s="300">
        <f t="shared" si="127"/>
        <v>0</v>
      </c>
      <c r="X246" s="300">
        <f t="shared" si="128"/>
        <v>0</v>
      </c>
      <c r="Y246" s="300">
        <f t="shared" si="129"/>
        <v>0</v>
      </c>
      <c r="Z246" s="300">
        <f t="shared" si="130"/>
        <v>0</v>
      </c>
      <c r="AA246" s="295"/>
      <c r="AB246" s="295"/>
      <c r="AC246" s="298">
        <f>'Unit Savings Calculations'!N242</f>
        <v>124.68584320000001</v>
      </c>
      <c r="AD246" s="295"/>
      <c r="AE246" s="300">
        <f t="shared" si="116"/>
        <v>0</v>
      </c>
      <c r="AF246" s="297">
        <f t="shared" si="117"/>
        <v>0</v>
      </c>
      <c r="AG246" s="295"/>
      <c r="AH246" s="295">
        <f t="shared" si="118"/>
        <v>0</v>
      </c>
      <c r="AI246" s="298">
        <f>'Unit Savings Calculations'!O242</f>
        <v>124.68584320000001</v>
      </c>
      <c r="AJ246" s="405" t="s">
        <v>879</v>
      </c>
      <c r="AK246" s="300">
        <f t="shared" si="119"/>
        <v>0</v>
      </c>
      <c r="AL246" s="297">
        <f t="shared" si="120"/>
        <v>0</v>
      </c>
      <c r="AM246" s="295"/>
      <c r="AN246" s="295"/>
      <c r="AO246" s="298">
        <f>'Unit Savings Calculations'!P242</f>
        <v>124.68584320000001</v>
      </c>
      <c r="AP246" s="405" t="s">
        <v>764</v>
      </c>
      <c r="AQ246" s="300">
        <f t="shared" si="121"/>
        <v>0</v>
      </c>
      <c r="AR246" s="297">
        <f t="shared" si="122"/>
        <v>0</v>
      </c>
      <c r="AS246" s="295"/>
      <c r="AT246" s="295"/>
      <c r="AU246" s="298">
        <f>'Unit Savings Calculations'!Q242</f>
        <v>124.68584320000001</v>
      </c>
      <c r="AV246" s="405" t="str">
        <f t="shared" si="109"/>
        <v>n/a</v>
      </c>
      <c r="AW246" s="300">
        <f t="shared" si="123"/>
        <v>0</v>
      </c>
      <c r="AX246" s="297">
        <f t="shared" si="124"/>
        <v>0</v>
      </c>
      <c r="AY246" s="300">
        <f t="shared" si="110"/>
        <v>0</v>
      </c>
      <c r="AZ246" s="300">
        <f t="shared" si="111"/>
        <v>0</v>
      </c>
      <c r="BA246" s="300">
        <f t="shared" si="112"/>
        <v>0</v>
      </c>
      <c r="BB246" s="300">
        <f t="shared" si="113"/>
        <v>0</v>
      </c>
      <c r="BC246" s="301">
        <f t="shared" si="114"/>
        <v>0</v>
      </c>
      <c r="BD246" s="295" t="s">
        <v>764</v>
      </c>
      <c r="BE246" s="302" t="str">
        <f t="shared" si="115"/>
        <v>Exhibit 1.5A_R North Shore EEPS_Adjustable_Savings_Goal_Template.xlsx, Thermostat Detail Tab</v>
      </c>
      <c r="BF246" s="304"/>
    </row>
    <row r="247" spans="1:58" ht="15.75" customHeight="1">
      <c r="A247" s="295" t="str">
        <f>'Unit Savings Calculations'!C243</f>
        <v>Bus - SB Rebates -PTA</v>
      </c>
      <c r="B247" s="295" t="str">
        <f>'Unit Savings Calculations'!D243</f>
        <v>Water Heater - Storage 88% TE ≥75MBh</v>
      </c>
      <c r="C247" s="296">
        <f t="shared" si="125"/>
        <v>1</v>
      </c>
      <c r="D247" s="295" t="str">
        <f>'Unit Savings Calculations'!T243</f>
        <v>4.3.1</v>
      </c>
      <c r="E247" s="460">
        <f>INDEX('Unit Savings Calculations'!$H$4:$H$421,MATCH('Measure-Level Adjustments Tab'!$A247&amp;"_"&amp;'Measure-Level Adjustments Tab'!$B247,'Unit Savings Calculations'!$A$4:$A$421,0))</f>
        <v>15</v>
      </c>
      <c r="F247" s="460">
        <f>INDEX('Unit Savings Calculations'!$I$4:$I$421,MATCH('Measure-Level Adjustments Tab'!A247&amp;"_"&amp;'Measure-Level Adjustments Tab'!B247,'Unit Savings Calculations'!$A$4:$A$421,0))</f>
        <v>15</v>
      </c>
      <c r="G247" s="295" t="str">
        <f>'Unit Savings Calculations'!E243</f>
        <v>each</v>
      </c>
      <c r="H247" s="297">
        <f>'Unit Savings Calculations'!$F243*'Unit Savings Calculations'!J243</f>
        <v>0</v>
      </c>
      <c r="I247" s="297">
        <f>'Unit Savings Calculations'!$F243*'Unit Savings Calculations'!K243</f>
        <v>0</v>
      </c>
      <c r="J247" s="297">
        <f>'Unit Savings Calculations'!$F243*'Unit Savings Calculations'!L243</f>
        <v>0</v>
      </c>
      <c r="K247" s="297">
        <f>'Unit Savings Calculations'!$F243*'Unit Savings Calculations'!M243</f>
        <v>0</v>
      </c>
      <c r="L247" s="295" t="str">
        <f>'Unit Savings Calculations'!U243</f>
        <v>CI-HW-STWH-V03-180101</v>
      </c>
      <c r="M247" s="405" t="str">
        <f>'Unit Savings Calculations'!R243</f>
        <v>Exhibit 1.5A_R North Shore EEPS_Adjustable_Savings_Goal_Template.xlsx, Unit Savings Calculations Tab</v>
      </c>
      <c r="N247" s="298">
        <v>135.66827090062347</v>
      </c>
      <c r="O247" s="298">
        <v>135.66827090062347</v>
      </c>
      <c r="P247" s="298">
        <v>135.66827090062347</v>
      </c>
      <c r="Q247" s="298">
        <v>135.66827090062347</v>
      </c>
      <c r="R247" s="299">
        <f>'Unit Savings Calculations'!$G243</f>
        <v>0.92</v>
      </c>
      <c r="S247" s="299">
        <f>'Unit Savings Calculations'!$G243</f>
        <v>0.92</v>
      </c>
      <c r="T247" s="299">
        <f>'Unit Savings Calculations'!$G243</f>
        <v>0.92</v>
      </c>
      <c r="U247" s="299">
        <f>'Unit Savings Calculations'!$G243</f>
        <v>0.92</v>
      </c>
      <c r="V247" s="300">
        <f t="shared" si="126"/>
        <v>0</v>
      </c>
      <c r="W247" s="300">
        <f t="shared" si="127"/>
        <v>0</v>
      </c>
      <c r="X247" s="300">
        <f t="shared" si="128"/>
        <v>0</v>
      </c>
      <c r="Y247" s="300">
        <f t="shared" si="129"/>
        <v>0</v>
      </c>
      <c r="Z247" s="300">
        <f t="shared" si="130"/>
        <v>0</v>
      </c>
      <c r="AA247" s="295"/>
      <c r="AB247" s="295"/>
      <c r="AC247" s="298">
        <f>'Unit Savings Calculations'!N243</f>
        <v>1514.573584976577</v>
      </c>
      <c r="AD247" s="295"/>
      <c r="AE247" s="300">
        <f t="shared" si="116"/>
        <v>0</v>
      </c>
      <c r="AF247" s="297">
        <f t="shared" si="117"/>
        <v>0</v>
      </c>
      <c r="AG247" s="295"/>
      <c r="AH247" s="295">
        <f t="shared" si="118"/>
        <v>0</v>
      </c>
      <c r="AI247" s="298">
        <f>'Unit Savings Calculations'!O243</f>
        <v>1514.573584976577</v>
      </c>
      <c r="AJ247" s="405" t="s">
        <v>895</v>
      </c>
      <c r="AK247" s="300">
        <f t="shared" si="119"/>
        <v>0</v>
      </c>
      <c r="AL247" s="297">
        <f t="shared" si="120"/>
        <v>0</v>
      </c>
      <c r="AM247" s="295"/>
      <c r="AN247" s="295"/>
      <c r="AO247" s="298">
        <f>'Unit Savings Calculations'!P243</f>
        <v>1514.573584976577</v>
      </c>
      <c r="AP247" s="405" t="s">
        <v>764</v>
      </c>
      <c r="AQ247" s="300">
        <f t="shared" si="121"/>
        <v>0</v>
      </c>
      <c r="AR247" s="297">
        <f t="shared" si="122"/>
        <v>0</v>
      </c>
      <c r="AS247" s="295"/>
      <c r="AT247" s="295"/>
      <c r="AU247" s="298">
        <f>'Unit Savings Calculations'!Q243</f>
        <v>1514.573584976577</v>
      </c>
      <c r="AV247" s="405" t="str">
        <f t="shared" si="109"/>
        <v>n/a</v>
      </c>
      <c r="AW247" s="300">
        <f t="shared" si="123"/>
        <v>0</v>
      </c>
      <c r="AX247" s="297">
        <f t="shared" si="124"/>
        <v>0</v>
      </c>
      <c r="AY247" s="300">
        <f t="shared" si="110"/>
        <v>0</v>
      </c>
      <c r="AZ247" s="300">
        <f t="shared" si="111"/>
        <v>0</v>
      </c>
      <c r="BA247" s="300">
        <f t="shared" si="112"/>
        <v>0</v>
      </c>
      <c r="BB247" s="300">
        <f t="shared" si="113"/>
        <v>0</v>
      </c>
      <c r="BC247" s="301">
        <f t="shared" si="114"/>
        <v>0</v>
      </c>
      <c r="BD247" s="295" t="s">
        <v>764</v>
      </c>
      <c r="BE247" s="302" t="str">
        <f t="shared" si="115"/>
        <v>Exhibit 1.5A_R North Shore EEPS_Adjustable_Savings_Goal_Template.xlsx, Unit Savings Calculations Tab</v>
      </c>
      <c r="BF247" s="304"/>
    </row>
    <row r="248" spans="1:58" ht="15.75" customHeight="1">
      <c r="A248" s="295" t="str">
        <f>'Unit Savings Calculations'!C244</f>
        <v>Bus - SB Rebates -PTA</v>
      </c>
      <c r="B248" s="295" t="str">
        <f>'Unit Savings Calculations'!D244</f>
        <v>Water Heater 88% TE - Laundromat</v>
      </c>
      <c r="C248" s="296">
        <f t="shared" si="125"/>
        <v>0</v>
      </c>
      <c r="D248" s="295" t="str">
        <f>'Unit Savings Calculations'!T244</f>
        <v>Custom</v>
      </c>
      <c r="E248" s="460">
        <f>INDEX('Unit Savings Calculations'!$H$4:$H$421,MATCH('Measure-Level Adjustments Tab'!$A248&amp;"_"&amp;'Measure-Level Adjustments Tab'!$B248,'Unit Savings Calculations'!$A$4:$A$421,0))</f>
        <v>15</v>
      </c>
      <c r="F248" s="460">
        <f>INDEX('Unit Savings Calculations'!$I$4:$I$421,MATCH('Measure-Level Adjustments Tab'!A248&amp;"_"&amp;'Measure-Level Adjustments Tab'!B248,'Unit Savings Calculations'!$A$4:$A$421,0))</f>
        <v>15</v>
      </c>
      <c r="G248" s="295" t="str">
        <f>'Unit Savings Calculations'!E244</f>
        <v>MBH</v>
      </c>
      <c r="H248" s="297">
        <f>'Unit Savings Calculations'!$F244*'Unit Savings Calculations'!J244</f>
        <v>0</v>
      </c>
      <c r="I248" s="297">
        <f>'Unit Savings Calculations'!$F244*'Unit Savings Calculations'!K244</f>
        <v>0</v>
      </c>
      <c r="J248" s="297">
        <f>'Unit Savings Calculations'!$F244*'Unit Savings Calculations'!L244</f>
        <v>0</v>
      </c>
      <c r="K248" s="297">
        <f>'Unit Savings Calculations'!$F244*'Unit Savings Calculations'!M244</f>
        <v>0</v>
      </c>
      <c r="L248" s="295" t="str">
        <f>'Unit Savings Calculations'!U244</f>
        <v>Custom</v>
      </c>
      <c r="M248" s="405" t="str">
        <f>'Unit Savings Calculations'!R244</f>
        <v>Exhibit 1.5A_R North Shore EEPS_Adjustable_Savings_Goal_Template.xlsx, Laundromat Broiler Tab</v>
      </c>
      <c r="N248" s="298">
        <v>1.0567132867132856</v>
      </c>
      <c r="O248" s="298">
        <v>1.0567132867132856</v>
      </c>
      <c r="P248" s="298">
        <v>1.0567132867132856</v>
      </c>
      <c r="Q248" s="298">
        <v>1.0567132867132856</v>
      </c>
      <c r="R248" s="299">
        <f>'Unit Savings Calculations'!$G244</f>
        <v>0.92</v>
      </c>
      <c r="S248" s="299">
        <f>'Unit Savings Calculations'!$G244</f>
        <v>0.92</v>
      </c>
      <c r="T248" s="299">
        <f>'Unit Savings Calculations'!$G244</f>
        <v>0.92</v>
      </c>
      <c r="U248" s="299">
        <f>'Unit Savings Calculations'!$G244</f>
        <v>0.92</v>
      </c>
      <c r="V248" s="300">
        <f t="shared" si="126"/>
        <v>0</v>
      </c>
      <c r="W248" s="300">
        <f t="shared" si="127"/>
        <v>0</v>
      </c>
      <c r="X248" s="300">
        <f t="shared" si="128"/>
        <v>0</v>
      </c>
      <c r="Y248" s="300">
        <f t="shared" si="129"/>
        <v>0</v>
      </c>
      <c r="Z248" s="300">
        <f t="shared" si="130"/>
        <v>0</v>
      </c>
      <c r="AA248" s="406"/>
      <c r="AB248" s="406"/>
      <c r="AC248" s="409">
        <f>'Unit Savings Calculations'!N244</f>
        <v>1.0567132867132856</v>
      </c>
      <c r="AD248" s="406"/>
      <c r="AE248" s="407">
        <f t="shared" si="116"/>
        <v>0</v>
      </c>
      <c r="AF248" s="408">
        <f t="shared" si="117"/>
        <v>0</v>
      </c>
      <c r="AG248" s="406"/>
      <c r="AH248" s="406">
        <f t="shared" si="118"/>
        <v>0</v>
      </c>
      <c r="AI248" s="409">
        <f>'Unit Savings Calculations'!O244</f>
        <v>1.0567132867132856</v>
      </c>
      <c r="AJ248" s="457" t="s">
        <v>879</v>
      </c>
      <c r="AK248" s="407">
        <f t="shared" si="119"/>
        <v>0</v>
      </c>
      <c r="AL248" s="408">
        <f t="shared" si="120"/>
        <v>0</v>
      </c>
      <c r="AM248" s="406"/>
      <c r="AN248" s="406"/>
      <c r="AO248" s="409">
        <f>'Unit Savings Calculations'!P244</f>
        <v>1.0567132867132856</v>
      </c>
      <c r="AP248" s="457" t="s">
        <v>764</v>
      </c>
      <c r="AQ248" s="407">
        <f t="shared" si="121"/>
        <v>0</v>
      </c>
      <c r="AR248" s="408">
        <f t="shared" si="122"/>
        <v>0</v>
      </c>
      <c r="AS248" s="406"/>
      <c r="AT248" s="406"/>
      <c r="AU248" s="409">
        <f>'Unit Savings Calculations'!Q244</f>
        <v>1.0567132867132856</v>
      </c>
      <c r="AV248" s="457" t="str">
        <f t="shared" si="109"/>
        <v>n/a</v>
      </c>
      <c r="AW248" s="407">
        <f t="shared" si="123"/>
        <v>0</v>
      </c>
      <c r="AX248" s="408">
        <f t="shared" si="124"/>
        <v>0</v>
      </c>
      <c r="AY248" s="300">
        <f t="shared" si="110"/>
        <v>0</v>
      </c>
      <c r="AZ248" s="300">
        <f t="shared" si="111"/>
        <v>0</v>
      </c>
      <c r="BA248" s="300">
        <f t="shared" si="112"/>
        <v>0</v>
      </c>
      <c r="BB248" s="300">
        <f t="shared" si="113"/>
        <v>0</v>
      </c>
      <c r="BC248" s="301">
        <f t="shared" si="114"/>
        <v>0</v>
      </c>
      <c r="BD248" s="295" t="s">
        <v>764</v>
      </c>
      <c r="BE248" s="302" t="str">
        <f t="shared" si="115"/>
        <v>Exhibit 1.5A_R North Shore EEPS_Adjustable_Savings_Goal_Template.xlsx, Laundromat Broiler Tab</v>
      </c>
      <c r="BF248" s="304"/>
    </row>
    <row r="249" spans="1:58" ht="15.75" customHeight="1">
      <c r="A249" s="295" t="str">
        <f>'Unit Savings Calculations'!C245</f>
        <v>Bus - SB Rebates -PTA</v>
      </c>
      <c r="B249" s="295" t="str">
        <f>'Unit Savings Calculations'!D245</f>
        <v>Water Heater 95% TE - Laundromat</v>
      </c>
      <c r="C249" s="296">
        <f t="shared" si="125"/>
        <v>0</v>
      </c>
      <c r="D249" s="295" t="str">
        <f>'Unit Savings Calculations'!T245</f>
        <v>Custom</v>
      </c>
      <c r="E249" s="460">
        <f>INDEX('Unit Savings Calculations'!$H$4:$H$421,MATCH('Measure-Level Adjustments Tab'!$A249&amp;"_"&amp;'Measure-Level Adjustments Tab'!$B249,'Unit Savings Calculations'!$A$4:$A$421,0))</f>
        <v>15</v>
      </c>
      <c r="F249" s="460">
        <f>INDEX('Unit Savings Calculations'!$I$4:$I$421,MATCH('Measure-Level Adjustments Tab'!A249&amp;"_"&amp;'Measure-Level Adjustments Tab'!B249,'Unit Savings Calculations'!$A$4:$A$421,0))</f>
        <v>15</v>
      </c>
      <c r="G249" s="295" t="str">
        <f>'Unit Savings Calculations'!E245</f>
        <v>MBH</v>
      </c>
      <c r="H249" s="297">
        <f>'Unit Savings Calculations'!$F245*'Unit Savings Calculations'!J245</f>
        <v>0</v>
      </c>
      <c r="I249" s="297">
        <f>'Unit Savings Calculations'!$F245*'Unit Savings Calculations'!K245</f>
        <v>0</v>
      </c>
      <c r="J249" s="297">
        <f>'Unit Savings Calculations'!$F245*'Unit Savings Calculations'!L245</f>
        <v>0</v>
      </c>
      <c r="K249" s="297">
        <f>'Unit Savings Calculations'!$F245*'Unit Savings Calculations'!M245</f>
        <v>0</v>
      </c>
      <c r="L249" s="295" t="str">
        <f>'Unit Savings Calculations'!U245</f>
        <v>Custom</v>
      </c>
      <c r="M249" s="405" t="str">
        <f>'Unit Savings Calculations'!R245</f>
        <v>Exhibit 1.5A_R North Shore EEPS_Adjustable_Savings_Goal_Template.xlsx, Laundromat Broiler Tab</v>
      </c>
      <c r="N249" s="298">
        <v>1.8353441295546562</v>
      </c>
      <c r="O249" s="298">
        <v>1.8353441295546562</v>
      </c>
      <c r="P249" s="298">
        <v>1.8353441295546562</v>
      </c>
      <c r="Q249" s="298">
        <v>1.8353441295546562</v>
      </c>
      <c r="R249" s="299">
        <f>'Unit Savings Calculations'!$G245</f>
        <v>0.92</v>
      </c>
      <c r="S249" s="299">
        <f>'Unit Savings Calculations'!$G245</f>
        <v>0.92</v>
      </c>
      <c r="T249" s="299">
        <f>'Unit Savings Calculations'!$G245</f>
        <v>0.92</v>
      </c>
      <c r="U249" s="299">
        <f>'Unit Savings Calculations'!$G245</f>
        <v>0.92</v>
      </c>
      <c r="V249" s="300">
        <f t="shared" si="126"/>
        <v>0</v>
      </c>
      <c r="W249" s="300">
        <f t="shared" si="127"/>
        <v>0</v>
      </c>
      <c r="X249" s="300">
        <f t="shared" si="128"/>
        <v>0</v>
      </c>
      <c r="Y249" s="300">
        <f t="shared" si="129"/>
        <v>0</v>
      </c>
      <c r="Z249" s="300">
        <f t="shared" si="130"/>
        <v>0</v>
      </c>
      <c r="AA249" s="406"/>
      <c r="AB249" s="406"/>
      <c r="AC249" s="409">
        <f>'Unit Savings Calculations'!N245</f>
        <v>1.8353441295546562</v>
      </c>
      <c r="AD249" s="406"/>
      <c r="AE249" s="407">
        <f t="shared" si="116"/>
        <v>0</v>
      </c>
      <c r="AF249" s="408">
        <f t="shared" si="117"/>
        <v>0</v>
      </c>
      <c r="AG249" s="406"/>
      <c r="AH249" s="406">
        <f t="shared" si="118"/>
        <v>0</v>
      </c>
      <c r="AI249" s="409">
        <f>'Unit Savings Calculations'!O245</f>
        <v>1.8353441295546562</v>
      </c>
      <c r="AJ249" s="457" t="s">
        <v>879</v>
      </c>
      <c r="AK249" s="407">
        <f t="shared" si="119"/>
        <v>0</v>
      </c>
      <c r="AL249" s="408">
        <f t="shared" si="120"/>
        <v>0</v>
      </c>
      <c r="AM249" s="406"/>
      <c r="AN249" s="406"/>
      <c r="AO249" s="409">
        <f>'Unit Savings Calculations'!P245</f>
        <v>1.8353441295546562</v>
      </c>
      <c r="AP249" s="457" t="s">
        <v>764</v>
      </c>
      <c r="AQ249" s="407">
        <f t="shared" si="121"/>
        <v>0</v>
      </c>
      <c r="AR249" s="408">
        <f t="shared" si="122"/>
        <v>0</v>
      </c>
      <c r="AS249" s="406"/>
      <c r="AT249" s="406"/>
      <c r="AU249" s="409">
        <f>'Unit Savings Calculations'!Q245</f>
        <v>1.8353441295546562</v>
      </c>
      <c r="AV249" s="457" t="str">
        <f t="shared" si="109"/>
        <v>n/a</v>
      </c>
      <c r="AW249" s="407">
        <f t="shared" si="123"/>
        <v>0</v>
      </c>
      <c r="AX249" s="408">
        <f t="shared" si="124"/>
        <v>0</v>
      </c>
      <c r="AY249" s="300">
        <f t="shared" si="110"/>
        <v>0</v>
      </c>
      <c r="AZ249" s="300">
        <f t="shared" si="111"/>
        <v>0</v>
      </c>
      <c r="BA249" s="300">
        <f t="shared" si="112"/>
        <v>0</v>
      </c>
      <c r="BB249" s="300">
        <f t="shared" si="113"/>
        <v>0</v>
      </c>
      <c r="BC249" s="301">
        <f t="shared" si="114"/>
        <v>0</v>
      </c>
      <c r="BD249" s="295" t="s">
        <v>764</v>
      </c>
      <c r="BE249" s="302" t="str">
        <f t="shared" si="115"/>
        <v>Exhibit 1.5A_R North Shore EEPS_Adjustable_Savings_Goal_Template.xlsx, Laundromat Broiler Tab</v>
      </c>
      <c r="BF249" s="304"/>
    </row>
    <row r="250" spans="1:58" ht="15.75" customHeight="1">
      <c r="A250" s="295" t="str">
        <f>'Unit Savings Calculations'!C246</f>
        <v>Bus - CI Rebates</v>
      </c>
      <c r="B250" s="295" t="str">
        <f>'Unit Savings Calculations'!D246</f>
        <v>Boiler ≥88% AFUE, &lt;300MBh</v>
      </c>
      <c r="C250" s="296">
        <f t="shared" si="125"/>
        <v>1</v>
      </c>
      <c r="D250" s="295" t="str">
        <f>'Unit Savings Calculations'!T246</f>
        <v>4.4.10</v>
      </c>
      <c r="E250" s="460">
        <f>INDEX('Unit Savings Calculations'!$H$4:$H$421,MATCH('Measure-Level Adjustments Tab'!$A250&amp;"_"&amp;'Measure-Level Adjustments Tab'!$B250,'Unit Savings Calculations'!$A$4:$A$421,0))</f>
        <v>20</v>
      </c>
      <c r="F250" s="460">
        <f>INDEX('Unit Savings Calculations'!$I$4:$I$421,MATCH('Measure-Level Adjustments Tab'!A250&amp;"_"&amp;'Measure-Level Adjustments Tab'!B250,'Unit Savings Calculations'!$A$4:$A$421,0))</f>
        <v>20</v>
      </c>
      <c r="G250" s="295" t="str">
        <f>'Unit Savings Calculations'!E246</f>
        <v>MBH</v>
      </c>
      <c r="H250" s="297">
        <f>'Unit Savings Calculations'!$F246*'Unit Savings Calculations'!J246</f>
        <v>600</v>
      </c>
      <c r="I250" s="297">
        <f>'Unit Savings Calculations'!$F246*'Unit Savings Calculations'!K246</f>
        <v>600</v>
      </c>
      <c r="J250" s="297">
        <f>'Unit Savings Calculations'!$F246*'Unit Savings Calculations'!L246</f>
        <v>600</v>
      </c>
      <c r="K250" s="297">
        <f>'Unit Savings Calculations'!$F246*'Unit Savings Calculations'!M246</f>
        <v>600</v>
      </c>
      <c r="L250" s="295" t="str">
        <f>'Unit Savings Calculations'!U246</f>
        <v>CI-HVC-BOIL-V05-150601</v>
      </c>
      <c r="M250" s="405" t="str">
        <f>'Unit Savings Calculations'!R246</f>
        <v>Exhibit 1.5A_R North Shore EEPS_Adjustable_Savings_Goal_Template.xlsx, Unit Savings Calculations Tab</v>
      </c>
      <c r="N250" s="298">
        <v>1.126097560975611</v>
      </c>
      <c r="O250" s="298">
        <v>1.126097560975611</v>
      </c>
      <c r="P250" s="298">
        <v>1.126097560975611</v>
      </c>
      <c r="Q250" s="298">
        <v>1.126097560975611</v>
      </c>
      <c r="R250" s="299">
        <f>'Unit Savings Calculations'!$G246</f>
        <v>0.79</v>
      </c>
      <c r="S250" s="299">
        <f>'Unit Savings Calculations'!$G246</f>
        <v>0.79</v>
      </c>
      <c r="T250" s="299">
        <f>'Unit Savings Calculations'!$G246</f>
        <v>0.79</v>
      </c>
      <c r="U250" s="299">
        <f>'Unit Savings Calculations'!$G246</f>
        <v>0.79</v>
      </c>
      <c r="V250" s="300">
        <f t="shared" si="126"/>
        <v>533.77024390243969</v>
      </c>
      <c r="W250" s="300">
        <f t="shared" si="127"/>
        <v>533.77024390243969</v>
      </c>
      <c r="X250" s="300">
        <f t="shared" si="128"/>
        <v>533.77024390243969</v>
      </c>
      <c r="Y250" s="300">
        <f t="shared" si="129"/>
        <v>533.77024390243969</v>
      </c>
      <c r="Z250" s="300">
        <f t="shared" si="130"/>
        <v>2135.0809756097588</v>
      </c>
      <c r="AA250" s="295"/>
      <c r="AB250" s="295"/>
      <c r="AC250" s="298">
        <f>'Unit Savings Calculations'!N246</f>
        <v>1.2278048780487816</v>
      </c>
      <c r="AD250" s="295"/>
      <c r="AE250" s="300">
        <f t="shared" si="116"/>
        <v>581.97951219512242</v>
      </c>
      <c r="AF250" s="297">
        <f t="shared" si="117"/>
        <v>48.209268292682737</v>
      </c>
      <c r="AG250" s="295"/>
      <c r="AH250" s="295">
        <f t="shared" si="118"/>
        <v>0</v>
      </c>
      <c r="AI250" s="298">
        <f>'Unit Savings Calculations'!O246</f>
        <v>1.2278048780487816</v>
      </c>
      <c r="AJ250" s="405" t="s">
        <v>879</v>
      </c>
      <c r="AK250" s="300">
        <f t="shared" si="119"/>
        <v>581.97951219512242</v>
      </c>
      <c r="AL250" s="297">
        <f t="shared" si="120"/>
        <v>48.209268292682737</v>
      </c>
      <c r="AM250" s="295"/>
      <c r="AN250" s="295"/>
      <c r="AO250" s="298">
        <f>'Unit Savings Calculations'!P246</f>
        <v>1.2278048780487816</v>
      </c>
      <c r="AP250" s="405" t="s">
        <v>1443</v>
      </c>
      <c r="AQ250" s="300">
        <f t="shared" si="121"/>
        <v>581.97951219512242</v>
      </c>
      <c r="AR250" s="297">
        <f t="shared" si="122"/>
        <v>48.209268292682737</v>
      </c>
      <c r="AS250" s="295"/>
      <c r="AT250" s="295"/>
      <c r="AU250" s="298">
        <f>'Unit Savings Calculations'!Q246</f>
        <v>1.2278048780487816</v>
      </c>
      <c r="AV250" s="405" t="str">
        <f t="shared" si="109"/>
        <v>Updated heating EFLH</v>
      </c>
      <c r="AW250" s="300">
        <f t="shared" si="123"/>
        <v>581.97951219512242</v>
      </c>
      <c r="AX250" s="297">
        <f t="shared" si="124"/>
        <v>48.209268292682737</v>
      </c>
      <c r="AY250" s="300">
        <f t="shared" si="110"/>
        <v>581.97951219512242</v>
      </c>
      <c r="AZ250" s="300">
        <f t="shared" si="111"/>
        <v>581.97951219512242</v>
      </c>
      <c r="BA250" s="300">
        <f t="shared" si="112"/>
        <v>581.97951219512242</v>
      </c>
      <c r="BB250" s="300">
        <f t="shared" si="113"/>
        <v>581.97951219512242</v>
      </c>
      <c r="BC250" s="301">
        <f t="shared" si="114"/>
        <v>2327.9180487804897</v>
      </c>
      <c r="BD250" s="295" t="s">
        <v>764</v>
      </c>
      <c r="BE250" s="302" t="str">
        <f t="shared" si="115"/>
        <v>Exhibit 1.5A_R North Shore EEPS_Adjustable_Savings_Goal_Template.xlsx, Unit Savings Calculations Tab</v>
      </c>
      <c r="BF250" s="304"/>
    </row>
    <row r="251" spans="1:58" ht="15.75" customHeight="1">
      <c r="A251" s="295" t="str">
        <f>'Unit Savings Calculations'!C247</f>
        <v>Bus - CI Rebates</v>
      </c>
      <c r="B251" s="295" t="str">
        <f>'Unit Savings Calculations'!D247</f>
        <v>Boiler ≥88% AFUE, ≥300MBh TE</v>
      </c>
      <c r="C251" s="296">
        <f t="shared" si="125"/>
        <v>1</v>
      </c>
      <c r="D251" s="295" t="str">
        <f>'Unit Savings Calculations'!T247</f>
        <v>4.4.10</v>
      </c>
      <c r="E251" s="460">
        <f>INDEX('Unit Savings Calculations'!$H$4:$H$421,MATCH('Measure-Level Adjustments Tab'!$A251&amp;"_"&amp;'Measure-Level Adjustments Tab'!$B251,'Unit Savings Calculations'!$A$4:$A$421,0))</f>
        <v>20</v>
      </c>
      <c r="F251" s="460">
        <f>INDEX('Unit Savings Calculations'!$I$4:$I$421,MATCH('Measure-Level Adjustments Tab'!A251&amp;"_"&amp;'Measure-Level Adjustments Tab'!B251,'Unit Savings Calculations'!$A$4:$A$421,0))</f>
        <v>20</v>
      </c>
      <c r="G251" s="295" t="str">
        <f>'Unit Savings Calculations'!E247</f>
        <v>MBH</v>
      </c>
      <c r="H251" s="297">
        <f>'Unit Savings Calculations'!$F247*'Unit Savings Calculations'!J247</f>
        <v>2000</v>
      </c>
      <c r="I251" s="297">
        <f>'Unit Savings Calculations'!$F247*'Unit Savings Calculations'!K247</f>
        <v>2000</v>
      </c>
      <c r="J251" s="297">
        <f>'Unit Savings Calculations'!$F247*'Unit Savings Calculations'!L247</f>
        <v>2000</v>
      </c>
      <c r="K251" s="297">
        <f>'Unit Savings Calculations'!$F247*'Unit Savings Calculations'!M247</f>
        <v>2000</v>
      </c>
      <c r="L251" s="295" t="str">
        <f>'Unit Savings Calculations'!U247</f>
        <v>CI-HVC-BOIL-V05-150601</v>
      </c>
      <c r="M251" s="405" t="str">
        <f>'Unit Savings Calculations'!R247</f>
        <v>Exhibit 1.5A_R North Shore EEPS_Adjustable_Savings_Goal_Template.xlsx, Unit Savings Calculations Tab</v>
      </c>
      <c r="N251" s="298">
        <v>1.5389999999999993</v>
      </c>
      <c r="O251" s="298">
        <v>1.5389999999999993</v>
      </c>
      <c r="P251" s="298">
        <v>1.5389999999999993</v>
      </c>
      <c r="Q251" s="298">
        <v>1.5389999999999993</v>
      </c>
      <c r="R251" s="299">
        <f>'Unit Savings Calculations'!$G247</f>
        <v>0.79</v>
      </c>
      <c r="S251" s="299">
        <f>'Unit Savings Calculations'!$G247</f>
        <v>0.79</v>
      </c>
      <c r="T251" s="299">
        <f>'Unit Savings Calculations'!$G247</f>
        <v>0.79</v>
      </c>
      <c r="U251" s="299">
        <f>'Unit Savings Calculations'!$G247</f>
        <v>0.79</v>
      </c>
      <c r="V251" s="300">
        <f t="shared" si="126"/>
        <v>2431.619999999999</v>
      </c>
      <c r="W251" s="300">
        <f t="shared" si="127"/>
        <v>2431.619999999999</v>
      </c>
      <c r="X251" s="300">
        <f t="shared" si="128"/>
        <v>2431.619999999999</v>
      </c>
      <c r="Y251" s="300">
        <f t="shared" si="129"/>
        <v>2431.619999999999</v>
      </c>
      <c r="Z251" s="300">
        <f t="shared" si="130"/>
        <v>9726.4799999999959</v>
      </c>
      <c r="AA251" s="295"/>
      <c r="AB251" s="295"/>
      <c r="AC251" s="298">
        <f>'Unit Savings Calculations'!N247</f>
        <v>1.6779999999999993</v>
      </c>
      <c r="AD251" s="295"/>
      <c r="AE251" s="300">
        <f t="shared" si="116"/>
        <v>2651.2399999999989</v>
      </c>
      <c r="AF251" s="297">
        <f t="shared" si="117"/>
        <v>219.61999999999989</v>
      </c>
      <c r="AG251" s="295"/>
      <c r="AH251" s="295">
        <f t="shared" si="118"/>
        <v>0</v>
      </c>
      <c r="AI251" s="298">
        <f>'Unit Savings Calculations'!O247</f>
        <v>1.6779999999999993</v>
      </c>
      <c r="AJ251" s="405" t="s">
        <v>879</v>
      </c>
      <c r="AK251" s="300">
        <f t="shared" si="119"/>
        <v>2651.2399999999989</v>
      </c>
      <c r="AL251" s="297">
        <f t="shared" si="120"/>
        <v>219.61999999999989</v>
      </c>
      <c r="AM251" s="295"/>
      <c r="AN251" s="295"/>
      <c r="AO251" s="298">
        <f>'Unit Savings Calculations'!P247</f>
        <v>1.6779999999999993</v>
      </c>
      <c r="AP251" s="405" t="s">
        <v>1443</v>
      </c>
      <c r="AQ251" s="300">
        <f t="shared" si="121"/>
        <v>2651.2399999999989</v>
      </c>
      <c r="AR251" s="297">
        <f t="shared" si="122"/>
        <v>219.61999999999989</v>
      </c>
      <c r="AS251" s="295"/>
      <c r="AT251" s="295"/>
      <c r="AU251" s="298">
        <f>'Unit Savings Calculations'!Q247</f>
        <v>1.6779999999999993</v>
      </c>
      <c r="AV251" s="405" t="str">
        <f t="shared" si="109"/>
        <v>Updated heating EFLH</v>
      </c>
      <c r="AW251" s="300">
        <f t="shared" si="123"/>
        <v>2651.2399999999989</v>
      </c>
      <c r="AX251" s="297">
        <f t="shared" si="124"/>
        <v>219.61999999999989</v>
      </c>
      <c r="AY251" s="300">
        <f t="shared" si="110"/>
        <v>2651.2399999999989</v>
      </c>
      <c r="AZ251" s="300">
        <f t="shared" si="111"/>
        <v>2651.2399999999989</v>
      </c>
      <c r="BA251" s="300">
        <f t="shared" si="112"/>
        <v>2651.2399999999989</v>
      </c>
      <c r="BB251" s="300">
        <f t="shared" si="113"/>
        <v>2651.2399999999989</v>
      </c>
      <c r="BC251" s="301">
        <f t="shared" si="114"/>
        <v>10604.959999999995</v>
      </c>
      <c r="BD251" s="295" t="s">
        <v>764</v>
      </c>
      <c r="BE251" s="302" t="str">
        <f t="shared" si="115"/>
        <v>Exhibit 1.5A_R North Shore EEPS_Adjustable_Savings_Goal_Template.xlsx, Unit Savings Calculations Tab</v>
      </c>
      <c r="BF251" s="304"/>
    </row>
    <row r="252" spans="1:58" ht="15.75" customHeight="1">
      <c r="A252" s="295" t="str">
        <f>'Unit Savings Calculations'!C248</f>
        <v>Bus - CI Rebates</v>
      </c>
      <c r="B252" s="295" t="str">
        <f>'Unit Savings Calculations'!D248</f>
        <v>Boiler Reset Controls</v>
      </c>
      <c r="C252" s="296">
        <f t="shared" si="125"/>
        <v>1</v>
      </c>
      <c r="D252" s="295" t="str">
        <f>'Unit Savings Calculations'!T248</f>
        <v>4.4.4</v>
      </c>
      <c r="E252" s="460">
        <f>INDEX('Unit Savings Calculations'!$H$4:$H$421,MATCH('Measure-Level Adjustments Tab'!$A252&amp;"_"&amp;'Measure-Level Adjustments Tab'!$B252,'Unit Savings Calculations'!$A$4:$A$421,0))</f>
        <v>20</v>
      </c>
      <c r="F252" s="460">
        <f>INDEX('Unit Savings Calculations'!$I$4:$I$421,MATCH('Measure-Level Adjustments Tab'!A252&amp;"_"&amp;'Measure-Level Adjustments Tab'!B252,'Unit Savings Calculations'!$A$4:$A$421,0))</f>
        <v>20</v>
      </c>
      <c r="G252" s="295" t="str">
        <f>'Unit Savings Calculations'!E248</f>
        <v>each</v>
      </c>
      <c r="H252" s="297">
        <f>'Unit Savings Calculations'!$F248*'Unit Savings Calculations'!J248</f>
        <v>2400</v>
      </c>
      <c r="I252" s="297">
        <f>'Unit Savings Calculations'!$F248*'Unit Savings Calculations'!K248</f>
        <v>2400</v>
      </c>
      <c r="J252" s="297">
        <f>'Unit Savings Calculations'!$F248*'Unit Savings Calculations'!L248</f>
        <v>2400</v>
      </c>
      <c r="K252" s="297">
        <f>'Unit Savings Calculations'!$F248*'Unit Savings Calculations'!M248</f>
        <v>2400</v>
      </c>
      <c r="L252" s="295" t="str">
        <f>'Unit Savings Calculations'!U248</f>
        <v>CI-HVC-BLRC-V03-150601</v>
      </c>
      <c r="M252" s="405" t="str">
        <f>'Unit Savings Calculations'!R248</f>
        <v>Exhibit 1.5A_R North Shore EEPS_Adjustable_Savings_Goal_Template.xlsx, Unit Savings Calculations Tab</v>
      </c>
      <c r="N252" s="298">
        <v>1.2312000000000001</v>
      </c>
      <c r="O252" s="298">
        <v>1.2312000000000001</v>
      </c>
      <c r="P252" s="298">
        <v>1.2312000000000001</v>
      </c>
      <c r="Q252" s="298">
        <v>1.2312000000000001</v>
      </c>
      <c r="R252" s="299">
        <f>'Unit Savings Calculations'!$G248</f>
        <v>0.79</v>
      </c>
      <c r="S252" s="299">
        <f>'Unit Savings Calculations'!$G248</f>
        <v>0.79</v>
      </c>
      <c r="T252" s="299">
        <f>'Unit Savings Calculations'!$G248</f>
        <v>0.79</v>
      </c>
      <c r="U252" s="299">
        <f>'Unit Savings Calculations'!$G248</f>
        <v>0.79</v>
      </c>
      <c r="V252" s="300">
        <f t="shared" si="126"/>
        <v>2334.3552</v>
      </c>
      <c r="W252" s="300">
        <f t="shared" si="127"/>
        <v>2334.3552</v>
      </c>
      <c r="X252" s="300">
        <f t="shared" si="128"/>
        <v>2334.3552</v>
      </c>
      <c r="Y252" s="300">
        <f t="shared" si="129"/>
        <v>2334.3552</v>
      </c>
      <c r="Z252" s="300">
        <f t="shared" si="130"/>
        <v>9337.4207999999999</v>
      </c>
      <c r="AA252" s="295"/>
      <c r="AB252" s="295"/>
      <c r="AC252" s="298">
        <f>'Unit Savings Calculations'!N248</f>
        <v>1.3424</v>
      </c>
      <c r="AD252" s="295"/>
      <c r="AE252" s="300">
        <f t="shared" si="116"/>
        <v>2545.1904000000004</v>
      </c>
      <c r="AF252" s="297">
        <f t="shared" si="117"/>
        <v>210.83520000000044</v>
      </c>
      <c r="AG252" s="295"/>
      <c r="AH252" s="295">
        <f t="shared" si="118"/>
        <v>0</v>
      </c>
      <c r="AI252" s="298">
        <f>'Unit Savings Calculations'!O248</f>
        <v>1.3424</v>
      </c>
      <c r="AJ252" s="405" t="s">
        <v>879</v>
      </c>
      <c r="AK252" s="300">
        <f t="shared" si="119"/>
        <v>2545.1904000000004</v>
      </c>
      <c r="AL252" s="297">
        <f t="shared" si="120"/>
        <v>210.83520000000044</v>
      </c>
      <c r="AM252" s="295"/>
      <c r="AN252" s="295"/>
      <c r="AO252" s="298">
        <f>'Unit Savings Calculations'!P248</f>
        <v>1.3424</v>
      </c>
      <c r="AP252" s="405" t="s">
        <v>1443</v>
      </c>
      <c r="AQ252" s="300">
        <f t="shared" si="121"/>
        <v>2545.1904000000004</v>
      </c>
      <c r="AR252" s="297">
        <f t="shared" si="122"/>
        <v>210.83520000000044</v>
      </c>
      <c r="AS252" s="295"/>
      <c r="AT252" s="295"/>
      <c r="AU252" s="298">
        <f>'Unit Savings Calculations'!Q248</f>
        <v>1.3424</v>
      </c>
      <c r="AV252" s="405" t="str">
        <f t="shared" si="109"/>
        <v>Updated heating EFLH</v>
      </c>
      <c r="AW252" s="300">
        <f t="shared" si="123"/>
        <v>2545.1904000000004</v>
      </c>
      <c r="AX252" s="297">
        <f t="shared" si="124"/>
        <v>210.83520000000044</v>
      </c>
      <c r="AY252" s="300">
        <f t="shared" si="110"/>
        <v>2545.1904000000004</v>
      </c>
      <c r="AZ252" s="300">
        <f t="shared" si="111"/>
        <v>2545.1904000000004</v>
      </c>
      <c r="BA252" s="300">
        <f t="shared" si="112"/>
        <v>2545.1904000000004</v>
      </c>
      <c r="BB252" s="300">
        <f t="shared" si="113"/>
        <v>2545.1904000000004</v>
      </c>
      <c r="BC252" s="301">
        <f t="shared" si="114"/>
        <v>10180.761600000002</v>
      </c>
      <c r="BD252" s="295" t="s">
        <v>764</v>
      </c>
      <c r="BE252" s="302" t="str">
        <f t="shared" si="115"/>
        <v>Exhibit 1.5A_R North Shore EEPS_Adjustable_Savings_Goal_Template.xlsx, Unit Savings Calculations Tab</v>
      </c>
      <c r="BF252" s="304"/>
    </row>
    <row r="253" spans="1:58" ht="15.75" customHeight="1">
      <c r="A253" s="295" t="str">
        <f>'Unit Savings Calculations'!C249</f>
        <v>Bus - CI Rebates</v>
      </c>
      <c r="B253" s="295" t="str">
        <f>'Unit Savings Calculations'!D249</f>
        <v>Boiler Tune Up - Process</v>
      </c>
      <c r="C253" s="296">
        <f t="shared" si="125"/>
        <v>1</v>
      </c>
      <c r="D253" s="295" t="str">
        <f>'Unit Savings Calculations'!T249</f>
        <v>4.4.3</v>
      </c>
      <c r="E253" s="460">
        <f>INDEX('Unit Savings Calculations'!$H$4:$H$421,MATCH('Measure-Level Adjustments Tab'!$A253&amp;"_"&amp;'Measure-Level Adjustments Tab'!$B253,'Unit Savings Calculations'!$A$4:$A$421,0))</f>
        <v>3</v>
      </c>
      <c r="F253" s="460">
        <f>INDEX('Unit Savings Calculations'!$I$4:$I$421,MATCH('Measure-Level Adjustments Tab'!A253&amp;"_"&amp;'Measure-Level Adjustments Tab'!B253,'Unit Savings Calculations'!$A$4:$A$421,0))</f>
        <v>3</v>
      </c>
      <c r="G253" s="295" t="str">
        <f>'Unit Savings Calculations'!E249</f>
        <v>MBH</v>
      </c>
      <c r="H253" s="297">
        <f>'Unit Savings Calculations'!$F249*'Unit Savings Calculations'!J249</f>
        <v>45000</v>
      </c>
      <c r="I253" s="297">
        <f>'Unit Savings Calculations'!$F249*'Unit Savings Calculations'!K249</f>
        <v>45000</v>
      </c>
      <c r="J253" s="297">
        <f>'Unit Savings Calculations'!$F249*'Unit Savings Calculations'!L249</f>
        <v>45000</v>
      </c>
      <c r="K253" s="297">
        <f>'Unit Savings Calculations'!$F249*'Unit Savings Calculations'!M249</f>
        <v>45000</v>
      </c>
      <c r="L253" s="295" t="str">
        <f>'Unit Savings Calculations'!U249</f>
        <v>CI-HVC-PBTU-V05-160601</v>
      </c>
      <c r="M253" s="405" t="str">
        <f>'Unit Savings Calculations'!R249</f>
        <v>Exhibit 1.5A_R North Shore EEPS_Adjustable_Savings_Goal_Template.xlsx, Unit Savings Calculations Tab</v>
      </c>
      <c r="N253" s="298">
        <v>0.83823507428978783</v>
      </c>
      <c r="O253" s="298">
        <v>0.83823507428978783</v>
      </c>
      <c r="P253" s="298">
        <v>0.83823507428978783</v>
      </c>
      <c r="Q253" s="298">
        <v>0.83823507428978783</v>
      </c>
      <c r="R253" s="299">
        <f>'Unit Savings Calculations'!$G249</f>
        <v>0.79</v>
      </c>
      <c r="S253" s="299">
        <f>'Unit Savings Calculations'!$G249</f>
        <v>0.79</v>
      </c>
      <c r="T253" s="299">
        <f>'Unit Savings Calculations'!$G249</f>
        <v>0.79</v>
      </c>
      <c r="U253" s="299">
        <f>'Unit Savings Calculations'!$G249</f>
        <v>0.79</v>
      </c>
      <c r="V253" s="300">
        <f t="shared" si="126"/>
        <v>29799.256891001962</v>
      </c>
      <c r="W253" s="300">
        <f t="shared" si="127"/>
        <v>29799.256891001962</v>
      </c>
      <c r="X253" s="300">
        <f t="shared" si="128"/>
        <v>29799.256891001962</v>
      </c>
      <c r="Y253" s="300">
        <f t="shared" si="129"/>
        <v>29799.256891001962</v>
      </c>
      <c r="Z253" s="300">
        <f t="shared" si="130"/>
        <v>119197.02756400785</v>
      </c>
      <c r="AA253" s="295"/>
      <c r="AB253" s="295"/>
      <c r="AC253" s="298">
        <f>'Unit Savings Calculations'!N249</f>
        <v>0.83823507428978783</v>
      </c>
      <c r="AD253" s="295"/>
      <c r="AE253" s="300">
        <f t="shared" si="116"/>
        <v>29799.256891001962</v>
      </c>
      <c r="AF253" s="297">
        <f t="shared" si="117"/>
        <v>0</v>
      </c>
      <c r="AG253" s="295"/>
      <c r="AH253" s="295">
        <f t="shared" si="118"/>
        <v>0</v>
      </c>
      <c r="AI253" s="298">
        <f>'Unit Savings Calculations'!O249</f>
        <v>0.83823507428978783</v>
      </c>
      <c r="AJ253" s="405" t="s">
        <v>879</v>
      </c>
      <c r="AK253" s="300">
        <f t="shared" si="119"/>
        <v>29799.256891001962</v>
      </c>
      <c r="AL253" s="297">
        <f t="shared" si="120"/>
        <v>0</v>
      </c>
      <c r="AM253" s="295"/>
      <c r="AN253" s="295"/>
      <c r="AO253" s="298">
        <f>'Unit Savings Calculations'!P249</f>
        <v>0.83823507428978783</v>
      </c>
      <c r="AP253" s="405" t="s">
        <v>764</v>
      </c>
      <c r="AQ253" s="300">
        <f t="shared" si="121"/>
        <v>29799.256891001962</v>
      </c>
      <c r="AR253" s="297">
        <f t="shared" si="122"/>
        <v>0</v>
      </c>
      <c r="AS253" s="295"/>
      <c r="AT253" s="295"/>
      <c r="AU253" s="298">
        <f>'Unit Savings Calculations'!Q249</f>
        <v>0.83823507428978783</v>
      </c>
      <c r="AV253" s="405" t="str">
        <f t="shared" si="109"/>
        <v>n/a</v>
      </c>
      <c r="AW253" s="300">
        <f t="shared" si="123"/>
        <v>29799.256891001962</v>
      </c>
      <c r="AX253" s="297">
        <f t="shared" si="124"/>
        <v>0</v>
      </c>
      <c r="AY253" s="300">
        <f t="shared" si="110"/>
        <v>29799.256891001962</v>
      </c>
      <c r="AZ253" s="300">
        <f t="shared" si="111"/>
        <v>29799.256891001962</v>
      </c>
      <c r="BA253" s="300">
        <f t="shared" si="112"/>
        <v>29799.256891001962</v>
      </c>
      <c r="BB253" s="300">
        <f t="shared" si="113"/>
        <v>29799.256891001962</v>
      </c>
      <c r="BC253" s="301">
        <f t="shared" si="114"/>
        <v>119197.02756400785</v>
      </c>
      <c r="BD253" s="295" t="s">
        <v>764</v>
      </c>
      <c r="BE253" s="302" t="str">
        <f t="shared" si="115"/>
        <v>Exhibit 1.5A_R North Shore EEPS_Adjustable_Savings_Goal_Template.xlsx, Unit Savings Calculations Tab</v>
      </c>
      <c r="BF253" s="304"/>
    </row>
    <row r="254" spans="1:58" ht="15.75" customHeight="1">
      <c r="A254" s="295" t="str">
        <f>'Unit Savings Calculations'!C250</f>
        <v>Bus - CI Rebates</v>
      </c>
      <c r="B254" s="295" t="str">
        <f>'Unit Savings Calculations'!D250</f>
        <v>Boiler Tune Up - Space Heating</v>
      </c>
      <c r="C254" s="296">
        <f t="shared" si="125"/>
        <v>1</v>
      </c>
      <c r="D254" s="295" t="str">
        <f>'Unit Savings Calculations'!T250</f>
        <v>4.4.2</v>
      </c>
      <c r="E254" s="460">
        <f>INDEX('Unit Savings Calculations'!$H$4:$H$421,MATCH('Measure-Level Adjustments Tab'!$A254&amp;"_"&amp;'Measure-Level Adjustments Tab'!$B254,'Unit Savings Calculations'!$A$4:$A$421,0))</f>
        <v>3</v>
      </c>
      <c r="F254" s="460">
        <f>INDEX('Unit Savings Calculations'!$I$4:$I$421,MATCH('Measure-Level Adjustments Tab'!A254&amp;"_"&amp;'Measure-Level Adjustments Tab'!B254,'Unit Savings Calculations'!$A$4:$A$421,0))</f>
        <v>3</v>
      </c>
      <c r="G254" s="295" t="str">
        <f>'Unit Savings Calculations'!E250</f>
        <v>MBH</v>
      </c>
      <c r="H254" s="297">
        <f>'Unit Savings Calculations'!$F250*'Unit Savings Calculations'!J250</f>
        <v>5000</v>
      </c>
      <c r="I254" s="297">
        <f>'Unit Savings Calculations'!$F250*'Unit Savings Calculations'!K250</f>
        <v>5000</v>
      </c>
      <c r="J254" s="297">
        <f>'Unit Savings Calculations'!$F250*'Unit Savings Calculations'!L250</f>
        <v>5000</v>
      </c>
      <c r="K254" s="297">
        <f>'Unit Savings Calculations'!$F250*'Unit Savings Calculations'!M250</f>
        <v>5000</v>
      </c>
      <c r="L254" s="295" t="str">
        <f>'Unit Savings Calculations'!U250</f>
        <v>CI-HVC-BLRT-V06-160601</v>
      </c>
      <c r="M254" s="405" t="str">
        <f>'Unit Savings Calculations'!R250</f>
        <v>Exhibit 1.5A_R North Shore EEPS_Adjustable_Savings_Goal_Template.xlsx, Unit Savings Calculations Tab</v>
      </c>
      <c r="N254" s="298">
        <v>0.35943072618902666</v>
      </c>
      <c r="O254" s="298">
        <v>0.35943072618902666</v>
      </c>
      <c r="P254" s="298">
        <v>0.35943072618902666</v>
      </c>
      <c r="Q254" s="298">
        <v>0.35943072618902666</v>
      </c>
      <c r="R254" s="299">
        <f>'Unit Savings Calculations'!$G250</f>
        <v>0.79</v>
      </c>
      <c r="S254" s="299">
        <f>'Unit Savings Calculations'!$G250</f>
        <v>0.79</v>
      </c>
      <c r="T254" s="299">
        <f>'Unit Savings Calculations'!$G250</f>
        <v>0.79</v>
      </c>
      <c r="U254" s="299">
        <f>'Unit Savings Calculations'!$G250</f>
        <v>0.79</v>
      </c>
      <c r="V254" s="300">
        <f t="shared" si="126"/>
        <v>1419.7513684466553</v>
      </c>
      <c r="W254" s="300">
        <f t="shared" si="127"/>
        <v>1419.7513684466553</v>
      </c>
      <c r="X254" s="300">
        <f t="shared" si="128"/>
        <v>1419.7513684466553</v>
      </c>
      <c r="Y254" s="300">
        <f t="shared" si="129"/>
        <v>1419.7513684466553</v>
      </c>
      <c r="Z254" s="300">
        <f t="shared" si="130"/>
        <v>5679.0054737866212</v>
      </c>
      <c r="AA254" s="295"/>
      <c r="AB254" s="295"/>
      <c r="AC254" s="298">
        <f>'Unit Savings Calculations'!N250</f>
        <v>0.3918939301788088</v>
      </c>
      <c r="AD254" s="295"/>
      <c r="AE254" s="300">
        <f t="shared" si="116"/>
        <v>1547.9810242062947</v>
      </c>
      <c r="AF254" s="297">
        <f t="shared" si="117"/>
        <v>128.2296557596394</v>
      </c>
      <c r="AG254" s="295"/>
      <c r="AH254" s="295">
        <f t="shared" si="118"/>
        <v>0</v>
      </c>
      <c r="AI254" s="298">
        <f>'Unit Savings Calculations'!O250</f>
        <v>0.3918939301788088</v>
      </c>
      <c r="AJ254" s="405" t="s">
        <v>879</v>
      </c>
      <c r="AK254" s="300">
        <f t="shared" si="119"/>
        <v>1547.9810242062947</v>
      </c>
      <c r="AL254" s="297">
        <f t="shared" si="120"/>
        <v>128.2296557596394</v>
      </c>
      <c r="AM254" s="295"/>
      <c r="AN254" s="295"/>
      <c r="AO254" s="298">
        <f>'Unit Savings Calculations'!P250</f>
        <v>0.3918939301788088</v>
      </c>
      <c r="AP254" s="405" t="s">
        <v>1443</v>
      </c>
      <c r="AQ254" s="300">
        <f t="shared" si="121"/>
        <v>1547.9810242062947</v>
      </c>
      <c r="AR254" s="297">
        <f t="shared" si="122"/>
        <v>128.2296557596394</v>
      </c>
      <c r="AS254" s="295"/>
      <c r="AT254" s="295"/>
      <c r="AU254" s="298">
        <f>'Unit Savings Calculations'!Q250</f>
        <v>0.3918939301788088</v>
      </c>
      <c r="AV254" s="405" t="str">
        <f t="shared" si="109"/>
        <v>Updated heating EFLH</v>
      </c>
      <c r="AW254" s="300">
        <f t="shared" si="123"/>
        <v>1547.9810242062947</v>
      </c>
      <c r="AX254" s="297">
        <f t="shared" si="124"/>
        <v>128.2296557596394</v>
      </c>
      <c r="AY254" s="300">
        <f t="shared" si="110"/>
        <v>1547.9810242062947</v>
      </c>
      <c r="AZ254" s="300">
        <f t="shared" si="111"/>
        <v>1547.9810242062947</v>
      </c>
      <c r="BA254" s="300">
        <f t="shared" si="112"/>
        <v>1547.9810242062947</v>
      </c>
      <c r="BB254" s="300">
        <f t="shared" si="113"/>
        <v>1547.9810242062947</v>
      </c>
      <c r="BC254" s="301">
        <f t="shared" si="114"/>
        <v>6191.9240968251788</v>
      </c>
      <c r="BD254" s="295" t="s">
        <v>764</v>
      </c>
      <c r="BE254" s="302" t="str">
        <f t="shared" si="115"/>
        <v>Exhibit 1.5A_R North Shore EEPS_Adjustable_Savings_Goal_Template.xlsx, Unit Savings Calculations Tab</v>
      </c>
      <c r="BF254" s="304"/>
    </row>
    <row r="255" spans="1:58" ht="15.75" customHeight="1">
      <c r="A255" s="295" t="str">
        <f>'Unit Savings Calculations'!C251</f>
        <v>Bus - CI Rebates</v>
      </c>
      <c r="B255" s="295" t="str">
        <f>'Unit Savings Calculations'!D251</f>
        <v>Condensing Unit Heater</v>
      </c>
      <c r="C255" s="296">
        <f t="shared" si="125"/>
        <v>1</v>
      </c>
      <c r="D255" s="295" t="str">
        <f>'Unit Savings Calculations'!T251</f>
        <v>4.4.5</v>
      </c>
      <c r="E255" s="460">
        <f>INDEX('Unit Savings Calculations'!$H$4:$H$421,MATCH('Measure-Level Adjustments Tab'!$A255&amp;"_"&amp;'Measure-Level Adjustments Tab'!$B255,'Unit Savings Calculations'!$A$4:$A$421,0))</f>
        <v>12</v>
      </c>
      <c r="F255" s="460">
        <f>INDEX('Unit Savings Calculations'!$I$4:$I$421,MATCH('Measure-Level Adjustments Tab'!A255&amp;"_"&amp;'Measure-Level Adjustments Tab'!B255,'Unit Savings Calculations'!$A$4:$A$421,0))</f>
        <v>12</v>
      </c>
      <c r="G255" s="295" t="str">
        <f>'Unit Savings Calculations'!E251</f>
        <v>MBH</v>
      </c>
      <c r="H255" s="297">
        <f>'Unit Savings Calculations'!$F251*'Unit Savings Calculations'!J251</f>
        <v>0</v>
      </c>
      <c r="I255" s="297">
        <f>'Unit Savings Calculations'!$F251*'Unit Savings Calculations'!K251</f>
        <v>0</v>
      </c>
      <c r="J255" s="297">
        <f>'Unit Savings Calculations'!$F251*'Unit Savings Calculations'!L251</f>
        <v>0</v>
      </c>
      <c r="K255" s="297">
        <f>'Unit Savings Calculations'!$F251*'Unit Savings Calculations'!M251</f>
        <v>0</v>
      </c>
      <c r="L255" s="295" t="str">
        <f>'Unit Savings Calculations'!U251</f>
        <v>CI-HVC-CUHT-V01-120601</v>
      </c>
      <c r="M255" s="405" t="str">
        <f>'Unit Savings Calculations'!R251</f>
        <v>Exhibit 1.5A_R North Shore EEPS_Adjustable_Savings_Goal_Template.xlsx, Unit Savings Calculations Tab</v>
      </c>
      <c r="N255" s="298">
        <v>1.7733333333333334</v>
      </c>
      <c r="O255" s="298">
        <v>1.7733333333333334</v>
      </c>
      <c r="P255" s="298">
        <v>1.7733333333333334</v>
      </c>
      <c r="Q255" s="298">
        <v>1.7733333333333334</v>
      </c>
      <c r="R255" s="299">
        <f>'Unit Savings Calculations'!$G251</f>
        <v>0.79</v>
      </c>
      <c r="S255" s="299">
        <f>'Unit Savings Calculations'!$G251</f>
        <v>0.79</v>
      </c>
      <c r="T255" s="299">
        <f>'Unit Savings Calculations'!$G251</f>
        <v>0.79</v>
      </c>
      <c r="U255" s="299">
        <f>'Unit Savings Calculations'!$G251</f>
        <v>0.79</v>
      </c>
      <c r="V255" s="300">
        <f t="shared" si="126"/>
        <v>0</v>
      </c>
      <c r="W255" s="300">
        <f t="shared" si="127"/>
        <v>0</v>
      </c>
      <c r="X255" s="300">
        <f t="shared" si="128"/>
        <v>0</v>
      </c>
      <c r="Y255" s="300">
        <f t="shared" si="129"/>
        <v>0</v>
      </c>
      <c r="Z255" s="300">
        <f t="shared" si="130"/>
        <v>0</v>
      </c>
      <c r="AA255" s="295"/>
      <c r="AB255" s="295"/>
      <c r="AC255" s="298">
        <f>'Unit Savings Calculations'!N251</f>
        <v>1.7733333333333334</v>
      </c>
      <c r="AD255" s="295"/>
      <c r="AE255" s="300">
        <f t="shared" si="116"/>
        <v>0</v>
      </c>
      <c r="AF255" s="297">
        <f t="shared" si="117"/>
        <v>0</v>
      </c>
      <c r="AG255" s="295"/>
      <c r="AH255" s="295">
        <f t="shared" si="118"/>
        <v>0</v>
      </c>
      <c r="AI255" s="298">
        <f>'Unit Savings Calculations'!O251</f>
        <v>1.7733333333333334</v>
      </c>
      <c r="AJ255" s="405" t="s">
        <v>879</v>
      </c>
      <c r="AK255" s="300">
        <f t="shared" si="119"/>
        <v>0</v>
      </c>
      <c r="AL255" s="297">
        <f t="shared" si="120"/>
        <v>0</v>
      </c>
      <c r="AM255" s="295"/>
      <c r="AN255" s="295"/>
      <c r="AO255" s="298">
        <f>'Unit Savings Calculations'!P251</f>
        <v>1.7733333333333334</v>
      </c>
      <c r="AP255" s="405" t="s">
        <v>764</v>
      </c>
      <c r="AQ255" s="300">
        <f t="shared" si="121"/>
        <v>0</v>
      </c>
      <c r="AR255" s="297">
        <f t="shared" si="122"/>
        <v>0</v>
      </c>
      <c r="AS255" s="295"/>
      <c r="AT255" s="295"/>
      <c r="AU255" s="298">
        <f>'Unit Savings Calculations'!Q251</f>
        <v>1.7733333333333334</v>
      </c>
      <c r="AV255" s="405" t="str">
        <f t="shared" si="109"/>
        <v>n/a</v>
      </c>
      <c r="AW255" s="300">
        <f t="shared" si="123"/>
        <v>0</v>
      </c>
      <c r="AX255" s="297">
        <f t="shared" si="124"/>
        <v>0</v>
      </c>
      <c r="AY255" s="300">
        <f t="shared" si="110"/>
        <v>0</v>
      </c>
      <c r="AZ255" s="300">
        <f t="shared" si="111"/>
        <v>0</v>
      </c>
      <c r="BA255" s="300">
        <f t="shared" si="112"/>
        <v>0</v>
      </c>
      <c r="BB255" s="300">
        <f t="shared" si="113"/>
        <v>0</v>
      </c>
      <c r="BC255" s="301">
        <f t="shared" si="114"/>
        <v>0</v>
      </c>
      <c r="BD255" s="295" t="s">
        <v>764</v>
      </c>
      <c r="BE255" s="302" t="str">
        <f t="shared" si="115"/>
        <v>Exhibit 1.5A_R North Shore EEPS_Adjustable_Savings_Goal_Template.xlsx, Unit Savings Calculations Tab</v>
      </c>
      <c r="BF255" s="304"/>
    </row>
    <row r="256" spans="1:58" ht="15.75" customHeight="1">
      <c r="A256" s="295" t="str">
        <f>'Unit Savings Calculations'!C252</f>
        <v>Bus - CI Rebates</v>
      </c>
      <c r="B256" s="295" t="str">
        <f>'Unit Savings Calculations'!D252</f>
        <v>DCV - Kitchen</v>
      </c>
      <c r="C256" s="296">
        <f t="shared" si="125"/>
        <v>1</v>
      </c>
      <c r="D256" s="295" t="str">
        <f>'Unit Savings Calculations'!T252</f>
        <v>4.2.16</v>
      </c>
      <c r="E256" s="460">
        <f>INDEX('Unit Savings Calculations'!$H$4:$H$421,MATCH('Measure-Level Adjustments Tab'!$A256&amp;"_"&amp;'Measure-Level Adjustments Tab'!$B256,'Unit Savings Calculations'!$A$4:$A$421,0))</f>
        <v>15</v>
      </c>
      <c r="F256" s="460">
        <f>INDEX('Unit Savings Calculations'!$I$4:$I$421,MATCH('Measure-Level Adjustments Tab'!A256&amp;"_"&amp;'Measure-Level Adjustments Tab'!B256,'Unit Savings Calculations'!$A$4:$A$421,0))</f>
        <v>15</v>
      </c>
      <c r="G256" s="295" t="str">
        <f>'Unit Savings Calculations'!E252</f>
        <v>each</v>
      </c>
      <c r="H256" s="297">
        <f>'Unit Savings Calculations'!$F252*'Unit Savings Calculations'!J252</f>
        <v>5</v>
      </c>
      <c r="I256" s="297">
        <f>'Unit Savings Calculations'!$F252*'Unit Savings Calculations'!K252</f>
        <v>5</v>
      </c>
      <c r="J256" s="297">
        <f>'Unit Savings Calculations'!$F252*'Unit Savings Calculations'!L252</f>
        <v>5</v>
      </c>
      <c r="K256" s="297">
        <f>'Unit Savings Calculations'!$F252*'Unit Savings Calculations'!M252</f>
        <v>5</v>
      </c>
      <c r="L256" s="295" t="str">
        <f>'Unit Savings Calculations'!U252</f>
        <v>CI-FSE-VENT-V03-160601</v>
      </c>
      <c r="M256" s="405" t="str">
        <f>'Unit Savings Calculations'!R252</f>
        <v>Exhibit 1.5A_R North Shore EEPS_Adjustable_Savings_Goal_Template.xlsx, Unit Savings Calculations Tab</v>
      </c>
      <c r="N256" s="298">
        <v>5998.5</v>
      </c>
      <c r="O256" s="298">
        <v>5998.5</v>
      </c>
      <c r="P256" s="298">
        <v>5998.5</v>
      </c>
      <c r="Q256" s="298">
        <v>5998.5</v>
      </c>
      <c r="R256" s="299">
        <f>'Unit Savings Calculations'!$G252</f>
        <v>0.79</v>
      </c>
      <c r="S256" s="299">
        <f>'Unit Savings Calculations'!$G252</f>
        <v>0.79</v>
      </c>
      <c r="T256" s="299">
        <f>'Unit Savings Calculations'!$G252</f>
        <v>0.79</v>
      </c>
      <c r="U256" s="299">
        <f>'Unit Savings Calculations'!$G252</f>
        <v>0.79</v>
      </c>
      <c r="V256" s="300">
        <f t="shared" si="126"/>
        <v>23694.075000000001</v>
      </c>
      <c r="W256" s="300">
        <f t="shared" si="127"/>
        <v>23694.075000000001</v>
      </c>
      <c r="X256" s="300">
        <f t="shared" si="128"/>
        <v>23694.075000000001</v>
      </c>
      <c r="Y256" s="300">
        <f t="shared" si="129"/>
        <v>23694.075000000001</v>
      </c>
      <c r="Z256" s="300">
        <f t="shared" si="130"/>
        <v>94776.3</v>
      </c>
      <c r="AA256" s="295"/>
      <c r="AB256" s="295"/>
      <c r="AC256" s="298">
        <f>'Unit Savings Calculations'!N252</f>
        <v>5998.5</v>
      </c>
      <c r="AD256" s="295"/>
      <c r="AE256" s="300">
        <f t="shared" si="116"/>
        <v>23694.075000000001</v>
      </c>
      <c r="AF256" s="297">
        <f t="shared" si="117"/>
        <v>0</v>
      </c>
      <c r="AG256" s="295"/>
      <c r="AH256" s="295">
        <f t="shared" si="118"/>
        <v>0</v>
      </c>
      <c r="AI256" s="298">
        <f>'Unit Savings Calculations'!O252</f>
        <v>5998.5</v>
      </c>
      <c r="AJ256" s="405" t="s">
        <v>879</v>
      </c>
      <c r="AK256" s="300">
        <f t="shared" si="119"/>
        <v>23694.075000000001</v>
      </c>
      <c r="AL256" s="297">
        <f t="shared" si="120"/>
        <v>0</v>
      </c>
      <c r="AM256" s="295"/>
      <c r="AN256" s="295"/>
      <c r="AO256" s="298">
        <f>'Unit Savings Calculations'!P252</f>
        <v>5998.5</v>
      </c>
      <c r="AP256" s="405" t="s">
        <v>764</v>
      </c>
      <c r="AQ256" s="300">
        <f t="shared" si="121"/>
        <v>23694.075000000001</v>
      </c>
      <c r="AR256" s="297">
        <f t="shared" si="122"/>
        <v>0</v>
      </c>
      <c r="AS256" s="295"/>
      <c r="AT256" s="295"/>
      <c r="AU256" s="298">
        <f>'Unit Savings Calculations'!Q252</f>
        <v>5998.5</v>
      </c>
      <c r="AV256" s="405" t="str">
        <f t="shared" si="109"/>
        <v>n/a</v>
      </c>
      <c r="AW256" s="300">
        <f t="shared" si="123"/>
        <v>23694.075000000001</v>
      </c>
      <c r="AX256" s="297">
        <f t="shared" si="124"/>
        <v>0</v>
      </c>
      <c r="AY256" s="300">
        <f t="shared" si="110"/>
        <v>23694.075000000001</v>
      </c>
      <c r="AZ256" s="300">
        <f t="shared" si="111"/>
        <v>23694.075000000001</v>
      </c>
      <c r="BA256" s="300">
        <f t="shared" si="112"/>
        <v>23694.075000000001</v>
      </c>
      <c r="BB256" s="300">
        <f t="shared" si="113"/>
        <v>23694.075000000001</v>
      </c>
      <c r="BC256" s="301">
        <f t="shared" si="114"/>
        <v>94776.3</v>
      </c>
      <c r="BD256" s="295" t="s">
        <v>764</v>
      </c>
      <c r="BE256" s="302" t="str">
        <f t="shared" si="115"/>
        <v>Exhibit 1.5A_R North Shore EEPS_Adjustable_Savings_Goal_Template.xlsx, Unit Savings Calculations Tab</v>
      </c>
      <c r="BF256" s="304"/>
    </row>
    <row r="257" spans="1:58" ht="15.75" customHeight="1">
      <c r="A257" s="295" t="str">
        <f>'Unit Savings Calculations'!C253</f>
        <v>Bus - CI Rebates</v>
      </c>
      <c r="B257" s="295" t="str">
        <f>'Unit Savings Calculations'!D253</f>
        <v>Direct Fired Heaters</v>
      </c>
      <c r="C257" s="296">
        <f t="shared" si="125"/>
        <v>0</v>
      </c>
      <c r="D257" s="295" t="str">
        <f>'Unit Savings Calculations'!T253</f>
        <v>Custom</v>
      </c>
      <c r="E257" s="460">
        <f>INDEX('Unit Savings Calculations'!$H$4:$H$421,MATCH('Measure-Level Adjustments Tab'!$A257&amp;"_"&amp;'Measure-Level Adjustments Tab'!$B257,'Unit Savings Calculations'!$A$4:$A$421,0))</f>
        <v>20</v>
      </c>
      <c r="F257" s="460">
        <f>INDEX('Unit Savings Calculations'!$I$4:$I$421,MATCH('Measure-Level Adjustments Tab'!A257&amp;"_"&amp;'Measure-Level Adjustments Tab'!B257,'Unit Savings Calculations'!$A$4:$A$421,0))</f>
        <v>20</v>
      </c>
      <c r="G257" s="295" t="str">
        <f>'Unit Savings Calculations'!E253</f>
        <v>MBH</v>
      </c>
      <c r="H257" s="297">
        <f>'Unit Savings Calculations'!$F253*'Unit Savings Calculations'!J253</f>
        <v>0</v>
      </c>
      <c r="I257" s="297">
        <f>'Unit Savings Calculations'!$F253*'Unit Savings Calculations'!K253</f>
        <v>0</v>
      </c>
      <c r="J257" s="297">
        <f>'Unit Savings Calculations'!$F253*'Unit Savings Calculations'!L253</f>
        <v>0</v>
      </c>
      <c r="K257" s="297">
        <f>'Unit Savings Calculations'!$F253*'Unit Savings Calculations'!M253</f>
        <v>0</v>
      </c>
      <c r="L257" s="295" t="str">
        <f>'Unit Savings Calculations'!U253</f>
        <v>Custom</v>
      </c>
      <c r="M257" s="405" t="str">
        <f>'Unit Savings Calculations'!R253</f>
        <v>Custom</v>
      </c>
      <c r="N257" s="298">
        <v>2.3084999999999987</v>
      </c>
      <c r="O257" s="298">
        <v>2.3084999999999987</v>
      </c>
      <c r="P257" s="298">
        <v>2.3084999999999987</v>
      </c>
      <c r="Q257" s="298">
        <v>2.3084999999999987</v>
      </c>
      <c r="R257" s="299">
        <f>'Unit Savings Calculations'!$G253</f>
        <v>0.79</v>
      </c>
      <c r="S257" s="299">
        <f>'Unit Savings Calculations'!$G253</f>
        <v>0.79</v>
      </c>
      <c r="T257" s="299">
        <f>'Unit Savings Calculations'!$G253</f>
        <v>0.79</v>
      </c>
      <c r="U257" s="299">
        <f>'Unit Savings Calculations'!$G253</f>
        <v>0.79</v>
      </c>
      <c r="V257" s="300">
        <f t="shared" si="126"/>
        <v>0</v>
      </c>
      <c r="W257" s="300">
        <f t="shared" si="127"/>
        <v>0</v>
      </c>
      <c r="X257" s="300">
        <f t="shared" si="128"/>
        <v>0</v>
      </c>
      <c r="Y257" s="300">
        <f t="shared" si="129"/>
        <v>0</v>
      </c>
      <c r="Z257" s="300">
        <f t="shared" si="130"/>
        <v>0</v>
      </c>
      <c r="AA257" s="406"/>
      <c r="AB257" s="406"/>
      <c r="AC257" s="409">
        <f>'Unit Savings Calculations'!N253</f>
        <v>2.5169999999999986</v>
      </c>
      <c r="AD257" s="406"/>
      <c r="AE257" s="407">
        <f t="shared" si="116"/>
        <v>0</v>
      </c>
      <c r="AF257" s="408">
        <f t="shared" si="117"/>
        <v>0</v>
      </c>
      <c r="AG257" s="406"/>
      <c r="AH257" s="406">
        <f t="shared" si="118"/>
        <v>0</v>
      </c>
      <c r="AI257" s="409">
        <f>'Unit Savings Calculations'!O253</f>
        <v>2.5169999999999986</v>
      </c>
      <c r="AJ257" s="457" t="s">
        <v>879</v>
      </c>
      <c r="AK257" s="407">
        <f t="shared" si="119"/>
        <v>0</v>
      </c>
      <c r="AL257" s="408">
        <f t="shared" si="120"/>
        <v>0</v>
      </c>
      <c r="AM257" s="406"/>
      <c r="AN257" s="406"/>
      <c r="AO257" s="409">
        <f>'Unit Savings Calculations'!P253</f>
        <v>2.5169999999999986</v>
      </c>
      <c r="AP257" s="457" t="s">
        <v>1443</v>
      </c>
      <c r="AQ257" s="407">
        <f t="shared" si="121"/>
        <v>0</v>
      </c>
      <c r="AR257" s="408">
        <f t="shared" si="122"/>
        <v>0</v>
      </c>
      <c r="AS257" s="406"/>
      <c r="AT257" s="406"/>
      <c r="AU257" s="409">
        <f>'Unit Savings Calculations'!Q253</f>
        <v>2.5169999999999986</v>
      </c>
      <c r="AV257" s="457" t="str">
        <f t="shared" si="109"/>
        <v>Updated heating EFLH</v>
      </c>
      <c r="AW257" s="407">
        <f t="shared" si="123"/>
        <v>0</v>
      </c>
      <c r="AX257" s="408">
        <f t="shared" si="124"/>
        <v>0</v>
      </c>
      <c r="AY257" s="300">
        <f t="shared" si="110"/>
        <v>0</v>
      </c>
      <c r="AZ257" s="300">
        <f t="shared" si="111"/>
        <v>0</v>
      </c>
      <c r="BA257" s="300">
        <f t="shared" si="112"/>
        <v>0</v>
      </c>
      <c r="BB257" s="300">
        <f t="shared" si="113"/>
        <v>0</v>
      </c>
      <c r="BC257" s="301">
        <f t="shared" si="114"/>
        <v>0</v>
      </c>
      <c r="BD257" s="295" t="s">
        <v>764</v>
      </c>
      <c r="BE257" s="302" t="str">
        <f t="shared" si="115"/>
        <v>Custom</v>
      </c>
      <c r="BF257" s="304"/>
    </row>
    <row r="258" spans="1:58" ht="15.75" customHeight="1">
      <c r="A258" s="295" t="str">
        <f>'Unit Savings Calculations'!C254</f>
        <v>Bus - CI Rebates</v>
      </c>
      <c r="B258" s="295" t="str">
        <f>'Unit Savings Calculations'!D254</f>
        <v>High Speed Washer - Hotel/Motel/Hospital</v>
      </c>
      <c r="C258" s="296">
        <f t="shared" si="125"/>
        <v>1</v>
      </c>
      <c r="D258" s="295" t="str">
        <f>'Unit Savings Calculations'!T254</f>
        <v>4.8.5</v>
      </c>
      <c r="E258" s="460">
        <f>INDEX('Unit Savings Calculations'!$H$4:$H$421,MATCH('Measure-Level Adjustments Tab'!$A258&amp;"_"&amp;'Measure-Level Adjustments Tab'!$B258,'Unit Savings Calculations'!$A$4:$A$421,0))</f>
        <v>7</v>
      </c>
      <c r="F258" s="460">
        <f>INDEX('Unit Savings Calculations'!$I$4:$I$421,MATCH('Measure-Level Adjustments Tab'!A258&amp;"_"&amp;'Measure-Level Adjustments Tab'!B258,'Unit Savings Calculations'!$A$4:$A$421,0))</f>
        <v>7</v>
      </c>
      <c r="G258" s="295" t="str">
        <f>'Unit Savings Calculations'!E254</f>
        <v>lb-capacity</v>
      </c>
      <c r="H258" s="297">
        <f>'Unit Savings Calculations'!$F254*'Unit Savings Calculations'!J254</f>
        <v>500</v>
      </c>
      <c r="I258" s="297">
        <f>'Unit Savings Calculations'!$F254*'Unit Savings Calculations'!K254</f>
        <v>500</v>
      </c>
      <c r="J258" s="297">
        <f>'Unit Savings Calculations'!$F254*'Unit Savings Calculations'!L254</f>
        <v>500</v>
      </c>
      <c r="K258" s="297">
        <f>'Unit Savings Calculations'!$F254*'Unit Savings Calculations'!M254</f>
        <v>500</v>
      </c>
      <c r="L258" s="295" t="str">
        <f>'Unit Savings Calculations'!U254</f>
        <v>CI-MSC-HSCW-V01-180101</v>
      </c>
      <c r="M258" s="405" t="str">
        <f>'Unit Savings Calculations'!R254</f>
        <v>Exhibit 1.5A_R North Shore EEPS_Adjustable_Savings_Goal_Template.xlsx, Unit Savings Calculations Tab</v>
      </c>
      <c r="N258" s="298">
        <v>11.243232000000003</v>
      </c>
      <c r="O258" s="298">
        <v>11.243232000000003</v>
      </c>
      <c r="P258" s="298">
        <v>11.243232000000003</v>
      </c>
      <c r="Q258" s="298">
        <v>11.243232000000003</v>
      </c>
      <c r="R258" s="299">
        <f>'Unit Savings Calculations'!$G254</f>
        <v>0.79</v>
      </c>
      <c r="S258" s="299">
        <f>'Unit Savings Calculations'!$G254</f>
        <v>0.79</v>
      </c>
      <c r="T258" s="299">
        <f>'Unit Savings Calculations'!$G254</f>
        <v>0.79</v>
      </c>
      <c r="U258" s="299">
        <f>'Unit Savings Calculations'!$G254</f>
        <v>0.79</v>
      </c>
      <c r="V258" s="300">
        <f t="shared" si="126"/>
        <v>4441.0766400000011</v>
      </c>
      <c r="W258" s="300">
        <f t="shared" si="127"/>
        <v>4441.0766400000011</v>
      </c>
      <c r="X258" s="300">
        <f t="shared" si="128"/>
        <v>4441.0766400000011</v>
      </c>
      <c r="Y258" s="300">
        <f t="shared" si="129"/>
        <v>4441.0766400000011</v>
      </c>
      <c r="Z258" s="300">
        <f t="shared" si="130"/>
        <v>17764.306560000005</v>
      </c>
      <c r="AA258" s="295"/>
      <c r="AB258" s="295"/>
      <c r="AC258" s="298">
        <f>'Unit Savings Calculations'!N254</f>
        <v>11.243232000000003</v>
      </c>
      <c r="AD258" s="295"/>
      <c r="AE258" s="300">
        <f t="shared" si="116"/>
        <v>4441.0766400000011</v>
      </c>
      <c r="AF258" s="297">
        <f t="shared" si="117"/>
        <v>0</v>
      </c>
      <c r="AG258" s="295"/>
      <c r="AH258" s="295">
        <f t="shared" si="118"/>
        <v>0</v>
      </c>
      <c r="AI258" s="298">
        <f>'Unit Savings Calculations'!O254</f>
        <v>11.243232000000003</v>
      </c>
      <c r="AJ258" s="405" t="s">
        <v>879</v>
      </c>
      <c r="AK258" s="300">
        <f t="shared" si="119"/>
        <v>4441.0766400000011</v>
      </c>
      <c r="AL258" s="297">
        <f t="shared" si="120"/>
        <v>0</v>
      </c>
      <c r="AM258" s="295"/>
      <c r="AN258" s="295"/>
      <c r="AO258" s="298">
        <f>'Unit Savings Calculations'!P254</f>
        <v>11.243232000000003</v>
      </c>
      <c r="AP258" s="405" t="s">
        <v>764</v>
      </c>
      <c r="AQ258" s="300">
        <f t="shared" si="121"/>
        <v>4441.0766400000011</v>
      </c>
      <c r="AR258" s="297">
        <f t="shared" si="122"/>
        <v>0</v>
      </c>
      <c r="AS258" s="295"/>
      <c r="AT258" s="295"/>
      <c r="AU258" s="298">
        <f>'Unit Savings Calculations'!Q254</f>
        <v>11.243232000000003</v>
      </c>
      <c r="AV258" s="405" t="str">
        <f t="shared" si="109"/>
        <v>n/a</v>
      </c>
      <c r="AW258" s="300">
        <f t="shared" si="123"/>
        <v>4441.0766400000011</v>
      </c>
      <c r="AX258" s="297">
        <f t="shared" si="124"/>
        <v>0</v>
      </c>
      <c r="AY258" s="300">
        <f t="shared" si="110"/>
        <v>4441.0766400000011</v>
      </c>
      <c r="AZ258" s="300">
        <f t="shared" si="111"/>
        <v>4441.0766400000011</v>
      </c>
      <c r="BA258" s="300">
        <f t="shared" si="112"/>
        <v>4441.0766400000011</v>
      </c>
      <c r="BB258" s="300">
        <f t="shared" si="113"/>
        <v>4441.0766400000011</v>
      </c>
      <c r="BC258" s="301">
        <f t="shared" si="114"/>
        <v>17764.306560000005</v>
      </c>
      <c r="BD258" s="295" t="s">
        <v>764</v>
      </c>
      <c r="BE258" s="302" t="str">
        <f t="shared" si="115"/>
        <v>Exhibit 1.5A_R North Shore EEPS_Adjustable_Savings_Goal_Template.xlsx, Unit Savings Calculations Tab</v>
      </c>
      <c r="BF258" s="304"/>
    </row>
    <row r="259" spans="1:58" ht="15.75" customHeight="1">
      <c r="A259" s="295" t="str">
        <f>'Unit Savings Calculations'!C255</f>
        <v>Bus - CI Rebates</v>
      </c>
      <c r="B259" s="295" t="str">
        <f>'Unit Savings Calculations'!D255</f>
        <v>Infrared Heater</v>
      </c>
      <c r="C259" s="296">
        <f t="shared" si="125"/>
        <v>1</v>
      </c>
      <c r="D259" s="295" t="str">
        <f>'Unit Savings Calculations'!T255</f>
        <v>4.4.12</v>
      </c>
      <c r="E259" s="460">
        <f>INDEX('Unit Savings Calculations'!$H$4:$H$421,MATCH('Measure-Level Adjustments Tab'!$A259&amp;"_"&amp;'Measure-Level Adjustments Tab'!$B259,'Unit Savings Calculations'!$A$4:$A$421,0))</f>
        <v>12</v>
      </c>
      <c r="F259" s="460">
        <f>INDEX('Unit Savings Calculations'!$I$4:$I$421,MATCH('Measure-Level Adjustments Tab'!A259&amp;"_"&amp;'Measure-Level Adjustments Tab'!B259,'Unit Savings Calculations'!$A$4:$A$421,0))</f>
        <v>12</v>
      </c>
      <c r="G259" s="295" t="str">
        <f>'Unit Savings Calculations'!E255</f>
        <v>MBH</v>
      </c>
      <c r="H259" s="297">
        <f>'Unit Savings Calculations'!$F255*'Unit Savings Calculations'!J255</f>
        <v>0</v>
      </c>
      <c r="I259" s="297">
        <f>'Unit Savings Calculations'!$F255*'Unit Savings Calculations'!K255</f>
        <v>0</v>
      </c>
      <c r="J259" s="297">
        <f>'Unit Savings Calculations'!$F255*'Unit Savings Calculations'!L255</f>
        <v>0</v>
      </c>
      <c r="K259" s="297">
        <f>'Unit Savings Calculations'!$F255*'Unit Savings Calculations'!M255</f>
        <v>0</v>
      </c>
      <c r="L259" s="295" t="str">
        <f>'Unit Savings Calculations'!U255</f>
        <v>CI-HVC-IRHT-V01-120601</v>
      </c>
      <c r="M259" s="405" t="str">
        <f>'Unit Savings Calculations'!R255</f>
        <v>Exhibit 1.5A_R North Shore EEPS_Adjustable_Savings_Goal_Template.xlsx, Unit Savings Calculations Tab</v>
      </c>
      <c r="N259" s="298">
        <v>3.0066666666666668</v>
      </c>
      <c r="O259" s="298">
        <v>3.0066666666666668</v>
      </c>
      <c r="P259" s="298">
        <v>3.0066666666666668</v>
      </c>
      <c r="Q259" s="298">
        <v>3.0066666666666668</v>
      </c>
      <c r="R259" s="299">
        <f>'Unit Savings Calculations'!$G255</f>
        <v>0.79</v>
      </c>
      <c r="S259" s="299">
        <f>'Unit Savings Calculations'!$G255</f>
        <v>0.79</v>
      </c>
      <c r="T259" s="299">
        <f>'Unit Savings Calculations'!$G255</f>
        <v>0.79</v>
      </c>
      <c r="U259" s="299">
        <f>'Unit Savings Calculations'!$G255</f>
        <v>0.79</v>
      </c>
      <c r="V259" s="300">
        <f t="shared" si="126"/>
        <v>0</v>
      </c>
      <c r="W259" s="300">
        <f t="shared" si="127"/>
        <v>0</v>
      </c>
      <c r="X259" s="300">
        <f t="shared" si="128"/>
        <v>0</v>
      </c>
      <c r="Y259" s="300">
        <f t="shared" si="129"/>
        <v>0</v>
      </c>
      <c r="Z259" s="300">
        <f t="shared" si="130"/>
        <v>0</v>
      </c>
      <c r="AA259" s="295"/>
      <c r="AB259" s="295"/>
      <c r="AC259" s="298">
        <f>'Unit Savings Calculations'!N255</f>
        <v>3.0066666666666668</v>
      </c>
      <c r="AD259" s="295"/>
      <c r="AE259" s="300">
        <f t="shared" si="116"/>
        <v>0</v>
      </c>
      <c r="AF259" s="297">
        <f t="shared" si="117"/>
        <v>0</v>
      </c>
      <c r="AG259" s="295"/>
      <c r="AH259" s="295">
        <f t="shared" si="118"/>
        <v>0</v>
      </c>
      <c r="AI259" s="298">
        <f>'Unit Savings Calculations'!O255</f>
        <v>3.0066666666666668</v>
      </c>
      <c r="AJ259" s="405" t="s">
        <v>879</v>
      </c>
      <c r="AK259" s="300">
        <f t="shared" si="119"/>
        <v>0</v>
      </c>
      <c r="AL259" s="297">
        <f t="shared" si="120"/>
        <v>0</v>
      </c>
      <c r="AM259" s="295"/>
      <c r="AN259" s="295"/>
      <c r="AO259" s="298">
        <f>'Unit Savings Calculations'!P255</f>
        <v>3.0066666666666668</v>
      </c>
      <c r="AP259" s="405" t="s">
        <v>764</v>
      </c>
      <c r="AQ259" s="300">
        <f t="shared" si="121"/>
        <v>0</v>
      </c>
      <c r="AR259" s="297">
        <f t="shared" si="122"/>
        <v>0</v>
      </c>
      <c r="AS259" s="295"/>
      <c r="AT259" s="295"/>
      <c r="AU259" s="298">
        <f>'Unit Savings Calculations'!Q255</f>
        <v>3.0066666666666668</v>
      </c>
      <c r="AV259" s="405" t="str">
        <f t="shared" si="109"/>
        <v>n/a</v>
      </c>
      <c r="AW259" s="300">
        <f t="shared" si="123"/>
        <v>0</v>
      </c>
      <c r="AX259" s="297">
        <f t="shared" si="124"/>
        <v>0</v>
      </c>
      <c r="AY259" s="300">
        <f t="shared" si="110"/>
        <v>0</v>
      </c>
      <c r="AZ259" s="300">
        <f t="shared" si="111"/>
        <v>0</v>
      </c>
      <c r="BA259" s="300">
        <f t="shared" si="112"/>
        <v>0</v>
      </c>
      <c r="BB259" s="300">
        <f t="shared" si="113"/>
        <v>0</v>
      </c>
      <c r="BC259" s="301">
        <f t="shared" si="114"/>
        <v>0</v>
      </c>
      <c r="BD259" s="295" t="s">
        <v>764</v>
      </c>
      <c r="BE259" s="302" t="str">
        <f t="shared" si="115"/>
        <v>Exhibit 1.5A_R North Shore EEPS_Adjustable_Savings_Goal_Template.xlsx, Unit Savings Calculations Tab</v>
      </c>
      <c r="BF259" s="304"/>
    </row>
    <row r="260" spans="1:58" ht="15.75" customHeight="1">
      <c r="A260" s="295" t="str">
        <f>'Unit Savings Calculations'!C256</f>
        <v>Bus - CI Rebates</v>
      </c>
      <c r="B260" s="295" t="str">
        <f>'Unit Savings Calculations'!D256</f>
        <v>Modulating Commercial Gas Clothes Dryer</v>
      </c>
      <c r="C260" s="296">
        <f t="shared" si="125"/>
        <v>1</v>
      </c>
      <c r="D260" s="295" t="str">
        <f>'Unit Savings Calculations'!T256</f>
        <v>4.8.4</v>
      </c>
      <c r="E260" s="460">
        <f>INDEX('Unit Savings Calculations'!$H$4:$H$421,MATCH('Measure-Level Adjustments Tab'!$A260&amp;"_"&amp;'Measure-Level Adjustments Tab'!$B260,'Unit Savings Calculations'!$A$4:$A$421,0))</f>
        <v>14</v>
      </c>
      <c r="F260" s="460">
        <f>INDEX('Unit Savings Calculations'!$I$4:$I$421,MATCH('Measure-Level Adjustments Tab'!A260&amp;"_"&amp;'Measure-Level Adjustments Tab'!B260,'Unit Savings Calculations'!$A$4:$A$421,0))</f>
        <v>14</v>
      </c>
      <c r="G260" s="295" t="str">
        <f>'Unit Savings Calculations'!E256</f>
        <v>each</v>
      </c>
      <c r="H260" s="297">
        <f>'Unit Savings Calculations'!$F256*'Unit Savings Calculations'!J256</f>
        <v>0</v>
      </c>
      <c r="I260" s="297">
        <f>'Unit Savings Calculations'!$F256*'Unit Savings Calculations'!K256</f>
        <v>0</v>
      </c>
      <c r="J260" s="297">
        <f>'Unit Savings Calculations'!$F256*'Unit Savings Calculations'!L256</f>
        <v>0</v>
      </c>
      <c r="K260" s="297">
        <f>'Unit Savings Calculations'!$F256*'Unit Savings Calculations'!M256</f>
        <v>0</v>
      </c>
      <c r="L260" s="295" t="str">
        <f>'Unit Savings Calculations'!U256</f>
        <v>CI-MSC-MODD-V01-160601</v>
      </c>
      <c r="M260" s="405" t="str">
        <f>'Unit Savings Calculations'!R256</f>
        <v>Exhibit 1.5A_R North Shore EEPS_Adjustable_Savings_Goal_Template.xlsx, Unit Savings Calculations Tab</v>
      </c>
      <c r="N260" s="298">
        <v>266.94</v>
      </c>
      <c r="O260" s="298">
        <v>266.94</v>
      </c>
      <c r="P260" s="298">
        <v>266.94</v>
      </c>
      <c r="Q260" s="298">
        <v>266.94</v>
      </c>
      <c r="R260" s="299">
        <f>'Unit Savings Calculations'!$G256</f>
        <v>0.79</v>
      </c>
      <c r="S260" s="299">
        <f>'Unit Savings Calculations'!$G256</f>
        <v>0.79</v>
      </c>
      <c r="T260" s="299">
        <f>'Unit Savings Calculations'!$G256</f>
        <v>0.79</v>
      </c>
      <c r="U260" s="299">
        <f>'Unit Savings Calculations'!$G256</f>
        <v>0.79</v>
      </c>
      <c r="V260" s="300">
        <f t="shared" si="126"/>
        <v>0</v>
      </c>
      <c r="W260" s="300">
        <f t="shared" si="127"/>
        <v>0</v>
      </c>
      <c r="X260" s="300">
        <f t="shared" si="128"/>
        <v>0</v>
      </c>
      <c r="Y260" s="300">
        <f t="shared" si="129"/>
        <v>0</v>
      </c>
      <c r="Z260" s="300">
        <f t="shared" si="130"/>
        <v>0</v>
      </c>
      <c r="AA260" s="295"/>
      <c r="AB260" s="295"/>
      <c r="AC260" s="298">
        <f>'Unit Savings Calculations'!N256</f>
        <v>266.94</v>
      </c>
      <c r="AD260" s="295"/>
      <c r="AE260" s="300">
        <f t="shared" si="116"/>
        <v>0</v>
      </c>
      <c r="AF260" s="297">
        <f t="shared" si="117"/>
        <v>0</v>
      </c>
      <c r="AG260" s="295"/>
      <c r="AH260" s="295">
        <f t="shared" si="118"/>
        <v>0</v>
      </c>
      <c r="AI260" s="298">
        <f>'Unit Savings Calculations'!O256</f>
        <v>266.94</v>
      </c>
      <c r="AJ260" s="405" t="s">
        <v>879</v>
      </c>
      <c r="AK260" s="300">
        <f t="shared" si="119"/>
        <v>0</v>
      </c>
      <c r="AL260" s="297">
        <f t="shared" si="120"/>
        <v>0</v>
      </c>
      <c r="AM260" s="295"/>
      <c r="AN260" s="295"/>
      <c r="AO260" s="298">
        <f>'Unit Savings Calculations'!P256</f>
        <v>266.94</v>
      </c>
      <c r="AP260" s="405" t="s">
        <v>764</v>
      </c>
      <c r="AQ260" s="300">
        <f t="shared" si="121"/>
        <v>0</v>
      </c>
      <c r="AR260" s="297">
        <f t="shared" si="122"/>
        <v>0</v>
      </c>
      <c r="AS260" s="295"/>
      <c r="AT260" s="295"/>
      <c r="AU260" s="298">
        <f>'Unit Savings Calculations'!Q256</f>
        <v>266.94</v>
      </c>
      <c r="AV260" s="405" t="str">
        <f t="shared" si="109"/>
        <v>n/a</v>
      </c>
      <c r="AW260" s="300">
        <f t="shared" si="123"/>
        <v>0</v>
      </c>
      <c r="AX260" s="297">
        <f t="shared" si="124"/>
        <v>0</v>
      </c>
      <c r="AY260" s="300">
        <f t="shared" si="110"/>
        <v>0</v>
      </c>
      <c r="AZ260" s="300">
        <f t="shared" si="111"/>
        <v>0</v>
      </c>
      <c r="BA260" s="300">
        <f t="shared" si="112"/>
        <v>0</v>
      </c>
      <c r="BB260" s="300">
        <f t="shared" si="113"/>
        <v>0</v>
      </c>
      <c r="BC260" s="301">
        <f t="shared" si="114"/>
        <v>0</v>
      </c>
      <c r="BD260" s="295" t="s">
        <v>764</v>
      </c>
      <c r="BE260" s="302" t="str">
        <f t="shared" si="115"/>
        <v>Exhibit 1.5A_R North Shore EEPS_Adjustable_Savings_Goal_Template.xlsx, Unit Savings Calculations Tab</v>
      </c>
      <c r="BF260" s="304"/>
    </row>
    <row r="261" spans="1:58" ht="15.75" customHeight="1">
      <c r="A261" s="295" t="str">
        <f>'Unit Savings Calculations'!C257</f>
        <v>Bus - CI Rebates</v>
      </c>
      <c r="B261" s="295" t="str">
        <f>'Unit Savings Calculations'!D257</f>
        <v>Ozone Laundry</v>
      </c>
      <c r="C261" s="296">
        <f t="shared" si="125"/>
        <v>1</v>
      </c>
      <c r="D261" s="295" t="str">
        <f>'Unit Savings Calculations'!T257</f>
        <v>4.3.6</v>
      </c>
      <c r="E261" s="460">
        <f>INDEX('Unit Savings Calculations'!$H$4:$H$421,MATCH('Measure-Level Adjustments Tab'!$A261&amp;"_"&amp;'Measure-Level Adjustments Tab'!$B261,'Unit Savings Calculations'!$A$4:$A$421,0))</f>
        <v>10</v>
      </c>
      <c r="F261" s="460">
        <f>INDEX('Unit Savings Calculations'!$I$4:$I$421,MATCH('Measure-Level Adjustments Tab'!A261&amp;"_"&amp;'Measure-Level Adjustments Tab'!B261,'Unit Savings Calculations'!$A$4:$A$421,0))</f>
        <v>10</v>
      </c>
      <c r="G261" s="295" t="str">
        <f>'Unit Savings Calculations'!E257</f>
        <v>lb-capacity</v>
      </c>
      <c r="H261" s="297">
        <f>'Unit Savings Calculations'!$F257*'Unit Savings Calculations'!J257</f>
        <v>0</v>
      </c>
      <c r="I261" s="297">
        <f>'Unit Savings Calculations'!$F257*'Unit Savings Calculations'!K257</f>
        <v>0</v>
      </c>
      <c r="J261" s="297">
        <f>'Unit Savings Calculations'!$F257*'Unit Savings Calculations'!L257</f>
        <v>0</v>
      </c>
      <c r="K261" s="297">
        <f>'Unit Savings Calculations'!$F257*'Unit Savings Calculations'!M257</f>
        <v>0</v>
      </c>
      <c r="L261" s="295" t="str">
        <f>'Unit Savings Calculations'!U257</f>
        <v>CI-HW-OZLD-VO1-140601</v>
      </c>
      <c r="M261" s="405" t="str">
        <f>'Unit Savings Calculations'!R257</f>
        <v>Exhibit 1.5A_R North Shore EEPS_Adjustable_Savings_Goal_Template.xlsx, Unit Savings Calculations Tab</v>
      </c>
      <c r="N261" s="298">
        <v>30.722664192350027</v>
      </c>
      <c r="O261" s="298">
        <v>30.722664192350027</v>
      </c>
      <c r="P261" s="298">
        <v>30.722664192350027</v>
      </c>
      <c r="Q261" s="298">
        <v>30.722664192350027</v>
      </c>
      <c r="R261" s="299">
        <f>'Unit Savings Calculations'!$G257</f>
        <v>0.79</v>
      </c>
      <c r="S261" s="299">
        <f>'Unit Savings Calculations'!$G257</f>
        <v>0.79</v>
      </c>
      <c r="T261" s="299">
        <f>'Unit Savings Calculations'!$G257</f>
        <v>0.79</v>
      </c>
      <c r="U261" s="299">
        <f>'Unit Savings Calculations'!$G257</f>
        <v>0.79</v>
      </c>
      <c r="V261" s="300">
        <f t="shared" si="126"/>
        <v>0</v>
      </c>
      <c r="W261" s="300">
        <f t="shared" si="127"/>
        <v>0</v>
      </c>
      <c r="X261" s="300">
        <f t="shared" si="128"/>
        <v>0</v>
      </c>
      <c r="Y261" s="300">
        <f t="shared" si="129"/>
        <v>0</v>
      </c>
      <c r="Z261" s="300">
        <f t="shared" si="130"/>
        <v>0</v>
      </c>
      <c r="AA261" s="295"/>
      <c r="AB261" s="295"/>
      <c r="AC261" s="298">
        <f>'Unit Savings Calculations'!N257</f>
        <v>30.722664192350027</v>
      </c>
      <c r="AD261" s="295"/>
      <c r="AE261" s="300">
        <f t="shared" si="116"/>
        <v>0</v>
      </c>
      <c r="AF261" s="297">
        <f t="shared" si="117"/>
        <v>0</v>
      </c>
      <c r="AG261" s="295"/>
      <c r="AH261" s="295">
        <f t="shared" si="118"/>
        <v>0</v>
      </c>
      <c r="AI261" s="298">
        <f>'Unit Savings Calculations'!O257</f>
        <v>30.722664192350027</v>
      </c>
      <c r="AJ261" s="405" t="s">
        <v>879</v>
      </c>
      <c r="AK261" s="300">
        <f t="shared" si="119"/>
        <v>0</v>
      </c>
      <c r="AL261" s="297">
        <f t="shared" si="120"/>
        <v>0</v>
      </c>
      <c r="AM261" s="295"/>
      <c r="AN261" s="295"/>
      <c r="AO261" s="298">
        <f>'Unit Savings Calculations'!P257</f>
        <v>30.722664192350027</v>
      </c>
      <c r="AP261" s="405" t="s">
        <v>764</v>
      </c>
      <c r="AQ261" s="300">
        <f t="shared" si="121"/>
        <v>0</v>
      </c>
      <c r="AR261" s="297">
        <f t="shared" si="122"/>
        <v>0</v>
      </c>
      <c r="AS261" s="295"/>
      <c r="AT261" s="295"/>
      <c r="AU261" s="298">
        <f>'Unit Savings Calculations'!Q257</f>
        <v>30.722664192350027</v>
      </c>
      <c r="AV261" s="405" t="str">
        <f t="shared" si="109"/>
        <v>n/a</v>
      </c>
      <c r="AW261" s="300">
        <f t="shared" si="123"/>
        <v>0</v>
      </c>
      <c r="AX261" s="297">
        <f t="shared" si="124"/>
        <v>0</v>
      </c>
      <c r="AY261" s="300">
        <f t="shared" si="110"/>
        <v>0</v>
      </c>
      <c r="AZ261" s="300">
        <f t="shared" si="111"/>
        <v>0</v>
      </c>
      <c r="BA261" s="300">
        <f t="shared" si="112"/>
        <v>0</v>
      </c>
      <c r="BB261" s="300">
        <f t="shared" si="113"/>
        <v>0</v>
      </c>
      <c r="BC261" s="301">
        <f t="shared" si="114"/>
        <v>0</v>
      </c>
      <c r="BD261" s="295" t="s">
        <v>764</v>
      </c>
      <c r="BE261" s="302" t="str">
        <f t="shared" si="115"/>
        <v>Exhibit 1.5A_R North Shore EEPS_Adjustable_Savings_Goal_Template.xlsx, Unit Savings Calculations Tab</v>
      </c>
      <c r="BF261" s="304"/>
    </row>
    <row r="262" spans="1:58" ht="15.75" customHeight="1">
      <c r="A262" s="295" t="str">
        <f>'Unit Savings Calculations'!C258</f>
        <v>Bus - CI Rebates</v>
      </c>
      <c r="B262" s="295" t="str">
        <f>'Unit Savings Calculations'!D258</f>
        <v>Pipe Insulation - HW Small 1" to 2"</v>
      </c>
      <c r="C262" s="296">
        <f t="shared" si="125"/>
        <v>1</v>
      </c>
      <c r="D262" s="295" t="str">
        <f>'Unit Savings Calculations'!T258</f>
        <v>4.4.14</v>
      </c>
      <c r="E262" s="460">
        <f>INDEX('Unit Savings Calculations'!$H$4:$H$421,MATCH('Measure-Level Adjustments Tab'!$A262&amp;"_"&amp;'Measure-Level Adjustments Tab'!$B262,'Unit Savings Calculations'!$A$4:$A$421,0))</f>
        <v>15</v>
      </c>
      <c r="F262" s="460">
        <f>INDEX('Unit Savings Calculations'!$I$4:$I$421,MATCH('Measure-Level Adjustments Tab'!A262&amp;"_"&amp;'Measure-Level Adjustments Tab'!B262,'Unit Savings Calculations'!$A$4:$A$421,0))</f>
        <v>15</v>
      </c>
      <c r="G262" s="295" t="str">
        <f>'Unit Savings Calculations'!E258</f>
        <v>ft</v>
      </c>
      <c r="H262" s="297">
        <f>'Unit Savings Calculations'!$F258*'Unit Savings Calculations'!J258</f>
        <v>2625</v>
      </c>
      <c r="I262" s="297">
        <f>'Unit Savings Calculations'!$F258*'Unit Savings Calculations'!K258</f>
        <v>2625</v>
      </c>
      <c r="J262" s="297">
        <f>'Unit Savings Calculations'!$F258*'Unit Savings Calculations'!L258</f>
        <v>2625</v>
      </c>
      <c r="K262" s="297">
        <f>'Unit Savings Calculations'!$F258*'Unit Savings Calculations'!M258</f>
        <v>2625</v>
      </c>
      <c r="L262" s="295" t="str">
        <f>'Unit Savings Calculations'!U258</f>
        <v>CI-HVC-PINS-V04-160601</v>
      </c>
      <c r="M262" s="405" t="str">
        <f>'Unit Savings Calculations'!R258</f>
        <v>Exhibit 1.5A_R North Shore EEPS_Adjustable_Savings_Goal_Template.xlsx, Pipe Insulation Detail Tab</v>
      </c>
      <c r="N262" s="298">
        <v>2.6588140926267867</v>
      </c>
      <c r="O262" s="298">
        <v>2.6588140926267867</v>
      </c>
      <c r="P262" s="298">
        <v>2.6588140926267867</v>
      </c>
      <c r="Q262" s="298">
        <v>2.6588140926267867</v>
      </c>
      <c r="R262" s="299">
        <f>'Unit Savings Calculations'!$G258</f>
        <v>0.79</v>
      </c>
      <c r="S262" s="299">
        <f>'Unit Savings Calculations'!$G258</f>
        <v>0.79</v>
      </c>
      <c r="T262" s="299">
        <f>'Unit Savings Calculations'!$G258</f>
        <v>0.79</v>
      </c>
      <c r="U262" s="299">
        <f>'Unit Savings Calculations'!$G258</f>
        <v>0.79</v>
      </c>
      <c r="V262" s="300">
        <f t="shared" si="126"/>
        <v>5513.7157245847993</v>
      </c>
      <c r="W262" s="300">
        <f t="shared" si="127"/>
        <v>5513.7157245847993</v>
      </c>
      <c r="X262" s="300">
        <f t="shared" si="128"/>
        <v>5513.7157245847993</v>
      </c>
      <c r="Y262" s="300">
        <f t="shared" si="129"/>
        <v>5513.7157245847993</v>
      </c>
      <c r="Z262" s="300">
        <f t="shared" si="130"/>
        <v>22054.862898339197</v>
      </c>
      <c r="AA262" s="295"/>
      <c r="AB262" s="295"/>
      <c r="AC262" s="298">
        <f>'Unit Savings Calculations'!N258</f>
        <v>2.6588140926267867</v>
      </c>
      <c r="AD262" s="295"/>
      <c r="AE262" s="300">
        <f t="shared" si="116"/>
        <v>5513.7157245847993</v>
      </c>
      <c r="AF262" s="297">
        <f t="shared" si="117"/>
        <v>0</v>
      </c>
      <c r="AG262" s="295"/>
      <c r="AH262" s="295">
        <f t="shared" si="118"/>
        <v>0</v>
      </c>
      <c r="AI262" s="298">
        <f>'Unit Savings Calculations'!O258</f>
        <v>2.6588140926267867</v>
      </c>
      <c r="AJ262" s="405" t="s">
        <v>879</v>
      </c>
      <c r="AK262" s="300">
        <f t="shared" si="119"/>
        <v>5513.7157245847993</v>
      </c>
      <c r="AL262" s="297">
        <f t="shared" si="120"/>
        <v>0</v>
      </c>
      <c r="AM262" s="295"/>
      <c r="AN262" s="295"/>
      <c r="AO262" s="298">
        <f>'Unit Savings Calculations'!P258</f>
        <v>2.6588140926267867</v>
      </c>
      <c r="AP262" s="405" t="s">
        <v>764</v>
      </c>
      <c r="AQ262" s="300">
        <f t="shared" si="121"/>
        <v>5513.7157245847993</v>
      </c>
      <c r="AR262" s="297">
        <f t="shared" si="122"/>
        <v>0</v>
      </c>
      <c r="AS262" s="295"/>
      <c r="AT262" s="295"/>
      <c r="AU262" s="298">
        <f>'Unit Savings Calculations'!Q258</f>
        <v>2.6588140926267867</v>
      </c>
      <c r="AV262" s="405" t="str">
        <f t="shared" si="109"/>
        <v>n/a</v>
      </c>
      <c r="AW262" s="300">
        <f t="shared" si="123"/>
        <v>5513.7157245847993</v>
      </c>
      <c r="AX262" s="297">
        <f t="shared" si="124"/>
        <v>0</v>
      </c>
      <c r="AY262" s="300">
        <f t="shared" si="110"/>
        <v>5513.7157245847993</v>
      </c>
      <c r="AZ262" s="300">
        <f t="shared" si="111"/>
        <v>5513.7157245847993</v>
      </c>
      <c r="BA262" s="300">
        <f t="shared" si="112"/>
        <v>5513.7157245847993</v>
      </c>
      <c r="BB262" s="300">
        <f t="shared" si="113"/>
        <v>5513.7157245847993</v>
      </c>
      <c r="BC262" s="301">
        <f t="shared" si="114"/>
        <v>22054.862898339197</v>
      </c>
      <c r="BD262" s="295" t="s">
        <v>764</v>
      </c>
      <c r="BE262" s="302" t="str">
        <f t="shared" si="115"/>
        <v>Exhibit 1.5A_R North Shore EEPS_Adjustable_Savings_Goal_Template.xlsx, Pipe Insulation Detail Tab</v>
      </c>
      <c r="BF262" s="304"/>
    </row>
    <row r="263" spans="1:58" ht="15.75" customHeight="1">
      <c r="A263" s="295" t="str">
        <f>'Unit Savings Calculations'!C259</f>
        <v>Bus - CI Rebates</v>
      </c>
      <c r="B263" s="295" t="str">
        <f>'Unit Savings Calculations'!D259</f>
        <v>Pipe Insulation - HW Medium 2.1" to 4"</v>
      </c>
      <c r="C263" s="296">
        <f t="shared" si="125"/>
        <v>1</v>
      </c>
      <c r="D263" s="295" t="str">
        <f>'Unit Savings Calculations'!T259</f>
        <v>4.4.14</v>
      </c>
      <c r="E263" s="460">
        <f>INDEX('Unit Savings Calculations'!$H$4:$H$421,MATCH('Measure-Level Adjustments Tab'!$A263&amp;"_"&amp;'Measure-Level Adjustments Tab'!$B263,'Unit Savings Calculations'!$A$4:$A$421,0))</f>
        <v>15</v>
      </c>
      <c r="F263" s="460">
        <f>INDEX('Unit Savings Calculations'!$I$4:$I$421,MATCH('Measure-Level Adjustments Tab'!A263&amp;"_"&amp;'Measure-Level Adjustments Tab'!B263,'Unit Savings Calculations'!$A$4:$A$421,0))</f>
        <v>15</v>
      </c>
      <c r="G263" s="295" t="str">
        <f>'Unit Savings Calculations'!E259</f>
        <v>ft</v>
      </c>
      <c r="H263" s="297">
        <f>'Unit Savings Calculations'!$F259*'Unit Savings Calculations'!J259</f>
        <v>2625</v>
      </c>
      <c r="I263" s="297">
        <f>'Unit Savings Calculations'!$F259*'Unit Savings Calculations'!K259</f>
        <v>2625</v>
      </c>
      <c r="J263" s="297">
        <f>'Unit Savings Calculations'!$F259*'Unit Savings Calculations'!L259</f>
        <v>2625</v>
      </c>
      <c r="K263" s="297">
        <f>'Unit Savings Calculations'!$F259*'Unit Savings Calculations'!M259</f>
        <v>2625</v>
      </c>
      <c r="L263" s="295" t="str">
        <f>'Unit Savings Calculations'!U259</f>
        <v>CI-HVC-PINS-V04-160601</v>
      </c>
      <c r="M263" s="405" t="str">
        <f>'Unit Savings Calculations'!R259</f>
        <v>Exhibit 1.5A_R North Shore EEPS_Adjustable_Savings_Goal_Template.xlsx, Pipe Insulation Detail Tab</v>
      </c>
      <c r="N263" s="298">
        <v>5.2492031493764015</v>
      </c>
      <c r="O263" s="298">
        <v>5.2492031493764015</v>
      </c>
      <c r="P263" s="298">
        <v>5.2492031493764015</v>
      </c>
      <c r="Q263" s="298">
        <v>5.2492031493764015</v>
      </c>
      <c r="R263" s="299">
        <f>'Unit Savings Calculations'!$G259</f>
        <v>0.79</v>
      </c>
      <c r="S263" s="299">
        <f>'Unit Savings Calculations'!$G259</f>
        <v>0.79</v>
      </c>
      <c r="T263" s="299">
        <f>'Unit Savings Calculations'!$G259</f>
        <v>0.79</v>
      </c>
      <c r="U263" s="299">
        <f>'Unit Savings Calculations'!$G259</f>
        <v>0.79</v>
      </c>
      <c r="V263" s="300">
        <f t="shared" si="126"/>
        <v>10885.535031019313</v>
      </c>
      <c r="W263" s="300">
        <f t="shared" si="127"/>
        <v>10885.535031019313</v>
      </c>
      <c r="X263" s="300">
        <f t="shared" si="128"/>
        <v>10885.535031019313</v>
      </c>
      <c r="Y263" s="300">
        <f t="shared" si="129"/>
        <v>10885.535031019313</v>
      </c>
      <c r="Z263" s="300">
        <f t="shared" si="130"/>
        <v>43542.140124077254</v>
      </c>
      <c r="AA263" s="295"/>
      <c r="AB263" s="295"/>
      <c r="AC263" s="298">
        <f>'Unit Savings Calculations'!N259</f>
        <v>5.2492031493764015</v>
      </c>
      <c r="AD263" s="295"/>
      <c r="AE263" s="300">
        <f t="shared" si="116"/>
        <v>10885.535031019313</v>
      </c>
      <c r="AF263" s="297">
        <f t="shared" si="117"/>
        <v>0</v>
      </c>
      <c r="AG263" s="295"/>
      <c r="AH263" s="295">
        <f t="shared" si="118"/>
        <v>0</v>
      </c>
      <c r="AI263" s="298">
        <f>'Unit Savings Calculations'!O259</f>
        <v>5.2492031493764015</v>
      </c>
      <c r="AJ263" s="405" t="s">
        <v>879</v>
      </c>
      <c r="AK263" s="300">
        <f t="shared" si="119"/>
        <v>10885.535031019313</v>
      </c>
      <c r="AL263" s="297">
        <f t="shared" si="120"/>
        <v>0</v>
      </c>
      <c r="AM263" s="295"/>
      <c r="AN263" s="295"/>
      <c r="AO263" s="298">
        <f>'Unit Savings Calculations'!P259</f>
        <v>5.2492031493764015</v>
      </c>
      <c r="AP263" s="405" t="s">
        <v>764</v>
      </c>
      <c r="AQ263" s="300">
        <f t="shared" si="121"/>
        <v>10885.535031019313</v>
      </c>
      <c r="AR263" s="297">
        <f t="shared" si="122"/>
        <v>0</v>
      </c>
      <c r="AS263" s="295"/>
      <c r="AT263" s="295"/>
      <c r="AU263" s="298">
        <f>'Unit Savings Calculations'!Q259</f>
        <v>5.2492031493764015</v>
      </c>
      <c r="AV263" s="405" t="str">
        <f t="shared" si="109"/>
        <v>n/a</v>
      </c>
      <c r="AW263" s="300">
        <f t="shared" si="123"/>
        <v>10885.535031019313</v>
      </c>
      <c r="AX263" s="297">
        <f t="shared" si="124"/>
        <v>0</v>
      </c>
      <c r="AY263" s="300">
        <f t="shared" si="110"/>
        <v>10885.535031019313</v>
      </c>
      <c r="AZ263" s="300">
        <f t="shared" si="111"/>
        <v>10885.535031019313</v>
      </c>
      <c r="BA263" s="300">
        <f t="shared" si="112"/>
        <v>10885.535031019313</v>
      </c>
      <c r="BB263" s="300">
        <f t="shared" si="113"/>
        <v>10885.535031019313</v>
      </c>
      <c r="BC263" s="301">
        <f t="shared" si="114"/>
        <v>43542.140124077254</v>
      </c>
      <c r="BD263" s="295" t="s">
        <v>764</v>
      </c>
      <c r="BE263" s="302" t="str">
        <f t="shared" si="115"/>
        <v>Exhibit 1.5A_R North Shore EEPS_Adjustable_Savings_Goal_Template.xlsx, Pipe Insulation Detail Tab</v>
      </c>
      <c r="BF263" s="304"/>
    </row>
    <row r="264" spans="1:58" ht="15.75" customHeight="1">
      <c r="A264" s="295" t="str">
        <f>'Unit Savings Calculations'!C260</f>
        <v>Bus - CI Rebates</v>
      </c>
      <c r="B264" s="295" t="str">
        <f>'Unit Savings Calculations'!D260</f>
        <v>Pipe Insulation - HW Large &gt;4"</v>
      </c>
      <c r="C264" s="296">
        <f t="shared" si="125"/>
        <v>1</v>
      </c>
      <c r="D264" s="295" t="str">
        <f>'Unit Savings Calculations'!T260</f>
        <v>4.4.14</v>
      </c>
      <c r="E264" s="460">
        <f>INDEX('Unit Savings Calculations'!$H$4:$H$421,MATCH('Measure-Level Adjustments Tab'!$A264&amp;"_"&amp;'Measure-Level Adjustments Tab'!$B264,'Unit Savings Calculations'!$A$4:$A$421,0))</f>
        <v>15</v>
      </c>
      <c r="F264" s="460">
        <f>INDEX('Unit Savings Calculations'!$I$4:$I$421,MATCH('Measure-Level Adjustments Tab'!A264&amp;"_"&amp;'Measure-Level Adjustments Tab'!B264,'Unit Savings Calculations'!$A$4:$A$421,0))</f>
        <v>15</v>
      </c>
      <c r="G264" s="295" t="str">
        <f>'Unit Savings Calculations'!E260</f>
        <v>ft</v>
      </c>
      <c r="H264" s="297">
        <f>'Unit Savings Calculations'!$F260*'Unit Savings Calculations'!J260</f>
        <v>900</v>
      </c>
      <c r="I264" s="297">
        <f>'Unit Savings Calculations'!$F260*'Unit Savings Calculations'!K260</f>
        <v>900</v>
      </c>
      <c r="J264" s="297">
        <f>'Unit Savings Calculations'!$F260*'Unit Savings Calculations'!L260</f>
        <v>900</v>
      </c>
      <c r="K264" s="297">
        <f>'Unit Savings Calculations'!$F260*'Unit Savings Calculations'!M260</f>
        <v>900</v>
      </c>
      <c r="L264" s="295" t="str">
        <f>'Unit Savings Calculations'!U260</f>
        <v>CI-HVC-PINS-V04-160601</v>
      </c>
      <c r="M264" s="405" t="str">
        <f>'Unit Savings Calculations'!R260</f>
        <v>Exhibit 1.5A_R North Shore EEPS_Adjustable_Savings_Goal_Template.xlsx, Pipe Insulation Detail Tab</v>
      </c>
      <c r="N264" s="298">
        <v>9.0407613085908682</v>
      </c>
      <c r="O264" s="298">
        <v>9.0407613085908682</v>
      </c>
      <c r="P264" s="298">
        <v>9.0407613085908682</v>
      </c>
      <c r="Q264" s="298">
        <v>9.0407613085908682</v>
      </c>
      <c r="R264" s="299">
        <f>'Unit Savings Calculations'!$G260</f>
        <v>0.79</v>
      </c>
      <c r="S264" s="299">
        <f>'Unit Savings Calculations'!$G260</f>
        <v>0.79</v>
      </c>
      <c r="T264" s="299">
        <f>'Unit Savings Calculations'!$G260</f>
        <v>0.79</v>
      </c>
      <c r="U264" s="299">
        <f>'Unit Savings Calculations'!$G260</f>
        <v>0.79</v>
      </c>
      <c r="V264" s="300">
        <f t="shared" si="126"/>
        <v>6427.9812904081073</v>
      </c>
      <c r="W264" s="300">
        <f t="shared" si="127"/>
        <v>6427.9812904081073</v>
      </c>
      <c r="X264" s="300">
        <f t="shared" si="128"/>
        <v>6427.9812904081073</v>
      </c>
      <c r="Y264" s="300">
        <f t="shared" si="129"/>
        <v>6427.9812904081073</v>
      </c>
      <c r="Z264" s="300">
        <f t="shared" si="130"/>
        <v>25711.925161632429</v>
      </c>
      <c r="AA264" s="295"/>
      <c r="AB264" s="295"/>
      <c r="AC264" s="298">
        <f>'Unit Savings Calculations'!N260</f>
        <v>9.0407613085908682</v>
      </c>
      <c r="AD264" s="295"/>
      <c r="AE264" s="300">
        <f t="shared" si="116"/>
        <v>6427.9812904081073</v>
      </c>
      <c r="AF264" s="297">
        <f t="shared" si="117"/>
        <v>0</v>
      </c>
      <c r="AG264" s="295"/>
      <c r="AH264" s="295">
        <f t="shared" si="118"/>
        <v>0</v>
      </c>
      <c r="AI264" s="298">
        <f>'Unit Savings Calculations'!O260</f>
        <v>9.0407613085908682</v>
      </c>
      <c r="AJ264" s="405" t="s">
        <v>879</v>
      </c>
      <c r="AK264" s="300">
        <f t="shared" si="119"/>
        <v>6427.9812904081073</v>
      </c>
      <c r="AL264" s="297">
        <f t="shared" si="120"/>
        <v>0</v>
      </c>
      <c r="AM264" s="295"/>
      <c r="AN264" s="295"/>
      <c r="AO264" s="298">
        <f>'Unit Savings Calculations'!P260</f>
        <v>9.0407613085908682</v>
      </c>
      <c r="AP264" s="405" t="s">
        <v>764</v>
      </c>
      <c r="AQ264" s="300">
        <f t="shared" si="121"/>
        <v>6427.9812904081073</v>
      </c>
      <c r="AR264" s="297">
        <f t="shared" si="122"/>
        <v>0</v>
      </c>
      <c r="AS264" s="295"/>
      <c r="AT264" s="295"/>
      <c r="AU264" s="298">
        <f>'Unit Savings Calculations'!Q260</f>
        <v>9.0407613085908682</v>
      </c>
      <c r="AV264" s="405" t="str">
        <f t="shared" si="109"/>
        <v>n/a</v>
      </c>
      <c r="AW264" s="300">
        <f t="shared" si="123"/>
        <v>6427.9812904081073</v>
      </c>
      <c r="AX264" s="297">
        <f t="shared" si="124"/>
        <v>0</v>
      </c>
      <c r="AY264" s="300">
        <f t="shared" si="110"/>
        <v>6427.9812904081073</v>
      </c>
      <c r="AZ264" s="300">
        <f t="shared" si="111"/>
        <v>6427.9812904081073</v>
      </c>
      <c r="BA264" s="300">
        <f t="shared" si="112"/>
        <v>6427.9812904081073</v>
      </c>
      <c r="BB264" s="300">
        <f t="shared" si="113"/>
        <v>6427.9812904081073</v>
      </c>
      <c r="BC264" s="301">
        <f t="shared" si="114"/>
        <v>25711.925161632429</v>
      </c>
      <c r="BD264" s="295" t="s">
        <v>764</v>
      </c>
      <c r="BE264" s="302" t="str">
        <f t="shared" si="115"/>
        <v>Exhibit 1.5A_R North Shore EEPS_Adjustable_Savings_Goal_Template.xlsx, Pipe Insulation Detail Tab</v>
      </c>
      <c r="BF264" s="304"/>
    </row>
    <row r="265" spans="1:58" ht="15.75" customHeight="1">
      <c r="A265" s="295" t="str">
        <f>'Unit Savings Calculations'!C261</f>
        <v>Bus - CI Rebates</v>
      </c>
      <c r="B265" s="295" t="str">
        <f>'Unit Savings Calculations'!D261</f>
        <v>Pipe Insulation - Steam - Small 1" to 2"</v>
      </c>
      <c r="C265" s="296">
        <f t="shared" si="125"/>
        <v>1</v>
      </c>
      <c r="D265" s="295" t="str">
        <f>'Unit Savings Calculations'!T261</f>
        <v>4.4.14</v>
      </c>
      <c r="E265" s="460">
        <f>INDEX('Unit Savings Calculations'!$H$4:$H$421,MATCH('Measure-Level Adjustments Tab'!$A265&amp;"_"&amp;'Measure-Level Adjustments Tab'!$B265,'Unit Savings Calculations'!$A$4:$A$421,0))</f>
        <v>15</v>
      </c>
      <c r="F265" s="460">
        <f>INDEX('Unit Savings Calculations'!$I$4:$I$421,MATCH('Measure-Level Adjustments Tab'!A265&amp;"_"&amp;'Measure-Level Adjustments Tab'!B265,'Unit Savings Calculations'!$A$4:$A$421,0))</f>
        <v>15</v>
      </c>
      <c r="G265" s="295" t="str">
        <f>'Unit Savings Calculations'!E261</f>
        <v>ft</v>
      </c>
      <c r="H265" s="297">
        <f>'Unit Savings Calculations'!$F261*'Unit Savings Calculations'!J261</f>
        <v>0</v>
      </c>
      <c r="I265" s="297">
        <f>'Unit Savings Calculations'!$F261*'Unit Savings Calculations'!K261</f>
        <v>0</v>
      </c>
      <c r="J265" s="297">
        <f>'Unit Savings Calculations'!$F261*'Unit Savings Calculations'!L261</f>
        <v>0</v>
      </c>
      <c r="K265" s="297">
        <f>'Unit Savings Calculations'!$F261*'Unit Savings Calculations'!M261</f>
        <v>0</v>
      </c>
      <c r="L265" s="295" t="str">
        <f>'Unit Savings Calculations'!U261</f>
        <v>CI-HVC-PINS-V04-160601</v>
      </c>
      <c r="M265" s="405" t="str">
        <f>'Unit Savings Calculations'!R261</f>
        <v>Exhibit 1.5A_R North Shore EEPS_Adjustable_Savings_Goal_Template.xlsx, Pipe Insulation Detail Tab</v>
      </c>
      <c r="N265" s="298">
        <v>3.1854757047967208</v>
      </c>
      <c r="O265" s="298">
        <v>3.1854757047967208</v>
      </c>
      <c r="P265" s="298">
        <v>3.1854757047967208</v>
      </c>
      <c r="Q265" s="298">
        <v>3.1854757047967208</v>
      </c>
      <c r="R265" s="299">
        <f>'Unit Savings Calculations'!$G261</f>
        <v>0.79</v>
      </c>
      <c r="S265" s="299">
        <f>'Unit Savings Calculations'!$G261</f>
        <v>0.79</v>
      </c>
      <c r="T265" s="299">
        <f>'Unit Savings Calculations'!$G261</f>
        <v>0.79</v>
      </c>
      <c r="U265" s="299">
        <f>'Unit Savings Calculations'!$G261</f>
        <v>0.79</v>
      </c>
      <c r="V265" s="300">
        <f t="shared" si="126"/>
        <v>0</v>
      </c>
      <c r="W265" s="300">
        <f t="shared" si="127"/>
        <v>0</v>
      </c>
      <c r="X265" s="300">
        <f t="shared" si="128"/>
        <v>0</v>
      </c>
      <c r="Y265" s="300">
        <f t="shared" si="129"/>
        <v>0</v>
      </c>
      <c r="Z265" s="300">
        <f t="shared" si="130"/>
        <v>0</v>
      </c>
      <c r="AA265" s="295"/>
      <c r="AB265" s="295"/>
      <c r="AC265" s="298">
        <f>'Unit Savings Calculations'!N261</f>
        <v>3.1854757047967208</v>
      </c>
      <c r="AD265" s="295"/>
      <c r="AE265" s="300">
        <f t="shared" si="116"/>
        <v>0</v>
      </c>
      <c r="AF265" s="297">
        <f t="shared" si="117"/>
        <v>0</v>
      </c>
      <c r="AG265" s="295"/>
      <c r="AH265" s="295">
        <f t="shared" si="118"/>
        <v>0</v>
      </c>
      <c r="AI265" s="298">
        <f>'Unit Savings Calculations'!O261</f>
        <v>3.1854757047967208</v>
      </c>
      <c r="AJ265" s="405" t="s">
        <v>879</v>
      </c>
      <c r="AK265" s="300">
        <f t="shared" si="119"/>
        <v>0</v>
      </c>
      <c r="AL265" s="297">
        <f t="shared" si="120"/>
        <v>0</v>
      </c>
      <c r="AM265" s="295"/>
      <c r="AN265" s="295"/>
      <c r="AO265" s="298">
        <f>'Unit Savings Calculations'!P261</f>
        <v>3.1854757047967208</v>
      </c>
      <c r="AP265" s="405" t="s">
        <v>764</v>
      </c>
      <c r="AQ265" s="300">
        <f t="shared" si="121"/>
        <v>0</v>
      </c>
      <c r="AR265" s="297">
        <f t="shared" si="122"/>
        <v>0</v>
      </c>
      <c r="AS265" s="295"/>
      <c r="AT265" s="295"/>
      <c r="AU265" s="298">
        <f>'Unit Savings Calculations'!Q261</f>
        <v>3.1854757047967208</v>
      </c>
      <c r="AV265" s="405" t="str">
        <f t="shared" ref="AV265:AV328" si="131">AP265</f>
        <v>n/a</v>
      </c>
      <c r="AW265" s="300">
        <f t="shared" si="123"/>
        <v>0</v>
      </c>
      <c r="AX265" s="297">
        <f t="shared" si="124"/>
        <v>0</v>
      </c>
      <c r="AY265" s="300">
        <f t="shared" ref="AY265:AY328" si="132">IF(C265=1,AE265,V265)</f>
        <v>0</v>
      </c>
      <c r="AZ265" s="300">
        <f t="shared" ref="AZ265:AZ328" si="133">IF(C265=1,AK265,W265)</f>
        <v>0</v>
      </c>
      <c r="BA265" s="300">
        <f t="shared" ref="BA265:BA328" si="134">IF(C265=1,AQ265,X265)</f>
        <v>0</v>
      </c>
      <c r="BB265" s="300">
        <f t="shared" ref="BB265:BB328" si="135">IF(C265=1,AW265,Y265)</f>
        <v>0</v>
      </c>
      <c r="BC265" s="301">
        <f t="shared" ref="BC265:BC328" si="136">AY265+AZ265+BA265+BB265</f>
        <v>0</v>
      </c>
      <c r="BD265" s="295" t="s">
        <v>764</v>
      </c>
      <c r="BE265" s="302" t="str">
        <f t="shared" ref="BE265:BE328" si="137">M265</f>
        <v>Exhibit 1.5A_R North Shore EEPS_Adjustable_Savings_Goal_Template.xlsx, Pipe Insulation Detail Tab</v>
      </c>
      <c r="BF265" s="304"/>
    </row>
    <row r="266" spans="1:58" ht="15.75" customHeight="1">
      <c r="A266" s="295" t="str">
        <f>'Unit Savings Calculations'!C262</f>
        <v>Bus - CI Rebates</v>
      </c>
      <c r="B266" s="295" t="str">
        <f>'Unit Savings Calculations'!D262</f>
        <v>Pipe Insulation - Steam - Med 2.1" to 5"</v>
      </c>
      <c r="C266" s="296">
        <f t="shared" si="125"/>
        <v>1</v>
      </c>
      <c r="D266" s="295" t="str">
        <f>'Unit Savings Calculations'!T262</f>
        <v>4.4.14</v>
      </c>
      <c r="E266" s="460">
        <f>INDEX('Unit Savings Calculations'!$H$4:$H$421,MATCH('Measure-Level Adjustments Tab'!$A266&amp;"_"&amp;'Measure-Level Adjustments Tab'!$B266,'Unit Savings Calculations'!$A$4:$A$421,0))</f>
        <v>15</v>
      </c>
      <c r="F266" s="460">
        <f>INDEX('Unit Savings Calculations'!$I$4:$I$421,MATCH('Measure-Level Adjustments Tab'!A266&amp;"_"&amp;'Measure-Level Adjustments Tab'!B266,'Unit Savings Calculations'!$A$4:$A$421,0))</f>
        <v>15</v>
      </c>
      <c r="G266" s="295" t="str">
        <f>'Unit Savings Calculations'!E262</f>
        <v>ft</v>
      </c>
      <c r="H266" s="297">
        <f>'Unit Savings Calculations'!$F262*'Unit Savings Calculations'!J262</f>
        <v>2625</v>
      </c>
      <c r="I266" s="297">
        <f>'Unit Savings Calculations'!$F262*'Unit Savings Calculations'!K262</f>
        <v>2625</v>
      </c>
      <c r="J266" s="297">
        <f>'Unit Savings Calculations'!$F262*'Unit Savings Calculations'!L262</f>
        <v>2625</v>
      </c>
      <c r="K266" s="297">
        <f>'Unit Savings Calculations'!$F262*'Unit Savings Calculations'!M262</f>
        <v>2625</v>
      </c>
      <c r="L266" s="295" t="str">
        <f>'Unit Savings Calculations'!U262</f>
        <v>CI-HVC-PINS-V04-160601</v>
      </c>
      <c r="M266" s="405" t="str">
        <f>'Unit Savings Calculations'!R262</f>
        <v>Exhibit 1.5A_R North Shore EEPS_Adjustable_Savings_Goal_Template.xlsx, Pipe Insulation Detail Tab</v>
      </c>
      <c r="N266" s="298">
        <v>13.148126788517139</v>
      </c>
      <c r="O266" s="298">
        <v>13.148126788517139</v>
      </c>
      <c r="P266" s="298">
        <v>13.148126788517139</v>
      </c>
      <c r="Q266" s="298">
        <v>13.148126788517139</v>
      </c>
      <c r="R266" s="299">
        <f>'Unit Savings Calculations'!$G262</f>
        <v>0.79</v>
      </c>
      <c r="S266" s="299">
        <f>'Unit Savings Calculations'!$G262</f>
        <v>0.79</v>
      </c>
      <c r="T266" s="299">
        <f>'Unit Savings Calculations'!$G262</f>
        <v>0.79</v>
      </c>
      <c r="U266" s="299">
        <f>'Unit Savings Calculations'!$G262</f>
        <v>0.79</v>
      </c>
      <c r="V266" s="300">
        <f t="shared" si="126"/>
        <v>27265.927927687419</v>
      </c>
      <c r="W266" s="300">
        <f t="shared" si="127"/>
        <v>27265.927927687419</v>
      </c>
      <c r="X266" s="300">
        <f t="shared" si="128"/>
        <v>27265.927927687419</v>
      </c>
      <c r="Y266" s="300">
        <f t="shared" si="129"/>
        <v>27265.927927687419</v>
      </c>
      <c r="Z266" s="300">
        <f t="shared" si="130"/>
        <v>109063.71171074967</v>
      </c>
      <c r="AA266" s="295"/>
      <c r="AB266" s="295"/>
      <c r="AC266" s="298">
        <f>'Unit Savings Calculations'!N262</f>
        <v>13.148126788517139</v>
      </c>
      <c r="AD266" s="295"/>
      <c r="AE266" s="300">
        <f t="shared" ref="AE266:AE329" si="138">H266*AC266*R266</f>
        <v>27265.927927687419</v>
      </c>
      <c r="AF266" s="297">
        <f t="shared" ref="AF266:AF329" si="139">AE266-V266</f>
        <v>0</v>
      </c>
      <c r="AG266" s="295"/>
      <c r="AH266" s="295">
        <f t="shared" ref="AH266:AH329" si="140">AB266</f>
        <v>0</v>
      </c>
      <c r="AI266" s="298">
        <f>'Unit Savings Calculations'!O262</f>
        <v>13.148126788517139</v>
      </c>
      <c r="AJ266" s="405" t="s">
        <v>879</v>
      </c>
      <c r="AK266" s="300">
        <f t="shared" ref="AK266:AK329" si="141">I266*AI266*S266</f>
        <v>27265.927927687419</v>
      </c>
      <c r="AL266" s="297">
        <f t="shared" ref="AL266:AL329" si="142">AK266-W266</f>
        <v>0</v>
      </c>
      <c r="AM266" s="295"/>
      <c r="AN266" s="295"/>
      <c r="AO266" s="298">
        <f>'Unit Savings Calculations'!P262</f>
        <v>13.148126788517139</v>
      </c>
      <c r="AP266" s="405" t="s">
        <v>764</v>
      </c>
      <c r="AQ266" s="300">
        <f t="shared" ref="AQ266:AQ329" si="143">J266*AO266*T266</f>
        <v>27265.927927687419</v>
      </c>
      <c r="AR266" s="297">
        <f t="shared" ref="AR266:AR329" si="144">AQ266-X266</f>
        <v>0</v>
      </c>
      <c r="AS266" s="295"/>
      <c r="AT266" s="295"/>
      <c r="AU266" s="298">
        <f>'Unit Savings Calculations'!Q262</f>
        <v>13.148126788517139</v>
      </c>
      <c r="AV266" s="405" t="str">
        <f t="shared" si="131"/>
        <v>n/a</v>
      </c>
      <c r="AW266" s="300">
        <f t="shared" ref="AW266:AW329" si="145">K266*AU266*U266</f>
        <v>27265.927927687419</v>
      </c>
      <c r="AX266" s="297">
        <f t="shared" ref="AX266:AX329" si="146">AW266-Y266</f>
        <v>0</v>
      </c>
      <c r="AY266" s="300">
        <f t="shared" si="132"/>
        <v>27265.927927687419</v>
      </c>
      <c r="AZ266" s="300">
        <f t="shared" si="133"/>
        <v>27265.927927687419</v>
      </c>
      <c r="BA266" s="300">
        <f t="shared" si="134"/>
        <v>27265.927927687419</v>
      </c>
      <c r="BB266" s="300">
        <f t="shared" si="135"/>
        <v>27265.927927687419</v>
      </c>
      <c r="BC266" s="301">
        <f t="shared" si="136"/>
        <v>109063.71171074967</v>
      </c>
      <c r="BD266" s="295" t="s">
        <v>764</v>
      </c>
      <c r="BE266" s="302" t="str">
        <f t="shared" si="137"/>
        <v>Exhibit 1.5A_R North Shore EEPS_Adjustable_Savings_Goal_Template.xlsx, Pipe Insulation Detail Tab</v>
      </c>
      <c r="BF266" s="304"/>
    </row>
    <row r="267" spans="1:58" ht="15.75" customHeight="1">
      <c r="A267" s="295" t="str">
        <f>'Unit Savings Calculations'!C263</f>
        <v>Bus - CI Rebates</v>
      </c>
      <c r="B267" s="295" t="str">
        <f>'Unit Savings Calculations'!D263</f>
        <v>Pipe Insulation - Steam - Large 5.1" to 8"</v>
      </c>
      <c r="C267" s="296">
        <f t="shared" si="125"/>
        <v>1</v>
      </c>
      <c r="D267" s="295" t="str">
        <f>'Unit Savings Calculations'!T263</f>
        <v>4.4.14</v>
      </c>
      <c r="E267" s="460">
        <f>INDEX('Unit Savings Calculations'!$H$4:$H$421,MATCH('Measure-Level Adjustments Tab'!$A267&amp;"_"&amp;'Measure-Level Adjustments Tab'!$B267,'Unit Savings Calculations'!$A$4:$A$421,0))</f>
        <v>15</v>
      </c>
      <c r="F267" s="460">
        <f>INDEX('Unit Savings Calculations'!$I$4:$I$421,MATCH('Measure-Level Adjustments Tab'!A267&amp;"_"&amp;'Measure-Level Adjustments Tab'!B267,'Unit Savings Calculations'!$A$4:$A$421,0))</f>
        <v>15</v>
      </c>
      <c r="G267" s="295" t="str">
        <f>'Unit Savings Calculations'!E263</f>
        <v>ft</v>
      </c>
      <c r="H267" s="297">
        <f>'Unit Savings Calculations'!$F263*'Unit Savings Calculations'!J263</f>
        <v>300</v>
      </c>
      <c r="I267" s="297">
        <f>'Unit Savings Calculations'!$F263*'Unit Savings Calculations'!K263</f>
        <v>300</v>
      </c>
      <c r="J267" s="297">
        <f>'Unit Savings Calculations'!$F263*'Unit Savings Calculations'!L263</f>
        <v>300</v>
      </c>
      <c r="K267" s="297">
        <f>'Unit Savings Calculations'!$F263*'Unit Savings Calculations'!M263</f>
        <v>300</v>
      </c>
      <c r="L267" s="295" t="str">
        <f>'Unit Savings Calculations'!U263</f>
        <v>CI-HVC-PINS-V04-160601</v>
      </c>
      <c r="M267" s="405" t="str">
        <f>'Unit Savings Calculations'!R263</f>
        <v>Exhibit 1.5A_R North Shore EEPS_Adjustable_Savings_Goal_Template.xlsx, Pipe Insulation Detail Tab</v>
      </c>
      <c r="N267" s="298">
        <v>24.25563238537794</v>
      </c>
      <c r="O267" s="298">
        <v>24.25563238537794</v>
      </c>
      <c r="P267" s="298">
        <v>24.25563238537794</v>
      </c>
      <c r="Q267" s="298">
        <v>24.25563238537794</v>
      </c>
      <c r="R267" s="299">
        <f>'Unit Savings Calculations'!$G263</f>
        <v>0.79</v>
      </c>
      <c r="S267" s="299">
        <f>'Unit Savings Calculations'!$G263</f>
        <v>0.79</v>
      </c>
      <c r="T267" s="299">
        <f>'Unit Savings Calculations'!$G263</f>
        <v>0.79</v>
      </c>
      <c r="U267" s="299">
        <f>'Unit Savings Calculations'!$G263</f>
        <v>0.79</v>
      </c>
      <c r="V267" s="300">
        <f t="shared" si="126"/>
        <v>5748.5848753345717</v>
      </c>
      <c r="W267" s="300">
        <f t="shared" si="127"/>
        <v>5748.5848753345717</v>
      </c>
      <c r="X267" s="300">
        <f t="shared" si="128"/>
        <v>5748.5848753345717</v>
      </c>
      <c r="Y267" s="300">
        <f t="shared" si="129"/>
        <v>5748.5848753345717</v>
      </c>
      <c r="Z267" s="300">
        <f t="shared" si="130"/>
        <v>22994.339501338287</v>
      </c>
      <c r="AA267" s="295"/>
      <c r="AB267" s="295"/>
      <c r="AC267" s="298">
        <f>'Unit Savings Calculations'!N263</f>
        <v>24.25563238537794</v>
      </c>
      <c r="AD267" s="295"/>
      <c r="AE267" s="300">
        <f t="shared" si="138"/>
        <v>5748.5848753345717</v>
      </c>
      <c r="AF267" s="297">
        <f t="shared" si="139"/>
        <v>0</v>
      </c>
      <c r="AG267" s="295"/>
      <c r="AH267" s="295">
        <f t="shared" si="140"/>
        <v>0</v>
      </c>
      <c r="AI267" s="298">
        <f>'Unit Savings Calculations'!O263</f>
        <v>24.25563238537794</v>
      </c>
      <c r="AJ267" s="405" t="s">
        <v>879</v>
      </c>
      <c r="AK267" s="300">
        <f t="shared" si="141"/>
        <v>5748.5848753345717</v>
      </c>
      <c r="AL267" s="297">
        <f t="shared" si="142"/>
        <v>0</v>
      </c>
      <c r="AM267" s="295"/>
      <c r="AN267" s="295"/>
      <c r="AO267" s="298">
        <f>'Unit Savings Calculations'!P263</f>
        <v>24.25563238537794</v>
      </c>
      <c r="AP267" s="405" t="s">
        <v>764</v>
      </c>
      <c r="AQ267" s="300">
        <f t="shared" si="143"/>
        <v>5748.5848753345717</v>
      </c>
      <c r="AR267" s="297">
        <f t="shared" si="144"/>
        <v>0</v>
      </c>
      <c r="AS267" s="295"/>
      <c r="AT267" s="295"/>
      <c r="AU267" s="298">
        <f>'Unit Savings Calculations'!Q263</f>
        <v>24.25563238537794</v>
      </c>
      <c r="AV267" s="405" t="str">
        <f t="shared" si="131"/>
        <v>n/a</v>
      </c>
      <c r="AW267" s="300">
        <f t="shared" si="145"/>
        <v>5748.5848753345717</v>
      </c>
      <c r="AX267" s="297">
        <f t="shared" si="146"/>
        <v>0</v>
      </c>
      <c r="AY267" s="300">
        <f t="shared" si="132"/>
        <v>5748.5848753345717</v>
      </c>
      <c r="AZ267" s="300">
        <f t="shared" si="133"/>
        <v>5748.5848753345717</v>
      </c>
      <c r="BA267" s="300">
        <f t="shared" si="134"/>
        <v>5748.5848753345717</v>
      </c>
      <c r="BB267" s="300">
        <f t="shared" si="135"/>
        <v>5748.5848753345717</v>
      </c>
      <c r="BC267" s="301">
        <f t="shared" si="136"/>
        <v>22994.339501338287</v>
      </c>
      <c r="BD267" s="295" t="s">
        <v>764</v>
      </c>
      <c r="BE267" s="302" t="str">
        <f t="shared" si="137"/>
        <v>Exhibit 1.5A_R North Shore EEPS_Adjustable_Savings_Goal_Template.xlsx, Pipe Insulation Detail Tab</v>
      </c>
      <c r="BF267" s="304"/>
    </row>
    <row r="268" spans="1:58" ht="15.75" customHeight="1">
      <c r="A268" s="295" t="str">
        <f>'Unit Savings Calculations'!C264</f>
        <v>Bus - CI Rebates</v>
      </c>
      <c r="B268" s="295" t="str">
        <f>'Unit Savings Calculations'!D264</f>
        <v>Pipe Insulation - Steam - X-Large &gt;8"</v>
      </c>
      <c r="C268" s="296">
        <f t="shared" si="125"/>
        <v>1</v>
      </c>
      <c r="D268" s="295" t="str">
        <f>'Unit Savings Calculations'!T264</f>
        <v>4.4.14</v>
      </c>
      <c r="E268" s="460">
        <f>INDEX('Unit Savings Calculations'!$H$4:$H$421,MATCH('Measure-Level Adjustments Tab'!$A268&amp;"_"&amp;'Measure-Level Adjustments Tab'!$B268,'Unit Savings Calculations'!$A$4:$A$421,0))</f>
        <v>15</v>
      </c>
      <c r="F268" s="460">
        <f>INDEX('Unit Savings Calculations'!$I$4:$I$421,MATCH('Measure-Level Adjustments Tab'!A268&amp;"_"&amp;'Measure-Level Adjustments Tab'!B268,'Unit Savings Calculations'!$A$4:$A$421,0))</f>
        <v>15</v>
      </c>
      <c r="G268" s="295" t="str">
        <f>'Unit Savings Calculations'!E264</f>
        <v>ft</v>
      </c>
      <c r="H268" s="297">
        <f>'Unit Savings Calculations'!$F264*'Unit Savings Calculations'!J264</f>
        <v>0</v>
      </c>
      <c r="I268" s="297">
        <f>'Unit Savings Calculations'!$F264*'Unit Savings Calculations'!K264</f>
        <v>0</v>
      </c>
      <c r="J268" s="297">
        <f>'Unit Savings Calculations'!$F264*'Unit Savings Calculations'!L264</f>
        <v>0</v>
      </c>
      <c r="K268" s="297">
        <f>'Unit Savings Calculations'!$F264*'Unit Savings Calculations'!M264</f>
        <v>0</v>
      </c>
      <c r="L268" s="295" t="str">
        <f>'Unit Savings Calculations'!U264</f>
        <v>CI-HVC-PINS-V04-160601</v>
      </c>
      <c r="M268" s="405" t="str">
        <f>'Unit Savings Calculations'!R264</f>
        <v>Exhibit 1.5A_R North Shore EEPS_Adjustable_Savings_Goal_Template.xlsx, Pipe Insulation Detail Tab</v>
      </c>
      <c r="N268" s="298">
        <v>35.984797966765058</v>
      </c>
      <c r="O268" s="298">
        <v>35.984797966765058</v>
      </c>
      <c r="P268" s="298">
        <v>35.984797966765058</v>
      </c>
      <c r="Q268" s="298">
        <v>35.984797966765058</v>
      </c>
      <c r="R268" s="299">
        <f>'Unit Savings Calculations'!$G264</f>
        <v>0.79</v>
      </c>
      <c r="S268" s="299">
        <f>'Unit Savings Calculations'!$G264</f>
        <v>0.79</v>
      </c>
      <c r="T268" s="299">
        <f>'Unit Savings Calculations'!$G264</f>
        <v>0.79</v>
      </c>
      <c r="U268" s="299">
        <f>'Unit Savings Calculations'!$G264</f>
        <v>0.79</v>
      </c>
      <c r="V268" s="300">
        <f t="shared" si="126"/>
        <v>0</v>
      </c>
      <c r="W268" s="300">
        <f t="shared" si="127"/>
        <v>0</v>
      </c>
      <c r="X268" s="300">
        <f t="shared" si="128"/>
        <v>0</v>
      </c>
      <c r="Y268" s="300">
        <f t="shared" si="129"/>
        <v>0</v>
      </c>
      <c r="Z268" s="300">
        <f t="shared" si="130"/>
        <v>0</v>
      </c>
      <c r="AA268" s="295"/>
      <c r="AB268" s="295"/>
      <c r="AC268" s="298">
        <f>'Unit Savings Calculations'!N264</f>
        <v>35.984797966765058</v>
      </c>
      <c r="AD268" s="295"/>
      <c r="AE268" s="300">
        <f t="shared" si="138"/>
        <v>0</v>
      </c>
      <c r="AF268" s="297">
        <f t="shared" si="139"/>
        <v>0</v>
      </c>
      <c r="AG268" s="295"/>
      <c r="AH268" s="295">
        <f t="shared" si="140"/>
        <v>0</v>
      </c>
      <c r="AI268" s="298">
        <f>'Unit Savings Calculations'!O264</f>
        <v>35.984797966765058</v>
      </c>
      <c r="AJ268" s="405" t="s">
        <v>879</v>
      </c>
      <c r="AK268" s="300">
        <f t="shared" si="141"/>
        <v>0</v>
      </c>
      <c r="AL268" s="297">
        <f t="shared" si="142"/>
        <v>0</v>
      </c>
      <c r="AM268" s="295"/>
      <c r="AN268" s="295"/>
      <c r="AO268" s="298">
        <f>'Unit Savings Calculations'!P264</f>
        <v>35.984797966765058</v>
      </c>
      <c r="AP268" s="405" t="s">
        <v>764</v>
      </c>
      <c r="AQ268" s="300">
        <f t="shared" si="143"/>
        <v>0</v>
      </c>
      <c r="AR268" s="297">
        <f t="shared" si="144"/>
        <v>0</v>
      </c>
      <c r="AS268" s="295"/>
      <c r="AT268" s="295"/>
      <c r="AU268" s="298">
        <f>'Unit Savings Calculations'!Q264</f>
        <v>35.984797966765058</v>
      </c>
      <c r="AV268" s="405" t="str">
        <f t="shared" si="131"/>
        <v>n/a</v>
      </c>
      <c r="AW268" s="300">
        <f t="shared" si="145"/>
        <v>0</v>
      </c>
      <c r="AX268" s="297">
        <f t="shared" si="146"/>
        <v>0</v>
      </c>
      <c r="AY268" s="300">
        <f t="shared" si="132"/>
        <v>0</v>
      </c>
      <c r="AZ268" s="300">
        <f t="shared" si="133"/>
        <v>0</v>
      </c>
      <c r="BA268" s="300">
        <f t="shared" si="134"/>
        <v>0</v>
      </c>
      <c r="BB268" s="300">
        <f t="shared" si="135"/>
        <v>0</v>
      </c>
      <c r="BC268" s="301">
        <f t="shared" si="136"/>
        <v>0</v>
      </c>
      <c r="BD268" s="295" t="s">
        <v>764</v>
      </c>
      <c r="BE268" s="302" t="str">
        <f t="shared" si="137"/>
        <v>Exhibit 1.5A_R North Shore EEPS_Adjustable_Savings_Goal_Template.xlsx, Pipe Insulation Detail Tab</v>
      </c>
      <c r="BF268" s="304"/>
    </row>
    <row r="269" spans="1:58" ht="15.75" customHeight="1">
      <c r="A269" s="295" t="str">
        <f>'Unit Savings Calculations'!C265</f>
        <v>Bus - CI Rebates</v>
      </c>
      <c r="B269" s="295" t="str">
        <f>'Unit Savings Calculations'!D265</f>
        <v>Pipe Insulation - Steam Med Fitting</v>
      </c>
      <c r="C269" s="296">
        <f t="shared" si="125"/>
        <v>1</v>
      </c>
      <c r="D269" s="295" t="str">
        <f>'Unit Savings Calculations'!T265</f>
        <v>4.4.14</v>
      </c>
      <c r="E269" s="460">
        <f>INDEX('Unit Savings Calculations'!$H$4:$H$421,MATCH('Measure-Level Adjustments Tab'!$A269&amp;"_"&amp;'Measure-Level Adjustments Tab'!$B269,'Unit Savings Calculations'!$A$4:$A$421,0))</f>
        <v>15</v>
      </c>
      <c r="F269" s="460">
        <f>INDEX('Unit Savings Calculations'!$I$4:$I$421,MATCH('Measure-Level Adjustments Tab'!A269&amp;"_"&amp;'Measure-Level Adjustments Tab'!B269,'Unit Savings Calculations'!$A$4:$A$421,0))</f>
        <v>15</v>
      </c>
      <c r="G269" s="295" t="str">
        <f>'Unit Savings Calculations'!E265</f>
        <v>each</v>
      </c>
      <c r="H269" s="297">
        <f>'Unit Savings Calculations'!$F265*'Unit Savings Calculations'!J265</f>
        <v>0</v>
      </c>
      <c r="I269" s="297">
        <f>'Unit Savings Calculations'!$F265*'Unit Savings Calculations'!K265</f>
        <v>0</v>
      </c>
      <c r="J269" s="297">
        <f>'Unit Savings Calculations'!$F265*'Unit Savings Calculations'!L265</f>
        <v>0</v>
      </c>
      <c r="K269" s="297">
        <f>'Unit Savings Calculations'!$F265*'Unit Savings Calculations'!M265</f>
        <v>0</v>
      </c>
      <c r="L269" s="295" t="str">
        <f>'Unit Savings Calculations'!U265</f>
        <v>CI-HVC-PINS-V04-160601</v>
      </c>
      <c r="M269" s="405" t="str">
        <f>'Unit Savings Calculations'!R265</f>
        <v>Exhibit 1.5A_R North Shore EEPS_Adjustable_Savings_Goal_Template.xlsx, Pipe Insulation Detail Tab</v>
      </c>
      <c r="N269" s="298">
        <v>12.515179237984789</v>
      </c>
      <c r="O269" s="298">
        <v>12.515179237984789</v>
      </c>
      <c r="P269" s="298">
        <v>12.515179237984789</v>
      </c>
      <c r="Q269" s="298">
        <v>12.515179237984789</v>
      </c>
      <c r="R269" s="299">
        <f>'Unit Savings Calculations'!$G265</f>
        <v>0.79</v>
      </c>
      <c r="S269" s="299">
        <f>'Unit Savings Calculations'!$G265</f>
        <v>0.79</v>
      </c>
      <c r="T269" s="299">
        <f>'Unit Savings Calculations'!$G265</f>
        <v>0.79</v>
      </c>
      <c r="U269" s="299">
        <f>'Unit Savings Calculations'!$G265</f>
        <v>0.79</v>
      </c>
      <c r="V269" s="300">
        <f t="shared" si="126"/>
        <v>0</v>
      </c>
      <c r="W269" s="300">
        <f t="shared" si="127"/>
        <v>0</v>
      </c>
      <c r="X269" s="300">
        <f t="shared" si="128"/>
        <v>0</v>
      </c>
      <c r="Y269" s="300">
        <f t="shared" si="129"/>
        <v>0</v>
      </c>
      <c r="Z269" s="300">
        <f t="shared" si="130"/>
        <v>0</v>
      </c>
      <c r="AA269" s="295"/>
      <c r="AB269" s="295"/>
      <c r="AC269" s="298">
        <f>'Unit Savings Calculations'!N265</f>
        <v>12.515179237984789</v>
      </c>
      <c r="AD269" s="295"/>
      <c r="AE269" s="300">
        <f t="shared" si="138"/>
        <v>0</v>
      </c>
      <c r="AF269" s="297">
        <f t="shared" si="139"/>
        <v>0</v>
      </c>
      <c r="AG269" s="295"/>
      <c r="AH269" s="295">
        <f t="shared" si="140"/>
        <v>0</v>
      </c>
      <c r="AI269" s="298">
        <f>'Unit Savings Calculations'!O265</f>
        <v>12.515179237984789</v>
      </c>
      <c r="AJ269" s="405" t="s">
        <v>879</v>
      </c>
      <c r="AK269" s="300">
        <f t="shared" si="141"/>
        <v>0</v>
      </c>
      <c r="AL269" s="297">
        <f t="shared" si="142"/>
        <v>0</v>
      </c>
      <c r="AM269" s="295"/>
      <c r="AN269" s="295"/>
      <c r="AO269" s="298">
        <f>'Unit Savings Calculations'!P265</f>
        <v>12.515179237984789</v>
      </c>
      <c r="AP269" s="405" t="s">
        <v>764</v>
      </c>
      <c r="AQ269" s="300">
        <f t="shared" si="143"/>
        <v>0</v>
      </c>
      <c r="AR269" s="297">
        <f t="shared" si="144"/>
        <v>0</v>
      </c>
      <c r="AS269" s="295"/>
      <c r="AT269" s="295"/>
      <c r="AU269" s="298">
        <f>'Unit Savings Calculations'!Q265</f>
        <v>12.515179237984789</v>
      </c>
      <c r="AV269" s="405" t="str">
        <f t="shared" si="131"/>
        <v>n/a</v>
      </c>
      <c r="AW269" s="300">
        <f t="shared" si="145"/>
        <v>0</v>
      </c>
      <c r="AX269" s="297">
        <f t="shared" si="146"/>
        <v>0</v>
      </c>
      <c r="AY269" s="300">
        <f t="shared" si="132"/>
        <v>0</v>
      </c>
      <c r="AZ269" s="300">
        <f t="shared" si="133"/>
        <v>0</v>
      </c>
      <c r="BA269" s="300">
        <f t="shared" si="134"/>
        <v>0</v>
      </c>
      <c r="BB269" s="300">
        <f t="shared" si="135"/>
        <v>0</v>
      </c>
      <c r="BC269" s="301">
        <f t="shared" si="136"/>
        <v>0</v>
      </c>
      <c r="BD269" s="295" t="s">
        <v>764</v>
      </c>
      <c r="BE269" s="302" t="str">
        <f t="shared" si="137"/>
        <v>Exhibit 1.5A_R North Shore EEPS_Adjustable_Savings_Goal_Template.xlsx, Pipe Insulation Detail Tab</v>
      </c>
      <c r="BF269" s="304"/>
    </row>
    <row r="270" spans="1:58" ht="15.75" customHeight="1">
      <c r="A270" s="295" t="str">
        <f>'Unit Savings Calculations'!C266</f>
        <v>Bus - CI Rebates</v>
      </c>
      <c r="B270" s="295" t="str">
        <f>'Unit Savings Calculations'!D266</f>
        <v>Pipe Insulation - Steam Large Fitting</v>
      </c>
      <c r="C270" s="296">
        <f t="shared" si="125"/>
        <v>1</v>
      </c>
      <c r="D270" s="295" t="str">
        <f>'Unit Savings Calculations'!T266</f>
        <v>4.4.14</v>
      </c>
      <c r="E270" s="460">
        <f>INDEX('Unit Savings Calculations'!$H$4:$H$421,MATCH('Measure-Level Adjustments Tab'!$A270&amp;"_"&amp;'Measure-Level Adjustments Tab'!$B270,'Unit Savings Calculations'!$A$4:$A$421,0))</f>
        <v>15</v>
      </c>
      <c r="F270" s="460">
        <f>INDEX('Unit Savings Calculations'!$I$4:$I$421,MATCH('Measure-Level Adjustments Tab'!A270&amp;"_"&amp;'Measure-Level Adjustments Tab'!B270,'Unit Savings Calculations'!$A$4:$A$421,0))</f>
        <v>15</v>
      </c>
      <c r="G270" s="295" t="str">
        <f>'Unit Savings Calculations'!E266</f>
        <v>each</v>
      </c>
      <c r="H270" s="297">
        <f>'Unit Savings Calculations'!$F266*'Unit Savings Calculations'!J266</f>
        <v>35</v>
      </c>
      <c r="I270" s="297">
        <f>'Unit Savings Calculations'!$F266*'Unit Savings Calculations'!K266</f>
        <v>35</v>
      </c>
      <c r="J270" s="297">
        <f>'Unit Savings Calculations'!$F266*'Unit Savings Calculations'!L266</f>
        <v>35</v>
      </c>
      <c r="K270" s="297">
        <f>'Unit Savings Calculations'!$F266*'Unit Savings Calculations'!M266</f>
        <v>35</v>
      </c>
      <c r="L270" s="295" t="str">
        <f>'Unit Savings Calculations'!U266</f>
        <v>CI-HVC-PINS-V04-160601</v>
      </c>
      <c r="M270" s="405" t="str">
        <f>'Unit Savings Calculations'!R266</f>
        <v>Exhibit 1.5A_R North Shore EEPS_Adjustable_Savings_Goal_Template.xlsx, Pipe Insulation Detail Tab</v>
      </c>
      <c r="N270" s="298">
        <v>51.249515380658096</v>
      </c>
      <c r="O270" s="298">
        <v>51.249515380658096</v>
      </c>
      <c r="P270" s="298">
        <v>51.249515380658096</v>
      </c>
      <c r="Q270" s="298">
        <v>51.249515380658096</v>
      </c>
      <c r="R270" s="299">
        <f>'Unit Savings Calculations'!$G266</f>
        <v>0.79</v>
      </c>
      <c r="S270" s="299">
        <f>'Unit Savings Calculations'!$G266</f>
        <v>0.79</v>
      </c>
      <c r="T270" s="299">
        <f>'Unit Savings Calculations'!$G266</f>
        <v>0.79</v>
      </c>
      <c r="U270" s="299">
        <f>'Unit Savings Calculations'!$G266</f>
        <v>0.79</v>
      </c>
      <c r="V270" s="300">
        <f t="shared" si="126"/>
        <v>1417.0491002751965</v>
      </c>
      <c r="W270" s="300">
        <f t="shared" si="127"/>
        <v>1417.0491002751965</v>
      </c>
      <c r="X270" s="300">
        <f t="shared" si="128"/>
        <v>1417.0491002751965</v>
      </c>
      <c r="Y270" s="300">
        <f t="shared" si="129"/>
        <v>1417.0491002751965</v>
      </c>
      <c r="Z270" s="300">
        <f t="shared" si="130"/>
        <v>5668.1964011007858</v>
      </c>
      <c r="AA270" s="295"/>
      <c r="AB270" s="295"/>
      <c r="AC270" s="298">
        <f>'Unit Savings Calculations'!N266</f>
        <v>51.249515380658096</v>
      </c>
      <c r="AD270" s="295"/>
      <c r="AE270" s="300">
        <f t="shared" si="138"/>
        <v>1417.0491002751965</v>
      </c>
      <c r="AF270" s="297">
        <f t="shared" si="139"/>
        <v>0</v>
      </c>
      <c r="AG270" s="295"/>
      <c r="AH270" s="295">
        <f t="shared" si="140"/>
        <v>0</v>
      </c>
      <c r="AI270" s="298">
        <f>'Unit Savings Calculations'!O266</f>
        <v>51.249515380658096</v>
      </c>
      <c r="AJ270" s="405" t="s">
        <v>879</v>
      </c>
      <c r="AK270" s="300">
        <f t="shared" si="141"/>
        <v>1417.0491002751965</v>
      </c>
      <c r="AL270" s="297">
        <f t="shared" si="142"/>
        <v>0</v>
      </c>
      <c r="AM270" s="295"/>
      <c r="AN270" s="295"/>
      <c r="AO270" s="298">
        <f>'Unit Savings Calculations'!P266</f>
        <v>51.249515380658096</v>
      </c>
      <c r="AP270" s="405" t="s">
        <v>764</v>
      </c>
      <c r="AQ270" s="300">
        <f t="shared" si="143"/>
        <v>1417.0491002751965</v>
      </c>
      <c r="AR270" s="297">
        <f t="shared" si="144"/>
        <v>0</v>
      </c>
      <c r="AS270" s="295"/>
      <c r="AT270" s="295"/>
      <c r="AU270" s="298">
        <f>'Unit Savings Calculations'!Q266</f>
        <v>51.249515380658096</v>
      </c>
      <c r="AV270" s="405" t="str">
        <f t="shared" si="131"/>
        <v>n/a</v>
      </c>
      <c r="AW270" s="300">
        <f t="shared" si="145"/>
        <v>1417.0491002751965</v>
      </c>
      <c r="AX270" s="297">
        <f t="shared" si="146"/>
        <v>0</v>
      </c>
      <c r="AY270" s="300">
        <f t="shared" si="132"/>
        <v>1417.0491002751965</v>
      </c>
      <c r="AZ270" s="300">
        <f t="shared" si="133"/>
        <v>1417.0491002751965</v>
      </c>
      <c r="BA270" s="300">
        <f t="shared" si="134"/>
        <v>1417.0491002751965</v>
      </c>
      <c r="BB270" s="300">
        <f t="shared" si="135"/>
        <v>1417.0491002751965</v>
      </c>
      <c r="BC270" s="301">
        <f t="shared" si="136"/>
        <v>5668.1964011007858</v>
      </c>
      <c r="BD270" s="295" t="s">
        <v>764</v>
      </c>
      <c r="BE270" s="302" t="str">
        <f t="shared" si="137"/>
        <v>Exhibit 1.5A_R North Shore EEPS_Adjustable_Savings_Goal_Template.xlsx, Pipe Insulation Detail Tab</v>
      </c>
      <c r="BF270" s="304"/>
    </row>
    <row r="271" spans="1:58" ht="15.75" customHeight="1">
      <c r="A271" s="295" t="str">
        <f>'Unit Savings Calculations'!C267</f>
        <v>Bus - CI Rebates</v>
      </c>
      <c r="B271" s="295" t="str">
        <f>'Unit Savings Calculations'!D267</f>
        <v>Pipe Insulation - Steam X-Large Fitting</v>
      </c>
      <c r="C271" s="296">
        <f t="shared" si="125"/>
        <v>1</v>
      </c>
      <c r="D271" s="295" t="str">
        <f>'Unit Savings Calculations'!T267</f>
        <v>4.4.14</v>
      </c>
      <c r="E271" s="460">
        <f>INDEX('Unit Savings Calculations'!$H$4:$H$421,MATCH('Measure-Level Adjustments Tab'!$A271&amp;"_"&amp;'Measure-Level Adjustments Tab'!$B271,'Unit Savings Calculations'!$A$4:$A$421,0))</f>
        <v>15</v>
      </c>
      <c r="F271" s="460">
        <f>INDEX('Unit Savings Calculations'!$I$4:$I$421,MATCH('Measure-Level Adjustments Tab'!A271&amp;"_"&amp;'Measure-Level Adjustments Tab'!B271,'Unit Savings Calculations'!$A$4:$A$421,0))</f>
        <v>15</v>
      </c>
      <c r="G271" s="295" t="str">
        <f>'Unit Savings Calculations'!E267</f>
        <v>each</v>
      </c>
      <c r="H271" s="297">
        <f>'Unit Savings Calculations'!$F267*'Unit Savings Calculations'!J267</f>
        <v>0</v>
      </c>
      <c r="I271" s="297">
        <f>'Unit Savings Calculations'!$F267*'Unit Savings Calculations'!K267</f>
        <v>0</v>
      </c>
      <c r="J271" s="297">
        <f>'Unit Savings Calculations'!$F267*'Unit Savings Calculations'!L267</f>
        <v>0</v>
      </c>
      <c r="K271" s="297">
        <f>'Unit Savings Calculations'!$F267*'Unit Savings Calculations'!M267</f>
        <v>0</v>
      </c>
      <c r="L271" s="295" t="str">
        <f>'Unit Savings Calculations'!U267</f>
        <v>CI-HVC-PINS-V04-160601</v>
      </c>
      <c r="M271" s="405" t="str">
        <f>'Unit Savings Calculations'!R267</f>
        <v>Exhibit 1.5A_R North Shore EEPS_Adjustable_Savings_Goal_Template.xlsx, Pipe Insulation Detail Tab</v>
      </c>
      <c r="N271" s="298">
        <v>99.138118398437726</v>
      </c>
      <c r="O271" s="298">
        <v>99.138118398437726</v>
      </c>
      <c r="P271" s="298">
        <v>99.138118398437726</v>
      </c>
      <c r="Q271" s="298">
        <v>99.138118398437726</v>
      </c>
      <c r="R271" s="299">
        <f>'Unit Savings Calculations'!$G267</f>
        <v>0.79</v>
      </c>
      <c r="S271" s="299">
        <f>'Unit Savings Calculations'!$G267</f>
        <v>0.79</v>
      </c>
      <c r="T271" s="299">
        <f>'Unit Savings Calculations'!$G267</f>
        <v>0.79</v>
      </c>
      <c r="U271" s="299">
        <f>'Unit Savings Calculations'!$G267</f>
        <v>0.79</v>
      </c>
      <c r="V271" s="300">
        <f t="shared" si="126"/>
        <v>0</v>
      </c>
      <c r="W271" s="300">
        <f t="shared" si="127"/>
        <v>0</v>
      </c>
      <c r="X271" s="300">
        <f t="shared" si="128"/>
        <v>0</v>
      </c>
      <c r="Y271" s="300">
        <f t="shared" si="129"/>
        <v>0</v>
      </c>
      <c r="Z271" s="300">
        <f t="shared" si="130"/>
        <v>0</v>
      </c>
      <c r="AA271" s="295"/>
      <c r="AB271" s="295"/>
      <c r="AC271" s="298">
        <f>'Unit Savings Calculations'!N267</f>
        <v>99.138118398437726</v>
      </c>
      <c r="AD271" s="295"/>
      <c r="AE271" s="300">
        <f t="shared" si="138"/>
        <v>0</v>
      </c>
      <c r="AF271" s="297">
        <f t="shared" si="139"/>
        <v>0</v>
      </c>
      <c r="AG271" s="295"/>
      <c r="AH271" s="295">
        <f t="shared" si="140"/>
        <v>0</v>
      </c>
      <c r="AI271" s="298">
        <f>'Unit Savings Calculations'!O267</f>
        <v>99.138118398437726</v>
      </c>
      <c r="AJ271" s="405" t="s">
        <v>879</v>
      </c>
      <c r="AK271" s="300">
        <f t="shared" si="141"/>
        <v>0</v>
      </c>
      <c r="AL271" s="297">
        <f t="shared" si="142"/>
        <v>0</v>
      </c>
      <c r="AM271" s="295"/>
      <c r="AN271" s="295"/>
      <c r="AO271" s="298">
        <f>'Unit Savings Calculations'!P267</f>
        <v>99.138118398437726</v>
      </c>
      <c r="AP271" s="405" t="s">
        <v>764</v>
      </c>
      <c r="AQ271" s="300">
        <f t="shared" si="143"/>
        <v>0</v>
      </c>
      <c r="AR271" s="297">
        <f t="shared" si="144"/>
        <v>0</v>
      </c>
      <c r="AS271" s="295"/>
      <c r="AT271" s="295"/>
      <c r="AU271" s="298">
        <f>'Unit Savings Calculations'!Q267</f>
        <v>99.138118398437726</v>
      </c>
      <c r="AV271" s="405" t="str">
        <f t="shared" si="131"/>
        <v>n/a</v>
      </c>
      <c r="AW271" s="300">
        <f t="shared" si="145"/>
        <v>0</v>
      </c>
      <c r="AX271" s="297">
        <f t="shared" si="146"/>
        <v>0</v>
      </c>
      <c r="AY271" s="300">
        <f t="shared" si="132"/>
        <v>0</v>
      </c>
      <c r="AZ271" s="300">
        <f t="shared" si="133"/>
        <v>0</v>
      </c>
      <c r="BA271" s="300">
        <f t="shared" si="134"/>
        <v>0</v>
      </c>
      <c r="BB271" s="300">
        <f t="shared" si="135"/>
        <v>0</v>
      </c>
      <c r="BC271" s="301">
        <f t="shared" si="136"/>
        <v>0</v>
      </c>
      <c r="BD271" s="295" t="s">
        <v>764</v>
      </c>
      <c r="BE271" s="302" t="str">
        <f t="shared" si="137"/>
        <v>Exhibit 1.5A_R North Shore EEPS_Adjustable_Savings_Goal_Template.xlsx, Pipe Insulation Detail Tab</v>
      </c>
      <c r="BF271" s="304"/>
    </row>
    <row r="272" spans="1:58" ht="15.75" customHeight="1">
      <c r="A272" s="295" t="str">
        <f>'Unit Savings Calculations'!C268</f>
        <v>Bus - CI Rebates</v>
      </c>
      <c r="B272" s="295" t="str">
        <f>'Unit Savings Calculations'!D268</f>
        <v>Pipe Insulation - Steam Med Valve</v>
      </c>
      <c r="C272" s="296">
        <f t="shared" si="125"/>
        <v>1</v>
      </c>
      <c r="D272" s="295" t="str">
        <f>'Unit Savings Calculations'!T268</f>
        <v>4.4.14</v>
      </c>
      <c r="E272" s="460">
        <f>INDEX('Unit Savings Calculations'!$H$4:$H$421,MATCH('Measure-Level Adjustments Tab'!$A272&amp;"_"&amp;'Measure-Level Adjustments Tab'!$B272,'Unit Savings Calculations'!$A$4:$A$421,0))</f>
        <v>15</v>
      </c>
      <c r="F272" s="460">
        <f>INDEX('Unit Savings Calculations'!$I$4:$I$421,MATCH('Measure-Level Adjustments Tab'!A272&amp;"_"&amp;'Measure-Level Adjustments Tab'!B272,'Unit Savings Calculations'!$A$4:$A$421,0))</f>
        <v>15</v>
      </c>
      <c r="G272" s="295" t="str">
        <f>'Unit Savings Calculations'!E268</f>
        <v>each</v>
      </c>
      <c r="H272" s="297">
        <f>'Unit Savings Calculations'!$F268*'Unit Savings Calculations'!J268</f>
        <v>0</v>
      </c>
      <c r="I272" s="297">
        <f>'Unit Savings Calculations'!$F268*'Unit Savings Calculations'!K268</f>
        <v>0</v>
      </c>
      <c r="J272" s="297">
        <f>'Unit Savings Calculations'!$F268*'Unit Savings Calculations'!L268</f>
        <v>0</v>
      </c>
      <c r="K272" s="297">
        <f>'Unit Savings Calculations'!$F268*'Unit Savings Calculations'!M268</f>
        <v>0</v>
      </c>
      <c r="L272" s="295" t="str">
        <f>'Unit Savings Calculations'!U268</f>
        <v>CI-HVC-PINS-V04-160601</v>
      </c>
      <c r="M272" s="405" t="str">
        <f>'Unit Savings Calculations'!R268</f>
        <v>Exhibit 1.5A_R North Shore EEPS_Adjustable_Savings_Goal_Template.xlsx, Pipe Insulation Detail Tab</v>
      </c>
      <c r="N272" s="298">
        <v>37.423389683572815</v>
      </c>
      <c r="O272" s="298">
        <v>37.423389683572815</v>
      </c>
      <c r="P272" s="298">
        <v>37.423389683572815</v>
      </c>
      <c r="Q272" s="298">
        <v>37.423389683572815</v>
      </c>
      <c r="R272" s="299">
        <f>'Unit Savings Calculations'!$G268</f>
        <v>0.79</v>
      </c>
      <c r="S272" s="299">
        <f>'Unit Savings Calculations'!$G268</f>
        <v>0.79</v>
      </c>
      <c r="T272" s="299">
        <f>'Unit Savings Calculations'!$G268</f>
        <v>0.79</v>
      </c>
      <c r="U272" s="299">
        <f>'Unit Savings Calculations'!$G268</f>
        <v>0.79</v>
      </c>
      <c r="V272" s="300">
        <f t="shared" si="126"/>
        <v>0</v>
      </c>
      <c r="W272" s="300">
        <f t="shared" si="127"/>
        <v>0</v>
      </c>
      <c r="X272" s="300">
        <f t="shared" si="128"/>
        <v>0</v>
      </c>
      <c r="Y272" s="300">
        <f t="shared" si="129"/>
        <v>0</v>
      </c>
      <c r="Z272" s="300">
        <f t="shared" si="130"/>
        <v>0</v>
      </c>
      <c r="AA272" s="295"/>
      <c r="AB272" s="295"/>
      <c r="AC272" s="298">
        <f>'Unit Savings Calculations'!N268</f>
        <v>37.423389683572815</v>
      </c>
      <c r="AD272" s="295"/>
      <c r="AE272" s="300">
        <f t="shared" si="138"/>
        <v>0</v>
      </c>
      <c r="AF272" s="297">
        <f t="shared" si="139"/>
        <v>0</v>
      </c>
      <c r="AG272" s="295"/>
      <c r="AH272" s="295">
        <f t="shared" si="140"/>
        <v>0</v>
      </c>
      <c r="AI272" s="298">
        <f>'Unit Savings Calculations'!O268</f>
        <v>37.423389683572815</v>
      </c>
      <c r="AJ272" s="405" t="s">
        <v>879</v>
      </c>
      <c r="AK272" s="300">
        <f t="shared" si="141"/>
        <v>0</v>
      </c>
      <c r="AL272" s="297">
        <f t="shared" si="142"/>
        <v>0</v>
      </c>
      <c r="AM272" s="295"/>
      <c r="AN272" s="295"/>
      <c r="AO272" s="298">
        <f>'Unit Savings Calculations'!P268</f>
        <v>37.423389683572815</v>
      </c>
      <c r="AP272" s="405" t="s">
        <v>764</v>
      </c>
      <c r="AQ272" s="300">
        <f t="shared" si="143"/>
        <v>0</v>
      </c>
      <c r="AR272" s="297">
        <f t="shared" si="144"/>
        <v>0</v>
      </c>
      <c r="AS272" s="295"/>
      <c r="AT272" s="295"/>
      <c r="AU272" s="298">
        <f>'Unit Savings Calculations'!Q268</f>
        <v>37.423389683572815</v>
      </c>
      <c r="AV272" s="405" t="str">
        <f t="shared" si="131"/>
        <v>n/a</v>
      </c>
      <c r="AW272" s="300">
        <f t="shared" si="145"/>
        <v>0</v>
      </c>
      <c r="AX272" s="297">
        <f t="shared" si="146"/>
        <v>0</v>
      </c>
      <c r="AY272" s="300">
        <f t="shared" si="132"/>
        <v>0</v>
      </c>
      <c r="AZ272" s="300">
        <f t="shared" si="133"/>
        <v>0</v>
      </c>
      <c r="BA272" s="300">
        <f t="shared" si="134"/>
        <v>0</v>
      </c>
      <c r="BB272" s="300">
        <f t="shared" si="135"/>
        <v>0</v>
      </c>
      <c r="BC272" s="301">
        <f t="shared" si="136"/>
        <v>0</v>
      </c>
      <c r="BD272" s="295" t="s">
        <v>764</v>
      </c>
      <c r="BE272" s="302" t="str">
        <f t="shared" si="137"/>
        <v>Exhibit 1.5A_R North Shore EEPS_Adjustable_Savings_Goal_Template.xlsx, Pipe Insulation Detail Tab</v>
      </c>
      <c r="BF272" s="304"/>
    </row>
    <row r="273" spans="1:58" ht="15.75" customHeight="1">
      <c r="A273" s="295" t="str">
        <f>'Unit Savings Calculations'!C269</f>
        <v>Bus - CI Rebates</v>
      </c>
      <c r="B273" s="295" t="str">
        <f>'Unit Savings Calculations'!D269</f>
        <v>Pipe Insulation - Steam Large Valve</v>
      </c>
      <c r="C273" s="296">
        <f t="shared" si="125"/>
        <v>1</v>
      </c>
      <c r="D273" s="295" t="str">
        <f>'Unit Savings Calculations'!T269</f>
        <v>4.4.14</v>
      </c>
      <c r="E273" s="460">
        <f>INDEX('Unit Savings Calculations'!$H$4:$H$421,MATCH('Measure-Level Adjustments Tab'!$A273&amp;"_"&amp;'Measure-Level Adjustments Tab'!$B273,'Unit Savings Calculations'!$A$4:$A$421,0))</f>
        <v>15</v>
      </c>
      <c r="F273" s="460">
        <f>INDEX('Unit Savings Calculations'!$I$4:$I$421,MATCH('Measure-Level Adjustments Tab'!A273&amp;"_"&amp;'Measure-Level Adjustments Tab'!B273,'Unit Savings Calculations'!$A$4:$A$421,0))</f>
        <v>15</v>
      </c>
      <c r="G273" s="295" t="str">
        <f>'Unit Savings Calculations'!E269</f>
        <v>each</v>
      </c>
      <c r="H273" s="297">
        <f>'Unit Savings Calculations'!$F269*'Unit Savings Calculations'!J269</f>
        <v>12</v>
      </c>
      <c r="I273" s="297">
        <f>'Unit Savings Calculations'!$F269*'Unit Savings Calculations'!K269</f>
        <v>12</v>
      </c>
      <c r="J273" s="297">
        <f>'Unit Savings Calculations'!$F269*'Unit Savings Calculations'!L269</f>
        <v>12</v>
      </c>
      <c r="K273" s="297">
        <f>'Unit Savings Calculations'!$F269*'Unit Savings Calculations'!M269</f>
        <v>12</v>
      </c>
      <c r="L273" s="295" t="str">
        <f>'Unit Savings Calculations'!U269</f>
        <v>CI-HVC-PINS-V04-160601</v>
      </c>
      <c r="M273" s="405" t="str">
        <f>'Unit Savings Calculations'!R269</f>
        <v>Exhibit 1.5A_R North Shore EEPS_Adjustable_Savings_Goal_Template.xlsx, Pipe Insulation Detail Tab</v>
      </c>
      <c r="N273" s="298">
        <v>107.52607289087437</v>
      </c>
      <c r="O273" s="298">
        <v>107.52607289087437</v>
      </c>
      <c r="P273" s="298">
        <v>107.52607289087437</v>
      </c>
      <c r="Q273" s="298">
        <v>107.52607289087437</v>
      </c>
      <c r="R273" s="299">
        <f>'Unit Savings Calculations'!$G269</f>
        <v>0.79</v>
      </c>
      <c r="S273" s="299">
        <f>'Unit Savings Calculations'!$G269</f>
        <v>0.79</v>
      </c>
      <c r="T273" s="299">
        <f>'Unit Savings Calculations'!$G269</f>
        <v>0.79</v>
      </c>
      <c r="U273" s="299">
        <f>'Unit Savings Calculations'!$G269</f>
        <v>0.79</v>
      </c>
      <c r="V273" s="300">
        <f t="shared" si="126"/>
        <v>1019.347171005489</v>
      </c>
      <c r="W273" s="300">
        <f t="shared" si="127"/>
        <v>1019.347171005489</v>
      </c>
      <c r="X273" s="300">
        <f t="shared" si="128"/>
        <v>1019.347171005489</v>
      </c>
      <c r="Y273" s="300">
        <f t="shared" si="129"/>
        <v>1019.347171005489</v>
      </c>
      <c r="Z273" s="300">
        <f t="shared" si="130"/>
        <v>4077.3886840219561</v>
      </c>
      <c r="AA273" s="295"/>
      <c r="AB273" s="295"/>
      <c r="AC273" s="298">
        <f>'Unit Savings Calculations'!N269</f>
        <v>107.52607289087437</v>
      </c>
      <c r="AD273" s="295"/>
      <c r="AE273" s="300">
        <f t="shared" si="138"/>
        <v>1019.347171005489</v>
      </c>
      <c r="AF273" s="297">
        <f t="shared" si="139"/>
        <v>0</v>
      </c>
      <c r="AG273" s="295"/>
      <c r="AH273" s="295">
        <f t="shared" si="140"/>
        <v>0</v>
      </c>
      <c r="AI273" s="298">
        <f>'Unit Savings Calculations'!O269</f>
        <v>107.52607289087437</v>
      </c>
      <c r="AJ273" s="405" t="s">
        <v>879</v>
      </c>
      <c r="AK273" s="300">
        <f t="shared" si="141"/>
        <v>1019.347171005489</v>
      </c>
      <c r="AL273" s="297">
        <f t="shared" si="142"/>
        <v>0</v>
      </c>
      <c r="AM273" s="295"/>
      <c r="AN273" s="295"/>
      <c r="AO273" s="298">
        <f>'Unit Savings Calculations'!P269</f>
        <v>107.52607289087437</v>
      </c>
      <c r="AP273" s="405" t="s">
        <v>764</v>
      </c>
      <c r="AQ273" s="300">
        <f t="shared" si="143"/>
        <v>1019.347171005489</v>
      </c>
      <c r="AR273" s="297">
        <f t="shared" si="144"/>
        <v>0</v>
      </c>
      <c r="AS273" s="295"/>
      <c r="AT273" s="295"/>
      <c r="AU273" s="298">
        <f>'Unit Savings Calculations'!Q269</f>
        <v>107.52607289087437</v>
      </c>
      <c r="AV273" s="405" t="str">
        <f t="shared" si="131"/>
        <v>n/a</v>
      </c>
      <c r="AW273" s="300">
        <f t="shared" si="145"/>
        <v>1019.347171005489</v>
      </c>
      <c r="AX273" s="297">
        <f t="shared" si="146"/>
        <v>0</v>
      </c>
      <c r="AY273" s="300">
        <f t="shared" si="132"/>
        <v>1019.347171005489</v>
      </c>
      <c r="AZ273" s="300">
        <f t="shared" si="133"/>
        <v>1019.347171005489</v>
      </c>
      <c r="BA273" s="300">
        <f t="shared" si="134"/>
        <v>1019.347171005489</v>
      </c>
      <c r="BB273" s="300">
        <f t="shared" si="135"/>
        <v>1019.347171005489</v>
      </c>
      <c r="BC273" s="301">
        <f t="shared" si="136"/>
        <v>4077.3886840219561</v>
      </c>
      <c r="BD273" s="295" t="s">
        <v>764</v>
      </c>
      <c r="BE273" s="302" t="str">
        <f t="shared" si="137"/>
        <v>Exhibit 1.5A_R North Shore EEPS_Adjustable_Savings_Goal_Template.xlsx, Pipe Insulation Detail Tab</v>
      </c>
      <c r="BF273" s="304"/>
    </row>
    <row r="274" spans="1:58" ht="15.75" customHeight="1">
      <c r="A274" s="295" t="str">
        <f>'Unit Savings Calculations'!C270</f>
        <v>Bus - CI Rebates</v>
      </c>
      <c r="B274" s="295" t="str">
        <f>'Unit Savings Calculations'!D270</f>
        <v>Pipe Insulation - Steam X-Large Valve</v>
      </c>
      <c r="C274" s="296">
        <f t="shared" si="125"/>
        <v>1</v>
      </c>
      <c r="D274" s="295" t="str">
        <f>'Unit Savings Calculations'!T270</f>
        <v>4.4.14</v>
      </c>
      <c r="E274" s="460">
        <f>INDEX('Unit Savings Calculations'!$H$4:$H$421,MATCH('Measure-Level Adjustments Tab'!$A274&amp;"_"&amp;'Measure-Level Adjustments Tab'!$B274,'Unit Savings Calculations'!$A$4:$A$421,0))</f>
        <v>15</v>
      </c>
      <c r="F274" s="460">
        <f>INDEX('Unit Savings Calculations'!$I$4:$I$421,MATCH('Measure-Level Adjustments Tab'!A274&amp;"_"&amp;'Measure-Level Adjustments Tab'!B274,'Unit Savings Calculations'!$A$4:$A$421,0))</f>
        <v>15</v>
      </c>
      <c r="G274" s="295" t="str">
        <f>'Unit Savings Calculations'!E270</f>
        <v>each</v>
      </c>
      <c r="H274" s="297">
        <f>'Unit Savings Calculations'!$F270*'Unit Savings Calculations'!J270</f>
        <v>0</v>
      </c>
      <c r="I274" s="297">
        <f>'Unit Savings Calculations'!$F270*'Unit Savings Calculations'!K270</f>
        <v>0</v>
      </c>
      <c r="J274" s="297">
        <f>'Unit Savings Calculations'!$F270*'Unit Savings Calculations'!L270</f>
        <v>0</v>
      </c>
      <c r="K274" s="297">
        <f>'Unit Savings Calculations'!$F270*'Unit Savings Calculations'!M270</f>
        <v>0</v>
      </c>
      <c r="L274" s="295" t="str">
        <f>'Unit Savings Calculations'!U270</f>
        <v>CI-HVC-PINS-V04-160601</v>
      </c>
      <c r="M274" s="405" t="str">
        <f>'Unit Savings Calculations'!R270</f>
        <v>Exhibit 1.5A_R North Shore EEPS_Adjustable_Savings_Goal_Template.xlsx, Pipe Insulation Detail Tab</v>
      </c>
      <c r="N274" s="298">
        <v>175.06254164158375</v>
      </c>
      <c r="O274" s="298">
        <v>175.06254164158375</v>
      </c>
      <c r="P274" s="298">
        <v>175.06254164158375</v>
      </c>
      <c r="Q274" s="298">
        <v>175.06254164158375</v>
      </c>
      <c r="R274" s="299">
        <f>'Unit Savings Calculations'!$G270</f>
        <v>0.79</v>
      </c>
      <c r="S274" s="299">
        <f>'Unit Savings Calculations'!$G270</f>
        <v>0.79</v>
      </c>
      <c r="T274" s="299">
        <f>'Unit Savings Calculations'!$G270</f>
        <v>0.79</v>
      </c>
      <c r="U274" s="299">
        <f>'Unit Savings Calculations'!$G270</f>
        <v>0.79</v>
      </c>
      <c r="V274" s="300">
        <f t="shared" si="126"/>
        <v>0</v>
      </c>
      <c r="W274" s="300">
        <f t="shared" si="127"/>
        <v>0</v>
      </c>
      <c r="X274" s="300">
        <f t="shared" si="128"/>
        <v>0</v>
      </c>
      <c r="Y274" s="300">
        <f t="shared" si="129"/>
        <v>0</v>
      </c>
      <c r="Z274" s="300">
        <f t="shared" si="130"/>
        <v>0</v>
      </c>
      <c r="AA274" s="295"/>
      <c r="AB274" s="295"/>
      <c r="AC274" s="298">
        <f>'Unit Savings Calculations'!N270</f>
        <v>175.06254164158375</v>
      </c>
      <c r="AD274" s="295"/>
      <c r="AE274" s="300">
        <f t="shared" si="138"/>
        <v>0</v>
      </c>
      <c r="AF274" s="297">
        <f t="shared" si="139"/>
        <v>0</v>
      </c>
      <c r="AG274" s="295"/>
      <c r="AH274" s="295">
        <f t="shared" si="140"/>
        <v>0</v>
      </c>
      <c r="AI274" s="298">
        <f>'Unit Savings Calculations'!O270</f>
        <v>175.06254164158375</v>
      </c>
      <c r="AJ274" s="405" t="s">
        <v>879</v>
      </c>
      <c r="AK274" s="300">
        <f t="shared" si="141"/>
        <v>0</v>
      </c>
      <c r="AL274" s="297">
        <f t="shared" si="142"/>
        <v>0</v>
      </c>
      <c r="AM274" s="295"/>
      <c r="AN274" s="295"/>
      <c r="AO274" s="298">
        <f>'Unit Savings Calculations'!P270</f>
        <v>175.06254164158375</v>
      </c>
      <c r="AP274" s="405" t="s">
        <v>764</v>
      </c>
      <c r="AQ274" s="300">
        <f t="shared" si="143"/>
        <v>0</v>
      </c>
      <c r="AR274" s="297">
        <f t="shared" si="144"/>
        <v>0</v>
      </c>
      <c r="AS274" s="295"/>
      <c r="AT274" s="295"/>
      <c r="AU274" s="298">
        <f>'Unit Savings Calculations'!Q270</f>
        <v>175.06254164158375</v>
      </c>
      <c r="AV274" s="405" t="str">
        <f t="shared" si="131"/>
        <v>n/a</v>
      </c>
      <c r="AW274" s="300">
        <f t="shared" si="145"/>
        <v>0</v>
      </c>
      <c r="AX274" s="297">
        <f t="shared" si="146"/>
        <v>0</v>
      </c>
      <c r="AY274" s="300">
        <f t="shared" si="132"/>
        <v>0</v>
      </c>
      <c r="AZ274" s="300">
        <f t="shared" si="133"/>
        <v>0</v>
      </c>
      <c r="BA274" s="300">
        <f t="shared" si="134"/>
        <v>0</v>
      </c>
      <c r="BB274" s="300">
        <f t="shared" si="135"/>
        <v>0</v>
      </c>
      <c r="BC274" s="301">
        <f t="shared" si="136"/>
        <v>0</v>
      </c>
      <c r="BD274" s="295" t="s">
        <v>764</v>
      </c>
      <c r="BE274" s="302" t="str">
        <f t="shared" si="137"/>
        <v>Exhibit 1.5A_R North Shore EEPS_Adjustable_Savings_Goal_Template.xlsx, Pipe Insulation Detail Tab</v>
      </c>
      <c r="BF274" s="304"/>
    </row>
    <row r="275" spans="1:58" ht="15.75" customHeight="1">
      <c r="A275" s="295" t="str">
        <f>'Unit Savings Calculations'!C271</f>
        <v>Bus - CI Rebates</v>
      </c>
      <c r="B275" s="295" t="str">
        <f>'Unit Savings Calculations'!D271</f>
        <v>Pre Rinse Sprayer</v>
      </c>
      <c r="C275" s="296">
        <f t="shared" si="125"/>
        <v>1</v>
      </c>
      <c r="D275" s="295" t="str">
        <f>'Unit Savings Calculations'!T271</f>
        <v>4.2.11</v>
      </c>
      <c r="E275" s="460">
        <f>INDEX('Unit Savings Calculations'!$H$4:$H$421,MATCH('Measure-Level Adjustments Tab'!$A275&amp;"_"&amp;'Measure-Level Adjustments Tab'!$B275,'Unit Savings Calculations'!$A$4:$A$421,0))</f>
        <v>5</v>
      </c>
      <c r="F275" s="460">
        <f>INDEX('Unit Savings Calculations'!$I$4:$I$421,MATCH('Measure-Level Adjustments Tab'!A275&amp;"_"&amp;'Measure-Level Adjustments Tab'!B275,'Unit Savings Calculations'!$A$4:$A$421,0))</f>
        <v>5</v>
      </c>
      <c r="G275" s="295" t="str">
        <f>'Unit Savings Calculations'!E271</f>
        <v>each</v>
      </c>
      <c r="H275" s="297">
        <f>'Unit Savings Calculations'!$F271*'Unit Savings Calculations'!J271</f>
        <v>0</v>
      </c>
      <c r="I275" s="297">
        <f>'Unit Savings Calculations'!$F271*'Unit Savings Calculations'!K271</f>
        <v>0</v>
      </c>
      <c r="J275" s="297">
        <f>'Unit Savings Calculations'!$F271*'Unit Savings Calculations'!L271</f>
        <v>0</v>
      </c>
      <c r="K275" s="297">
        <f>'Unit Savings Calculations'!$F271*'Unit Savings Calculations'!M271</f>
        <v>0</v>
      </c>
      <c r="L275" s="295" t="str">
        <f>'Unit Savings Calculations'!U271</f>
        <v>CI-FSE-SPRY-V04-180101</v>
      </c>
      <c r="M275" s="405" t="str">
        <f>'Unit Savings Calculations'!R271</f>
        <v>Exhibit 1.5A_R North Shore EEPS_Adjustable_Savings_Goal_Template.xlsx, Unit Savings Calculations Tab</v>
      </c>
      <c r="N275" s="298">
        <v>221.04154800000003</v>
      </c>
      <c r="O275" s="298">
        <v>221.04154800000003</v>
      </c>
      <c r="P275" s="298">
        <v>221.04154800000003</v>
      </c>
      <c r="Q275" s="298">
        <v>221.04154800000003</v>
      </c>
      <c r="R275" s="299">
        <f>'Unit Savings Calculations'!$G271</f>
        <v>0.79</v>
      </c>
      <c r="S275" s="299">
        <f>'Unit Savings Calculations'!$G271</f>
        <v>0.79</v>
      </c>
      <c r="T275" s="299">
        <f>'Unit Savings Calculations'!$G271</f>
        <v>0.79</v>
      </c>
      <c r="U275" s="299">
        <f>'Unit Savings Calculations'!$G271</f>
        <v>0.79</v>
      </c>
      <c r="V275" s="300">
        <f t="shared" si="126"/>
        <v>0</v>
      </c>
      <c r="W275" s="300">
        <f t="shared" si="127"/>
        <v>0</v>
      </c>
      <c r="X275" s="300">
        <f t="shared" si="128"/>
        <v>0</v>
      </c>
      <c r="Y275" s="300">
        <f t="shared" si="129"/>
        <v>0</v>
      </c>
      <c r="Z275" s="300">
        <f t="shared" si="130"/>
        <v>0</v>
      </c>
      <c r="AA275" s="295"/>
      <c r="AB275" s="295"/>
      <c r="AC275" s="298">
        <f>'Unit Savings Calculations'!N271</f>
        <v>102.33405</v>
      </c>
      <c r="AD275" s="295"/>
      <c r="AE275" s="300">
        <f t="shared" si="138"/>
        <v>0</v>
      </c>
      <c r="AF275" s="297">
        <f t="shared" si="139"/>
        <v>0</v>
      </c>
      <c r="AG275" s="295"/>
      <c r="AH275" s="295">
        <f t="shared" si="140"/>
        <v>0</v>
      </c>
      <c r="AI275" s="298">
        <f>'Unit Savings Calculations'!O271</f>
        <v>102.33405</v>
      </c>
      <c r="AJ275" s="405" t="s">
        <v>879</v>
      </c>
      <c r="AK275" s="300">
        <f t="shared" si="141"/>
        <v>0</v>
      </c>
      <c r="AL275" s="297">
        <f t="shared" si="142"/>
        <v>0</v>
      </c>
      <c r="AM275" s="295"/>
      <c r="AN275" s="295"/>
      <c r="AO275" s="298">
        <f>'Unit Savings Calculations'!P271</f>
        <v>102.33405</v>
      </c>
      <c r="AP275" s="405" t="s">
        <v>1429</v>
      </c>
      <c r="AQ275" s="300">
        <f t="shared" si="143"/>
        <v>0</v>
      </c>
      <c r="AR275" s="297">
        <f t="shared" si="144"/>
        <v>0</v>
      </c>
      <c r="AS275" s="295"/>
      <c r="AT275" s="295"/>
      <c r="AU275" s="298">
        <f>'Unit Savings Calculations'!Q271</f>
        <v>102.33405</v>
      </c>
      <c r="AV275" s="405" t="str">
        <f t="shared" si="131"/>
        <v>Updated base and EE flow rates</v>
      </c>
      <c r="AW275" s="300">
        <f t="shared" si="145"/>
        <v>0</v>
      </c>
      <c r="AX275" s="297">
        <f t="shared" si="146"/>
        <v>0</v>
      </c>
      <c r="AY275" s="300">
        <f t="shared" si="132"/>
        <v>0</v>
      </c>
      <c r="AZ275" s="300">
        <f t="shared" si="133"/>
        <v>0</v>
      </c>
      <c r="BA275" s="300">
        <f t="shared" si="134"/>
        <v>0</v>
      </c>
      <c r="BB275" s="300">
        <f t="shared" si="135"/>
        <v>0</v>
      </c>
      <c r="BC275" s="301">
        <f t="shared" si="136"/>
        <v>0</v>
      </c>
      <c r="BD275" s="295" t="s">
        <v>764</v>
      </c>
      <c r="BE275" s="302" t="str">
        <f t="shared" si="137"/>
        <v>Exhibit 1.5A_R North Shore EEPS_Adjustable_Savings_Goal_Template.xlsx, Unit Savings Calculations Tab</v>
      </c>
      <c r="BF275" s="304"/>
    </row>
    <row r="276" spans="1:58" ht="15.75" customHeight="1">
      <c r="A276" s="295" t="str">
        <f>'Unit Savings Calculations'!C272</f>
        <v>Bus - CI Rebates</v>
      </c>
      <c r="B276" s="295" t="str">
        <f>'Unit Savings Calculations'!D272</f>
        <v>Steam Boiler ≥82% AFUE, &gt;300MBh TE</v>
      </c>
      <c r="C276" s="296">
        <f t="shared" si="125"/>
        <v>1</v>
      </c>
      <c r="D276" s="295" t="str">
        <f>'Unit Savings Calculations'!T272</f>
        <v>4.4.10</v>
      </c>
      <c r="E276" s="460">
        <f>INDEX('Unit Savings Calculations'!$H$4:$H$421,MATCH('Measure-Level Adjustments Tab'!$A276&amp;"_"&amp;'Measure-Level Adjustments Tab'!$B276,'Unit Savings Calculations'!$A$4:$A$421,0))</f>
        <v>20</v>
      </c>
      <c r="F276" s="460">
        <f>INDEX('Unit Savings Calculations'!$I$4:$I$421,MATCH('Measure-Level Adjustments Tab'!A276&amp;"_"&amp;'Measure-Level Adjustments Tab'!B276,'Unit Savings Calculations'!$A$4:$A$421,0))</f>
        <v>20</v>
      </c>
      <c r="G276" s="295" t="str">
        <f>'Unit Savings Calculations'!E272</f>
        <v>MBH</v>
      </c>
      <c r="H276" s="297">
        <f>'Unit Savings Calculations'!$F272*'Unit Savings Calculations'!J272</f>
        <v>2500</v>
      </c>
      <c r="I276" s="297">
        <f>'Unit Savings Calculations'!$F272*'Unit Savings Calculations'!K272</f>
        <v>2500</v>
      </c>
      <c r="J276" s="297">
        <f>'Unit Savings Calculations'!$F272*'Unit Savings Calculations'!L272</f>
        <v>2500</v>
      </c>
      <c r="K276" s="297">
        <f>'Unit Savings Calculations'!$F272*'Unit Savings Calculations'!M272</f>
        <v>2500</v>
      </c>
      <c r="L276" s="295" t="str">
        <f>'Unit Savings Calculations'!U272</f>
        <v>CI-HVC-BOIL-V05-150601</v>
      </c>
      <c r="M276" s="405" t="str">
        <f>'Unit Savings Calculations'!R272</f>
        <v>Exhibit 1.5A_R North Shore EEPS_Adjustable_Savings_Goal_Template.xlsx, Unit Savings Calculations Tab</v>
      </c>
      <c r="N276" s="298">
        <v>0.58443037974683376</v>
      </c>
      <c r="O276" s="298">
        <v>0.58443037974683376</v>
      </c>
      <c r="P276" s="298">
        <v>0.58443037974683376</v>
      </c>
      <c r="Q276" s="298">
        <v>0.58443037974683376</v>
      </c>
      <c r="R276" s="299">
        <f>'Unit Savings Calculations'!$G272</f>
        <v>0.79</v>
      </c>
      <c r="S276" s="299">
        <f>'Unit Savings Calculations'!$G272</f>
        <v>0.79</v>
      </c>
      <c r="T276" s="299">
        <f>'Unit Savings Calculations'!$G272</f>
        <v>0.79</v>
      </c>
      <c r="U276" s="299">
        <f>'Unit Savings Calculations'!$G272</f>
        <v>0.79</v>
      </c>
      <c r="V276" s="300">
        <f t="shared" si="126"/>
        <v>1154.2499999999968</v>
      </c>
      <c r="W276" s="300">
        <f t="shared" si="127"/>
        <v>1154.2499999999968</v>
      </c>
      <c r="X276" s="300">
        <f t="shared" si="128"/>
        <v>1154.2499999999968</v>
      </c>
      <c r="Y276" s="300">
        <f t="shared" si="129"/>
        <v>1154.2499999999968</v>
      </c>
      <c r="Z276" s="300">
        <f t="shared" si="130"/>
        <v>4616.9999999999873</v>
      </c>
      <c r="AA276" s="295"/>
      <c r="AB276" s="295"/>
      <c r="AC276" s="298">
        <f>'Unit Savings Calculations'!N272</f>
        <v>0.63721518987341585</v>
      </c>
      <c r="AD276" s="295"/>
      <c r="AE276" s="300">
        <f t="shared" si="138"/>
        <v>1258.4999999999964</v>
      </c>
      <c r="AF276" s="297">
        <f t="shared" si="139"/>
        <v>104.24999999999955</v>
      </c>
      <c r="AG276" s="295"/>
      <c r="AH276" s="295">
        <f t="shared" si="140"/>
        <v>0</v>
      </c>
      <c r="AI276" s="298">
        <f>'Unit Savings Calculations'!O272</f>
        <v>0.63721518987341585</v>
      </c>
      <c r="AJ276" s="405" t="s">
        <v>879</v>
      </c>
      <c r="AK276" s="300">
        <f t="shared" si="141"/>
        <v>1258.4999999999964</v>
      </c>
      <c r="AL276" s="297">
        <f t="shared" si="142"/>
        <v>104.24999999999955</v>
      </c>
      <c r="AM276" s="295"/>
      <c r="AN276" s="295"/>
      <c r="AO276" s="298">
        <f>'Unit Savings Calculations'!P272</f>
        <v>0.63721518987341585</v>
      </c>
      <c r="AP276" s="405" t="s">
        <v>1443</v>
      </c>
      <c r="AQ276" s="300">
        <f t="shared" si="143"/>
        <v>1258.4999999999964</v>
      </c>
      <c r="AR276" s="297">
        <f t="shared" si="144"/>
        <v>104.24999999999955</v>
      </c>
      <c r="AS276" s="295"/>
      <c r="AT276" s="295"/>
      <c r="AU276" s="298">
        <f>'Unit Savings Calculations'!Q272</f>
        <v>0.63721518987341585</v>
      </c>
      <c r="AV276" s="405" t="str">
        <f t="shared" si="131"/>
        <v>Updated heating EFLH</v>
      </c>
      <c r="AW276" s="300">
        <f t="shared" si="145"/>
        <v>1258.4999999999964</v>
      </c>
      <c r="AX276" s="297">
        <f t="shared" si="146"/>
        <v>104.24999999999955</v>
      </c>
      <c r="AY276" s="300">
        <f t="shared" si="132"/>
        <v>1258.4999999999964</v>
      </c>
      <c r="AZ276" s="300">
        <f t="shared" si="133"/>
        <v>1258.4999999999964</v>
      </c>
      <c r="BA276" s="300">
        <f t="shared" si="134"/>
        <v>1258.4999999999964</v>
      </c>
      <c r="BB276" s="300">
        <f t="shared" si="135"/>
        <v>1258.4999999999964</v>
      </c>
      <c r="BC276" s="301">
        <f t="shared" si="136"/>
        <v>5033.9999999999854</v>
      </c>
      <c r="BD276" s="295" t="s">
        <v>764</v>
      </c>
      <c r="BE276" s="302" t="str">
        <f t="shared" si="137"/>
        <v>Exhibit 1.5A_R North Shore EEPS_Adjustable_Savings_Goal_Template.xlsx, Unit Savings Calculations Tab</v>
      </c>
      <c r="BF276" s="304"/>
    </row>
    <row r="277" spans="1:58" ht="15.75" customHeight="1">
      <c r="A277" s="295" t="str">
        <f>'Unit Savings Calculations'!C273</f>
        <v>Bus - CI Rebates</v>
      </c>
      <c r="B277" s="295" t="str">
        <f>'Unit Savings Calculations'!D273</f>
        <v>Steam Traps - Dry Cleaner/Industrial</v>
      </c>
      <c r="C277" s="296">
        <f t="shared" si="125"/>
        <v>1</v>
      </c>
      <c r="D277" s="295" t="str">
        <f>'Unit Savings Calculations'!T273</f>
        <v>4.4.16</v>
      </c>
      <c r="E277" s="460">
        <f>INDEX('Unit Savings Calculations'!$H$4:$H$421,MATCH('Measure-Level Adjustments Tab'!$A277&amp;"_"&amp;'Measure-Level Adjustments Tab'!$B277,'Unit Savings Calculations'!$A$4:$A$421,0))</f>
        <v>6</v>
      </c>
      <c r="F277" s="460">
        <f>INDEX('Unit Savings Calculations'!$I$4:$I$421,MATCH('Measure-Level Adjustments Tab'!A277&amp;"_"&amp;'Measure-Level Adjustments Tab'!B277,'Unit Savings Calculations'!$A$4:$A$421,0))</f>
        <v>6</v>
      </c>
      <c r="G277" s="295" t="str">
        <f>'Unit Savings Calculations'!E273</f>
        <v>each</v>
      </c>
      <c r="H277" s="297">
        <f>'Unit Savings Calculations'!$F273*'Unit Savings Calculations'!J273</f>
        <v>75</v>
      </c>
      <c r="I277" s="297">
        <f>'Unit Savings Calculations'!$F273*'Unit Savings Calculations'!K273</f>
        <v>75</v>
      </c>
      <c r="J277" s="297">
        <f>'Unit Savings Calculations'!$F273*'Unit Savings Calculations'!L273</f>
        <v>75</v>
      </c>
      <c r="K277" s="297">
        <f>'Unit Savings Calculations'!$F273*'Unit Savings Calculations'!M273</f>
        <v>75</v>
      </c>
      <c r="L277" s="295" t="str">
        <f>'Unit Savings Calculations'!U273</f>
        <v>CI-HVC-STRE-V05-180101</v>
      </c>
      <c r="M277" s="405" t="str">
        <f>'Unit Savings Calculations'!R273</f>
        <v>Exhibit 1.5A_R North Shore EEPS_Adjustable_Savings_Goal_Template.xlsx, Unit Savings Calculations Tab</v>
      </c>
      <c r="N277" s="298">
        <v>137.91939591078068</v>
      </c>
      <c r="O277" s="298">
        <v>137.91939591078068</v>
      </c>
      <c r="P277" s="298">
        <v>137.91939591078068</v>
      </c>
      <c r="Q277" s="298">
        <v>137.91939591078068</v>
      </c>
      <c r="R277" s="299">
        <f>'Unit Savings Calculations'!$G273</f>
        <v>0.79</v>
      </c>
      <c r="S277" s="299">
        <f>'Unit Savings Calculations'!$G273</f>
        <v>0.79</v>
      </c>
      <c r="T277" s="299">
        <f>'Unit Savings Calculations'!$G273</f>
        <v>0.79</v>
      </c>
      <c r="U277" s="299">
        <f>'Unit Savings Calculations'!$G273</f>
        <v>0.79</v>
      </c>
      <c r="V277" s="300">
        <f t="shared" si="126"/>
        <v>8171.7242077137562</v>
      </c>
      <c r="W277" s="300">
        <f t="shared" si="127"/>
        <v>8171.7242077137562</v>
      </c>
      <c r="X277" s="300">
        <f t="shared" si="128"/>
        <v>8171.7242077137562</v>
      </c>
      <c r="Y277" s="300">
        <f t="shared" si="129"/>
        <v>8171.7242077137562</v>
      </c>
      <c r="Z277" s="300">
        <f t="shared" si="130"/>
        <v>32686.896830855025</v>
      </c>
      <c r="AA277" s="295"/>
      <c r="AB277" s="295"/>
      <c r="AC277" s="298">
        <f>'Unit Savings Calculations'!N273</f>
        <v>137.91939591078068</v>
      </c>
      <c r="AD277" s="295"/>
      <c r="AE277" s="300">
        <f t="shared" si="138"/>
        <v>8171.7242077137562</v>
      </c>
      <c r="AF277" s="297">
        <f t="shared" si="139"/>
        <v>0</v>
      </c>
      <c r="AG277" s="295"/>
      <c r="AH277" s="295">
        <f t="shared" si="140"/>
        <v>0</v>
      </c>
      <c r="AI277" s="298">
        <f>'Unit Savings Calculations'!O273</f>
        <v>137.91939591078068</v>
      </c>
      <c r="AJ277" s="405" t="s">
        <v>879</v>
      </c>
      <c r="AK277" s="300">
        <f t="shared" si="141"/>
        <v>8171.7242077137562</v>
      </c>
      <c r="AL277" s="297">
        <f t="shared" si="142"/>
        <v>0</v>
      </c>
      <c r="AM277" s="295"/>
      <c r="AN277" s="295"/>
      <c r="AO277" s="298">
        <f>'Unit Savings Calculations'!P273</f>
        <v>137.91939591078068</v>
      </c>
      <c r="AP277" s="405" t="s">
        <v>764</v>
      </c>
      <c r="AQ277" s="300">
        <f t="shared" si="143"/>
        <v>8171.7242077137562</v>
      </c>
      <c r="AR277" s="297">
        <f t="shared" si="144"/>
        <v>0</v>
      </c>
      <c r="AS277" s="295"/>
      <c r="AT277" s="295"/>
      <c r="AU277" s="298">
        <f>'Unit Savings Calculations'!Q273</f>
        <v>137.91939591078068</v>
      </c>
      <c r="AV277" s="405" t="str">
        <f t="shared" si="131"/>
        <v>n/a</v>
      </c>
      <c r="AW277" s="300">
        <f t="shared" si="145"/>
        <v>8171.7242077137562</v>
      </c>
      <c r="AX277" s="297">
        <f t="shared" si="146"/>
        <v>0</v>
      </c>
      <c r="AY277" s="300">
        <f t="shared" si="132"/>
        <v>8171.7242077137562</v>
      </c>
      <c r="AZ277" s="300">
        <f t="shared" si="133"/>
        <v>8171.7242077137562</v>
      </c>
      <c r="BA277" s="300">
        <f t="shared" si="134"/>
        <v>8171.7242077137562</v>
      </c>
      <c r="BB277" s="300">
        <f t="shared" si="135"/>
        <v>8171.7242077137562</v>
      </c>
      <c r="BC277" s="301">
        <f t="shared" si="136"/>
        <v>32686.896830855025</v>
      </c>
      <c r="BD277" s="295" t="s">
        <v>764</v>
      </c>
      <c r="BE277" s="302" t="str">
        <f t="shared" si="137"/>
        <v>Exhibit 1.5A_R North Shore EEPS_Adjustable_Savings_Goal_Template.xlsx, Unit Savings Calculations Tab</v>
      </c>
      <c r="BF277" s="304"/>
    </row>
    <row r="278" spans="1:58" ht="15.75" customHeight="1">
      <c r="A278" s="295" t="str">
        <f>'Unit Savings Calculations'!C274</f>
        <v>Bus - CI Rebates</v>
      </c>
      <c r="B278" s="295" t="str">
        <f>'Unit Savings Calculations'!D274</f>
        <v>Steam Traps - HVAC Repair/Rep - Audit</v>
      </c>
      <c r="C278" s="296">
        <f t="shared" si="125"/>
        <v>1</v>
      </c>
      <c r="D278" s="295" t="str">
        <f>'Unit Savings Calculations'!T274</f>
        <v>4.4.16</v>
      </c>
      <c r="E278" s="460">
        <f>INDEX('Unit Savings Calculations'!$H$4:$H$421,MATCH('Measure-Level Adjustments Tab'!$A278&amp;"_"&amp;'Measure-Level Adjustments Tab'!$B278,'Unit Savings Calculations'!$A$4:$A$421,0))</f>
        <v>6</v>
      </c>
      <c r="F278" s="460">
        <f>INDEX('Unit Savings Calculations'!$I$4:$I$421,MATCH('Measure-Level Adjustments Tab'!A278&amp;"_"&amp;'Measure-Level Adjustments Tab'!B278,'Unit Savings Calculations'!$A$4:$A$421,0))</f>
        <v>6</v>
      </c>
      <c r="G278" s="295" t="str">
        <f>'Unit Savings Calculations'!E274</f>
        <v>each</v>
      </c>
      <c r="H278" s="297">
        <f>'Unit Savings Calculations'!$F274*'Unit Savings Calculations'!J274</f>
        <v>75</v>
      </c>
      <c r="I278" s="297">
        <f>'Unit Savings Calculations'!$F274*'Unit Savings Calculations'!K274</f>
        <v>75</v>
      </c>
      <c r="J278" s="297">
        <f>'Unit Savings Calculations'!$F274*'Unit Savings Calculations'!L274</f>
        <v>75</v>
      </c>
      <c r="K278" s="297">
        <f>'Unit Savings Calculations'!$F274*'Unit Savings Calculations'!M274</f>
        <v>75</v>
      </c>
      <c r="L278" s="295" t="str">
        <f>'Unit Savings Calculations'!U274</f>
        <v>CI-HVC-STRE-V05-180101</v>
      </c>
      <c r="M278" s="405" t="str">
        <f>'Unit Savings Calculations'!R274</f>
        <v>Exhibit 1.5A_R North Shore EEPS_Adjustable_Savings_Goal_Template.xlsx, Unit Savings Calculations Tab</v>
      </c>
      <c r="N278" s="298">
        <v>88.453924126394057</v>
      </c>
      <c r="O278" s="298">
        <v>88.453924126394057</v>
      </c>
      <c r="P278" s="298">
        <v>88.453924126394057</v>
      </c>
      <c r="Q278" s="298">
        <v>88.453924126394057</v>
      </c>
      <c r="R278" s="299">
        <f>'Unit Savings Calculations'!$G274</f>
        <v>0.79</v>
      </c>
      <c r="S278" s="299">
        <f>'Unit Savings Calculations'!$G274</f>
        <v>0.79</v>
      </c>
      <c r="T278" s="299">
        <f>'Unit Savings Calculations'!$G274</f>
        <v>0.79</v>
      </c>
      <c r="U278" s="299">
        <f>'Unit Savings Calculations'!$G274</f>
        <v>0.79</v>
      </c>
      <c r="V278" s="300">
        <f t="shared" si="126"/>
        <v>5240.8950044888488</v>
      </c>
      <c r="W278" s="300">
        <f t="shared" si="127"/>
        <v>5240.8950044888488</v>
      </c>
      <c r="X278" s="300">
        <f t="shared" si="128"/>
        <v>5240.8950044888488</v>
      </c>
      <c r="Y278" s="300">
        <f t="shared" si="129"/>
        <v>5240.8950044888488</v>
      </c>
      <c r="Z278" s="300">
        <f t="shared" si="130"/>
        <v>20963.580017955395</v>
      </c>
      <c r="AA278" s="295"/>
      <c r="AB278" s="295"/>
      <c r="AC278" s="298">
        <f>'Unit Savings Calculations'!N274</f>
        <v>88.453924126394057</v>
      </c>
      <c r="AD278" s="295"/>
      <c r="AE278" s="300">
        <f t="shared" si="138"/>
        <v>5240.8950044888488</v>
      </c>
      <c r="AF278" s="297">
        <f t="shared" si="139"/>
        <v>0</v>
      </c>
      <c r="AG278" s="295"/>
      <c r="AH278" s="295">
        <f t="shared" si="140"/>
        <v>0</v>
      </c>
      <c r="AI278" s="298">
        <f>'Unit Savings Calculations'!O274</f>
        <v>88.453924126394057</v>
      </c>
      <c r="AJ278" s="405" t="s">
        <v>879</v>
      </c>
      <c r="AK278" s="300">
        <f t="shared" si="141"/>
        <v>5240.8950044888488</v>
      </c>
      <c r="AL278" s="297">
        <f t="shared" si="142"/>
        <v>0</v>
      </c>
      <c r="AM278" s="295"/>
      <c r="AN278" s="295"/>
      <c r="AO278" s="298">
        <f>'Unit Savings Calculations'!P274</f>
        <v>88.453924126394057</v>
      </c>
      <c r="AP278" s="405" t="s">
        <v>764</v>
      </c>
      <c r="AQ278" s="300">
        <f t="shared" si="143"/>
        <v>5240.8950044888488</v>
      </c>
      <c r="AR278" s="297">
        <f t="shared" si="144"/>
        <v>0</v>
      </c>
      <c r="AS278" s="295"/>
      <c r="AT278" s="295"/>
      <c r="AU278" s="298">
        <f>'Unit Savings Calculations'!Q274</f>
        <v>88.453924126394057</v>
      </c>
      <c r="AV278" s="405" t="str">
        <f t="shared" si="131"/>
        <v>n/a</v>
      </c>
      <c r="AW278" s="300">
        <f t="shared" si="145"/>
        <v>5240.8950044888488</v>
      </c>
      <c r="AX278" s="297">
        <f t="shared" si="146"/>
        <v>0</v>
      </c>
      <c r="AY278" s="300">
        <f t="shared" si="132"/>
        <v>5240.8950044888488</v>
      </c>
      <c r="AZ278" s="300">
        <f t="shared" si="133"/>
        <v>5240.8950044888488</v>
      </c>
      <c r="BA278" s="300">
        <f t="shared" si="134"/>
        <v>5240.8950044888488</v>
      </c>
      <c r="BB278" s="300">
        <f t="shared" si="135"/>
        <v>5240.8950044888488</v>
      </c>
      <c r="BC278" s="301">
        <f t="shared" si="136"/>
        <v>20963.580017955395</v>
      </c>
      <c r="BD278" s="295" t="s">
        <v>764</v>
      </c>
      <c r="BE278" s="302" t="str">
        <f t="shared" si="137"/>
        <v>Exhibit 1.5A_R North Shore EEPS_Adjustable_Savings_Goal_Template.xlsx, Unit Savings Calculations Tab</v>
      </c>
      <c r="BF278" s="304"/>
    </row>
    <row r="279" spans="1:58" ht="15.75" customHeight="1">
      <c r="A279" s="295" t="str">
        <f>'Unit Savings Calculations'!C275</f>
        <v>Bus - CI Rebates</v>
      </c>
      <c r="B279" s="295" t="str">
        <f>'Unit Savings Calculations'!D275</f>
        <v>Steam Traps - HVAC Repair/Rep - No Audit</v>
      </c>
      <c r="C279" s="296">
        <f t="shared" si="125"/>
        <v>1</v>
      </c>
      <c r="D279" s="295" t="str">
        <f>'Unit Savings Calculations'!T275</f>
        <v>4.4.16</v>
      </c>
      <c r="E279" s="460">
        <f>INDEX('Unit Savings Calculations'!$H$4:$H$421,MATCH('Measure-Level Adjustments Tab'!$A279&amp;"_"&amp;'Measure-Level Adjustments Tab'!$B279,'Unit Savings Calculations'!$A$4:$A$421,0))</f>
        <v>6</v>
      </c>
      <c r="F279" s="460">
        <f>INDEX('Unit Savings Calculations'!$I$4:$I$421,MATCH('Measure-Level Adjustments Tab'!A279&amp;"_"&amp;'Measure-Level Adjustments Tab'!B279,'Unit Savings Calculations'!$A$4:$A$421,0))</f>
        <v>6</v>
      </c>
      <c r="G279" s="295" t="str">
        <f>'Unit Savings Calculations'!E275</f>
        <v>each</v>
      </c>
      <c r="H279" s="297">
        <f>'Unit Savings Calculations'!$F275*'Unit Savings Calculations'!J275</f>
        <v>35</v>
      </c>
      <c r="I279" s="297">
        <f>'Unit Savings Calculations'!$F275*'Unit Savings Calculations'!K275</f>
        <v>35</v>
      </c>
      <c r="J279" s="297">
        <f>'Unit Savings Calculations'!$F275*'Unit Savings Calculations'!L275</f>
        <v>35</v>
      </c>
      <c r="K279" s="297">
        <f>'Unit Savings Calculations'!$F275*'Unit Savings Calculations'!M275</f>
        <v>35</v>
      </c>
      <c r="L279" s="295" t="str">
        <f>'Unit Savings Calculations'!U275</f>
        <v>CI-HVC-STRE-V05-180101</v>
      </c>
      <c r="M279" s="405" t="str">
        <f>'Unit Savings Calculations'!R275</f>
        <v>Exhibit 1.5A_R North Shore EEPS_Adjustable_Savings_Goal_Template.xlsx, Unit Savings Calculations Tab</v>
      </c>
      <c r="N279" s="298">
        <v>88.453924126394057</v>
      </c>
      <c r="O279" s="298">
        <v>88.453924126394057</v>
      </c>
      <c r="P279" s="298">
        <v>88.453924126394057</v>
      </c>
      <c r="Q279" s="298">
        <v>88.453924126394057</v>
      </c>
      <c r="R279" s="299">
        <f>'Unit Savings Calculations'!$G275</f>
        <v>0.79</v>
      </c>
      <c r="S279" s="299">
        <f>'Unit Savings Calculations'!$G275</f>
        <v>0.79</v>
      </c>
      <c r="T279" s="299">
        <f>'Unit Savings Calculations'!$G275</f>
        <v>0.79</v>
      </c>
      <c r="U279" s="299">
        <f>'Unit Savings Calculations'!$G275</f>
        <v>0.79</v>
      </c>
      <c r="V279" s="300">
        <f t="shared" si="126"/>
        <v>2445.7510020947957</v>
      </c>
      <c r="W279" s="300">
        <f t="shared" si="127"/>
        <v>2445.7510020947957</v>
      </c>
      <c r="X279" s="300">
        <f t="shared" si="128"/>
        <v>2445.7510020947957</v>
      </c>
      <c r="Y279" s="300">
        <f t="shared" si="129"/>
        <v>2445.7510020947957</v>
      </c>
      <c r="Z279" s="300">
        <f t="shared" si="130"/>
        <v>9783.0040083791828</v>
      </c>
      <c r="AA279" s="295"/>
      <c r="AB279" s="295"/>
      <c r="AC279" s="298">
        <f>'Unit Savings Calculations'!N275</f>
        <v>88.453924126394057</v>
      </c>
      <c r="AD279" s="295"/>
      <c r="AE279" s="300">
        <f t="shared" si="138"/>
        <v>2445.7510020947957</v>
      </c>
      <c r="AF279" s="297">
        <f t="shared" si="139"/>
        <v>0</v>
      </c>
      <c r="AG279" s="295"/>
      <c r="AH279" s="295">
        <f t="shared" si="140"/>
        <v>0</v>
      </c>
      <c r="AI279" s="298">
        <f>'Unit Savings Calculations'!O275</f>
        <v>88.453924126394057</v>
      </c>
      <c r="AJ279" s="405" t="s">
        <v>879</v>
      </c>
      <c r="AK279" s="300">
        <f t="shared" si="141"/>
        <v>2445.7510020947957</v>
      </c>
      <c r="AL279" s="297">
        <f t="shared" si="142"/>
        <v>0</v>
      </c>
      <c r="AM279" s="295"/>
      <c r="AN279" s="295"/>
      <c r="AO279" s="298">
        <f>'Unit Savings Calculations'!P275</f>
        <v>88.453924126394057</v>
      </c>
      <c r="AP279" s="405" t="s">
        <v>764</v>
      </c>
      <c r="AQ279" s="300">
        <f t="shared" si="143"/>
        <v>2445.7510020947957</v>
      </c>
      <c r="AR279" s="297">
        <f t="shared" si="144"/>
        <v>0</v>
      </c>
      <c r="AS279" s="295"/>
      <c r="AT279" s="295"/>
      <c r="AU279" s="298">
        <f>'Unit Savings Calculations'!Q275</f>
        <v>88.453924126394057</v>
      </c>
      <c r="AV279" s="405" t="str">
        <f t="shared" si="131"/>
        <v>n/a</v>
      </c>
      <c r="AW279" s="300">
        <f t="shared" si="145"/>
        <v>2445.7510020947957</v>
      </c>
      <c r="AX279" s="297">
        <f t="shared" si="146"/>
        <v>0</v>
      </c>
      <c r="AY279" s="300">
        <f t="shared" si="132"/>
        <v>2445.7510020947957</v>
      </c>
      <c r="AZ279" s="300">
        <f t="shared" si="133"/>
        <v>2445.7510020947957</v>
      </c>
      <c r="BA279" s="300">
        <f t="shared" si="134"/>
        <v>2445.7510020947957</v>
      </c>
      <c r="BB279" s="300">
        <f t="shared" si="135"/>
        <v>2445.7510020947957</v>
      </c>
      <c r="BC279" s="301">
        <f t="shared" si="136"/>
        <v>9783.0040083791828</v>
      </c>
      <c r="BD279" s="295" t="s">
        <v>764</v>
      </c>
      <c r="BE279" s="302" t="str">
        <f t="shared" si="137"/>
        <v>Exhibit 1.5A_R North Shore EEPS_Adjustable_Savings_Goal_Template.xlsx, Unit Savings Calculations Tab</v>
      </c>
      <c r="BF279" s="304"/>
    </row>
    <row r="280" spans="1:58" ht="15.75" customHeight="1">
      <c r="A280" s="295" t="str">
        <f>'Unit Savings Calculations'!C276</f>
        <v>Bus - CI Rebates</v>
      </c>
      <c r="B280" s="295" t="str">
        <f>'Unit Savings Calculations'!D276</f>
        <v>Steam Traps - Test</v>
      </c>
      <c r="C280" s="296">
        <f t="shared" ref="C280:C348" si="147">IF(D280="Custom",0,1)</f>
        <v>0</v>
      </c>
      <c r="D280" s="295" t="str">
        <f>'Unit Savings Calculations'!T276</f>
        <v>Custom</v>
      </c>
      <c r="E280" s="460">
        <f>INDEX('Unit Savings Calculations'!$H$4:$H$421,MATCH('Measure-Level Adjustments Tab'!$A280&amp;"_"&amp;'Measure-Level Adjustments Tab'!$B280,'Unit Savings Calculations'!$A$4:$A$421,0))</f>
        <v>3</v>
      </c>
      <c r="F280" s="460">
        <f>INDEX('Unit Savings Calculations'!$I$4:$I$421,MATCH('Measure-Level Adjustments Tab'!A280&amp;"_"&amp;'Measure-Level Adjustments Tab'!B280,'Unit Savings Calculations'!$A$4:$A$421,0))</f>
        <v>3</v>
      </c>
      <c r="G280" s="295" t="str">
        <f>'Unit Savings Calculations'!E276</f>
        <v>each</v>
      </c>
      <c r="H280" s="297">
        <f>'Unit Savings Calculations'!$F276*'Unit Savings Calculations'!J276</f>
        <v>35</v>
      </c>
      <c r="I280" s="297">
        <f>'Unit Savings Calculations'!$F276*'Unit Savings Calculations'!K276</f>
        <v>35</v>
      </c>
      <c r="J280" s="297">
        <f>'Unit Savings Calculations'!$F276*'Unit Savings Calculations'!L276</f>
        <v>35</v>
      </c>
      <c r="K280" s="297">
        <f>'Unit Savings Calculations'!$F276*'Unit Savings Calculations'!M276</f>
        <v>35</v>
      </c>
      <c r="L280" s="295" t="str">
        <f>'Unit Savings Calculations'!U276</f>
        <v>Custom</v>
      </c>
      <c r="M280" s="405" t="str">
        <f>'Unit Savings Calculations'!R276</f>
        <v>Custom</v>
      </c>
      <c r="N280" s="298">
        <v>0</v>
      </c>
      <c r="O280" s="298">
        <v>0</v>
      </c>
      <c r="P280" s="298">
        <v>0</v>
      </c>
      <c r="Q280" s="298">
        <v>0</v>
      </c>
      <c r="R280" s="299">
        <f>'Unit Savings Calculations'!$G276</f>
        <v>0.79</v>
      </c>
      <c r="S280" s="299">
        <f>'Unit Savings Calculations'!$G276</f>
        <v>0.79</v>
      </c>
      <c r="T280" s="299">
        <f>'Unit Savings Calculations'!$G276</f>
        <v>0.79</v>
      </c>
      <c r="U280" s="299">
        <f>'Unit Savings Calculations'!$G276</f>
        <v>0.79</v>
      </c>
      <c r="V280" s="300">
        <f t="shared" si="126"/>
        <v>0</v>
      </c>
      <c r="W280" s="300">
        <f t="shared" si="127"/>
        <v>0</v>
      </c>
      <c r="X280" s="300">
        <f t="shared" si="128"/>
        <v>0</v>
      </c>
      <c r="Y280" s="300">
        <f t="shared" si="129"/>
        <v>0</v>
      </c>
      <c r="Z280" s="300">
        <f t="shared" si="130"/>
        <v>0</v>
      </c>
      <c r="AA280" s="406"/>
      <c r="AB280" s="406"/>
      <c r="AC280" s="409">
        <f>'Unit Savings Calculations'!N276</f>
        <v>0</v>
      </c>
      <c r="AD280" s="406"/>
      <c r="AE280" s="407">
        <f t="shared" si="138"/>
        <v>0</v>
      </c>
      <c r="AF280" s="408">
        <f t="shared" si="139"/>
        <v>0</v>
      </c>
      <c r="AG280" s="406"/>
      <c r="AH280" s="406">
        <f t="shared" si="140"/>
        <v>0</v>
      </c>
      <c r="AI280" s="409">
        <f>'Unit Savings Calculations'!O276</f>
        <v>0</v>
      </c>
      <c r="AJ280" s="457" t="s">
        <v>879</v>
      </c>
      <c r="AK280" s="407">
        <f t="shared" si="141"/>
        <v>0</v>
      </c>
      <c r="AL280" s="408">
        <f t="shared" si="142"/>
        <v>0</v>
      </c>
      <c r="AM280" s="406"/>
      <c r="AN280" s="406"/>
      <c r="AO280" s="409">
        <f>'Unit Savings Calculations'!P276</f>
        <v>0</v>
      </c>
      <c r="AP280" s="457" t="s">
        <v>764</v>
      </c>
      <c r="AQ280" s="407">
        <f t="shared" si="143"/>
        <v>0</v>
      </c>
      <c r="AR280" s="408">
        <f t="shared" si="144"/>
        <v>0</v>
      </c>
      <c r="AS280" s="406"/>
      <c r="AT280" s="406"/>
      <c r="AU280" s="409">
        <f>'Unit Savings Calculations'!Q276</f>
        <v>0</v>
      </c>
      <c r="AV280" s="457" t="str">
        <f t="shared" si="131"/>
        <v>n/a</v>
      </c>
      <c r="AW280" s="407">
        <f t="shared" si="145"/>
        <v>0</v>
      </c>
      <c r="AX280" s="408">
        <f t="shared" si="146"/>
        <v>0</v>
      </c>
      <c r="AY280" s="300">
        <f t="shared" si="132"/>
        <v>0</v>
      </c>
      <c r="AZ280" s="300">
        <f t="shared" si="133"/>
        <v>0</v>
      </c>
      <c r="BA280" s="300">
        <f t="shared" si="134"/>
        <v>0</v>
      </c>
      <c r="BB280" s="300">
        <f t="shared" si="135"/>
        <v>0</v>
      </c>
      <c r="BC280" s="301">
        <f t="shared" si="136"/>
        <v>0</v>
      </c>
      <c r="BD280" s="295" t="s">
        <v>764</v>
      </c>
      <c r="BE280" s="302" t="str">
        <f t="shared" si="137"/>
        <v>Custom</v>
      </c>
      <c r="BF280" s="304"/>
    </row>
    <row r="281" spans="1:58" ht="15.75" customHeight="1">
      <c r="A281" s="295" t="str">
        <f>'Unit Savings Calculations'!C277</f>
        <v>Bus - CI Rebates</v>
      </c>
      <c r="B281" s="295" t="str">
        <f>'Unit Savings Calculations'!D277</f>
        <v>Thermostat - Programmable</v>
      </c>
      <c r="C281" s="296">
        <f t="shared" si="147"/>
        <v>1</v>
      </c>
      <c r="D281" s="295" t="str">
        <f>'Unit Savings Calculations'!T277</f>
        <v>4.4.18</v>
      </c>
      <c r="E281" s="460">
        <f>INDEX('Unit Savings Calculations'!$H$4:$H$421,MATCH('Measure-Level Adjustments Tab'!$A281&amp;"_"&amp;'Measure-Level Adjustments Tab'!$B281,'Unit Savings Calculations'!$A$4:$A$421,0))</f>
        <v>4</v>
      </c>
      <c r="F281" s="460">
        <f>INDEX('Unit Savings Calculations'!$I$4:$I$421,MATCH('Measure-Level Adjustments Tab'!A281&amp;"_"&amp;'Measure-Level Adjustments Tab'!B281,'Unit Savings Calculations'!$A$4:$A$421,0))</f>
        <v>4</v>
      </c>
      <c r="G281" s="295" t="str">
        <f>'Unit Savings Calculations'!E277</f>
        <v>each</v>
      </c>
      <c r="H281" s="297">
        <f>'Unit Savings Calculations'!$F277*'Unit Savings Calculations'!J277</f>
        <v>150</v>
      </c>
      <c r="I281" s="297">
        <f>'Unit Savings Calculations'!$F277*'Unit Savings Calculations'!K277</f>
        <v>150</v>
      </c>
      <c r="J281" s="297">
        <f>'Unit Savings Calculations'!$F277*'Unit Savings Calculations'!L277</f>
        <v>150</v>
      </c>
      <c r="K281" s="297">
        <f>'Unit Savings Calculations'!$F277*'Unit Savings Calculations'!M277</f>
        <v>150</v>
      </c>
      <c r="L281" s="295" t="str">
        <f>'Unit Savings Calculations'!U277</f>
        <v>CI-HVC-PROG-V02-150601</v>
      </c>
      <c r="M281" s="405" t="str">
        <f>'Unit Savings Calculations'!R277</f>
        <v>Exhibit 1.5A_R North Shore EEPS_Adjustable_Savings_Goal_Template.xlsx, Thermostat Detail Tab</v>
      </c>
      <c r="N281" s="298">
        <v>124.68584320000001</v>
      </c>
      <c r="O281" s="298">
        <v>124.68584320000001</v>
      </c>
      <c r="P281" s="298">
        <v>124.68584320000001</v>
      </c>
      <c r="Q281" s="298">
        <v>124.68584320000001</v>
      </c>
      <c r="R281" s="299">
        <f>'Unit Savings Calculations'!$G277</f>
        <v>0.79</v>
      </c>
      <c r="S281" s="299">
        <f>'Unit Savings Calculations'!$G277</f>
        <v>0.79</v>
      </c>
      <c r="T281" s="299">
        <f>'Unit Savings Calculations'!$G277</f>
        <v>0.79</v>
      </c>
      <c r="U281" s="299">
        <f>'Unit Savings Calculations'!$G277</f>
        <v>0.79</v>
      </c>
      <c r="V281" s="300">
        <f t="shared" si="126"/>
        <v>14775.272419200002</v>
      </c>
      <c r="W281" s="300">
        <f t="shared" si="127"/>
        <v>14775.272419200002</v>
      </c>
      <c r="X281" s="300">
        <f t="shared" si="128"/>
        <v>14775.272419200002</v>
      </c>
      <c r="Y281" s="300">
        <f t="shared" si="129"/>
        <v>14775.272419200002</v>
      </c>
      <c r="Z281" s="300">
        <f t="shared" si="130"/>
        <v>59101.089676800009</v>
      </c>
      <c r="AA281" s="295"/>
      <c r="AB281" s="295"/>
      <c r="AC281" s="298">
        <f>'Unit Savings Calculations'!N277</f>
        <v>124.68584320000001</v>
      </c>
      <c r="AD281" s="295"/>
      <c r="AE281" s="300">
        <f t="shared" si="138"/>
        <v>14775.272419200002</v>
      </c>
      <c r="AF281" s="297">
        <f t="shared" si="139"/>
        <v>0</v>
      </c>
      <c r="AG281" s="295"/>
      <c r="AH281" s="295">
        <f t="shared" si="140"/>
        <v>0</v>
      </c>
      <c r="AI281" s="298">
        <f>'Unit Savings Calculations'!O277</f>
        <v>124.68584320000001</v>
      </c>
      <c r="AJ281" s="405" t="s">
        <v>879</v>
      </c>
      <c r="AK281" s="300">
        <f t="shared" si="141"/>
        <v>14775.272419200002</v>
      </c>
      <c r="AL281" s="297">
        <f t="shared" si="142"/>
        <v>0</v>
      </c>
      <c r="AM281" s="295"/>
      <c r="AN281" s="295"/>
      <c r="AO281" s="298">
        <f>'Unit Savings Calculations'!P277</f>
        <v>124.68584320000001</v>
      </c>
      <c r="AP281" s="405" t="s">
        <v>764</v>
      </c>
      <c r="AQ281" s="300">
        <f t="shared" si="143"/>
        <v>14775.272419200002</v>
      </c>
      <c r="AR281" s="297">
        <f t="shared" si="144"/>
        <v>0</v>
      </c>
      <c r="AS281" s="295"/>
      <c r="AT281" s="295"/>
      <c r="AU281" s="298">
        <f>'Unit Savings Calculations'!Q277</f>
        <v>124.68584320000001</v>
      </c>
      <c r="AV281" s="405" t="str">
        <f t="shared" si="131"/>
        <v>n/a</v>
      </c>
      <c r="AW281" s="300">
        <f t="shared" si="145"/>
        <v>14775.272419200002</v>
      </c>
      <c r="AX281" s="297">
        <f t="shared" si="146"/>
        <v>0</v>
      </c>
      <c r="AY281" s="300">
        <f t="shared" si="132"/>
        <v>14775.272419200002</v>
      </c>
      <c r="AZ281" s="300">
        <f t="shared" si="133"/>
        <v>14775.272419200002</v>
      </c>
      <c r="BA281" s="300">
        <f t="shared" si="134"/>
        <v>14775.272419200002</v>
      </c>
      <c r="BB281" s="300">
        <f t="shared" si="135"/>
        <v>14775.272419200002</v>
      </c>
      <c r="BC281" s="301">
        <f t="shared" si="136"/>
        <v>59101.089676800009</v>
      </c>
      <c r="BD281" s="295" t="s">
        <v>764</v>
      </c>
      <c r="BE281" s="302" t="str">
        <f t="shared" si="137"/>
        <v>Exhibit 1.5A_R North Shore EEPS_Adjustable_Savings_Goal_Template.xlsx, Thermostat Detail Tab</v>
      </c>
      <c r="BF281" s="304"/>
    </row>
    <row r="282" spans="1:58" ht="15.75" customHeight="1">
      <c r="A282" s="295" t="str">
        <f>'Unit Savings Calculations'!C278</f>
        <v>Bus - CI Rebates</v>
      </c>
      <c r="B282" s="295" t="str">
        <f>'Unit Savings Calculations'!D278</f>
        <v>Water Heater - Storage 88% TE ≥75MBh</v>
      </c>
      <c r="C282" s="296">
        <f t="shared" si="147"/>
        <v>1</v>
      </c>
      <c r="D282" s="295" t="str">
        <f>'Unit Savings Calculations'!T278</f>
        <v>4.3.1</v>
      </c>
      <c r="E282" s="460">
        <f>INDEX('Unit Savings Calculations'!$H$4:$H$421,MATCH('Measure-Level Adjustments Tab'!$A282&amp;"_"&amp;'Measure-Level Adjustments Tab'!$B282,'Unit Savings Calculations'!$A$4:$A$421,0))</f>
        <v>15</v>
      </c>
      <c r="F282" s="460">
        <f>INDEX('Unit Savings Calculations'!$I$4:$I$421,MATCH('Measure-Level Adjustments Tab'!A282&amp;"_"&amp;'Measure-Level Adjustments Tab'!B282,'Unit Savings Calculations'!$A$4:$A$421,0))</f>
        <v>15</v>
      </c>
      <c r="G282" s="295" t="str">
        <f>'Unit Savings Calculations'!E278</f>
        <v>each</v>
      </c>
      <c r="H282" s="297">
        <f>'Unit Savings Calculations'!$F278*'Unit Savings Calculations'!J278</f>
        <v>0</v>
      </c>
      <c r="I282" s="297">
        <f>'Unit Savings Calculations'!$F278*'Unit Savings Calculations'!K278</f>
        <v>0</v>
      </c>
      <c r="J282" s="297">
        <f>'Unit Savings Calculations'!$F278*'Unit Savings Calculations'!L278</f>
        <v>0</v>
      </c>
      <c r="K282" s="297">
        <f>'Unit Savings Calculations'!$F278*'Unit Savings Calculations'!M278</f>
        <v>0</v>
      </c>
      <c r="L282" s="295" t="str">
        <f>'Unit Savings Calculations'!U278</f>
        <v>CI-HW-STWH-V03-180101</v>
      </c>
      <c r="M282" s="405" t="str">
        <f>'Unit Savings Calculations'!R278</f>
        <v>Exhibit 1.5A_R North Shore EEPS_Adjustable_Savings_Goal_Template.xlsx, Unit Savings Calculations Tab</v>
      </c>
      <c r="N282" s="298">
        <v>135.66827090062347</v>
      </c>
      <c r="O282" s="298">
        <v>135.66827090062347</v>
      </c>
      <c r="P282" s="298">
        <v>135.66827090062347</v>
      </c>
      <c r="Q282" s="298">
        <v>135.66827090062347</v>
      </c>
      <c r="R282" s="299">
        <f>'Unit Savings Calculations'!$G278</f>
        <v>0.79</v>
      </c>
      <c r="S282" s="299">
        <f>'Unit Savings Calculations'!$G278</f>
        <v>0.79</v>
      </c>
      <c r="T282" s="299">
        <f>'Unit Savings Calculations'!$G278</f>
        <v>0.79</v>
      </c>
      <c r="U282" s="299">
        <f>'Unit Savings Calculations'!$G278</f>
        <v>0.79</v>
      </c>
      <c r="V282" s="300">
        <f t="shared" si="126"/>
        <v>0</v>
      </c>
      <c r="W282" s="300">
        <f t="shared" si="127"/>
        <v>0</v>
      </c>
      <c r="X282" s="300">
        <f t="shared" si="128"/>
        <v>0</v>
      </c>
      <c r="Y282" s="300">
        <f t="shared" si="129"/>
        <v>0</v>
      </c>
      <c r="Z282" s="300">
        <f t="shared" si="130"/>
        <v>0</v>
      </c>
      <c r="AA282" s="295"/>
      <c r="AB282" s="295"/>
      <c r="AC282" s="298">
        <f>'Unit Savings Calculations'!N278</f>
        <v>1514.573584976577</v>
      </c>
      <c r="AD282" s="295"/>
      <c r="AE282" s="300">
        <f t="shared" si="138"/>
        <v>0</v>
      </c>
      <c r="AF282" s="297">
        <f t="shared" si="139"/>
        <v>0</v>
      </c>
      <c r="AG282" s="295"/>
      <c r="AH282" s="295">
        <f t="shared" si="140"/>
        <v>0</v>
      </c>
      <c r="AI282" s="298">
        <f>'Unit Savings Calculations'!O278</f>
        <v>1514.573584976577</v>
      </c>
      <c r="AJ282" s="405" t="s">
        <v>895</v>
      </c>
      <c r="AK282" s="300">
        <f t="shared" si="141"/>
        <v>0</v>
      </c>
      <c r="AL282" s="297">
        <f t="shared" si="142"/>
        <v>0</v>
      </c>
      <c r="AM282" s="295"/>
      <c r="AN282" s="295"/>
      <c r="AO282" s="298">
        <f>'Unit Savings Calculations'!P278</f>
        <v>1514.573584976577</v>
      </c>
      <c r="AP282" s="405" t="s">
        <v>764</v>
      </c>
      <c r="AQ282" s="300">
        <f t="shared" si="143"/>
        <v>0</v>
      </c>
      <c r="AR282" s="297">
        <f t="shared" si="144"/>
        <v>0</v>
      </c>
      <c r="AS282" s="295"/>
      <c r="AT282" s="295"/>
      <c r="AU282" s="298">
        <f>'Unit Savings Calculations'!Q278</f>
        <v>1514.573584976577</v>
      </c>
      <c r="AV282" s="405" t="str">
        <f t="shared" si="131"/>
        <v>n/a</v>
      </c>
      <c r="AW282" s="300">
        <f t="shared" si="145"/>
        <v>0</v>
      </c>
      <c r="AX282" s="297">
        <f t="shared" si="146"/>
        <v>0</v>
      </c>
      <c r="AY282" s="300">
        <f t="shared" si="132"/>
        <v>0</v>
      </c>
      <c r="AZ282" s="300">
        <f t="shared" si="133"/>
        <v>0</v>
      </c>
      <c r="BA282" s="300">
        <f t="shared" si="134"/>
        <v>0</v>
      </c>
      <c r="BB282" s="300">
        <f t="shared" si="135"/>
        <v>0</v>
      </c>
      <c r="BC282" s="301">
        <f t="shared" si="136"/>
        <v>0</v>
      </c>
      <c r="BD282" s="295" t="s">
        <v>764</v>
      </c>
      <c r="BE282" s="302" t="str">
        <f t="shared" si="137"/>
        <v>Exhibit 1.5A_R North Shore EEPS_Adjustable_Savings_Goal_Template.xlsx, Unit Savings Calculations Tab</v>
      </c>
      <c r="BF282" s="304"/>
    </row>
    <row r="283" spans="1:58" ht="15.75" customHeight="1">
      <c r="A283" s="295" t="str">
        <f>'Unit Savings Calculations'!C279</f>
        <v>Bus - CI Rebates</v>
      </c>
      <c r="B283" s="295" t="str">
        <f>'Unit Savings Calculations'!D279</f>
        <v>Double Rack Oven</v>
      </c>
      <c r="C283" s="296">
        <f t="shared" si="147"/>
        <v>1</v>
      </c>
      <c r="D283" s="295" t="str">
        <f>'Unit Savings Calculations'!T279</f>
        <v>4.2.18</v>
      </c>
      <c r="E283" s="460">
        <f>INDEX('Unit Savings Calculations'!$H$4:$H$421,MATCH('Measure-Level Adjustments Tab'!$A283&amp;"_"&amp;'Measure-Level Adjustments Tab'!$B283,'Unit Savings Calculations'!$A$4:$A$421,0))</f>
        <v>12</v>
      </c>
      <c r="F283" s="460">
        <f>INDEX('Unit Savings Calculations'!$I$4:$I$421,MATCH('Measure-Level Adjustments Tab'!A283&amp;"_"&amp;'Measure-Level Adjustments Tab'!B283,'Unit Savings Calculations'!$A$4:$A$421,0))</f>
        <v>12</v>
      </c>
      <c r="G283" s="295" t="str">
        <f>'Unit Savings Calculations'!E279</f>
        <v>each</v>
      </c>
      <c r="H283" s="297">
        <f>'Unit Savings Calculations'!$F279*'Unit Savings Calculations'!J279</f>
        <v>0</v>
      </c>
      <c r="I283" s="297">
        <f>'Unit Savings Calculations'!$F279*'Unit Savings Calculations'!K279</f>
        <v>0</v>
      </c>
      <c r="J283" s="297">
        <f>'Unit Savings Calculations'!$F279*'Unit Savings Calculations'!L279</f>
        <v>0</v>
      </c>
      <c r="K283" s="297">
        <f>'Unit Savings Calculations'!$F279*'Unit Savings Calculations'!M279</f>
        <v>0</v>
      </c>
      <c r="L283" s="295" t="str">
        <f>'Unit Savings Calculations'!U279</f>
        <v>CI-FSE-RKOV-VO2-180101</v>
      </c>
      <c r="M283" s="405" t="str">
        <f>'Unit Savings Calculations'!R279</f>
        <v>Exhibit 1.5A_R North Shore EEPS_Adjustable_Savings_Goal_Template.xlsx, Unit Savings Calculations Tab</v>
      </c>
      <c r="N283" s="298">
        <v>1930</v>
      </c>
      <c r="O283" s="298">
        <v>1930</v>
      </c>
      <c r="P283" s="298">
        <v>1930</v>
      </c>
      <c r="Q283" s="298">
        <v>1930</v>
      </c>
      <c r="R283" s="299">
        <f>'Unit Savings Calculations'!$G279</f>
        <v>0.79</v>
      </c>
      <c r="S283" s="299">
        <f>'Unit Savings Calculations'!$G279</f>
        <v>0.79</v>
      </c>
      <c r="T283" s="299">
        <f>'Unit Savings Calculations'!$G279</f>
        <v>0.79</v>
      </c>
      <c r="U283" s="299">
        <f>'Unit Savings Calculations'!$G279</f>
        <v>0.79</v>
      </c>
      <c r="V283" s="300">
        <f t="shared" si="126"/>
        <v>0</v>
      </c>
      <c r="W283" s="300">
        <f t="shared" si="127"/>
        <v>0</v>
      </c>
      <c r="X283" s="300">
        <f t="shared" si="128"/>
        <v>0</v>
      </c>
      <c r="Y283" s="300">
        <f t="shared" si="129"/>
        <v>0</v>
      </c>
      <c r="Z283" s="300">
        <f t="shared" si="130"/>
        <v>0</v>
      </c>
      <c r="AA283" s="295"/>
      <c r="AB283" s="295"/>
      <c r="AC283" s="298">
        <f>'Unit Savings Calculations'!N279</f>
        <v>1930</v>
      </c>
      <c r="AD283" s="295"/>
      <c r="AE283" s="300">
        <f t="shared" si="138"/>
        <v>0</v>
      </c>
      <c r="AF283" s="297">
        <f t="shared" si="139"/>
        <v>0</v>
      </c>
      <c r="AG283" s="295"/>
      <c r="AH283" s="295">
        <f t="shared" si="140"/>
        <v>0</v>
      </c>
      <c r="AI283" s="298">
        <f>'Unit Savings Calculations'!O279</f>
        <v>1930</v>
      </c>
      <c r="AJ283" s="405" t="s">
        <v>879</v>
      </c>
      <c r="AK283" s="300">
        <f t="shared" si="141"/>
        <v>0</v>
      </c>
      <c r="AL283" s="297">
        <f t="shared" si="142"/>
        <v>0</v>
      </c>
      <c r="AM283" s="295"/>
      <c r="AN283" s="295"/>
      <c r="AO283" s="298">
        <f>'Unit Savings Calculations'!P279</f>
        <v>1930</v>
      </c>
      <c r="AP283" s="405" t="s">
        <v>764</v>
      </c>
      <c r="AQ283" s="300">
        <f t="shared" si="143"/>
        <v>0</v>
      </c>
      <c r="AR283" s="297">
        <f t="shared" si="144"/>
        <v>0</v>
      </c>
      <c r="AS283" s="295"/>
      <c r="AT283" s="295"/>
      <c r="AU283" s="298">
        <f>'Unit Savings Calculations'!Q279</f>
        <v>1930</v>
      </c>
      <c r="AV283" s="405" t="str">
        <f t="shared" si="131"/>
        <v>n/a</v>
      </c>
      <c r="AW283" s="300">
        <f t="shared" si="145"/>
        <v>0</v>
      </c>
      <c r="AX283" s="297">
        <f t="shared" si="146"/>
        <v>0</v>
      </c>
      <c r="AY283" s="300">
        <f t="shared" si="132"/>
        <v>0</v>
      </c>
      <c r="AZ283" s="300">
        <f t="shared" si="133"/>
        <v>0</v>
      </c>
      <c r="BA283" s="300">
        <f t="shared" si="134"/>
        <v>0</v>
      </c>
      <c r="BB283" s="300">
        <f t="shared" si="135"/>
        <v>0</v>
      </c>
      <c r="BC283" s="301">
        <f t="shared" si="136"/>
        <v>0</v>
      </c>
      <c r="BD283" s="295" t="s">
        <v>764</v>
      </c>
      <c r="BE283" s="302" t="str">
        <f t="shared" si="137"/>
        <v>Exhibit 1.5A_R North Shore EEPS_Adjustable_Savings_Goal_Template.xlsx, Unit Savings Calculations Tab</v>
      </c>
      <c r="BF283" s="304"/>
    </row>
    <row r="284" spans="1:58" ht="15.75" customHeight="1">
      <c r="A284" s="295" t="str">
        <f>'Unit Savings Calculations'!C280</f>
        <v>Bus - CI Rebates</v>
      </c>
      <c r="B284" s="295" t="str">
        <f>'Unit Savings Calculations'!D280</f>
        <v>Energy Star Convection Oven</v>
      </c>
      <c r="C284" s="296">
        <f t="shared" si="147"/>
        <v>1</v>
      </c>
      <c r="D284" s="295" t="str">
        <f>'Unit Savings Calculations'!T280</f>
        <v>4.2.5</v>
      </c>
      <c r="E284" s="460">
        <f>INDEX('Unit Savings Calculations'!$H$4:$H$421,MATCH('Measure-Level Adjustments Tab'!$A284&amp;"_"&amp;'Measure-Level Adjustments Tab'!$B284,'Unit Savings Calculations'!$A$4:$A$421,0))</f>
        <v>12</v>
      </c>
      <c r="F284" s="460">
        <f>INDEX('Unit Savings Calculations'!$I$4:$I$421,MATCH('Measure-Level Adjustments Tab'!A284&amp;"_"&amp;'Measure-Level Adjustments Tab'!B284,'Unit Savings Calculations'!$A$4:$A$421,0))</f>
        <v>12</v>
      </c>
      <c r="G284" s="295" t="str">
        <f>'Unit Savings Calculations'!E280</f>
        <v>each</v>
      </c>
      <c r="H284" s="297">
        <f>'Unit Savings Calculations'!$F280*'Unit Savings Calculations'!J280</f>
        <v>5</v>
      </c>
      <c r="I284" s="297">
        <f>'Unit Savings Calculations'!$F280*'Unit Savings Calculations'!K280</f>
        <v>5</v>
      </c>
      <c r="J284" s="297">
        <f>'Unit Savings Calculations'!$F280*'Unit Savings Calculations'!L280</f>
        <v>5</v>
      </c>
      <c r="K284" s="297">
        <f>'Unit Savings Calculations'!$F280*'Unit Savings Calculations'!M280</f>
        <v>5</v>
      </c>
      <c r="L284" s="295" t="str">
        <f>'Unit Savings Calculations'!U280</f>
        <v>CI-FSE-ESCV-V02-180101</v>
      </c>
      <c r="M284" s="405" t="str">
        <f>'Unit Savings Calculations'!R280</f>
        <v>Exhibit 1.5A_R North Shore EEPS_Adjustable_Savings_Goal_Template.xlsx, Unit Savings Calculations Tab</v>
      </c>
      <c r="N284" s="298">
        <v>352.14445072463781</v>
      </c>
      <c r="O284" s="298">
        <v>352.14445072463781</v>
      </c>
      <c r="P284" s="298">
        <v>352.14445072463781</v>
      </c>
      <c r="Q284" s="298">
        <v>352.14445072463781</v>
      </c>
      <c r="R284" s="299">
        <f>'Unit Savings Calculations'!$G280</f>
        <v>0.79</v>
      </c>
      <c r="S284" s="299">
        <f>'Unit Savings Calculations'!$G280</f>
        <v>0.79</v>
      </c>
      <c r="T284" s="299">
        <f>'Unit Savings Calculations'!$G280</f>
        <v>0.79</v>
      </c>
      <c r="U284" s="299">
        <f>'Unit Savings Calculations'!$G280</f>
        <v>0.79</v>
      </c>
      <c r="V284" s="300">
        <f t="shared" si="126"/>
        <v>1390.9705803623194</v>
      </c>
      <c r="W284" s="300">
        <f t="shared" si="127"/>
        <v>1390.9705803623194</v>
      </c>
      <c r="X284" s="300">
        <f t="shared" si="128"/>
        <v>1390.9705803623194</v>
      </c>
      <c r="Y284" s="300">
        <f t="shared" si="129"/>
        <v>1390.9705803623194</v>
      </c>
      <c r="Z284" s="300">
        <f t="shared" si="130"/>
        <v>5563.8823214492777</v>
      </c>
      <c r="AA284" s="295"/>
      <c r="AB284" s="295"/>
      <c r="AC284" s="298">
        <f>'Unit Savings Calculations'!N280</f>
        <v>352.14445072463781</v>
      </c>
      <c r="AD284" s="295"/>
      <c r="AE284" s="300">
        <f t="shared" si="138"/>
        <v>1390.9705803623194</v>
      </c>
      <c r="AF284" s="297">
        <f t="shared" si="139"/>
        <v>0</v>
      </c>
      <c r="AG284" s="295"/>
      <c r="AH284" s="295">
        <f t="shared" si="140"/>
        <v>0</v>
      </c>
      <c r="AI284" s="298">
        <f>'Unit Savings Calculations'!O280</f>
        <v>352.14445072463781</v>
      </c>
      <c r="AJ284" s="405" t="s">
        <v>879</v>
      </c>
      <c r="AK284" s="300">
        <f t="shared" si="141"/>
        <v>1390.9705803623194</v>
      </c>
      <c r="AL284" s="297">
        <f t="shared" si="142"/>
        <v>0</v>
      </c>
      <c r="AM284" s="295"/>
      <c r="AN284" s="295"/>
      <c r="AO284" s="298">
        <f>'Unit Savings Calculations'!P280</f>
        <v>352.14445072463781</v>
      </c>
      <c r="AP284" s="405" t="s">
        <v>764</v>
      </c>
      <c r="AQ284" s="300">
        <f t="shared" si="143"/>
        <v>1390.9705803623194</v>
      </c>
      <c r="AR284" s="297">
        <f t="shared" si="144"/>
        <v>0</v>
      </c>
      <c r="AS284" s="295"/>
      <c r="AT284" s="295"/>
      <c r="AU284" s="298">
        <f>'Unit Savings Calculations'!Q280</f>
        <v>352.14445072463781</v>
      </c>
      <c r="AV284" s="405" t="str">
        <f t="shared" si="131"/>
        <v>n/a</v>
      </c>
      <c r="AW284" s="300">
        <f t="shared" si="145"/>
        <v>1390.9705803623194</v>
      </c>
      <c r="AX284" s="297">
        <f t="shared" si="146"/>
        <v>0</v>
      </c>
      <c r="AY284" s="300">
        <f t="shared" si="132"/>
        <v>1390.9705803623194</v>
      </c>
      <c r="AZ284" s="300">
        <f t="shared" si="133"/>
        <v>1390.9705803623194</v>
      </c>
      <c r="BA284" s="300">
        <f t="shared" si="134"/>
        <v>1390.9705803623194</v>
      </c>
      <c r="BB284" s="300">
        <f t="shared" si="135"/>
        <v>1390.9705803623194</v>
      </c>
      <c r="BC284" s="301">
        <f t="shared" si="136"/>
        <v>5563.8823214492777</v>
      </c>
      <c r="BD284" s="295" t="s">
        <v>764</v>
      </c>
      <c r="BE284" s="302" t="str">
        <f t="shared" si="137"/>
        <v>Exhibit 1.5A_R North Shore EEPS_Adjustable_Savings_Goal_Template.xlsx, Unit Savings Calculations Tab</v>
      </c>
      <c r="BF284" s="304"/>
    </row>
    <row r="285" spans="1:58" ht="15.75" customHeight="1">
      <c r="A285" s="295" t="str">
        <f>'Unit Savings Calculations'!C281</f>
        <v>Bus - CI Rebates</v>
      </c>
      <c r="B285" s="295" t="str">
        <f>'Unit Savings Calculations'!D281</f>
        <v>Energy Star Conveyer Oven</v>
      </c>
      <c r="C285" s="296">
        <f t="shared" si="147"/>
        <v>1</v>
      </c>
      <c r="D285" s="295" t="str">
        <f>'Unit Savings Calculations'!T281</f>
        <v>4.2.4</v>
      </c>
      <c r="E285" s="460">
        <f>INDEX('Unit Savings Calculations'!$H$4:$H$421,MATCH('Measure-Level Adjustments Tab'!$A285&amp;"_"&amp;'Measure-Level Adjustments Tab'!$B285,'Unit Savings Calculations'!$A$4:$A$421,0))</f>
        <v>17</v>
      </c>
      <c r="F285" s="460">
        <f>INDEX('Unit Savings Calculations'!$I$4:$I$421,MATCH('Measure-Level Adjustments Tab'!A285&amp;"_"&amp;'Measure-Level Adjustments Tab'!B285,'Unit Savings Calculations'!$A$4:$A$421,0))</f>
        <v>17</v>
      </c>
      <c r="G285" s="295" t="str">
        <f>'Unit Savings Calculations'!E281</f>
        <v>each</v>
      </c>
      <c r="H285" s="297">
        <f>'Unit Savings Calculations'!$F281*'Unit Savings Calculations'!J281</f>
        <v>0</v>
      </c>
      <c r="I285" s="297">
        <f>'Unit Savings Calculations'!$F281*'Unit Savings Calculations'!K281</f>
        <v>0</v>
      </c>
      <c r="J285" s="297">
        <f>'Unit Savings Calculations'!$F281*'Unit Savings Calculations'!L281</f>
        <v>0</v>
      </c>
      <c r="K285" s="297">
        <f>'Unit Savings Calculations'!$F281*'Unit Savings Calculations'!M281</f>
        <v>0</v>
      </c>
      <c r="L285" s="295" t="str">
        <f>'Unit Savings Calculations'!U281</f>
        <v>CI-FSE-CVOV-V02-180101</v>
      </c>
      <c r="M285" s="405" t="str">
        <f>'Unit Savings Calculations'!R281</f>
        <v>Exhibit 1.5A_R North Shore EEPS_Adjustable_Savings_Goal_Template.xlsx, Unit Savings Calculations Tab</v>
      </c>
      <c r="N285" s="298">
        <v>884</v>
      </c>
      <c r="O285" s="298">
        <v>884</v>
      </c>
      <c r="P285" s="298">
        <v>884</v>
      </c>
      <c r="Q285" s="298">
        <v>884</v>
      </c>
      <c r="R285" s="299">
        <f>'Unit Savings Calculations'!$G281</f>
        <v>0.79</v>
      </c>
      <c r="S285" s="299">
        <f>'Unit Savings Calculations'!$G281</f>
        <v>0.79</v>
      </c>
      <c r="T285" s="299">
        <f>'Unit Savings Calculations'!$G281</f>
        <v>0.79</v>
      </c>
      <c r="U285" s="299">
        <f>'Unit Savings Calculations'!$G281</f>
        <v>0.79</v>
      </c>
      <c r="V285" s="300">
        <f t="shared" si="126"/>
        <v>0</v>
      </c>
      <c r="W285" s="300">
        <f t="shared" si="127"/>
        <v>0</v>
      </c>
      <c r="X285" s="300">
        <f t="shared" si="128"/>
        <v>0</v>
      </c>
      <c r="Y285" s="300">
        <f t="shared" si="129"/>
        <v>0</v>
      </c>
      <c r="Z285" s="300">
        <f t="shared" si="130"/>
        <v>0</v>
      </c>
      <c r="AA285" s="295"/>
      <c r="AB285" s="295"/>
      <c r="AC285" s="298">
        <f>'Unit Savings Calculations'!N281</f>
        <v>884</v>
      </c>
      <c r="AD285" s="295"/>
      <c r="AE285" s="300">
        <f t="shared" si="138"/>
        <v>0</v>
      </c>
      <c r="AF285" s="297">
        <f t="shared" si="139"/>
        <v>0</v>
      </c>
      <c r="AG285" s="295"/>
      <c r="AH285" s="295">
        <f t="shared" si="140"/>
        <v>0</v>
      </c>
      <c r="AI285" s="298">
        <f>'Unit Savings Calculations'!O281</f>
        <v>884</v>
      </c>
      <c r="AJ285" s="405" t="s">
        <v>879</v>
      </c>
      <c r="AK285" s="300">
        <f t="shared" si="141"/>
        <v>0</v>
      </c>
      <c r="AL285" s="297">
        <f t="shared" si="142"/>
        <v>0</v>
      </c>
      <c r="AM285" s="295"/>
      <c r="AN285" s="295"/>
      <c r="AO285" s="298">
        <f>'Unit Savings Calculations'!P281</f>
        <v>884</v>
      </c>
      <c r="AP285" s="405" t="s">
        <v>764</v>
      </c>
      <c r="AQ285" s="300">
        <f t="shared" si="143"/>
        <v>0</v>
      </c>
      <c r="AR285" s="297">
        <f t="shared" si="144"/>
        <v>0</v>
      </c>
      <c r="AS285" s="295"/>
      <c r="AT285" s="295"/>
      <c r="AU285" s="298">
        <f>'Unit Savings Calculations'!Q281</f>
        <v>884</v>
      </c>
      <c r="AV285" s="405" t="str">
        <f t="shared" si="131"/>
        <v>n/a</v>
      </c>
      <c r="AW285" s="300">
        <f t="shared" si="145"/>
        <v>0</v>
      </c>
      <c r="AX285" s="297">
        <f t="shared" si="146"/>
        <v>0</v>
      </c>
      <c r="AY285" s="300">
        <f t="shared" si="132"/>
        <v>0</v>
      </c>
      <c r="AZ285" s="300">
        <f t="shared" si="133"/>
        <v>0</v>
      </c>
      <c r="BA285" s="300">
        <f t="shared" si="134"/>
        <v>0</v>
      </c>
      <c r="BB285" s="300">
        <f t="shared" si="135"/>
        <v>0</v>
      </c>
      <c r="BC285" s="301">
        <f t="shared" si="136"/>
        <v>0</v>
      </c>
      <c r="BD285" s="295" t="s">
        <v>764</v>
      </c>
      <c r="BE285" s="302" t="str">
        <f t="shared" si="137"/>
        <v>Exhibit 1.5A_R North Shore EEPS_Adjustable_Savings_Goal_Template.xlsx, Unit Savings Calculations Tab</v>
      </c>
      <c r="BF285" s="304"/>
    </row>
    <row r="286" spans="1:58" ht="15.75" customHeight="1">
      <c r="A286" s="295" t="str">
        <f>'Unit Savings Calculations'!C282</f>
        <v>Bus - CI Rebates</v>
      </c>
      <c r="B286" s="295" t="str">
        <f>'Unit Savings Calculations'!D282</f>
        <v>Energy Star Fryer</v>
      </c>
      <c r="C286" s="296">
        <f t="shared" si="147"/>
        <v>1</v>
      </c>
      <c r="D286" s="295" t="str">
        <f>'Unit Savings Calculations'!T282</f>
        <v>4.2.7</v>
      </c>
      <c r="E286" s="460">
        <f>INDEX('Unit Savings Calculations'!$H$4:$H$421,MATCH('Measure-Level Adjustments Tab'!$A286&amp;"_"&amp;'Measure-Level Adjustments Tab'!$B286,'Unit Savings Calculations'!$A$4:$A$421,0))</f>
        <v>15</v>
      </c>
      <c r="F286" s="460">
        <f>INDEX('Unit Savings Calculations'!$I$4:$I$421,MATCH('Measure-Level Adjustments Tab'!A286&amp;"_"&amp;'Measure-Level Adjustments Tab'!B286,'Unit Savings Calculations'!$A$4:$A$421,0))</f>
        <v>12</v>
      </c>
      <c r="G286" s="295" t="str">
        <f>'Unit Savings Calculations'!E282</f>
        <v>each</v>
      </c>
      <c r="H286" s="297">
        <f>'Unit Savings Calculations'!$F282*'Unit Savings Calculations'!J282</f>
        <v>0</v>
      </c>
      <c r="I286" s="297">
        <f>'Unit Savings Calculations'!$F282*'Unit Savings Calculations'!K282</f>
        <v>0</v>
      </c>
      <c r="J286" s="297">
        <f>'Unit Savings Calculations'!$F282*'Unit Savings Calculations'!L282</f>
        <v>0</v>
      </c>
      <c r="K286" s="297">
        <f>'Unit Savings Calculations'!$F282*'Unit Savings Calculations'!M282</f>
        <v>0</v>
      </c>
      <c r="L286" s="295" t="str">
        <f>'Unit Savings Calculations'!U282</f>
        <v>CI-FSE-ESFR-V01-120601</v>
      </c>
      <c r="M286" s="405" t="str">
        <f>'Unit Savings Calculations'!R282</f>
        <v>Exhibit 1.5A_R North Shore EEPS_Adjustable_Savings_Goal_Template.xlsx, Unit Savings Calculations Tab</v>
      </c>
      <c r="N286" s="298">
        <v>505.37299714285717</v>
      </c>
      <c r="O286" s="298">
        <v>505.37299714285717</v>
      </c>
      <c r="P286" s="298">
        <v>505.37299714285717</v>
      </c>
      <c r="Q286" s="298">
        <v>505.37299714285717</v>
      </c>
      <c r="R286" s="299">
        <f>'Unit Savings Calculations'!$G282</f>
        <v>0.79</v>
      </c>
      <c r="S286" s="299">
        <f>'Unit Savings Calculations'!$G282</f>
        <v>0.79</v>
      </c>
      <c r="T286" s="299">
        <f>'Unit Savings Calculations'!$G282</f>
        <v>0.79</v>
      </c>
      <c r="U286" s="299">
        <f>'Unit Savings Calculations'!$G282</f>
        <v>0.79</v>
      </c>
      <c r="V286" s="300">
        <f t="shared" ref="V286:V349" si="148">H286*N286*R286</f>
        <v>0</v>
      </c>
      <c r="W286" s="300">
        <f t="shared" ref="W286:W349" si="149">I286*O286*S286</f>
        <v>0</v>
      </c>
      <c r="X286" s="300">
        <f t="shared" ref="X286:X349" si="150">J286*P286*T286</f>
        <v>0</v>
      </c>
      <c r="Y286" s="300">
        <f t="shared" ref="Y286:Y349" si="151">K286*Q286*U286</f>
        <v>0</v>
      </c>
      <c r="Z286" s="300">
        <f t="shared" ref="Z286:Z349" si="152">V286+W286+X286+Y286</f>
        <v>0</v>
      </c>
      <c r="AA286" s="295"/>
      <c r="AB286" s="295"/>
      <c r="AC286" s="298">
        <f>'Unit Savings Calculations'!N282</f>
        <v>505.37299714285717</v>
      </c>
      <c r="AD286" s="295"/>
      <c r="AE286" s="300">
        <f t="shared" si="138"/>
        <v>0</v>
      </c>
      <c r="AF286" s="297">
        <f t="shared" si="139"/>
        <v>0</v>
      </c>
      <c r="AG286" s="295"/>
      <c r="AH286" s="295">
        <f t="shared" si="140"/>
        <v>0</v>
      </c>
      <c r="AI286" s="298">
        <f>'Unit Savings Calculations'!O282</f>
        <v>505.37299714285717</v>
      </c>
      <c r="AJ286" s="405" t="s">
        <v>879</v>
      </c>
      <c r="AK286" s="300">
        <f t="shared" si="141"/>
        <v>0</v>
      </c>
      <c r="AL286" s="297">
        <f t="shared" si="142"/>
        <v>0</v>
      </c>
      <c r="AM286" s="295"/>
      <c r="AN286" s="295"/>
      <c r="AO286" s="298">
        <f>'Unit Savings Calculations'!P282</f>
        <v>505.37299714285717</v>
      </c>
      <c r="AP286" s="405" t="s">
        <v>764</v>
      </c>
      <c r="AQ286" s="300">
        <f t="shared" si="143"/>
        <v>0</v>
      </c>
      <c r="AR286" s="297">
        <f t="shared" si="144"/>
        <v>0</v>
      </c>
      <c r="AS286" s="295"/>
      <c r="AT286" s="295"/>
      <c r="AU286" s="298">
        <f>'Unit Savings Calculations'!Q282</f>
        <v>505.37299714285717</v>
      </c>
      <c r="AV286" s="405" t="str">
        <f t="shared" si="131"/>
        <v>n/a</v>
      </c>
      <c r="AW286" s="300">
        <f t="shared" si="145"/>
        <v>0</v>
      </c>
      <c r="AX286" s="297">
        <f t="shared" si="146"/>
        <v>0</v>
      </c>
      <c r="AY286" s="300">
        <f t="shared" si="132"/>
        <v>0</v>
      </c>
      <c r="AZ286" s="300">
        <f t="shared" si="133"/>
        <v>0</v>
      </c>
      <c r="BA286" s="300">
        <f t="shared" si="134"/>
        <v>0</v>
      </c>
      <c r="BB286" s="300">
        <f t="shared" si="135"/>
        <v>0</v>
      </c>
      <c r="BC286" s="301">
        <f t="shared" si="136"/>
        <v>0</v>
      </c>
      <c r="BD286" s="295" t="s">
        <v>764</v>
      </c>
      <c r="BE286" s="302" t="str">
        <f t="shared" si="137"/>
        <v>Exhibit 1.5A_R North Shore EEPS_Adjustable_Savings_Goal_Template.xlsx, Unit Savings Calculations Tab</v>
      </c>
      <c r="BF286" s="304"/>
    </row>
    <row r="287" spans="1:58" ht="15.75" customHeight="1">
      <c r="A287" s="295" t="str">
        <f>'Unit Savings Calculations'!C283</f>
        <v>Bus - CI Rebates</v>
      </c>
      <c r="B287" s="295" t="str">
        <f>'Unit Savings Calculations'!D283</f>
        <v>Energy Star Steamer - 3 Pans</v>
      </c>
      <c r="C287" s="296">
        <f t="shared" si="147"/>
        <v>1</v>
      </c>
      <c r="D287" s="295" t="str">
        <f>'Unit Savings Calculations'!T283</f>
        <v>4.2.3</v>
      </c>
      <c r="E287" s="460">
        <f>INDEX('Unit Savings Calculations'!$H$4:$H$421,MATCH('Measure-Level Adjustments Tab'!$A287&amp;"_"&amp;'Measure-Level Adjustments Tab'!$B287,'Unit Savings Calculations'!$A$4:$A$421,0))</f>
        <v>12</v>
      </c>
      <c r="F287" s="460">
        <f>INDEX('Unit Savings Calculations'!$I$4:$I$421,MATCH('Measure-Level Adjustments Tab'!A287&amp;"_"&amp;'Measure-Level Adjustments Tab'!B287,'Unit Savings Calculations'!$A$4:$A$421,0))</f>
        <v>12</v>
      </c>
      <c r="G287" s="295" t="str">
        <f>'Unit Savings Calculations'!E283</f>
        <v>each</v>
      </c>
      <c r="H287" s="297">
        <f>'Unit Savings Calculations'!$F283*'Unit Savings Calculations'!J283</f>
        <v>0</v>
      </c>
      <c r="I287" s="297">
        <f>'Unit Savings Calculations'!$F283*'Unit Savings Calculations'!K283</f>
        <v>0</v>
      </c>
      <c r="J287" s="297">
        <f>'Unit Savings Calculations'!$F283*'Unit Savings Calculations'!L283</f>
        <v>0</v>
      </c>
      <c r="K287" s="297">
        <f>'Unit Savings Calculations'!$F283*'Unit Savings Calculations'!M283</f>
        <v>0</v>
      </c>
      <c r="L287" s="295" t="str">
        <f>'Unit Savings Calculations'!U283</f>
        <v>CI-FSE-STMC-V04-160601</v>
      </c>
      <c r="M287" s="405" t="str">
        <f>'Unit Savings Calculations'!R283</f>
        <v>Exhibit 1.5A_R North Shore EEPS_Adjustable_Savings_Goal_Template.xlsx, Food Equipment Tab</v>
      </c>
      <c r="N287" s="298">
        <v>752.01231086676478</v>
      </c>
      <c r="O287" s="298">
        <v>752.01231086676478</v>
      </c>
      <c r="P287" s="298">
        <v>752.01231086676478</v>
      </c>
      <c r="Q287" s="298">
        <v>752.01231086676478</v>
      </c>
      <c r="R287" s="299">
        <f>'Unit Savings Calculations'!$G283</f>
        <v>0.79</v>
      </c>
      <c r="S287" s="299">
        <f>'Unit Savings Calculations'!$G283</f>
        <v>0.79</v>
      </c>
      <c r="T287" s="299">
        <f>'Unit Savings Calculations'!$G283</f>
        <v>0.79</v>
      </c>
      <c r="U287" s="299">
        <f>'Unit Savings Calculations'!$G283</f>
        <v>0.79</v>
      </c>
      <c r="V287" s="300">
        <f t="shared" si="148"/>
        <v>0</v>
      </c>
      <c r="W287" s="300">
        <f t="shared" si="149"/>
        <v>0</v>
      </c>
      <c r="X287" s="300">
        <f t="shared" si="150"/>
        <v>0</v>
      </c>
      <c r="Y287" s="300">
        <f t="shared" si="151"/>
        <v>0</v>
      </c>
      <c r="Z287" s="300">
        <f t="shared" si="152"/>
        <v>0</v>
      </c>
      <c r="AA287" s="295"/>
      <c r="AB287" s="295"/>
      <c r="AC287" s="298">
        <f>'Unit Savings Calculations'!N283</f>
        <v>752.01231086676478</v>
      </c>
      <c r="AD287" s="295"/>
      <c r="AE287" s="300">
        <f t="shared" si="138"/>
        <v>0</v>
      </c>
      <c r="AF287" s="297">
        <f t="shared" si="139"/>
        <v>0</v>
      </c>
      <c r="AG287" s="295"/>
      <c r="AH287" s="295">
        <f t="shared" si="140"/>
        <v>0</v>
      </c>
      <c r="AI287" s="298">
        <f>'Unit Savings Calculations'!O283</f>
        <v>752.01231086676478</v>
      </c>
      <c r="AJ287" s="405" t="s">
        <v>879</v>
      </c>
      <c r="AK287" s="300">
        <f t="shared" si="141"/>
        <v>0</v>
      </c>
      <c r="AL287" s="297">
        <f t="shared" si="142"/>
        <v>0</v>
      </c>
      <c r="AM287" s="295"/>
      <c r="AN287" s="295"/>
      <c r="AO287" s="298">
        <f>'Unit Savings Calculations'!P283</f>
        <v>752.01231086676478</v>
      </c>
      <c r="AP287" s="405" t="s">
        <v>764</v>
      </c>
      <c r="AQ287" s="300">
        <f t="shared" si="143"/>
        <v>0</v>
      </c>
      <c r="AR287" s="297">
        <f t="shared" si="144"/>
        <v>0</v>
      </c>
      <c r="AS287" s="295"/>
      <c r="AT287" s="295"/>
      <c r="AU287" s="298">
        <f>'Unit Savings Calculations'!Q283</f>
        <v>752.01231086676478</v>
      </c>
      <c r="AV287" s="405" t="str">
        <f t="shared" si="131"/>
        <v>n/a</v>
      </c>
      <c r="AW287" s="300">
        <f t="shared" si="145"/>
        <v>0</v>
      </c>
      <c r="AX287" s="297">
        <f t="shared" si="146"/>
        <v>0</v>
      </c>
      <c r="AY287" s="300">
        <f t="shared" si="132"/>
        <v>0</v>
      </c>
      <c r="AZ287" s="300">
        <f t="shared" si="133"/>
        <v>0</v>
      </c>
      <c r="BA287" s="300">
        <f t="shared" si="134"/>
        <v>0</v>
      </c>
      <c r="BB287" s="300">
        <f t="shared" si="135"/>
        <v>0</v>
      </c>
      <c r="BC287" s="301">
        <f t="shared" si="136"/>
        <v>0</v>
      </c>
      <c r="BD287" s="295" t="s">
        <v>764</v>
      </c>
      <c r="BE287" s="302" t="str">
        <f t="shared" si="137"/>
        <v>Exhibit 1.5A_R North Shore EEPS_Adjustable_Savings_Goal_Template.xlsx, Food Equipment Tab</v>
      </c>
      <c r="BF287" s="304"/>
    </row>
    <row r="288" spans="1:58" ht="15.75" customHeight="1">
      <c r="A288" s="295" t="str">
        <f>'Unit Savings Calculations'!C284</f>
        <v>Bus - CI Rebates</v>
      </c>
      <c r="B288" s="295" t="str">
        <f>'Unit Savings Calculations'!D284</f>
        <v>Energy Star Steamer - 4 Pans</v>
      </c>
      <c r="C288" s="296">
        <f t="shared" si="147"/>
        <v>1</v>
      </c>
      <c r="D288" s="295" t="str">
        <f>'Unit Savings Calculations'!T284</f>
        <v>4.2.3</v>
      </c>
      <c r="E288" s="460">
        <f>INDEX('Unit Savings Calculations'!$H$4:$H$421,MATCH('Measure-Level Adjustments Tab'!$A288&amp;"_"&amp;'Measure-Level Adjustments Tab'!$B288,'Unit Savings Calculations'!$A$4:$A$421,0))</f>
        <v>12</v>
      </c>
      <c r="F288" s="460">
        <f>INDEX('Unit Savings Calculations'!$I$4:$I$421,MATCH('Measure-Level Adjustments Tab'!A288&amp;"_"&amp;'Measure-Level Adjustments Tab'!B288,'Unit Savings Calculations'!$A$4:$A$421,0))</f>
        <v>12</v>
      </c>
      <c r="G288" s="295" t="str">
        <f>'Unit Savings Calculations'!E284</f>
        <v>each</v>
      </c>
      <c r="H288" s="297">
        <f>'Unit Savings Calculations'!$F284*'Unit Savings Calculations'!J284</f>
        <v>10</v>
      </c>
      <c r="I288" s="297">
        <f>'Unit Savings Calculations'!$F284*'Unit Savings Calculations'!K284</f>
        <v>10</v>
      </c>
      <c r="J288" s="297">
        <f>'Unit Savings Calculations'!$F284*'Unit Savings Calculations'!L284</f>
        <v>10</v>
      </c>
      <c r="K288" s="297">
        <f>'Unit Savings Calculations'!$F284*'Unit Savings Calculations'!M284</f>
        <v>10</v>
      </c>
      <c r="L288" s="295" t="str">
        <f>'Unit Savings Calculations'!U284</f>
        <v>CI-FSE-STMC-V04-160601</v>
      </c>
      <c r="M288" s="405" t="str">
        <f>'Unit Savings Calculations'!R284</f>
        <v>Exhibit 1.5A_R North Shore EEPS_Adjustable_Savings_Goal_Template.xlsx, Food Equipment Tab</v>
      </c>
      <c r="N288" s="298">
        <v>1007.2641787965732</v>
      </c>
      <c r="O288" s="298">
        <v>1007.2641787965732</v>
      </c>
      <c r="P288" s="298">
        <v>1007.2641787965732</v>
      </c>
      <c r="Q288" s="298">
        <v>1007.2641787965732</v>
      </c>
      <c r="R288" s="299">
        <f>'Unit Savings Calculations'!$G284</f>
        <v>0.79</v>
      </c>
      <c r="S288" s="299">
        <f>'Unit Savings Calculations'!$G284</f>
        <v>0.79</v>
      </c>
      <c r="T288" s="299">
        <f>'Unit Savings Calculations'!$G284</f>
        <v>0.79</v>
      </c>
      <c r="U288" s="299">
        <f>'Unit Savings Calculations'!$G284</f>
        <v>0.79</v>
      </c>
      <c r="V288" s="300">
        <f t="shared" si="148"/>
        <v>7957.387012492929</v>
      </c>
      <c r="W288" s="300">
        <f t="shared" si="149"/>
        <v>7957.387012492929</v>
      </c>
      <c r="X288" s="300">
        <f t="shared" si="150"/>
        <v>7957.387012492929</v>
      </c>
      <c r="Y288" s="300">
        <f t="shared" si="151"/>
        <v>7957.387012492929</v>
      </c>
      <c r="Z288" s="300">
        <f t="shared" si="152"/>
        <v>31829.548049971716</v>
      </c>
      <c r="AA288" s="295"/>
      <c r="AB288" s="295"/>
      <c r="AC288" s="298">
        <f>'Unit Savings Calculations'!N284</f>
        <v>1007.2641787965732</v>
      </c>
      <c r="AD288" s="295"/>
      <c r="AE288" s="300">
        <f t="shared" si="138"/>
        <v>7957.387012492929</v>
      </c>
      <c r="AF288" s="297">
        <f t="shared" si="139"/>
        <v>0</v>
      </c>
      <c r="AG288" s="295"/>
      <c r="AH288" s="295">
        <f t="shared" si="140"/>
        <v>0</v>
      </c>
      <c r="AI288" s="298">
        <f>'Unit Savings Calculations'!O284</f>
        <v>1007.2641787965732</v>
      </c>
      <c r="AJ288" s="405" t="s">
        <v>879</v>
      </c>
      <c r="AK288" s="300">
        <f t="shared" si="141"/>
        <v>7957.387012492929</v>
      </c>
      <c r="AL288" s="297">
        <f t="shared" si="142"/>
        <v>0</v>
      </c>
      <c r="AM288" s="295"/>
      <c r="AN288" s="295"/>
      <c r="AO288" s="298">
        <f>'Unit Savings Calculations'!P284</f>
        <v>1007.2641787965732</v>
      </c>
      <c r="AP288" s="405" t="s">
        <v>764</v>
      </c>
      <c r="AQ288" s="300">
        <f t="shared" si="143"/>
        <v>7957.387012492929</v>
      </c>
      <c r="AR288" s="297">
        <f t="shared" si="144"/>
        <v>0</v>
      </c>
      <c r="AS288" s="295"/>
      <c r="AT288" s="295"/>
      <c r="AU288" s="298">
        <f>'Unit Savings Calculations'!Q284</f>
        <v>1007.2641787965732</v>
      </c>
      <c r="AV288" s="405" t="str">
        <f t="shared" si="131"/>
        <v>n/a</v>
      </c>
      <c r="AW288" s="300">
        <f t="shared" si="145"/>
        <v>7957.387012492929</v>
      </c>
      <c r="AX288" s="297">
        <f t="shared" si="146"/>
        <v>0</v>
      </c>
      <c r="AY288" s="300">
        <f t="shared" si="132"/>
        <v>7957.387012492929</v>
      </c>
      <c r="AZ288" s="300">
        <f t="shared" si="133"/>
        <v>7957.387012492929</v>
      </c>
      <c r="BA288" s="300">
        <f t="shared" si="134"/>
        <v>7957.387012492929</v>
      </c>
      <c r="BB288" s="300">
        <f t="shared" si="135"/>
        <v>7957.387012492929</v>
      </c>
      <c r="BC288" s="301">
        <f t="shared" si="136"/>
        <v>31829.548049971716</v>
      </c>
      <c r="BD288" s="295" t="s">
        <v>764</v>
      </c>
      <c r="BE288" s="302" t="str">
        <f t="shared" si="137"/>
        <v>Exhibit 1.5A_R North Shore EEPS_Adjustable_Savings_Goal_Template.xlsx, Food Equipment Tab</v>
      </c>
      <c r="BF288" s="304"/>
    </row>
    <row r="289" spans="1:58" ht="15.75" customHeight="1">
      <c r="A289" s="295" t="str">
        <f>'Unit Savings Calculations'!C285</f>
        <v>Bus - CI Rebates</v>
      </c>
      <c r="B289" s="295" t="str">
        <f>'Unit Savings Calculations'!D285</f>
        <v>Energy Star Steamer - 5 Pans</v>
      </c>
      <c r="C289" s="296">
        <f t="shared" si="147"/>
        <v>1</v>
      </c>
      <c r="D289" s="295" t="str">
        <f>'Unit Savings Calculations'!T285</f>
        <v>4.2.3</v>
      </c>
      <c r="E289" s="460">
        <f>INDEX('Unit Savings Calculations'!$H$4:$H$421,MATCH('Measure-Level Adjustments Tab'!$A289&amp;"_"&amp;'Measure-Level Adjustments Tab'!$B289,'Unit Savings Calculations'!$A$4:$A$421,0))</f>
        <v>12</v>
      </c>
      <c r="F289" s="460">
        <f>INDEX('Unit Savings Calculations'!$I$4:$I$421,MATCH('Measure-Level Adjustments Tab'!A289&amp;"_"&amp;'Measure-Level Adjustments Tab'!B289,'Unit Savings Calculations'!$A$4:$A$421,0))</f>
        <v>12</v>
      </c>
      <c r="G289" s="295" t="str">
        <f>'Unit Savings Calculations'!E285</f>
        <v>each</v>
      </c>
      <c r="H289" s="297">
        <f>'Unit Savings Calculations'!$F285*'Unit Savings Calculations'!J285</f>
        <v>0</v>
      </c>
      <c r="I289" s="297">
        <f>'Unit Savings Calculations'!$F285*'Unit Savings Calculations'!K285</f>
        <v>0</v>
      </c>
      <c r="J289" s="297">
        <f>'Unit Savings Calculations'!$F285*'Unit Savings Calculations'!L285</f>
        <v>0</v>
      </c>
      <c r="K289" s="297">
        <f>'Unit Savings Calculations'!$F285*'Unit Savings Calculations'!M285</f>
        <v>0</v>
      </c>
      <c r="L289" s="295" t="str">
        <f>'Unit Savings Calculations'!U285</f>
        <v>CI-FSE-STMC-V04-160601</v>
      </c>
      <c r="M289" s="405" t="str">
        <f>'Unit Savings Calculations'!R285</f>
        <v>Exhibit 1.5A_R North Shore EEPS_Adjustable_Savings_Goal_Template.xlsx, Food Equipment Tab</v>
      </c>
      <c r="N289" s="298">
        <v>1248.6709419898457</v>
      </c>
      <c r="O289" s="298">
        <v>1248.6709419898457</v>
      </c>
      <c r="P289" s="298">
        <v>1248.6709419898457</v>
      </c>
      <c r="Q289" s="298">
        <v>1248.6709419898457</v>
      </c>
      <c r="R289" s="299">
        <f>'Unit Savings Calculations'!$G285</f>
        <v>0.79</v>
      </c>
      <c r="S289" s="299">
        <f>'Unit Savings Calculations'!$G285</f>
        <v>0.79</v>
      </c>
      <c r="T289" s="299">
        <f>'Unit Savings Calculations'!$G285</f>
        <v>0.79</v>
      </c>
      <c r="U289" s="299">
        <f>'Unit Savings Calculations'!$G285</f>
        <v>0.79</v>
      </c>
      <c r="V289" s="300">
        <f t="shared" si="148"/>
        <v>0</v>
      </c>
      <c r="W289" s="300">
        <f t="shared" si="149"/>
        <v>0</v>
      </c>
      <c r="X289" s="300">
        <f t="shared" si="150"/>
        <v>0</v>
      </c>
      <c r="Y289" s="300">
        <f t="shared" si="151"/>
        <v>0</v>
      </c>
      <c r="Z289" s="300">
        <f t="shared" si="152"/>
        <v>0</v>
      </c>
      <c r="AA289" s="295"/>
      <c r="AB289" s="295"/>
      <c r="AC289" s="298">
        <f>'Unit Savings Calculations'!N285</f>
        <v>1248.6709419898457</v>
      </c>
      <c r="AD289" s="295"/>
      <c r="AE289" s="300">
        <f t="shared" si="138"/>
        <v>0</v>
      </c>
      <c r="AF289" s="297">
        <f t="shared" si="139"/>
        <v>0</v>
      </c>
      <c r="AG289" s="295"/>
      <c r="AH289" s="295">
        <f t="shared" si="140"/>
        <v>0</v>
      </c>
      <c r="AI289" s="298">
        <f>'Unit Savings Calculations'!O285</f>
        <v>1248.6709419898457</v>
      </c>
      <c r="AJ289" s="405" t="s">
        <v>879</v>
      </c>
      <c r="AK289" s="300">
        <f t="shared" si="141"/>
        <v>0</v>
      </c>
      <c r="AL289" s="297">
        <f t="shared" si="142"/>
        <v>0</v>
      </c>
      <c r="AM289" s="295"/>
      <c r="AN289" s="295"/>
      <c r="AO289" s="298">
        <f>'Unit Savings Calculations'!P285</f>
        <v>1248.6709419898457</v>
      </c>
      <c r="AP289" s="405" t="s">
        <v>764</v>
      </c>
      <c r="AQ289" s="300">
        <f t="shared" si="143"/>
        <v>0</v>
      </c>
      <c r="AR289" s="297">
        <f t="shared" si="144"/>
        <v>0</v>
      </c>
      <c r="AS289" s="295"/>
      <c r="AT289" s="295"/>
      <c r="AU289" s="298">
        <f>'Unit Savings Calculations'!Q285</f>
        <v>1248.6709419898457</v>
      </c>
      <c r="AV289" s="405" t="str">
        <f t="shared" si="131"/>
        <v>n/a</v>
      </c>
      <c r="AW289" s="300">
        <f t="shared" si="145"/>
        <v>0</v>
      </c>
      <c r="AX289" s="297">
        <f t="shared" si="146"/>
        <v>0</v>
      </c>
      <c r="AY289" s="300">
        <f t="shared" si="132"/>
        <v>0</v>
      </c>
      <c r="AZ289" s="300">
        <f t="shared" si="133"/>
        <v>0</v>
      </c>
      <c r="BA289" s="300">
        <f t="shared" si="134"/>
        <v>0</v>
      </c>
      <c r="BB289" s="300">
        <f t="shared" si="135"/>
        <v>0</v>
      </c>
      <c r="BC289" s="301">
        <f t="shared" si="136"/>
        <v>0</v>
      </c>
      <c r="BD289" s="295" t="s">
        <v>764</v>
      </c>
      <c r="BE289" s="302" t="str">
        <f t="shared" si="137"/>
        <v>Exhibit 1.5A_R North Shore EEPS_Adjustable_Savings_Goal_Template.xlsx, Food Equipment Tab</v>
      </c>
      <c r="BF289" s="304"/>
    </row>
    <row r="290" spans="1:58" ht="15.75" customHeight="1">
      <c r="A290" s="295" t="str">
        <f>'Unit Savings Calculations'!C286</f>
        <v>Bus - CI Rebates</v>
      </c>
      <c r="B290" s="295" t="str">
        <f>'Unit Savings Calculations'!D286</f>
        <v>Energy Star Steamer - 6 Pans</v>
      </c>
      <c r="C290" s="296">
        <f t="shared" si="147"/>
        <v>1</v>
      </c>
      <c r="D290" s="295" t="str">
        <f>'Unit Savings Calculations'!T286</f>
        <v>4.2.3</v>
      </c>
      <c r="E290" s="460">
        <f>INDEX('Unit Savings Calculations'!$H$4:$H$421,MATCH('Measure-Level Adjustments Tab'!$A290&amp;"_"&amp;'Measure-Level Adjustments Tab'!$B290,'Unit Savings Calculations'!$A$4:$A$421,0))</f>
        <v>12</v>
      </c>
      <c r="F290" s="460">
        <f>INDEX('Unit Savings Calculations'!$I$4:$I$421,MATCH('Measure-Level Adjustments Tab'!A290&amp;"_"&amp;'Measure-Level Adjustments Tab'!B290,'Unit Savings Calculations'!$A$4:$A$421,0))</f>
        <v>12</v>
      </c>
      <c r="G290" s="295" t="str">
        <f>'Unit Savings Calculations'!E286</f>
        <v>each</v>
      </c>
      <c r="H290" s="297">
        <f>'Unit Savings Calculations'!$F286*'Unit Savings Calculations'!J286</f>
        <v>0</v>
      </c>
      <c r="I290" s="297">
        <f>'Unit Savings Calculations'!$F286*'Unit Savings Calculations'!K286</f>
        <v>0</v>
      </c>
      <c r="J290" s="297">
        <f>'Unit Savings Calculations'!$F286*'Unit Savings Calculations'!L286</f>
        <v>0</v>
      </c>
      <c r="K290" s="297">
        <f>'Unit Savings Calculations'!$F286*'Unit Savings Calculations'!M286</f>
        <v>0</v>
      </c>
      <c r="L290" s="295" t="str">
        <f>'Unit Savings Calculations'!U286</f>
        <v>CI-FSE-STMC-V04-160601</v>
      </c>
      <c r="M290" s="405" t="str">
        <f>'Unit Savings Calculations'!R286</f>
        <v>Exhibit 1.5A_R North Shore EEPS_Adjustable_Savings_Goal_Template.xlsx, Food Equipment Tab</v>
      </c>
      <c r="N290" s="298">
        <v>1503.8794358667649</v>
      </c>
      <c r="O290" s="298">
        <v>1503.8794358667649</v>
      </c>
      <c r="P290" s="298">
        <v>1503.8794358667649</v>
      </c>
      <c r="Q290" s="298">
        <v>1503.8794358667649</v>
      </c>
      <c r="R290" s="299">
        <f>'Unit Savings Calculations'!$G286</f>
        <v>0.79</v>
      </c>
      <c r="S290" s="299">
        <f>'Unit Savings Calculations'!$G286</f>
        <v>0.79</v>
      </c>
      <c r="T290" s="299">
        <f>'Unit Savings Calculations'!$G286</f>
        <v>0.79</v>
      </c>
      <c r="U290" s="299">
        <f>'Unit Savings Calculations'!$G286</f>
        <v>0.79</v>
      </c>
      <c r="V290" s="300">
        <f t="shared" si="148"/>
        <v>0</v>
      </c>
      <c r="W290" s="300">
        <f t="shared" si="149"/>
        <v>0</v>
      </c>
      <c r="X290" s="300">
        <f t="shared" si="150"/>
        <v>0</v>
      </c>
      <c r="Y290" s="300">
        <f t="shared" si="151"/>
        <v>0</v>
      </c>
      <c r="Z290" s="300">
        <f t="shared" si="152"/>
        <v>0</v>
      </c>
      <c r="AA290" s="295"/>
      <c r="AB290" s="295"/>
      <c r="AC290" s="298">
        <f>'Unit Savings Calculations'!N286</f>
        <v>1503.8794358667649</v>
      </c>
      <c r="AD290" s="295"/>
      <c r="AE290" s="300">
        <f t="shared" si="138"/>
        <v>0</v>
      </c>
      <c r="AF290" s="297">
        <f t="shared" si="139"/>
        <v>0</v>
      </c>
      <c r="AG290" s="295"/>
      <c r="AH290" s="295">
        <f t="shared" si="140"/>
        <v>0</v>
      </c>
      <c r="AI290" s="298">
        <f>'Unit Savings Calculations'!O286</f>
        <v>1503.8794358667649</v>
      </c>
      <c r="AJ290" s="405" t="s">
        <v>879</v>
      </c>
      <c r="AK290" s="300">
        <f t="shared" si="141"/>
        <v>0</v>
      </c>
      <c r="AL290" s="297">
        <f t="shared" si="142"/>
        <v>0</v>
      </c>
      <c r="AM290" s="295"/>
      <c r="AN290" s="295"/>
      <c r="AO290" s="298">
        <f>'Unit Savings Calculations'!P286</f>
        <v>1503.8794358667649</v>
      </c>
      <c r="AP290" s="405" t="s">
        <v>764</v>
      </c>
      <c r="AQ290" s="300">
        <f t="shared" si="143"/>
        <v>0</v>
      </c>
      <c r="AR290" s="297">
        <f t="shared" si="144"/>
        <v>0</v>
      </c>
      <c r="AS290" s="295"/>
      <c r="AT290" s="295"/>
      <c r="AU290" s="298">
        <f>'Unit Savings Calculations'!Q286</f>
        <v>1503.8794358667649</v>
      </c>
      <c r="AV290" s="405" t="str">
        <f t="shared" si="131"/>
        <v>n/a</v>
      </c>
      <c r="AW290" s="300">
        <f t="shared" si="145"/>
        <v>0</v>
      </c>
      <c r="AX290" s="297">
        <f t="shared" si="146"/>
        <v>0</v>
      </c>
      <c r="AY290" s="300">
        <f t="shared" si="132"/>
        <v>0</v>
      </c>
      <c r="AZ290" s="300">
        <f t="shared" si="133"/>
        <v>0</v>
      </c>
      <c r="BA290" s="300">
        <f t="shared" si="134"/>
        <v>0</v>
      </c>
      <c r="BB290" s="300">
        <f t="shared" si="135"/>
        <v>0</v>
      </c>
      <c r="BC290" s="301">
        <f t="shared" si="136"/>
        <v>0</v>
      </c>
      <c r="BD290" s="295" t="s">
        <v>764</v>
      </c>
      <c r="BE290" s="302" t="str">
        <f t="shared" si="137"/>
        <v>Exhibit 1.5A_R North Shore EEPS_Adjustable_Savings_Goal_Template.xlsx, Food Equipment Tab</v>
      </c>
      <c r="BF290" s="304"/>
    </row>
    <row r="291" spans="1:58" ht="15.75" customHeight="1">
      <c r="A291" s="295" t="str">
        <f>'Unit Savings Calculations'!C287</f>
        <v>Bus - CI Rebates</v>
      </c>
      <c r="B291" s="295" t="str">
        <f>'Unit Savings Calculations'!D287</f>
        <v>Heat Recovery Grease Trap Filter</v>
      </c>
      <c r="C291" s="296">
        <f t="shared" si="147"/>
        <v>1</v>
      </c>
      <c r="D291" s="295" t="str">
        <f>'Unit Savings Calculations'!T287</f>
        <v>4.3.9</v>
      </c>
      <c r="E291" s="460">
        <f>INDEX('Unit Savings Calculations'!$H$4:$H$421,MATCH('Measure-Level Adjustments Tab'!$A291&amp;"_"&amp;'Measure-Level Adjustments Tab'!$B291,'Unit Savings Calculations'!$A$4:$A$421,0))</f>
        <v>15</v>
      </c>
      <c r="F291" s="460">
        <f>INDEX('Unit Savings Calculations'!$I$4:$I$421,MATCH('Measure-Level Adjustments Tab'!A291&amp;"_"&amp;'Measure-Level Adjustments Tab'!B291,'Unit Savings Calculations'!$A$4:$A$421,0))</f>
        <v>15</v>
      </c>
      <c r="G291" s="295" t="str">
        <f>'Unit Savings Calculations'!E287</f>
        <v>each</v>
      </c>
      <c r="H291" s="297">
        <f>'Unit Savings Calculations'!$F287*'Unit Savings Calculations'!J287</f>
        <v>2</v>
      </c>
      <c r="I291" s="297">
        <f>'Unit Savings Calculations'!$F287*'Unit Savings Calculations'!K287</f>
        <v>2</v>
      </c>
      <c r="J291" s="297">
        <f>'Unit Savings Calculations'!$F287*'Unit Savings Calculations'!L287</f>
        <v>2</v>
      </c>
      <c r="K291" s="297">
        <f>'Unit Savings Calculations'!$F287*'Unit Savings Calculations'!M287</f>
        <v>2</v>
      </c>
      <c r="L291" s="295" t="str">
        <f>'Unit Savings Calculations'!U287</f>
        <v>CI-HW-GRTF-V01-160601</v>
      </c>
      <c r="M291" s="405" t="str">
        <f>'Unit Savings Calculations'!R287</f>
        <v>Exhibit 1.5A_R North Shore EEPS_Adjustable_Savings_Goal_Template.xlsx, Unit Savings Calculations Tab</v>
      </c>
      <c r="N291" s="298">
        <v>1757.3025600000001</v>
      </c>
      <c r="O291" s="298">
        <v>1757.3025600000001</v>
      </c>
      <c r="P291" s="298">
        <v>1757.3025600000001</v>
      </c>
      <c r="Q291" s="298">
        <v>1757.3025600000001</v>
      </c>
      <c r="R291" s="299">
        <f>'Unit Savings Calculations'!$G287</f>
        <v>0.79</v>
      </c>
      <c r="S291" s="299">
        <f>'Unit Savings Calculations'!$G287</f>
        <v>0.79</v>
      </c>
      <c r="T291" s="299">
        <f>'Unit Savings Calculations'!$G287</f>
        <v>0.79</v>
      </c>
      <c r="U291" s="299">
        <f>'Unit Savings Calculations'!$G287</f>
        <v>0.79</v>
      </c>
      <c r="V291" s="300">
        <f t="shared" si="148"/>
        <v>2776.5380448000001</v>
      </c>
      <c r="W291" s="300">
        <f t="shared" si="149"/>
        <v>2776.5380448000001</v>
      </c>
      <c r="X291" s="300">
        <f t="shared" si="150"/>
        <v>2776.5380448000001</v>
      </c>
      <c r="Y291" s="300">
        <f t="shared" si="151"/>
        <v>2776.5380448000001</v>
      </c>
      <c r="Z291" s="300">
        <f t="shared" si="152"/>
        <v>11106.1521792</v>
      </c>
      <c r="AA291" s="295"/>
      <c r="AB291" s="295"/>
      <c r="AC291" s="298">
        <f>'Unit Savings Calculations'!N287</f>
        <v>1757.3025600000001</v>
      </c>
      <c r="AD291" s="295"/>
      <c r="AE291" s="300">
        <f t="shared" si="138"/>
        <v>2776.5380448000001</v>
      </c>
      <c r="AF291" s="297">
        <f t="shared" si="139"/>
        <v>0</v>
      </c>
      <c r="AG291" s="295"/>
      <c r="AH291" s="295">
        <f t="shared" si="140"/>
        <v>0</v>
      </c>
      <c r="AI291" s="298">
        <f>'Unit Savings Calculations'!O287</f>
        <v>1757.3025600000001</v>
      </c>
      <c r="AJ291" s="405" t="s">
        <v>879</v>
      </c>
      <c r="AK291" s="300">
        <f t="shared" si="141"/>
        <v>2776.5380448000001</v>
      </c>
      <c r="AL291" s="297">
        <f t="shared" si="142"/>
        <v>0</v>
      </c>
      <c r="AM291" s="295"/>
      <c r="AN291" s="295"/>
      <c r="AO291" s="298">
        <f>'Unit Savings Calculations'!P287</f>
        <v>1757.3025600000001</v>
      </c>
      <c r="AP291" s="405" t="s">
        <v>764</v>
      </c>
      <c r="AQ291" s="300">
        <f t="shared" si="143"/>
        <v>2776.5380448000001</v>
      </c>
      <c r="AR291" s="297">
        <f t="shared" si="144"/>
        <v>0</v>
      </c>
      <c r="AS291" s="295"/>
      <c r="AT291" s="295"/>
      <c r="AU291" s="298">
        <f>'Unit Savings Calculations'!Q287</f>
        <v>1757.3025600000001</v>
      </c>
      <c r="AV291" s="405" t="str">
        <f t="shared" si="131"/>
        <v>n/a</v>
      </c>
      <c r="AW291" s="300">
        <f t="shared" si="145"/>
        <v>2776.5380448000001</v>
      </c>
      <c r="AX291" s="297">
        <f t="shared" si="146"/>
        <v>0</v>
      </c>
      <c r="AY291" s="300">
        <f t="shared" si="132"/>
        <v>2776.5380448000001</v>
      </c>
      <c r="AZ291" s="300">
        <f t="shared" si="133"/>
        <v>2776.5380448000001</v>
      </c>
      <c r="BA291" s="300">
        <f t="shared" si="134"/>
        <v>2776.5380448000001</v>
      </c>
      <c r="BB291" s="300">
        <f t="shared" si="135"/>
        <v>2776.5380448000001</v>
      </c>
      <c r="BC291" s="301">
        <f t="shared" si="136"/>
        <v>11106.1521792</v>
      </c>
      <c r="BD291" s="295" t="s">
        <v>764</v>
      </c>
      <c r="BE291" s="302" t="str">
        <f t="shared" si="137"/>
        <v>Exhibit 1.5A_R North Shore EEPS_Adjustable_Savings_Goal_Template.xlsx, Unit Savings Calculations Tab</v>
      </c>
      <c r="BF291" s="304"/>
    </row>
    <row r="292" spans="1:58" ht="15.75" customHeight="1">
      <c r="A292" s="295" t="str">
        <f>'Unit Savings Calculations'!C288</f>
        <v>Bus - CI Rebates</v>
      </c>
      <c r="B292" s="295" t="str">
        <f>'Unit Savings Calculations'!D288</f>
        <v>Infrared Charbroiler</v>
      </c>
      <c r="C292" s="296">
        <f t="shared" si="147"/>
        <v>1</v>
      </c>
      <c r="D292" s="295" t="str">
        <f>'Unit Savings Calculations'!T288</f>
        <v>4.2.12</v>
      </c>
      <c r="E292" s="460">
        <f>INDEX('Unit Savings Calculations'!$H$4:$H$421,MATCH('Measure-Level Adjustments Tab'!$A292&amp;"_"&amp;'Measure-Level Adjustments Tab'!$B292,'Unit Savings Calculations'!$A$4:$A$421,0))</f>
        <v>12</v>
      </c>
      <c r="F292" s="460">
        <f>INDEX('Unit Savings Calculations'!$I$4:$I$421,MATCH('Measure-Level Adjustments Tab'!A292&amp;"_"&amp;'Measure-Level Adjustments Tab'!B292,'Unit Savings Calculations'!$A$4:$A$421,0))</f>
        <v>12</v>
      </c>
      <c r="G292" s="295" t="str">
        <f>'Unit Savings Calculations'!E288</f>
        <v>each</v>
      </c>
      <c r="H292" s="297">
        <f>'Unit Savings Calculations'!$F288*'Unit Savings Calculations'!J288</f>
        <v>2</v>
      </c>
      <c r="I292" s="297">
        <f>'Unit Savings Calculations'!$F288*'Unit Savings Calculations'!K288</f>
        <v>2</v>
      </c>
      <c r="J292" s="297">
        <f>'Unit Savings Calculations'!$F288*'Unit Savings Calculations'!L288</f>
        <v>2</v>
      </c>
      <c r="K292" s="297">
        <f>'Unit Savings Calculations'!$F288*'Unit Savings Calculations'!M288</f>
        <v>2</v>
      </c>
      <c r="L292" s="295" t="str">
        <f>'Unit Savings Calculations'!U288</f>
        <v>CI-FSE-IRCB-V02-180101</v>
      </c>
      <c r="M292" s="405" t="str">
        <f>'Unit Savings Calculations'!R288</f>
        <v>Exhibit 1.5A_R North Shore EEPS_Adjustable_Savings_Goal_Template.xlsx, Unit Savings Calculations Tab</v>
      </c>
      <c r="N292" s="298">
        <v>706.68</v>
      </c>
      <c r="O292" s="298">
        <v>706.68</v>
      </c>
      <c r="P292" s="298">
        <v>706.68</v>
      </c>
      <c r="Q292" s="298">
        <v>706.68</v>
      </c>
      <c r="R292" s="299">
        <f>'Unit Savings Calculations'!$G288</f>
        <v>0.79</v>
      </c>
      <c r="S292" s="299">
        <f>'Unit Savings Calculations'!$G288</f>
        <v>0.79</v>
      </c>
      <c r="T292" s="299">
        <f>'Unit Savings Calculations'!$G288</f>
        <v>0.79</v>
      </c>
      <c r="U292" s="299">
        <f>'Unit Savings Calculations'!$G288</f>
        <v>0.79</v>
      </c>
      <c r="V292" s="300">
        <f t="shared" si="148"/>
        <v>1116.5544</v>
      </c>
      <c r="W292" s="300">
        <f t="shared" si="149"/>
        <v>1116.5544</v>
      </c>
      <c r="X292" s="300">
        <f t="shared" si="150"/>
        <v>1116.5544</v>
      </c>
      <c r="Y292" s="300">
        <f t="shared" si="151"/>
        <v>1116.5544</v>
      </c>
      <c r="Z292" s="300">
        <f t="shared" si="152"/>
        <v>4466.2175999999999</v>
      </c>
      <c r="AA292" s="295"/>
      <c r="AB292" s="295"/>
      <c r="AC292" s="298">
        <f>'Unit Savings Calculations'!N288</f>
        <v>706.68</v>
      </c>
      <c r="AD292" s="295"/>
      <c r="AE292" s="300">
        <f t="shared" si="138"/>
        <v>1116.5544</v>
      </c>
      <c r="AF292" s="297">
        <f t="shared" si="139"/>
        <v>0</v>
      </c>
      <c r="AG292" s="295"/>
      <c r="AH292" s="295">
        <f t="shared" si="140"/>
        <v>0</v>
      </c>
      <c r="AI292" s="298">
        <f>'Unit Savings Calculations'!O288</f>
        <v>706.68</v>
      </c>
      <c r="AJ292" s="405" t="s">
        <v>879</v>
      </c>
      <c r="AK292" s="300">
        <f t="shared" si="141"/>
        <v>1116.5544</v>
      </c>
      <c r="AL292" s="297">
        <f t="shared" si="142"/>
        <v>0</v>
      </c>
      <c r="AM292" s="295"/>
      <c r="AN292" s="295"/>
      <c r="AO292" s="298">
        <f>'Unit Savings Calculations'!P288</f>
        <v>706.68</v>
      </c>
      <c r="AP292" s="405" t="s">
        <v>764</v>
      </c>
      <c r="AQ292" s="300">
        <f t="shared" si="143"/>
        <v>1116.5544</v>
      </c>
      <c r="AR292" s="297">
        <f t="shared" si="144"/>
        <v>0</v>
      </c>
      <c r="AS292" s="295"/>
      <c r="AT292" s="295"/>
      <c r="AU292" s="298">
        <f>'Unit Savings Calculations'!Q288</f>
        <v>706.68</v>
      </c>
      <c r="AV292" s="405" t="str">
        <f t="shared" si="131"/>
        <v>n/a</v>
      </c>
      <c r="AW292" s="300">
        <f t="shared" si="145"/>
        <v>1116.5544</v>
      </c>
      <c r="AX292" s="297">
        <f t="shared" si="146"/>
        <v>0</v>
      </c>
      <c r="AY292" s="300">
        <f t="shared" si="132"/>
        <v>1116.5544</v>
      </c>
      <c r="AZ292" s="300">
        <f t="shared" si="133"/>
        <v>1116.5544</v>
      </c>
      <c r="BA292" s="300">
        <f t="shared" si="134"/>
        <v>1116.5544</v>
      </c>
      <c r="BB292" s="300">
        <f t="shared" si="135"/>
        <v>1116.5544</v>
      </c>
      <c r="BC292" s="301">
        <f t="shared" si="136"/>
        <v>4466.2175999999999</v>
      </c>
      <c r="BD292" s="295" t="s">
        <v>764</v>
      </c>
      <c r="BE292" s="302" t="str">
        <f t="shared" si="137"/>
        <v>Exhibit 1.5A_R North Shore EEPS_Adjustable_Savings_Goal_Template.xlsx, Unit Savings Calculations Tab</v>
      </c>
      <c r="BF292" s="304"/>
    </row>
    <row r="293" spans="1:58" ht="15.75" customHeight="1">
      <c r="A293" s="295" t="str">
        <f>'Unit Savings Calculations'!C289</f>
        <v>Bus - CI Rebates</v>
      </c>
      <c r="B293" s="295" t="str">
        <f>'Unit Savings Calculations'!D289</f>
        <v>Infrared Rotisserie Oven</v>
      </c>
      <c r="C293" s="296">
        <f t="shared" si="147"/>
        <v>1</v>
      </c>
      <c r="D293" s="295" t="str">
        <f>'Unit Savings Calculations'!T289</f>
        <v>4.2.13</v>
      </c>
      <c r="E293" s="460">
        <f>INDEX('Unit Savings Calculations'!$H$4:$H$421,MATCH('Measure-Level Adjustments Tab'!$A293&amp;"_"&amp;'Measure-Level Adjustments Tab'!$B293,'Unit Savings Calculations'!$A$4:$A$421,0))</f>
        <v>12</v>
      </c>
      <c r="F293" s="460">
        <f>INDEX('Unit Savings Calculations'!$I$4:$I$421,MATCH('Measure-Level Adjustments Tab'!A293&amp;"_"&amp;'Measure-Level Adjustments Tab'!B293,'Unit Savings Calculations'!$A$4:$A$421,0))</f>
        <v>12</v>
      </c>
      <c r="G293" s="295" t="str">
        <f>'Unit Savings Calculations'!E289</f>
        <v>each</v>
      </c>
      <c r="H293" s="297">
        <f>'Unit Savings Calculations'!$F289*'Unit Savings Calculations'!J289</f>
        <v>2</v>
      </c>
      <c r="I293" s="297">
        <f>'Unit Savings Calculations'!$F289*'Unit Savings Calculations'!K289</f>
        <v>2</v>
      </c>
      <c r="J293" s="297">
        <f>'Unit Savings Calculations'!$F289*'Unit Savings Calculations'!L289</f>
        <v>2</v>
      </c>
      <c r="K293" s="297">
        <f>'Unit Savings Calculations'!$F289*'Unit Savings Calculations'!M289</f>
        <v>2</v>
      </c>
      <c r="L293" s="295" t="str">
        <f>'Unit Savings Calculations'!U289</f>
        <v>CI-FSE-IROV-V02-180101</v>
      </c>
      <c r="M293" s="405" t="str">
        <f>'Unit Savings Calculations'!R289</f>
        <v>Exhibit 1.5A_R North Shore EEPS_Adjustable_Savings_Goal_Template.xlsx, Unit Savings Calculations Tab</v>
      </c>
      <c r="N293" s="298">
        <v>599.04</v>
      </c>
      <c r="O293" s="298">
        <v>599.04</v>
      </c>
      <c r="P293" s="298">
        <v>599.04</v>
      </c>
      <c r="Q293" s="298">
        <v>599.04</v>
      </c>
      <c r="R293" s="299">
        <f>'Unit Savings Calculations'!$G289</f>
        <v>0.79</v>
      </c>
      <c r="S293" s="299">
        <f>'Unit Savings Calculations'!$G289</f>
        <v>0.79</v>
      </c>
      <c r="T293" s="299">
        <f>'Unit Savings Calculations'!$G289</f>
        <v>0.79</v>
      </c>
      <c r="U293" s="299">
        <f>'Unit Savings Calculations'!$G289</f>
        <v>0.79</v>
      </c>
      <c r="V293" s="300">
        <f t="shared" si="148"/>
        <v>946.48320000000001</v>
      </c>
      <c r="W293" s="300">
        <f t="shared" si="149"/>
        <v>946.48320000000001</v>
      </c>
      <c r="X293" s="300">
        <f t="shared" si="150"/>
        <v>946.48320000000001</v>
      </c>
      <c r="Y293" s="300">
        <f t="shared" si="151"/>
        <v>946.48320000000001</v>
      </c>
      <c r="Z293" s="300">
        <f t="shared" si="152"/>
        <v>3785.9328</v>
      </c>
      <c r="AA293" s="295"/>
      <c r="AB293" s="295"/>
      <c r="AC293" s="298">
        <f>'Unit Savings Calculations'!N289</f>
        <v>599.04</v>
      </c>
      <c r="AD293" s="295"/>
      <c r="AE293" s="300">
        <f t="shared" si="138"/>
        <v>946.48320000000001</v>
      </c>
      <c r="AF293" s="297">
        <f t="shared" si="139"/>
        <v>0</v>
      </c>
      <c r="AG293" s="295"/>
      <c r="AH293" s="295">
        <f t="shared" si="140"/>
        <v>0</v>
      </c>
      <c r="AI293" s="298">
        <f>'Unit Savings Calculations'!O289</f>
        <v>599.04</v>
      </c>
      <c r="AJ293" s="405" t="s">
        <v>879</v>
      </c>
      <c r="AK293" s="300">
        <f t="shared" si="141"/>
        <v>946.48320000000001</v>
      </c>
      <c r="AL293" s="297">
        <f t="shared" si="142"/>
        <v>0</v>
      </c>
      <c r="AM293" s="295"/>
      <c r="AN293" s="295"/>
      <c r="AO293" s="298">
        <f>'Unit Savings Calculations'!P289</f>
        <v>599.04</v>
      </c>
      <c r="AP293" s="405" t="s">
        <v>764</v>
      </c>
      <c r="AQ293" s="300">
        <f t="shared" si="143"/>
        <v>946.48320000000001</v>
      </c>
      <c r="AR293" s="297">
        <f t="shared" si="144"/>
        <v>0</v>
      </c>
      <c r="AS293" s="295"/>
      <c r="AT293" s="295"/>
      <c r="AU293" s="298">
        <f>'Unit Savings Calculations'!Q289</f>
        <v>599.04</v>
      </c>
      <c r="AV293" s="405" t="str">
        <f t="shared" si="131"/>
        <v>n/a</v>
      </c>
      <c r="AW293" s="300">
        <f t="shared" si="145"/>
        <v>946.48320000000001</v>
      </c>
      <c r="AX293" s="297">
        <f t="shared" si="146"/>
        <v>0</v>
      </c>
      <c r="AY293" s="300">
        <f t="shared" si="132"/>
        <v>946.48320000000001</v>
      </c>
      <c r="AZ293" s="300">
        <f t="shared" si="133"/>
        <v>946.48320000000001</v>
      </c>
      <c r="BA293" s="300">
        <f t="shared" si="134"/>
        <v>946.48320000000001</v>
      </c>
      <c r="BB293" s="300">
        <f t="shared" si="135"/>
        <v>946.48320000000001</v>
      </c>
      <c r="BC293" s="301">
        <f t="shared" si="136"/>
        <v>3785.9328</v>
      </c>
      <c r="BD293" s="295" t="s">
        <v>764</v>
      </c>
      <c r="BE293" s="302" t="str">
        <f t="shared" si="137"/>
        <v>Exhibit 1.5A_R North Shore EEPS_Adjustable_Savings_Goal_Template.xlsx, Unit Savings Calculations Tab</v>
      </c>
      <c r="BF293" s="304"/>
    </row>
    <row r="294" spans="1:58" ht="15.75" customHeight="1">
      <c r="A294" s="295" t="str">
        <f>'Unit Savings Calculations'!C290</f>
        <v>Bus - CI Rebates</v>
      </c>
      <c r="B294" s="295" t="str">
        <f>'Unit Savings Calculations'!D290</f>
        <v>Infrared Salamander Broiler</v>
      </c>
      <c r="C294" s="296">
        <f t="shared" si="147"/>
        <v>1</v>
      </c>
      <c r="D294" s="295" t="str">
        <f>'Unit Savings Calculations'!T290</f>
        <v>4.2.14</v>
      </c>
      <c r="E294" s="460">
        <f>INDEX('Unit Savings Calculations'!$H$4:$H$421,MATCH('Measure-Level Adjustments Tab'!$A294&amp;"_"&amp;'Measure-Level Adjustments Tab'!$B294,'Unit Savings Calculations'!$A$4:$A$421,0))</f>
        <v>12</v>
      </c>
      <c r="F294" s="460">
        <f>INDEX('Unit Savings Calculations'!$I$4:$I$421,MATCH('Measure-Level Adjustments Tab'!A294&amp;"_"&amp;'Measure-Level Adjustments Tab'!B294,'Unit Savings Calculations'!$A$4:$A$421,0))</f>
        <v>12</v>
      </c>
      <c r="G294" s="295" t="str">
        <f>'Unit Savings Calculations'!E290</f>
        <v>each</v>
      </c>
      <c r="H294" s="297">
        <f>'Unit Savings Calculations'!$F290*'Unit Savings Calculations'!J290</f>
        <v>0</v>
      </c>
      <c r="I294" s="297">
        <f>'Unit Savings Calculations'!$F290*'Unit Savings Calculations'!K290</f>
        <v>0</v>
      </c>
      <c r="J294" s="297">
        <f>'Unit Savings Calculations'!$F290*'Unit Savings Calculations'!L290</f>
        <v>0</v>
      </c>
      <c r="K294" s="297">
        <f>'Unit Savings Calculations'!$F290*'Unit Savings Calculations'!M290</f>
        <v>0</v>
      </c>
      <c r="L294" s="295" t="str">
        <f>'Unit Savings Calculations'!U290</f>
        <v>CI-FSE-IRBL-V02-180101</v>
      </c>
      <c r="M294" s="405" t="str">
        <f>'Unit Savings Calculations'!R290</f>
        <v>Exhibit 1.5A_R North Shore EEPS_Adjustable_Savings_Goal_Template.xlsx, Unit Savings Calculations Tab</v>
      </c>
      <c r="N294" s="298">
        <v>240.24</v>
      </c>
      <c r="O294" s="298">
        <v>240.24</v>
      </c>
      <c r="P294" s="298">
        <v>240.24</v>
      </c>
      <c r="Q294" s="298">
        <v>240.24</v>
      </c>
      <c r="R294" s="299">
        <f>'Unit Savings Calculations'!$G290</f>
        <v>0.79</v>
      </c>
      <c r="S294" s="299">
        <f>'Unit Savings Calculations'!$G290</f>
        <v>0.79</v>
      </c>
      <c r="T294" s="299">
        <f>'Unit Savings Calculations'!$G290</f>
        <v>0.79</v>
      </c>
      <c r="U294" s="299">
        <f>'Unit Savings Calculations'!$G290</f>
        <v>0.79</v>
      </c>
      <c r="V294" s="300">
        <f t="shared" si="148"/>
        <v>0</v>
      </c>
      <c r="W294" s="300">
        <f t="shared" si="149"/>
        <v>0</v>
      </c>
      <c r="X294" s="300">
        <f t="shared" si="150"/>
        <v>0</v>
      </c>
      <c r="Y294" s="300">
        <f t="shared" si="151"/>
        <v>0</v>
      </c>
      <c r="Z294" s="300">
        <f t="shared" si="152"/>
        <v>0</v>
      </c>
      <c r="AA294" s="295"/>
      <c r="AB294" s="295"/>
      <c r="AC294" s="298">
        <f>'Unit Savings Calculations'!N290</f>
        <v>240.24</v>
      </c>
      <c r="AD294" s="295"/>
      <c r="AE294" s="300">
        <f t="shared" si="138"/>
        <v>0</v>
      </c>
      <c r="AF294" s="297">
        <f t="shared" si="139"/>
        <v>0</v>
      </c>
      <c r="AG294" s="295"/>
      <c r="AH294" s="295">
        <f t="shared" si="140"/>
        <v>0</v>
      </c>
      <c r="AI294" s="298">
        <f>'Unit Savings Calculations'!O290</f>
        <v>240.24</v>
      </c>
      <c r="AJ294" s="405" t="s">
        <v>879</v>
      </c>
      <c r="AK294" s="300">
        <f t="shared" si="141"/>
        <v>0</v>
      </c>
      <c r="AL294" s="297">
        <f t="shared" si="142"/>
        <v>0</v>
      </c>
      <c r="AM294" s="295"/>
      <c r="AN294" s="295"/>
      <c r="AO294" s="298">
        <f>'Unit Savings Calculations'!P290</f>
        <v>240.24</v>
      </c>
      <c r="AP294" s="405" t="s">
        <v>764</v>
      </c>
      <c r="AQ294" s="300">
        <f t="shared" si="143"/>
        <v>0</v>
      </c>
      <c r="AR294" s="297">
        <f t="shared" si="144"/>
        <v>0</v>
      </c>
      <c r="AS294" s="295"/>
      <c r="AT294" s="295"/>
      <c r="AU294" s="298">
        <f>'Unit Savings Calculations'!Q290</f>
        <v>240.24</v>
      </c>
      <c r="AV294" s="405" t="str">
        <f t="shared" si="131"/>
        <v>n/a</v>
      </c>
      <c r="AW294" s="300">
        <f t="shared" si="145"/>
        <v>0</v>
      </c>
      <c r="AX294" s="297">
        <f t="shared" si="146"/>
        <v>0</v>
      </c>
      <c r="AY294" s="300">
        <f t="shared" si="132"/>
        <v>0</v>
      </c>
      <c r="AZ294" s="300">
        <f t="shared" si="133"/>
        <v>0</v>
      </c>
      <c r="BA294" s="300">
        <f t="shared" si="134"/>
        <v>0</v>
      </c>
      <c r="BB294" s="300">
        <f t="shared" si="135"/>
        <v>0</v>
      </c>
      <c r="BC294" s="301">
        <f t="shared" si="136"/>
        <v>0</v>
      </c>
      <c r="BD294" s="295" t="s">
        <v>764</v>
      </c>
      <c r="BE294" s="302" t="str">
        <f t="shared" si="137"/>
        <v>Exhibit 1.5A_R North Shore EEPS_Adjustable_Savings_Goal_Template.xlsx, Unit Savings Calculations Tab</v>
      </c>
      <c r="BF294" s="304"/>
    </row>
    <row r="295" spans="1:58" ht="15.75" customHeight="1">
      <c r="A295" s="295" t="str">
        <f>'Unit Savings Calculations'!C291</f>
        <v>Bus - CI Rebates</v>
      </c>
      <c r="B295" s="295" t="str">
        <f>'Unit Savings Calculations'!D291</f>
        <v>Infrared Upright Broiler</v>
      </c>
      <c r="C295" s="296">
        <f t="shared" si="147"/>
        <v>1</v>
      </c>
      <c r="D295" s="295" t="str">
        <f>'Unit Savings Calculations'!T291</f>
        <v>4.2.15</v>
      </c>
      <c r="E295" s="460">
        <f>INDEX('Unit Savings Calculations'!$H$4:$H$421,MATCH('Measure-Level Adjustments Tab'!$A295&amp;"_"&amp;'Measure-Level Adjustments Tab'!$B295,'Unit Savings Calculations'!$A$4:$A$421,0))</f>
        <v>12</v>
      </c>
      <c r="F295" s="460">
        <f>INDEX('Unit Savings Calculations'!$I$4:$I$421,MATCH('Measure-Level Adjustments Tab'!A295&amp;"_"&amp;'Measure-Level Adjustments Tab'!B295,'Unit Savings Calculations'!$A$4:$A$421,0))</f>
        <v>12</v>
      </c>
      <c r="G295" s="295" t="str">
        <f>'Unit Savings Calculations'!E291</f>
        <v>each</v>
      </c>
      <c r="H295" s="297">
        <f>'Unit Savings Calculations'!$F291*'Unit Savings Calculations'!J291</f>
        <v>0</v>
      </c>
      <c r="I295" s="297">
        <f>'Unit Savings Calculations'!$F291*'Unit Savings Calculations'!K291</f>
        <v>0</v>
      </c>
      <c r="J295" s="297">
        <f>'Unit Savings Calculations'!$F291*'Unit Savings Calculations'!L291</f>
        <v>0</v>
      </c>
      <c r="K295" s="297">
        <f>'Unit Savings Calculations'!$F291*'Unit Savings Calculations'!M291</f>
        <v>0</v>
      </c>
      <c r="L295" s="295" t="str">
        <f>'Unit Savings Calculations'!U291</f>
        <v>CI-FSE-IRUB-V02-180101</v>
      </c>
      <c r="M295" s="405" t="str">
        <f>'Unit Savings Calculations'!R291</f>
        <v>Exhibit 1.5A_R North Shore EEPS_Adjustable_Savings_Goal_Template.xlsx, Unit Savings Calculations Tab</v>
      </c>
      <c r="N295" s="298">
        <v>943.48800000000006</v>
      </c>
      <c r="O295" s="298">
        <v>943.48800000000006</v>
      </c>
      <c r="P295" s="298">
        <v>943.48800000000006</v>
      </c>
      <c r="Q295" s="298">
        <v>943.48800000000006</v>
      </c>
      <c r="R295" s="299">
        <f>'Unit Savings Calculations'!$G291</f>
        <v>0.79</v>
      </c>
      <c r="S295" s="299">
        <f>'Unit Savings Calculations'!$G291</f>
        <v>0.79</v>
      </c>
      <c r="T295" s="299">
        <f>'Unit Savings Calculations'!$G291</f>
        <v>0.79</v>
      </c>
      <c r="U295" s="299">
        <f>'Unit Savings Calculations'!$G291</f>
        <v>0.79</v>
      </c>
      <c r="V295" s="300">
        <f t="shared" si="148"/>
        <v>0</v>
      </c>
      <c r="W295" s="300">
        <f t="shared" si="149"/>
        <v>0</v>
      </c>
      <c r="X295" s="300">
        <f t="shared" si="150"/>
        <v>0</v>
      </c>
      <c r="Y295" s="300">
        <f t="shared" si="151"/>
        <v>0</v>
      </c>
      <c r="Z295" s="300">
        <f t="shared" si="152"/>
        <v>0</v>
      </c>
      <c r="AA295" s="295"/>
      <c r="AB295" s="295"/>
      <c r="AC295" s="298">
        <f>'Unit Savings Calculations'!N291</f>
        <v>943.48800000000006</v>
      </c>
      <c r="AD295" s="295"/>
      <c r="AE295" s="300">
        <f t="shared" si="138"/>
        <v>0</v>
      </c>
      <c r="AF295" s="297">
        <f t="shared" si="139"/>
        <v>0</v>
      </c>
      <c r="AG295" s="295"/>
      <c r="AH295" s="295">
        <f t="shared" si="140"/>
        <v>0</v>
      </c>
      <c r="AI295" s="298">
        <f>'Unit Savings Calculations'!O291</f>
        <v>943.48800000000006</v>
      </c>
      <c r="AJ295" s="405" t="s">
        <v>879</v>
      </c>
      <c r="AK295" s="300">
        <f t="shared" si="141"/>
        <v>0</v>
      </c>
      <c r="AL295" s="297">
        <f t="shared" si="142"/>
        <v>0</v>
      </c>
      <c r="AM295" s="295"/>
      <c r="AN295" s="295"/>
      <c r="AO295" s="298">
        <f>'Unit Savings Calculations'!P291</f>
        <v>943.48800000000006</v>
      </c>
      <c r="AP295" s="405" t="s">
        <v>764</v>
      </c>
      <c r="AQ295" s="300">
        <f t="shared" si="143"/>
        <v>0</v>
      </c>
      <c r="AR295" s="297">
        <f t="shared" si="144"/>
        <v>0</v>
      </c>
      <c r="AS295" s="295"/>
      <c r="AT295" s="295"/>
      <c r="AU295" s="298">
        <f>'Unit Savings Calculations'!Q291</f>
        <v>943.48800000000006</v>
      </c>
      <c r="AV295" s="405" t="str">
        <f t="shared" si="131"/>
        <v>n/a</v>
      </c>
      <c r="AW295" s="300">
        <f t="shared" si="145"/>
        <v>0</v>
      </c>
      <c r="AX295" s="297">
        <f t="shared" si="146"/>
        <v>0</v>
      </c>
      <c r="AY295" s="300">
        <f t="shared" si="132"/>
        <v>0</v>
      </c>
      <c r="AZ295" s="300">
        <f t="shared" si="133"/>
        <v>0</v>
      </c>
      <c r="BA295" s="300">
        <f t="shared" si="134"/>
        <v>0</v>
      </c>
      <c r="BB295" s="300">
        <f t="shared" si="135"/>
        <v>0</v>
      </c>
      <c r="BC295" s="301">
        <f t="shared" si="136"/>
        <v>0</v>
      </c>
      <c r="BD295" s="295" t="s">
        <v>764</v>
      </c>
      <c r="BE295" s="302" t="str">
        <f t="shared" si="137"/>
        <v>Exhibit 1.5A_R North Shore EEPS_Adjustable_Savings_Goal_Template.xlsx, Unit Savings Calculations Tab</v>
      </c>
      <c r="BF295" s="304"/>
    </row>
    <row r="296" spans="1:58" ht="15.75" customHeight="1">
      <c r="A296" s="295" t="str">
        <f>'Unit Savings Calculations'!C292</f>
        <v>Bus - SB Rebates</v>
      </c>
      <c r="B296" s="295" t="str">
        <f>'Unit Savings Calculations'!D292</f>
        <v>SB Custom</v>
      </c>
      <c r="C296" s="296">
        <f t="shared" si="147"/>
        <v>0</v>
      </c>
      <c r="D296" s="295" t="str">
        <f>'Unit Savings Calculations'!T292</f>
        <v>Custom</v>
      </c>
      <c r="E296" s="460">
        <f>INDEX('Unit Savings Calculations'!$H$4:$H$421,MATCH('Measure-Level Adjustments Tab'!$A296&amp;"_"&amp;'Measure-Level Adjustments Tab'!$B296,'Unit Savings Calculations'!$A$4:$A$421,0))</f>
        <v>15</v>
      </c>
      <c r="F296" s="460">
        <f>INDEX('Unit Savings Calculations'!$I$4:$I$421,MATCH('Measure-Level Adjustments Tab'!A296&amp;"_"&amp;'Measure-Level Adjustments Tab'!B296,'Unit Savings Calculations'!$A$4:$A$421,0))</f>
        <v>15</v>
      </c>
      <c r="G296" s="295" t="str">
        <f>'Unit Savings Calculations'!E292</f>
        <v>each</v>
      </c>
      <c r="H296" s="297">
        <f>'Unit Savings Calculations'!$F292*'Unit Savings Calculations'!J292</f>
        <v>12</v>
      </c>
      <c r="I296" s="297">
        <f>'Unit Savings Calculations'!$F292*'Unit Savings Calculations'!K292</f>
        <v>12</v>
      </c>
      <c r="J296" s="297">
        <f>'Unit Savings Calculations'!$F292*'Unit Savings Calculations'!L292</f>
        <v>10</v>
      </c>
      <c r="K296" s="297">
        <f>'Unit Savings Calculations'!$F292*'Unit Savings Calculations'!M292</f>
        <v>12</v>
      </c>
      <c r="L296" s="295" t="str">
        <f>'Unit Savings Calculations'!U292</f>
        <v>Custom</v>
      </c>
      <c r="M296" s="405" t="str">
        <f>'Unit Savings Calculations'!R292</f>
        <v>Custom</v>
      </c>
      <c r="N296" s="298">
        <v>2100</v>
      </c>
      <c r="O296" s="298">
        <v>2100</v>
      </c>
      <c r="P296" s="298">
        <v>2100</v>
      </c>
      <c r="Q296" s="298">
        <v>2100</v>
      </c>
      <c r="R296" s="299">
        <f>'Unit Savings Calculations'!$G292</f>
        <v>0.92</v>
      </c>
      <c r="S296" s="299">
        <f>'Unit Savings Calculations'!$G292</f>
        <v>0.92</v>
      </c>
      <c r="T296" s="299">
        <f>'Unit Savings Calculations'!$G292</f>
        <v>0.92</v>
      </c>
      <c r="U296" s="299">
        <f>'Unit Savings Calculations'!$G292</f>
        <v>0.92</v>
      </c>
      <c r="V296" s="300">
        <f t="shared" si="148"/>
        <v>23184</v>
      </c>
      <c r="W296" s="300">
        <f t="shared" si="149"/>
        <v>23184</v>
      </c>
      <c r="X296" s="300">
        <f t="shared" si="150"/>
        <v>19320</v>
      </c>
      <c r="Y296" s="300">
        <f t="shared" si="151"/>
        <v>23184</v>
      </c>
      <c r="Z296" s="300">
        <f t="shared" si="152"/>
        <v>88872</v>
      </c>
      <c r="AA296" s="406"/>
      <c r="AB296" s="406"/>
      <c r="AC296" s="409">
        <f>'Unit Savings Calculations'!N292</f>
        <v>2100</v>
      </c>
      <c r="AD296" s="406"/>
      <c r="AE296" s="407">
        <f t="shared" si="138"/>
        <v>23184</v>
      </c>
      <c r="AF296" s="408">
        <f t="shared" si="139"/>
        <v>0</v>
      </c>
      <c r="AG296" s="406"/>
      <c r="AH296" s="406">
        <f t="shared" si="140"/>
        <v>0</v>
      </c>
      <c r="AI296" s="409">
        <f>'Unit Savings Calculations'!O292</f>
        <v>2100</v>
      </c>
      <c r="AJ296" s="457" t="s">
        <v>879</v>
      </c>
      <c r="AK296" s="407">
        <f t="shared" si="141"/>
        <v>23184</v>
      </c>
      <c r="AL296" s="408">
        <f t="shared" si="142"/>
        <v>0</v>
      </c>
      <c r="AM296" s="406"/>
      <c r="AN296" s="406"/>
      <c r="AO296" s="409">
        <f>'Unit Savings Calculations'!P292</f>
        <v>2100</v>
      </c>
      <c r="AP296" s="457" t="s">
        <v>764</v>
      </c>
      <c r="AQ296" s="407">
        <f t="shared" si="143"/>
        <v>19320</v>
      </c>
      <c r="AR296" s="408">
        <f t="shared" si="144"/>
        <v>0</v>
      </c>
      <c r="AS296" s="406"/>
      <c r="AT296" s="406"/>
      <c r="AU296" s="409">
        <f>'Unit Savings Calculations'!Q292</f>
        <v>2100</v>
      </c>
      <c r="AV296" s="457" t="str">
        <f t="shared" si="131"/>
        <v>n/a</v>
      </c>
      <c r="AW296" s="407">
        <f t="shared" si="145"/>
        <v>23184</v>
      </c>
      <c r="AX296" s="408">
        <f t="shared" si="146"/>
        <v>0</v>
      </c>
      <c r="AY296" s="300">
        <f t="shared" si="132"/>
        <v>23184</v>
      </c>
      <c r="AZ296" s="300">
        <f t="shared" si="133"/>
        <v>23184</v>
      </c>
      <c r="BA296" s="300">
        <f t="shared" si="134"/>
        <v>19320</v>
      </c>
      <c r="BB296" s="300">
        <f t="shared" si="135"/>
        <v>23184</v>
      </c>
      <c r="BC296" s="301">
        <f t="shared" si="136"/>
        <v>88872</v>
      </c>
      <c r="BD296" s="295" t="s">
        <v>764</v>
      </c>
      <c r="BE296" s="302" t="str">
        <f t="shared" si="137"/>
        <v>Custom</v>
      </c>
      <c r="BF296" s="304"/>
    </row>
    <row r="297" spans="1:58" ht="15.75" customHeight="1">
      <c r="A297" s="295" t="str">
        <f>'Unit Savings Calculations'!C293</f>
        <v>Bus - CI Rebates</v>
      </c>
      <c r="B297" s="295" t="str">
        <f>'Unit Savings Calculations'!D293</f>
        <v>CI Custom</v>
      </c>
      <c r="C297" s="296">
        <f t="shared" si="147"/>
        <v>0</v>
      </c>
      <c r="D297" s="295" t="str">
        <f>'Unit Savings Calculations'!T293</f>
        <v>Custom</v>
      </c>
      <c r="E297" s="460">
        <f>INDEX('Unit Savings Calculations'!$H$4:$H$421,MATCH('Measure-Level Adjustments Tab'!$A297&amp;"_"&amp;'Measure-Level Adjustments Tab'!$B297,'Unit Savings Calculations'!$A$4:$A$421,0))</f>
        <v>15</v>
      </c>
      <c r="F297" s="460">
        <f>INDEX('Unit Savings Calculations'!$I$4:$I$421,MATCH('Measure-Level Adjustments Tab'!A297&amp;"_"&amp;'Measure-Level Adjustments Tab'!B297,'Unit Savings Calculations'!$A$4:$A$421,0))</f>
        <v>15</v>
      </c>
      <c r="G297" s="295" t="str">
        <f>'Unit Savings Calculations'!E293</f>
        <v>each</v>
      </c>
      <c r="H297" s="297">
        <f>'Unit Savings Calculations'!$F293*'Unit Savings Calculations'!J293</f>
        <v>25</v>
      </c>
      <c r="I297" s="297">
        <f>'Unit Savings Calculations'!$F293*'Unit Savings Calculations'!K293</f>
        <v>25</v>
      </c>
      <c r="J297" s="297">
        <f>'Unit Savings Calculations'!$F293*'Unit Savings Calculations'!L293</f>
        <v>20</v>
      </c>
      <c r="K297" s="297">
        <f>'Unit Savings Calculations'!$F293*'Unit Savings Calculations'!M293</f>
        <v>25</v>
      </c>
      <c r="L297" s="295" t="str">
        <f>'Unit Savings Calculations'!U293</f>
        <v>Custom</v>
      </c>
      <c r="M297" s="405" t="str">
        <f>'Unit Savings Calculations'!R293</f>
        <v>Custom</v>
      </c>
      <c r="N297" s="298">
        <v>19100</v>
      </c>
      <c r="O297" s="298">
        <v>19100</v>
      </c>
      <c r="P297" s="298">
        <v>19100</v>
      </c>
      <c r="Q297" s="298">
        <v>19100</v>
      </c>
      <c r="R297" s="299">
        <f>'Unit Savings Calculations'!$G293</f>
        <v>0.69</v>
      </c>
      <c r="S297" s="299">
        <f>'Unit Savings Calculations'!$G293</f>
        <v>0.69</v>
      </c>
      <c r="T297" s="299">
        <f>'Unit Savings Calculations'!$G293</f>
        <v>0.69</v>
      </c>
      <c r="U297" s="299">
        <f>'Unit Savings Calculations'!$G293</f>
        <v>0.69</v>
      </c>
      <c r="V297" s="300">
        <f t="shared" si="148"/>
        <v>329475</v>
      </c>
      <c r="W297" s="300">
        <f t="shared" si="149"/>
        <v>329475</v>
      </c>
      <c r="X297" s="300">
        <f t="shared" si="150"/>
        <v>263580</v>
      </c>
      <c r="Y297" s="300">
        <f t="shared" si="151"/>
        <v>329475</v>
      </c>
      <c r="Z297" s="300">
        <f t="shared" si="152"/>
        <v>1252005</v>
      </c>
      <c r="AA297" s="406"/>
      <c r="AB297" s="406"/>
      <c r="AC297" s="409">
        <f>'Unit Savings Calculations'!N293</f>
        <v>19100</v>
      </c>
      <c r="AD297" s="406"/>
      <c r="AE297" s="407">
        <f t="shared" si="138"/>
        <v>329475</v>
      </c>
      <c r="AF297" s="408">
        <f t="shared" si="139"/>
        <v>0</v>
      </c>
      <c r="AG297" s="406"/>
      <c r="AH297" s="406">
        <f t="shared" si="140"/>
        <v>0</v>
      </c>
      <c r="AI297" s="409">
        <f>'Unit Savings Calculations'!O293</f>
        <v>19100</v>
      </c>
      <c r="AJ297" s="457" t="s">
        <v>879</v>
      </c>
      <c r="AK297" s="407">
        <f t="shared" si="141"/>
        <v>329475</v>
      </c>
      <c r="AL297" s="408">
        <f t="shared" si="142"/>
        <v>0</v>
      </c>
      <c r="AM297" s="406"/>
      <c r="AN297" s="406"/>
      <c r="AO297" s="409">
        <f>'Unit Savings Calculations'!P293</f>
        <v>19100</v>
      </c>
      <c r="AP297" s="457" t="s">
        <v>764</v>
      </c>
      <c r="AQ297" s="407">
        <f t="shared" si="143"/>
        <v>263580</v>
      </c>
      <c r="AR297" s="408">
        <f t="shared" si="144"/>
        <v>0</v>
      </c>
      <c r="AS297" s="406"/>
      <c r="AT297" s="406"/>
      <c r="AU297" s="409">
        <f>'Unit Savings Calculations'!Q293</f>
        <v>19100</v>
      </c>
      <c r="AV297" s="457" t="str">
        <f t="shared" si="131"/>
        <v>n/a</v>
      </c>
      <c r="AW297" s="407">
        <f t="shared" si="145"/>
        <v>329475</v>
      </c>
      <c r="AX297" s="408">
        <f t="shared" si="146"/>
        <v>0</v>
      </c>
      <c r="AY297" s="300">
        <f t="shared" si="132"/>
        <v>329475</v>
      </c>
      <c r="AZ297" s="300">
        <f t="shared" si="133"/>
        <v>329475</v>
      </c>
      <c r="BA297" s="300">
        <f t="shared" si="134"/>
        <v>263580</v>
      </c>
      <c r="BB297" s="300">
        <f t="shared" si="135"/>
        <v>329475</v>
      </c>
      <c r="BC297" s="301">
        <f t="shared" si="136"/>
        <v>1252005</v>
      </c>
      <c r="BD297" s="295" t="s">
        <v>764</v>
      </c>
      <c r="BE297" s="302" t="str">
        <f t="shared" si="137"/>
        <v>Custom</v>
      </c>
      <c r="BF297" s="304"/>
    </row>
    <row r="298" spans="1:58" ht="15.75" customHeight="1">
      <c r="A298" s="295" t="str">
        <f>'Unit Savings Calculations'!C294</f>
        <v>Bus - CI Rebates</v>
      </c>
      <c r="B298" s="295" t="str">
        <f>'Unit Savings Calculations'!D294</f>
        <v>New Construction</v>
      </c>
      <c r="C298" s="296">
        <f t="shared" si="147"/>
        <v>0</v>
      </c>
      <c r="D298" s="295" t="str">
        <f>'Unit Savings Calculations'!T294</f>
        <v>Custom</v>
      </c>
      <c r="E298" s="460">
        <f>INDEX('Unit Savings Calculations'!$H$4:$H$421,MATCH('Measure-Level Adjustments Tab'!$A298&amp;"_"&amp;'Measure-Level Adjustments Tab'!$B298,'Unit Savings Calculations'!$A$4:$A$421,0))</f>
        <v>15</v>
      </c>
      <c r="F298" s="460">
        <f>INDEX('Unit Savings Calculations'!$I$4:$I$421,MATCH('Measure-Level Adjustments Tab'!A298&amp;"_"&amp;'Measure-Level Adjustments Tab'!B298,'Unit Savings Calculations'!$A$4:$A$421,0))</f>
        <v>15</v>
      </c>
      <c r="G298" s="295" t="str">
        <f>'Unit Savings Calculations'!E294</f>
        <v>each</v>
      </c>
      <c r="H298" s="297">
        <f>'Unit Savings Calculations'!$F294*'Unit Savings Calculations'!J294</f>
        <v>12</v>
      </c>
      <c r="I298" s="297">
        <f>'Unit Savings Calculations'!$F294*'Unit Savings Calculations'!K294</f>
        <v>12</v>
      </c>
      <c r="J298" s="297">
        <f>'Unit Savings Calculations'!$F294*'Unit Savings Calculations'!L294</f>
        <v>12</v>
      </c>
      <c r="K298" s="297">
        <f>'Unit Savings Calculations'!$F294*'Unit Savings Calculations'!M294</f>
        <v>12</v>
      </c>
      <c r="L298" s="295" t="str">
        <f>'Unit Savings Calculations'!U294</f>
        <v>Custom</v>
      </c>
      <c r="M298" s="405" t="str">
        <f>'Unit Savings Calculations'!R294</f>
        <v>Custom</v>
      </c>
      <c r="N298" s="298">
        <v>2500</v>
      </c>
      <c r="O298" s="298">
        <v>2500</v>
      </c>
      <c r="P298" s="298">
        <v>2500</v>
      </c>
      <c r="Q298" s="298">
        <v>2500</v>
      </c>
      <c r="R298" s="299">
        <f>'Unit Savings Calculations'!$G294</f>
        <v>0.77</v>
      </c>
      <c r="S298" s="299">
        <f>'Unit Savings Calculations'!$G294</f>
        <v>0.77</v>
      </c>
      <c r="T298" s="299">
        <f>'Unit Savings Calculations'!$G294</f>
        <v>0.77</v>
      </c>
      <c r="U298" s="299">
        <f>'Unit Savings Calculations'!$G294</f>
        <v>0.77</v>
      </c>
      <c r="V298" s="300">
        <f t="shared" si="148"/>
        <v>23100</v>
      </c>
      <c r="W298" s="300">
        <f t="shared" si="149"/>
        <v>23100</v>
      </c>
      <c r="X298" s="300">
        <f t="shared" si="150"/>
        <v>23100</v>
      </c>
      <c r="Y298" s="300">
        <f t="shared" si="151"/>
        <v>23100</v>
      </c>
      <c r="Z298" s="300">
        <f t="shared" si="152"/>
        <v>92400</v>
      </c>
      <c r="AA298" s="406"/>
      <c r="AB298" s="406"/>
      <c r="AC298" s="409">
        <f>'Unit Savings Calculations'!N294</f>
        <v>2500</v>
      </c>
      <c r="AD298" s="406"/>
      <c r="AE298" s="407">
        <f t="shared" si="138"/>
        <v>23100</v>
      </c>
      <c r="AF298" s="408">
        <f t="shared" si="139"/>
        <v>0</v>
      </c>
      <c r="AG298" s="406"/>
      <c r="AH298" s="406">
        <f t="shared" si="140"/>
        <v>0</v>
      </c>
      <c r="AI298" s="409">
        <f>'Unit Savings Calculations'!O294</f>
        <v>2500</v>
      </c>
      <c r="AJ298" s="457" t="s">
        <v>879</v>
      </c>
      <c r="AK298" s="407">
        <f t="shared" si="141"/>
        <v>23100</v>
      </c>
      <c r="AL298" s="408">
        <f t="shared" si="142"/>
        <v>0</v>
      </c>
      <c r="AM298" s="406"/>
      <c r="AN298" s="406"/>
      <c r="AO298" s="409">
        <f>'Unit Savings Calculations'!P294</f>
        <v>2500</v>
      </c>
      <c r="AP298" s="457" t="s">
        <v>764</v>
      </c>
      <c r="AQ298" s="407">
        <f t="shared" si="143"/>
        <v>23100</v>
      </c>
      <c r="AR298" s="408">
        <f t="shared" si="144"/>
        <v>0</v>
      </c>
      <c r="AS298" s="406"/>
      <c r="AT298" s="406"/>
      <c r="AU298" s="409">
        <f>'Unit Savings Calculations'!Q294</f>
        <v>2500</v>
      </c>
      <c r="AV298" s="457" t="str">
        <f t="shared" si="131"/>
        <v>n/a</v>
      </c>
      <c r="AW298" s="407">
        <f t="shared" si="145"/>
        <v>23100</v>
      </c>
      <c r="AX298" s="408">
        <f t="shared" si="146"/>
        <v>0</v>
      </c>
      <c r="AY298" s="300">
        <f t="shared" si="132"/>
        <v>23100</v>
      </c>
      <c r="AZ298" s="300">
        <f t="shared" si="133"/>
        <v>23100</v>
      </c>
      <c r="BA298" s="300">
        <f t="shared" si="134"/>
        <v>23100</v>
      </c>
      <c r="BB298" s="300">
        <f t="shared" si="135"/>
        <v>23100</v>
      </c>
      <c r="BC298" s="301">
        <f t="shared" si="136"/>
        <v>92400</v>
      </c>
      <c r="BD298" s="295" t="s">
        <v>764</v>
      </c>
      <c r="BE298" s="302" t="str">
        <f t="shared" si="137"/>
        <v>Custom</v>
      </c>
      <c r="BF298" s="304"/>
    </row>
    <row r="299" spans="1:58" ht="15.75" customHeight="1">
      <c r="A299" s="295" t="str">
        <f>'Unit Savings Calculations'!C295</f>
        <v>Bus - Public Assessments</v>
      </c>
      <c r="B299" s="295" t="str">
        <f>'Unit Savings Calculations'!D295</f>
        <v>Aerator - Bathroom</v>
      </c>
      <c r="C299" s="296">
        <f t="shared" si="147"/>
        <v>1</v>
      </c>
      <c r="D299" s="295" t="str">
        <f>'Unit Savings Calculations'!T295</f>
        <v>4.3.2</v>
      </c>
      <c r="E299" s="460">
        <f>INDEX('Unit Savings Calculations'!$H$4:$H$421,MATCH('Measure-Level Adjustments Tab'!$A299&amp;"_"&amp;'Measure-Level Adjustments Tab'!$B299,'Unit Savings Calculations'!$A$4:$A$421,0))</f>
        <v>9</v>
      </c>
      <c r="F299" s="460">
        <f>INDEX('Unit Savings Calculations'!$I$4:$I$421,MATCH('Measure-Level Adjustments Tab'!A299&amp;"_"&amp;'Measure-Level Adjustments Tab'!B299,'Unit Savings Calculations'!$A$4:$A$421,0))</f>
        <v>10</v>
      </c>
      <c r="G299" s="295" t="str">
        <f>'Unit Savings Calculations'!E295</f>
        <v>each</v>
      </c>
      <c r="H299" s="297">
        <f>'Unit Savings Calculations'!$F295*'Unit Savings Calculations'!J295</f>
        <v>81</v>
      </c>
      <c r="I299" s="297">
        <f>'Unit Savings Calculations'!$F295*'Unit Savings Calculations'!K295</f>
        <v>81</v>
      </c>
      <c r="J299" s="297">
        <f>'Unit Savings Calculations'!$F295*'Unit Savings Calculations'!L295</f>
        <v>81</v>
      </c>
      <c r="K299" s="297">
        <f>'Unit Savings Calculations'!$F295*'Unit Savings Calculations'!M295</f>
        <v>81</v>
      </c>
      <c r="L299" s="295" t="str">
        <f>'Unit Savings Calculations'!U295</f>
        <v>CI-HWE-LFFA-V07-180101</v>
      </c>
      <c r="M299" s="405" t="str">
        <f>'Unit Savings Calculations'!R295</f>
        <v>Exhibit 1.5A_R North Shore EEPS_Adjustable_Savings_Goal_Template.xlsx, Unit Savings Calculations Tab</v>
      </c>
      <c r="N299" s="298">
        <v>6.1049460431654667</v>
      </c>
      <c r="O299" s="298">
        <v>6.1049460431654667</v>
      </c>
      <c r="P299" s="298">
        <v>6.1049460431654667</v>
      </c>
      <c r="Q299" s="298">
        <v>6.1049460431654667</v>
      </c>
      <c r="R299" s="299">
        <f>'Unit Savings Calculations'!$G295</f>
        <v>0.79</v>
      </c>
      <c r="S299" s="299">
        <f>'Unit Savings Calculations'!$G295</f>
        <v>0.79</v>
      </c>
      <c r="T299" s="299">
        <f>'Unit Savings Calculations'!$G295</f>
        <v>0.79</v>
      </c>
      <c r="U299" s="299">
        <f>'Unit Savings Calculations'!$G295</f>
        <v>0.79</v>
      </c>
      <c r="V299" s="300">
        <f t="shared" si="148"/>
        <v>390.65549730215821</v>
      </c>
      <c r="W299" s="300">
        <f t="shared" si="149"/>
        <v>390.65549730215821</v>
      </c>
      <c r="X299" s="300">
        <f t="shared" si="150"/>
        <v>390.65549730215821</v>
      </c>
      <c r="Y299" s="300">
        <f t="shared" si="151"/>
        <v>390.65549730215821</v>
      </c>
      <c r="Z299" s="300">
        <f t="shared" si="152"/>
        <v>1562.6219892086328</v>
      </c>
      <c r="AA299" s="295"/>
      <c r="AB299" s="295"/>
      <c r="AC299" s="298">
        <f>'Unit Savings Calculations'!N295</f>
        <v>6.1049460431654667</v>
      </c>
      <c r="AD299" s="295"/>
      <c r="AE299" s="300">
        <f t="shared" si="138"/>
        <v>390.65549730215821</v>
      </c>
      <c r="AF299" s="297">
        <f t="shared" si="139"/>
        <v>0</v>
      </c>
      <c r="AG299" s="295"/>
      <c r="AH299" s="295">
        <f t="shared" si="140"/>
        <v>0</v>
      </c>
      <c r="AI299" s="298">
        <f>'Unit Savings Calculations'!O295</f>
        <v>6.1049460431654667</v>
      </c>
      <c r="AJ299" s="405" t="s">
        <v>879</v>
      </c>
      <c r="AK299" s="300">
        <f t="shared" si="141"/>
        <v>390.65549730215821</v>
      </c>
      <c r="AL299" s="297">
        <f t="shared" si="142"/>
        <v>0</v>
      </c>
      <c r="AM299" s="295"/>
      <c r="AN299" s="295"/>
      <c r="AO299" s="298">
        <f>'Unit Savings Calculations'!P295</f>
        <v>6.1049460431654667</v>
      </c>
      <c r="AP299" s="405" t="s">
        <v>764</v>
      </c>
      <c r="AQ299" s="300">
        <f t="shared" si="143"/>
        <v>390.65549730215821</v>
      </c>
      <c r="AR299" s="297">
        <f t="shared" si="144"/>
        <v>0</v>
      </c>
      <c r="AS299" s="295"/>
      <c r="AT299" s="295"/>
      <c r="AU299" s="298">
        <f>'Unit Savings Calculations'!Q295</f>
        <v>6.1049460431654667</v>
      </c>
      <c r="AV299" s="405" t="str">
        <f t="shared" si="131"/>
        <v>n/a</v>
      </c>
      <c r="AW299" s="300">
        <f t="shared" si="145"/>
        <v>390.65549730215821</v>
      </c>
      <c r="AX299" s="297">
        <f t="shared" si="146"/>
        <v>0</v>
      </c>
      <c r="AY299" s="300">
        <f t="shared" si="132"/>
        <v>390.65549730215821</v>
      </c>
      <c r="AZ299" s="300">
        <f t="shared" si="133"/>
        <v>390.65549730215821</v>
      </c>
      <c r="BA299" s="300">
        <f t="shared" si="134"/>
        <v>390.65549730215821</v>
      </c>
      <c r="BB299" s="300">
        <f t="shared" si="135"/>
        <v>390.65549730215821</v>
      </c>
      <c r="BC299" s="301">
        <f t="shared" si="136"/>
        <v>1562.6219892086328</v>
      </c>
      <c r="BD299" s="295" t="s">
        <v>764</v>
      </c>
      <c r="BE299" s="302" t="str">
        <f t="shared" si="137"/>
        <v>Exhibit 1.5A_R North Shore EEPS_Adjustable_Savings_Goal_Template.xlsx, Unit Savings Calculations Tab</v>
      </c>
      <c r="BF299" s="304"/>
    </row>
    <row r="300" spans="1:58" ht="15.75" customHeight="1">
      <c r="A300" s="295" t="str">
        <f>'Unit Savings Calculations'!C296</f>
        <v>Bus - Public Assessments</v>
      </c>
      <c r="B300" s="295" t="str">
        <f>'Unit Savings Calculations'!D296</f>
        <v>Aerator - Kitchen</v>
      </c>
      <c r="C300" s="296">
        <f t="shared" si="147"/>
        <v>1</v>
      </c>
      <c r="D300" s="295" t="str">
        <f>'Unit Savings Calculations'!T296</f>
        <v>4.3.2</v>
      </c>
      <c r="E300" s="460">
        <f>INDEX('Unit Savings Calculations'!$H$4:$H$421,MATCH('Measure-Level Adjustments Tab'!$A300&amp;"_"&amp;'Measure-Level Adjustments Tab'!$B300,'Unit Savings Calculations'!$A$4:$A$421,0))</f>
        <v>9</v>
      </c>
      <c r="F300" s="460">
        <f>INDEX('Unit Savings Calculations'!$I$4:$I$421,MATCH('Measure-Level Adjustments Tab'!A300&amp;"_"&amp;'Measure-Level Adjustments Tab'!B300,'Unit Savings Calculations'!$A$4:$A$421,0))</f>
        <v>10</v>
      </c>
      <c r="G300" s="295" t="str">
        <f>'Unit Savings Calculations'!E296</f>
        <v>each</v>
      </c>
      <c r="H300" s="297">
        <f>'Unit Savings Calculations'!$F296*'Unit Savings Calculations'!J296</f>
        <v>81</v>
      </c>
      <c r="I300" s="297">
        <f>'Unit Savings Calculations'!$F296*'Unit Savings Calculations'!K296</f>
        <v>81</v>
      </c>
      <c r="J300" s="297">
        <f>'Unit Savings Calculations'!$F296*'Unit Savings Calculations'!L296</f>
        <v>81</v>
      </c>
      <c r="K300" s="297">
        <f>'Unit Savings Calculations'!$F296*'Unit Savings Calculations'!M296</f>
        <v>81</v>
      </c>
      <c r="L300" s="295" t="str">
        <f>'Unit Savings Calculations'!U296</f>
        <v>CI-HWE-LFFA-V07-180101</v>
      </c>
      <c r="M300" s="405" t="str">
        <f>'Unit Savings Calculations'!R296</f>
        <v>Exhibit 1.5A_R North Shore EEPS_Adjustable_Savings_Goal_Template.xlsx, Unit Savings Calculations Tab</v>
      </c>
      <c r="N300" s="298">
        <v>7.4428057553956819</v>
      </c>
      <c r="O300" s="298">
        <v>7.4428057553956819</v>
      </c>
      <c r="P300" s="298">
        <v>7.4428057553956819</v>
      </c>
      <c r="Q300" s="298">
        <v>7.4428057553956819</v>
      </c>
      <c r="R300" s="299">
        <f>'Unit Savings Calculations'!$G296</f>
        <v>0.79</v>
      </c>
      <c r="S300" s="299">
        <f>'Unit Savings Calculations'!$G296</f>
        <v>0.79</v>
      </c>
      <c r="T300" s="299">
        <f>'Unit Savings Calculations'!$G296</f>
        <v>0.79</v>
      </c>
      <c r="U300" s="299">
        <f>'Unit Savings Calculations'!$G296</f>
        <v>0.79</v>
      </c>
      <c r="V300" s="300">
        <f t="shared" si="148"/>
        <v>476.26514028776973</v>
      </c>
      <c r="W300" s="300">
        <f t="shared" si="149"/>
        <v>476.26514028776973</v>
      </c>
      <c r="X300" s="300">
        <f t="shared" si="150"/>
        <v>476.26514028776973</v>
      </c>
      <c r="Y300" s="300">
        <f t="shared" si="151"/>
        <v>476.26514028776973</v>
      </c>
      <c r="Z300" s="300">
        <f t="shared" si="152"/>
        <v>1905.0605611510789</v>
      </c>
      <c r="AA300" s="295"/>
      <c r="AB300" s="295"/>
      <c r="AC300" s="298">
        <f>'Unit Savings Calculations'!N296</f>
        <v>7.4428057553956819</v>
      </c>
      <c r="AD300" s="295"/>
      <c r="AE300" s="300">
        <f t="shared" si="138"/>
        <v>476.26514028776973</v>
      </c>
      <c r="AF300" s="297">
        <f t="shared" si="139"/>
        <v>0</v>
      </c>
      <c r="AG300" s="295"/>
      <c r="AH300" s="295">
        <f t="shared" si="140"/>
        <v>0</v>
      </c>
      <c r="AI300" s="298">
        <f>'Unit Savings Calculations'!O296</f>
        <v>7.4428057553956819</v>
      </c>
      <c r="AJ300" s="405" t="s">
        <v>879</v>
      </c>
      <c r="AK300" s="300">
        <f t="shared" si="141"/>
        <v>476.26514028776973</v>
      </c>
      <c r="AL300" s="297">
        <f t="shared" si="142"/>
        <v>0</v>
      </c>
      <c r="AM300" s="295"/>
      <c r="AN300" s="295"/>
      <c r="AO300" s="298">
        <f>'Unit Savings Calculations'!P296</f>
        <v>7.4428057553956819</v>
      </c>
      <c r="AP300" s="405" t="s">
        <v>764</v>
      </c>
      <c r="AQ300" s="300">
        <f t="shared" si="143"/>
        <v>476.26514028776973</v>
      </c>
      <c r="AR300" s="297">
        <f t="shared" si="144"/>
        <v>0</v>
      </c>
      <c r="AS300" s="295"/>
      <c r="AT300" s="295"/>
      <c r="AU300" s="298">
        <f>'Unit Savings Calculations'!Q296</f>
        <v>7.4428057553956819</v>
      </c>
      <c r="AV300" s="405" t="str">
        <f t="shared" si="131"/>
        <v>n/a</v>
      </c>
      <c r="AW300" s="300">
        <f t="shared" si="145"/>
        <v>476.26514028776973</v>
      </c>
      <c r="AX300" s="297">
        <f t="shared" si="146"/>
        <v>0</v>
      </c>
      <c r="AY300" s="300">
        <f t="shared" si="132"/>
        <v>476.26514028776973</v>
      </c>
      <c r="AZ300" s="300">
        <f t="shared" si="133"/>
        <v>476.26514028776973</v>
      </c>
      <c r="BA300" s="300">
        <f t="shared" si="134"/>
        <v>476.26514028776973</v>
      </c>
      <c r="BB300" s="300">
        <f t="shared" si="135"/>
        <v>476.26514028776973</v>
      </c>
      <c r="BC300" s="301">
        <f t="shared" si="136"/>
        <v>1905.0605611510789</v>
      </c>
      <c r="BD300" s="295" t="s">
        <v>764</v>
      </c>
      <c r="BE300" s="302" t="str">
        <f t="shared" si="137"/>
        <v>Exhibit 1.5A_R North Shore EEPS_Adjustable_Savings_Goal_Template.xlsx, Unit Savings Calculations Tab</v>
      </c>
      <c r="BF300" s="304"/>
    </row>
    <row r="301" spans="1:58" ht="15.75" customHeight="1">
      <c r="A301" s="295" t="str">
        <f>'Unit Savings Calculations'!C297</f>
        <v>Bus - Public Assessments</v>
      </c>
      <c r="B301" s="295" t="str">
        <f>'Unit Savings Calculations'!D297</f>
        <v>Showerhead</v>
      </c>
      <c r="C301" s="296">
        <f t="shared" si="147"/>
        <v>1</v>
      </c>
      <c r="D301" s="295" t="str">
        <f>'Unit Savings Calculations'!T297</f>
        <v>4.3.3</v>
      </c>
      <c r="E301" s="460">
        <f>INDEX('Unit Savings Calculations'!$H$4:$H$421,MATCH('Measure-Level Adjustments Tab'!$A301&amp;"_"&amp;'Measure-Level Adjustments Tab'!$B301,'Unit Savings Calculations'!$A$4:$A$421,0))</f>
        <v>10</v>
      </c>
      <c r="F301" s="460">
        <f>INDEX('Unit Savings Calculations'!$I$4:$I$421,MATCH('Measure-Level Adjustments Tab'!A301&amp;"_"&amp;'Measure-Level Adjustments Tab'!B301,'Unit Savings Calculations'!$A$4:$A$421,0))</f>
        <v>10</v>
      </c>
      <c r="G301" s="295" t="str">
        <f>'Unit Savings Calculations'!E297</f>
        <v>each</v>
      </c>
      <c r="H301" s="297">
        <f>'Unit Savings Calculations'!$F297*'Unit Savings Calculations'!J297</f>
        <v>36</v>
      </c>
      <c r="I301" s="297">
        <f>'Unit Savings Calculations'!$F297*'Unit Savings Calculations'!K297</f>
        <v>36</v>
      </c>
      <c r="J301" s="297">
        <f>'Unit Savings Calculations'!$F297*'Unit Savings Calculations'!L297</f>
        <v>36</v>
      </c>
      <c r="K301" s="297">
        <f>'Unit Savings Calculations'!$F297*'Unit Savings Calculations'!M297</f>
        <v>36</v>
      </c>
      <c r="L301" s="295" t="str">
        <f>'Unit Savings Calculations'!U297</f>
        <v>RS-HWE-LFSH-V04-180101</v>
      </c>
      <c r="M301" s="405" t="str">
        <f>'Unit Savings Calculations'!R297</f>
        <v>Exhibit 1.5A_R North Shore EEPS_Adjustable_Savings_Goal_Template.xlsx, Unit Savings Calculations Tab</v>
      </c>
      <c r="N301" s="298">
        <v>21.634983278999997</v>
      </c>
      <c r="O301" s="298">
        <v>21.634983278999997</v>
      </c>
      <c r="P301" s="298">
        <v>21.634983278999997</v>
      </c>
      <c r="Q301" s="298">
        <v>21.634983278999997</v>
      </c>
      <c r="R301" s="299">
        <f>'Unit Savings Calculations'!$G297</f>
        <v>0.79</v>
      </c>
      <c r="S301" s="299">
        <f>'Unit Savings Calculations'!$G297</f>
        <v>0.79</v>
      </c>
      <c r="T301" s="299">
        <f>'Unit Savings Calculations'!$G297</f>
        <v>0.79</v>
      </c>
      <c r="U301" s="299">
        <f>'Unit Savings Calculations'!$G297</f>
        <v>0.79</v>
      </c>
      <c r="V301" s="300">
        <f t="shared" si="148"/>
        <v>615.29892445475991</v>
      </c>
      <c r="W301" s="300">
        <f t="shared" si="149"/>
        <v>615.29892445475991</v>
      </c>
      <c r="X301" s="300">
        <f t="shared" si="150"/>
        <v>615.29892445475991</v>
      </c>
      <c r="Y301" s="300">
        <f t="shared" si="151"/>
        <v>615.29892445475991</v>
      </c>
      <c r="Z301" s="300">
        <f t="shared" si="152"/>
        <v>2461.1956978190397</v>
      </c>
      <c r="AA301" s="295"/>
      <c r="AB301" s="295"/>
      <c r="AC301" s="298">
        <f>'Unit Savings Calculations'!N297</f>
        <v>19.917921113999995</v>
      </c>
      <c r="AD301" s="295"/>
      <c r="AE301" s="300">
        <f t="shared" si="138"/>
        <v>566.46567648215989</v>
      </c>
      <c r="AF301" s="297">
        <f t="shared" si="139"/>
        <v>-48.83324797260002</v>
      </c>
      <c r="AG301" s="295"/>
      <c r="AH301" s="295">
        <f t="shared" si="140"/>
        <v>0</v>
      </c>
      <c r="AI301" s="298">
        <f>'Unit Savings Calculations'!O297</f>
        <v>19.917921113999995</v>
      </c>
      <c r="AJ301" s="405" t="s">
        <v>879</v>
      </c>
      <c r="AK301" s="300">
        <f t="shared" si="141"/>
        <v>566.46567648215989</v>
      </c>
      <c r="AL301" s="297">
        <f t="shared" si="142"/>
        <v>-48.83324797260002</v>
      </c>
      <c r="AM301" s="295"/>
      <c r="AN301" s="295"/>
      <c r="AO301" s="298">
        <f>'Unit Savings Calculations'!P297</f>
        <v>19.917921113999995</v>
      </c>
      <c r="AP301" s="405" t="s">
        <v>1431</v>
      </c>
      <c r="AQ301" s="300">
        <f t="shared" si="143"/>
        <v>566.46567648215989</v>
      </c>
      <c r="AR301" s="297">
        <f t="shared" si="144"/>
        <v>-48.83324797260002</v>
      </c>
      <c r="AS301" s="295"/>
      <c r="AT301" s="295"/>
      <c r="AU301" s="298">
        <f>'Unit Savings Calculations'!Q297</f>
        <v>19.917921113999995</v>
      </c>
      <c r="AV301" s="405" t="str">
        <f t="shared" si="131"/>
        <v>Updated EPG_gas</v>
      </c>
      <c r="AW301" s="300">
        <f t="shared" si="145"/>
        <v>566.46567648215989</v>
      </c>
      <c r="AX301" s="297">
        <f t="shared" si="146"/>
        <v>-48.83324797260002</v>
      </c>
      <c r="AY301" s="300">
        <f t="shared" si="132"/>
        <v>566.46567648215989</v>
      </c>
      <c r="AZ301" s="300">
        <f t="shared" si="133"/>
        <v>566.46567648215989</v>
      </c>
      <c r="BA301" s="300">
        <f t="shared" si="134"/>
        <v>566.46567648215989</v>
      </c>
      <c r="BB301" s="300">
        <f t="shared" si="135"/>
        <v>566.46567648215989</v>
      </c>
      <c r="BC301" s="301">
        <f t="shared" si="136"/>
        <v>2265.8627059286396</v>
      </c>
      <c r="BD301" s="295" t="s">
        <v>764</v>
      </c>
      <c r="BE301" s="302" t="str">
        <f t="shared" si="137"/>
        <v>Exhibit 1.5A_R North Shore EEPS_Adjustable_Savings_Goal_Template.xlsx, Unit Savings Calculations Tab</v>
      </c>
      <c r="BF301" s="304"/>
    </row>
    <row r="302" spans="1:58" ht="15.75" customHeight="1">
      <c r="A302" s="295" t="str">
        <f>'Unit Savings Calculations'!C298</f>
        <v>Bus - Public Assessments</v>
      </c>
      <c r="B302" s="295" t="str">
        <f>'Unit Savings Calculations'!D298</f>
        <v>Pipe Insulation - DHW</v>
      </c>
      <c r="C302" s="296">
        <f t="shared" si="147"/>
        <v>1</v>
      </c>
      <c r="D302" s="295" t="str">
        <f>'Unit Savings Calculations'!T298</f>
        <v>4.4.14</v>
      </c>
      <c r="E302" s="460">
        <f>INDEX('Unit Savings Calculations'!$H$4:$H$421,MATCH('Measure-Level Adjustments Tab'!$A302&amp;"_"&amp;'Measure-Level Adjustments Tab'!$B302,'Unit Savings Calculations'!$A$4:$A$421,0))</f>
        <v>15</v>
      </c>
      <c r="F302" s="460">
        <f>INDEX('Unit Savings Calculations'!$I$4:$I$421,MATCH('Measure-Level Adjustments Tab'!A302&amp;"_"&amp;'Measure-Level Adjustments Tab'!B302,'Unit Savings Calculations'!$A$4:$A$421,0))</f>
        <v>15</v>
      </c>
      <c r="G302" s="295" t="str">
        <f>'Unit Savings Calculations'!E298</f>
        <v>each</v>
      </c>
      <c r="H302" s="297">
        <f>'Unit Savings Calculations'!$F298*'Unit Savings Calculations'!J298</f>
        <v>765</v>
      </c>
      <c r="I302" s="297">
        <f>'Unit Savings Calculations'!$F298*'Unit Savings Calculations'!K298</f>
        <v>765</v>
      </c>
      <c r="J302" s="297">
        <f>'Unit Savings Calculations'!$F298*'Unit Savings Calculations'!L298</f>
        <v>765</v>
      </c>
      <c r="K302" s="297">
        <f>'Unit Savings Calculations'!$F298*'Unit Savings Calculations'!M298</f>
        <v>765</v>
      </c>
      <c r="L302" s="295" t="str">
        <f>'Unit Savings Calculations'!U298</f>
        <v>CI-HVC-PINS-V04-160601</v>
      </c>
      <c r="M302" s="405" t="str">
        <f>'Unit Savings Calculations'!R298</f>
        <v>Exhibit 1.5A_R North Shore EEPS_Adjustable_Savings_Goal_Template.xlsx, Pipe Insulation Detail Tab</v>
      </c>
      <c r="N302" s="298">
        <v>5.2492031493764015</v>
      </c>
      <c r="O302" s="298">
        <v>5.2492031493764015</v>
      </c>
      <c r="P302" s="298">
        <v>5.2492031493764015</v>
      </c>
      <c r="Q302" s="298">
        <v>5.2492031493764015</v>
      </c>
      <c r="R302" s="299">
        <f>'Unit Savings Calculations'!$G298</f>
        <v>0.79</v>
      </c>
      <c r="S302" s="299">
        <f>'Unit Savings Calculations'!$G298</f>
        <v>0.79</v>
      </c>
      <c r="T302" s="299">
        <f>'Unit Savings Calculations'!$G298</f>
        <v>0.79</v>
      </c>
      <c r="U302" s="299">
        <f>'Unit Savings Calculations'!$G298</f>
        <v>0.79</v>
      </c>
      <c r="V302" s="300">
        <f t="shared" si="148"/>
        <v>3172.3559233256283</v>
      </c>
      <c r="W302" s="300">
        <f t="shared" si="149"/>
        <v>3172.3559233256283</v>
      </c>
      <c r="X302" s="300">
        <f t="shared" si="150"/>
        <v>3172.3559233256283</v>
      </c>
      <c r="Y302" s="300">
        <f t="shared" si="151"/>
        <v>3172.3559233256283</v>
      </c>
      <c r="Z302" s="300">
        <f t="shared" si="152"/>
        <v>12689.423693302513</v>
      </c>
      <c r="AA302" s="295"/>
      <c r="AB302" s="295"/>
      <c r="AC302" s="298">
        <f>'Unit Savings Calculations'!N298</f>
        <v>5.2492031493764015</v>
      </c>
      <c r="AD302" s="295"/>
      <c r="AE302" s="300">
        <f t="shared" si="138"/>
        <v>3172.3559233256283</v>
      </c>
      <c r="AF302" s="297">
        <f t="shared" si="139"/>
        <v>0</v>
      </c>
      <c r="AG302" s="295"/>
      <c r="AH302" s="295">
        <f t="shared" si="140"/>
        <v>0</v>
      </c>
      <c r="AI302" s="298">
        <f>'Unit Savings Calculations'!O298</f>
        <v>5.2492031493764015</v>
      </c>
      <c r="AJ302" s="405" t="s">
        <v>879</v>
      </c>
      <c r="AK302" s="300">
        <f t="shared" si="141"/>
        <v>3172.3559233256283</v>
      </c>
      <c r="AL302" s="297">
        <f t="shared" si="142"/>
        <v>0</v>
      </c>
      <c r="AM302" s="295"/>
      <c r="AN302" s="295"/>
      <c r="AO302" s="298">
        <f>'Unit Savings Calculations'!P298</f>
        <v>5.2492031493764015</v>
      </c>
      <c r="AP302" s="405" t="s">
        <v>764</v>
      </c>
      <c r="AQ302" s="300">
        <f t="shared" si="143"/>
        <v>3172.3559233256283</v>
      </c>
      <c r="AR302" s="297">
        <f t="shared" si="144"/>
        <v>0</v>
      </c>
      <c r="AS302" s="295"/>
      <c r="AT302" s="295"/>
      <c r="AU302" s="298">
        <f>'Unit Savings Calculations'!Q298</f>
        <v>5.2492031493764015</v>
      </c>
      <c r="AV302" s="405" t="str">
        <f t="shared" si="131"/>
        <v>n/a</v>
      </c>
      <c r="AW302" s="300">
        <f t="shared" si="145"/>
        <v>3172.3559233256283</v>
      </c>
      <c r="AX302" s="297">
        <f t="shared" si="146"/>
        <v>0</v>
      </c>
      <c r="AY302" s="300">
        <f t="shared" si="132"/>
        <v>3172.3559233256283</v>
      </c>
      <c r="AZ302" s="300">
        <f t="shared" si="133"/>
        <v>3172.3559233256283</v>
      </c>
      <c r="BA302" s="300">
        <f t="shared" si="134"/>
        <v>3172.3559233256283</v>
      </c>
      <c r="BB302" s="300">
        <f t="shared" si="135"/>
        <v>3172.3559233256283</v>
      </c>
      <c r="BC302" s="301">
        <f t="shared" si="136"/>
        <v>12689.423693302513</v>
      </c>
      <c r="BD302" s="295" t="s">
        <v>764</v>
      </c>
      <c r="BE302" s="302" t="str">
        <f t="shared" si="137"/>
        <v>Exhibit 1.5A_R North Shore EEPS_Adjustable_Savings_Goal_Template.xlsx, Pipe Insulation Detail Tab</v>
      </c>
      <c r="BF302" s="304"/>
    </row>
    <row r="303" spans="1:58" ht="15.75" customHeight="1">
      <c r="A303" s="295" t="str">
        <f>'Unit Savings Calculations'!C299</f>
        <v>Bus - Public Assessments</v>
      </c>
      <c r="B303" s="295" t="str">
        <f>'Unit Savings Calculations'!D299</f>
        <v>Pre Rinse Sprayer</v>
      </c>
      <c r="C303" s="296">
        <f t="shared" si="147"/>
        <v>1</v>
      </c>
      <c r="D303" s="295" t="str">
        <f>'Unit Savings Calculations'!T299</f>
        <v>4.2.11</v>
      </c>
      <c r="E303" s="460">
        <f>INDEX('Unit Savings Calculations'!$H$4:$H$421,MATCH('Measure-Level Adjustments Tab'!$A303&amp;"_"&amp;'Measure-Level Adjustments Tab'!$B303,'Unit Savings Calculations'!$A$4:$A$421,0))</f>
        <v>5</v>
      </c>
      <c r="F303" s="460">
        <f>INDEX('Unit Savings Calculations'!$I$4:$I$421,MATCH('Measure-Level Adjustments Tab'!A303&amp;"_"&amp;'Measure-Level Adjustments Tab'!B303,'Unit Savings Calculations'!$A$4:$A$421,0))</f>
        <v>5</v>
      </c>
      <c r="G303" s="295" t="str">
        <f>'Unit Savings Calculations'!E299</f>
        <v>each</v>
      </c>
      <c r="H303" s="297">
        <f>'Unit Savings Calculations'!$F299*'Unit Savings Calculations'!J299</f>
        <v>17</v>
      </c>
      <c r="I303" s="297">
        <f>'Unit Savings Calculations'!$F299*'Unit Savings Calculations'!K299</f>
        <v>17</v>
      </c>
      <c r="J303" s="297">
        <f>'Unit Savings Calculations'!$F299*'Unit Savings Calculations'!L299</f>
        <v>17</v>
      </c>
      <c r="K303" s="297">
        <f>'Unit Savings Calculations'!$F299*'Unit Savings Calculations'!M299</f>
        <v>17</v>
      </c>
      <c r="L303" s="295" t="str">
        <f>'Unit Savings Calculations'!U299</f>
        <v>CI-FSE-SPRY-V04-180101</v>
      </c>
      <c r="M303" s="405" t="str">
        <f>'Unit Savings Calculations'!R299</f>
        <v>Exhibit 1.5A_R North Shore EEPS_Adjustable_Savings_Goal_Template.xlsx, Unit Savings Calculations Tab</v>
      </c>
      <c r="N303" s="298">
        <v>171.92120399999999</v>
      </c>
      <c r="O303" s="298">
        <v>171.92120399999999</v>
      </c>
      <c r="P303" s="298">
        <v>171.92120399999999</v>
      </c>
      <c r="Q303" s="298">
        <v>171.92120399999999</v>
      </c>
      <c r="R303" s="299">
        <f>'Unit Savings Calculations'!$G299</f>
        <v>0.79</v>
      </c>
      <c r="S303" s="299">
        <f>'Unit Savings Calculations'!$G299</f>
        <v>0.79</v>
      </c>
      <c r="T303" s="299">
        <f>'Unit Savings Calculations'!$G299</f>
        <v>0.79</v>
      </c>
      <c r="U303" s="299">
        <f>'Unit Savings Calculations'!$G299</f>
        <v>0.79</v>
      </c>
      <c r="V303" s="300">
        <f t="shared" si="148"/>
        <v>2308.9017697200002</v>
      </c>
      <c r="W303" s="300">
        <f t="shared" si="149"/>
        <v>2308.9017697200002</v>
      </c>
      <c r="X303" s="300">
        <f t="shared" si="150"/>
        <v>2308.9017697200002</v>
      </c>
      <c r="Y303" s="300">
        <f t="shared" si="151"/>
        <v>2308.9017697200002</v>
      </c>
      <c r="Z303" s="300">
        <f t="shared" si="152"/>
        <v>9235.6070788800007</v>
      </c>
      <c r="AA303" s="295"/>
      <c r="AB303" s="295"/>
      <c r="AC303" s="298">
        <f>'Unit Savings Calculations'!N299</f>
        <v>237.414996</v>
      </c>
      <c r="AD303" s="295"/>
      <c r="AE303" s="300">
        <f t="shared" si="138"/>
        <v>3188.4833962800003</v>
      </c>
      <c r="AF303" s="297">
        <f t="shared" si="139"/>
        <v>879.58162656000013</v>
      </c>
      <c r="AG303" s="295"/>
      <c r="AH303" s="295">
        <f t="shared" si="140"/>
        <v>0</v>
      </c>
      <c r="AI303" s="298">
        <f>'Unit Savings Calculations'!O299</f>
        <v>237.414996</v>
      </c>
      <c r="AJ303" s="405" t="s">
        <v>879</v>
      </c>
      <c r="AK303" s="300">
        <f t="shared" si="141"/>
        <v>3188.4833962800003</v>
      </c>
      <c r="AL303" s="297">
        <f t="shared" si="142"/>
        <v>879.58162656000013</v>
      </c>
      <c r="AM303" s="295"/>
      <c r="AN303" s="295"/>
      <c r="AO303" s="298">
        <f>'Unit Savings Calculations'!P299</f>
        <v>237.414996</v>
      </c>
      <c r="AP303" s="405" t="s">
        <v>1429</v>
      </c>
      <c r="AQ303" s="300">
        <f t="shared" si="143"/>
        <v>3188.4833962800003</v>
      </c>
      <c r="AR303" s="297">
        <f t="shared" si="144"/>
        <v>879.58162656000013</v>
      </c>
      <c r="AS303" s="295"/>
      <c r="AT303" s="295"/>
      <c r="AU303" s="298">
        <f>'Unit Savings Calculations'!Q299</f>
        <v>237.414996</v>
      </c>
      <c r="AV303" s="405" t="str">
        <f t="shared" si="131"/>
        <v>Updated base and EE flow rates</v>
      </c>
      <c r="AW303" s="300">
        <f t="shared" si="145"/>
        <v>3188.4833962800003</v>
      </c>
      <c r="AX303" s="297">
        <f t="shared" si="146"/>
        <v>879.58162656000013</v>
      </c>
      <c r="AY303" s="300">
        <f t="shared" si="132"/>
        <v>3188.4833962800003</v>
      </c>
      <c r="AZ303" s="300">
        <f t="shared" si="133"/>
        <v>3188.4833962800003</v>
      </c>
      <c r="BA303" s="300">
        <f t="shared" si="134"/>
        <v>3188.4833962800003</v>
      </c>
      <c r="BB303" s="300">
        <f t="shared" si="135"/>
        <v>3188.4833962800003</v>
      </c>
      <c r="BC303" s="301">
        <f t="shared" si="136"/>
        <v>12753.933585120001</v>
      </c>
      <c r="BD303" s="295" t="s">
        <v>764</v>
      </c>
      <c r="BE303" s="302" t="str">
        <f t="shared" si="137"/>
        <v>Exhibit 1.5A_R North Shore EEPS_Adjustable_Savings_Goal_Template.xlsx, Unit Savings Calculations Tab</v>
      </c>
      <c r="BF303" s="304"/>
    </row>
    <row r="304" spans="1:58" ht="15.75" customHeight="1">
      <c r="A304" s="295" t="str">
        <f>'Unit Savings Calculations'!C300</f>
        <v>Bus - Public Assessments</v>
      </c>
      <c r="B304" s="295" t="str">
        <f>'Unit Savings Calculations'!D300</f>
        <v>Gas Optimization</v>
      </c>
      <c r="C304" s="296">
        <f t="shared" si="147"/>
        <v>0</v>
      </c>
      <c r="D304" s="295" t="str">
        <f>'Unit Savings Calculations'!T300</f>
        <v>Custom</v>
      </c>
      <c r="E304" s="460">
        <f>INDEX('Unit Savings Calculations'!$H$4:$H$421,MATCH('Measure-Level Adjustments Tab'!$A304&amp;"_"&amp;'Measure-Level Adjustments Tab'!$B304,'Unit Savings Calculations'!$A$4:$A$421,0))</f>
        <v>15</v>
      </c>
      <c r="F304" s="460">
        <f>INDEX('Unit Savings Calculations'!$I$4:$I$421,MATCH('Measure-Level Adjustments Tab'!A304&amp;"_"&amp;'Measure-Level Adjustments Tab'!B304,'Unit Savings Calculations'!$A$4:$A$421,0))</f>
        <v>15</v>
      </c>
      <c r="G304" s="295" t="str">
        <f>'Unit Savings Calculations'!E300</f>
        <v>each</v>
      </c>
      <c r="H304" s="297">
        <f>'Unit Savings Calculations'!$F300*'Unit Savings Calculations'!J300</f>
        <v>1</v>
      </c>
      <c r="I304" s="297">
        <f>'Unit Savings Calculations'!$F300*'Unit Savings Calculations'!K300</f>
        <v>1</v>
      </c>
      <c r="J304" s="297">
        <f>'Unit Savings Calculations'!$F300*'Unit Savings Calculations'!L300</f>
        <v>1</v>
      </c>
      <c r="K304" s="297">
        <f>'Unit Savings Calculations'!$F300*'Unit Savings Calculations'!M300</f>
        <v>1</v>
      </c>
      <c r="L304" s="295" t="str">
        <f>'Unit Savings Calculations'!U300</f>
        <v>Custom</v>
      </c>
      <c r="M304" s="405" t="str">
        <f>'Unit Savings Calculations'!R300</f>
        <v>Custom</v>
      </c>
      <c r="N304" s="298">
        <v>17650</v>
      </c>
      <c r="O304" s="298">
        <v>17650</v>
      </c>
      <c r="P304" s="298">
        <v>17650</v>
      </c>
      <c r="Q304" s="298">
        <v>17650</v>
      </c>
      <c r="R304" s="299">
        <f>'Unit Savings Calculations'!$G300</f>
        <v>1.02</v>
      </c>
      <c r="S304" s="299">
        <f>'Unit Savings Calculations'!$G300</f>
        <v>1.02</v>
      </c>
      <c r="T304" s="299">
        <f>'Unit Savings Calculations'!$G300</f>
        <v>1.02</v>
      </c>
      <c r="U304" s="299">
        <f>'Unit Savings Calculations'!$G300</f>
        <v>1.02</v>
      </c>
      <c r="V304" s="300">
        <f t="shared" si="148"/>
        <v>18003</v>
      </c>
      <c r="W304" s="300">
        <f t="shared" si="149"/>
        <v>18003</v>
      </c>
      <c r="X304" s="300">
        <f t="shared" si="150"/>
        <v>18003</v>
      </c>
      <c r="Y304" s="300">
        <f t="shared" si="151"/>
        <v>18003</v>
      </c>
      <c r="Z304" s="300">
        <f t="shared" si="152"/>
        <v>72012</v>
      </c>
      <c r="AA304" s="406"/>
      <c r="AB304" s="406"/>
      <c r="AC304" s="409">
        <f>'Unit Savings Calculations'!N300</f>
        <v>17650</v>
      </c>
      <c r="AD304" s="406"/>
      <c r="AE304" s="407">
        <f t="shared" si="138"/>
        <v>18003</v>
      </c>
      <c r="AF304" s="408">
        <f t="shared" si="139"/>
        <v>0</v>
      </c>
      <c r="AG304" s="406"/>
      <c r="AH304" s="406">
        <f t="shared" si="140"/>
        <v>0</v>
      </c>
      <c r="AI304" s="409">
        <f>'Unit Savings Calculations'!O300</f>
        <v>17650</v>
      </c>
      <c r="AJ304" s="457" t="s">
        <v>879</v>
      </c>
      <c r="AK304" s="407">
        <f t="shared" si="141"/>
        <v>18003</v>
      </c>
      <c r="AL304" s="408">
        <f t="shared" si="142"/>
        <v>0</v>
      </c>
      <c r="AM304" s="406"/>
      <c r="AN304" s="406"/>
      <c r="AO304" s="409">
        <f>'Unit Savings Calculations'!P300</f>
        <v>17650</v>
      </c>
      <c r="AP304" s="457" t="s">
        <v>764</v>
      </c>
      <c r="AQ304" s="407">
        <f t="shared" si="143"/>
        <v>18003</v>
      </c>
      <c r="AR304" s="408">
        <f t="shared" si="144"/>
        <v>0</v>
      </c>
      <c r="AS304" s="406"/>
      <c r="AT304" s="406"/>
      <c r="AU304" s="409">
        <f>'Unit Savings Calculations'!Q300</f>
        <v>17650</v>
      </c>
      <c r="AV304" s="457" t="str">
        <f t="shared" si="131"/>
        <v>n/a</v>
      </c>
      <c r="AW304" s="407">
        <f t="shared" si="145"/>
        <v>18003</v>
      </c>
      <c r="AX304" s="408">
        <f t="shared" si="146"/>
        <v>0</v>
      </c>
      <c r="AY304" s="300">
        <f t="shared" si="132"/>
        <v>18003</v>
      </c>
      <c r="AZ304" s="300">
        <f t="shared" si="133"/>
        <v>18003</v>
      </c>
      <c r="BA304" s="300">
        <f t="shared" si="134"/>
        <v>18003</v>
      </c>
      <c r="BB304" s="300">
        <f t="shared" si="135"/>
        <v>18003</v>
      </c>
      <c r="BC304" s="301">
        <f t="shared" si="136"/>
        <v>72012</v>
      </c>
      <c r="BD304" s="295" t="s">
        <v>764</v>
      </c>
      <c r="BE304" s="302" t="str">
        <f t="shared" si="137"/>
        <v>Custom</v>
      </c>
      <c r="BF304" s="304"/>
    </row>
    <row r="305" spans="1:58" ht="15.75" customHeight="1">
      <c r="A305" s="295" t="str">
        <f>'Unit Savings Calculations'!C301</f>
        <v>Bus - Public Assessments</v>
      </c>
      <c r="B305" s="295" t="str">
        <f>'Unit Savings Calculations'!D301</f>
        <v>Retrocommissioning</v>
      </c>
      <c r="C305" s="296">
        <f t="shared" si="147"/>
        <v>0</v>
      </c>
      <c r="D305" s="295" t="str">
        <f>'Unit Savings Calculations'!T301</f>
        <v>Custom</v>
      </c>
      <c r="E305" s="460">
        <f>INDEX('Unit Savings Calculations'!$H$4:$H$421,MATCH('Measure-Level Adjustments Tab'!$A305&amp;"_"&amp;'Measure-Level Adjustments Tab'!$B305,'Unit Savings Calculations'!$A$4:$A$421,0))</f>
        <v>15</v>
      </c>
      <c r="F305" s="460">
        <f>INDEX('Unit Savings Calculations'!$I$4:$I$421,MATCH('Measure-Level Adjustments Tab'!A305&amp;"_"&amp;'Measure-Level Adjustments Tab'!B305,'Unit Savings Calculations'!$A$4:$A$421,0))</f>
        <v>15</v>
      </c>
      <c r="G305" s="295" t="str">
        <f>'Unit Savings Calculations'!E301</f>
        <v>each</v>
      </c>
      <c r="H305" s="297">
        <f>'Unit Savings Calculations'!$F301*'Unit Savings Calculations'!J301</f>
        <v>3</v>
      </c>
      <c r="I305" s="297">
        <f>'Unit Savings Calculations'!$F301*'Unit Savings Calculations'!K301</f>
        <v>3</v>
      </c>
      <c r="J305" s="297">
        <f>'Unit Savings Calculations'!$F301*'Unit Savings Calculations'!L301</f>
        <v>3</v>
      </c>
      <c r="K305" s="297">
        <f>'Unit Savings Calculations'!$F301*'Unit Savings Calculations'!M301</f>
        <v>3</v>
      </c>
      <c r="L305" s="295" t="str">
        <f>'Unit Savings Calculations'!U301</f>
        <v>Custom</v>
      </c>
      <c r="M305" s="405" t="str">
        <f>'Unit Savings Calculations'!R301</f>
        <v>Custom</v>
      </c>
      <c r="N305" s="298">
        <v>9850</v>
      </c>
      <c r="O305" s="298">
        <v>9850</v>
      </c>
      <c r="P305" s="298">
        <v>9850</v>
      </c>
      <c r="Q305" s="298">
        <v>9850</v>
      </c>
      <c r="R305" s="299">
        <f>'Unit Savings Calculations'!$G301</f>
        <v>1.02</v>
      </c>
      <c r="S305" s="299">
        <f>'Unit Savings Calculations'!$G301</f>
        <v>1.02</v>
      </c>
      <c r="T305" s="299">
        <f>'Unit Savings Calculations'!$G301</f>
        <v>1.02</v>
      </c>
      <c r="U305" s="299">
        <f>'Unit Savings Calculations'!$G301</f>
        <v>1.02</v>
      </c>
      <c r="V305" s="300">
        <f t="shared" si="148"/>
        <v>30141</v>
      </c>
      <c r="W305" s="300">
        <f t="shared" si="149"/>
        <v>30141</v>
      </c>
      <c r="X305" s="300">
        <f t="shared" si="150"/>
        <v>30141</v>
      </c>
      <c r="Y305" s="300">
        <f t="shared" si="151"/>
        <v>30141</v>
      </c>
      <c r="Z305" s="300">
        <f t="shared" si="152"/>
        <v>120564</v>
      </c>
      <c r="AA305" s="406"/>
      <c r="AB305" s="406"/>
      <c r="AC305" s="409">
        <f>'Unit Savings Calculations'!N301</f>
        <v>9850</v>
      </c>
      <c r="AD305" s="406"/>
      <c r="AE305" s="407">
        <f t="shared" si="138"/>
        <v>30141</v>
      </c>
      <c r="AF305" s="408">
        <f t="shared" si="139"/>
        <v>0</v>
      </c>
      <c r="AG305" s="406"/>
      <c r="AH305" s="406">
        <f t="shared" si="140"/>
        <v>0</v>
      </c>
      <c r="AI305" s="409">
        <f>'Unit Savings Calculations'!O301</f>
        <v>9850</v>
      </c>
      <c r="AJ305" s="457" t="s">
        <v>879</v>
      </c>
      <c r="AK305" s="407">
        <f t="shared" si="141"/>
        <v>30141</v>
      </c>
      <c r="AL305" s="408">
        <f t="shared" si="142"/>
        <v>0</v>
      </c>
      <c r="AM305" s="406"/>
      <c r="AN305" s="406"/>
      <c r="AO305" s="409">
        <f>'Unit Savings Calculations'!P301</f>
        <v>9850</v>
      </c>
      <c r="AP305" s="457" t="s">
        <v>764</v>
      </c>
      <c r="AQ305" s="407">
        <f t="shared" si="143"/>
        <v>30141</v>
      </c>
      <c r="AR305" s="408">
        <f t="shared" si="144"/>
        <v>0</v>
      </c>
      <c r="AS305" s="406"/>
      <c r="AT305" s="406"/>
      <c r="AU305" s="409">
        <f>'Unit Savings Calculations'!Q301</f>
        <v>9850</v>
      </c>
      <c r="AV305" s="457" t="str">
        <f t="shared" si="131"/>
        <v>n/a</v>
      </c>
      <c r="AW305" s="407">
        <f t="shared" si="145"/>
        <v>30141</v>
      </c>
      <c r="AX305" s="408">
        <f t="shared" si="146"/>
        <v>0</v>
      </c>
      <c r="AY305" s="300">
        <f t="shared" si="132"/>
        <v>30141</v>
      </c>
      <c r="AZ305" s="300">
        <f t="shared" si="133"/>
        <v>30141</v>
      </c>
      <c r="BA305" s="300">
        <f t="shared" si="134"/>
        <v>30141</v>
      </c>
      <c r="BB305" s="300">
        <f t="shared" si="135"/>
        <v>30141</v>
      </c>
      <c r="BC305" s="301">
        <f t="shared" si="136"/>
        <v>120564</v>
      </c>
      <c r="BD305" s="295" t="s">
        <v>764</v>
      </c>
      <c r="BE305" s="302" t="str">
        <f t="shared" si="137"/>
        <v>Custom</v>
      </c>
      <c r="BF305" s="304"/>
    </row>
    <row r="306" spans="1:58" ht="15.75" customHeight="1">
      <c r="A306" s="295" t="str">
        <f>'Unit Savings Calculations'!C302</f>
        <v>Bus - Public Rebates</v>
      </c>
      <c r="B306" s="295" t="str">
        <f>'Unit Savings Calculations'!D302</f>
        <v>Boiler ≥88% AFUE, &lt;300MBh</v>
      </c>
      <c r="C306" s="296">
        <f t="shared" si="147"/>
        <v>1</v>
      </c>
      <c r="D306" s="295" t="str">
        <f>'Unit Savings Calculations'!T302</f>
        <v>4.4.10</v>
      </c>
      <c r="E306" s="460">
        <f>INDEX('Unit Savings Calculations'!$H$4:$H$421,MATCH('Measure-Level Adjustments Tab'!$A306&amp;"_"&amp;'Measure-Level Adjustments Tab'!$B306,'Unit Savings Calculations'!$A$4:$A$421,0))</f>
        <v>20</v>
      </c>
      <c r="F306" s="460">
        <f>INDEX('Unit Savings Calculations'!$I$4:$I$421,MATCH('Measure-Level Adjustments Tab'!A306&amp;"_"&amp;'Measure-Level Adjustments Tab'!B306,'Unit Savings Calculations'!$A$4:$A$421,0))</f>
        <v>20</v>
      </c>
      <c r="G306" s="295" t="str">
        <f>'Unit Savings Calculations'!E302</f>
        <v>MBH</v>
      </c>
      <c r="H306" s="297">
        <f>'Unit Savings Calculations'!$F302*'Unit Savings Calculations'!J302</f>
        <v>400</v>
      </c>
      <c r="I306" s="297">
        <f>'Unit Savings Calculations'!$F302*'Unit Savings Calculations'!K302</f>
        <v>400</v>
      </c>
      <c r="J306" s="297">
        <f>'Unit Savings Calculations'!$F302*'Unit Savings Calculations'!L302</f>
        <v>400</v>
      </c>
      <c r="K306" s="297">
        <f>'Unit Savings Calculations'!$F302*'Unit Savings Calculations'!M302</f>
        <v>400</v>
      </c>
      <c r="L306" s="295" t="str">
        <f>'Unit Savings Calculations'!U302</f>
        <v>CI-HVC-BOIL-V05-150601</v>
      </c>
      <c r="M306" s="405" t="str">
        <f>'Unit Savings Calculations'!R302</f>
        <v>Exhibit 1.5A_R North Shore EEPS_Adjustable_Savings_Goal_Template.xlsx, Unit Savings Calculations Tab</v>
      </c>
      <c r="N306" s="298">
        <v>1.126097560975611</v>
      </c>
      <c r="O306" s="298">
        <v>1.126097560975611</v>
      </c>
      <c r="P306" s="298">
        <v>1.126097560975611</v>
      </c>
      <c r="Q306" s="298">
        <v>1.126097560975611</v>
      </c>
      <c r="R306" s="299">
        <f>'Unit Savings Calculations'!$G302</f>
        <v>0.79</v>
      </c>
      <c r="S306" s="299">
        <f>'Unit Savings Calculations'!$G302</f>
        <v>0.79</v>
      </c>
      <c r="T306" s="299">
        <f>'Unit Savings Calculations'!$G302</f>
        <v>0.79</v>
      </c>
      <c r="U306" s="299">
        <f>'Unit Savings Calculations'!$G302</f>
        <v>0.79</v>
      </c>
      <c r="V306" s="300">
        <f t="shared" si="148"/>
        <v>355.84682926829311</v>
      </c>
      <c r="W306" s="300">
        <f t="shared" si="149"/>
        <v>355.84682926829311</v>
      </c>
      <c r="X306" s="300">
        <f t="shared" si="150"/>
        <v>355.84682926829311</v>
      </c>
      <c r="Y306" s="300">
        <f t="shared" si="151"/>
        <v>355.84682926829311</v>
      </c>
      <c r="Z306" s="300">
        <f t="shared" si="152"/>
        <v>1423.3873170731724</v>
      </c>
      <c r="AA306" s="295"/>
      <c r="AB306" s="295"/>
      <c r="AC306" s="298">
        <f>'Unit Savings Calculations'!N302</f>
        <v>1.2278048780487816</v>
      </c>
      <c r="AD306" s="295"/>
      <c r="AE306" s="300">
        <f t="shared" si="138"/>
        <v>387.98634146341499</v>
      </c>
      <c r="AF306" s="297">
        <f t="shared" si="139"/>
        <v>32.139512195121881</v>
      </c>
      <c r="AG306" s="295"/>
      <c r="AH306" s="295">
        <f t="shared" si="140"/>
        <v>0</v>
      </c>
      <c r="AI306" s="298">
        <f>'Unit Savings Calculations'!O302</f>
        <v>1.2278048780487816</v>
      </c>
      <c r="AJ306" s="405" t="s">
        <v>879</v>
      </c>
      <c r="AK306" s="300">
        <f t="shared" si="141"/>
        <v>387.98634146341499</v>
      </c>
      <c r="AL306" s="297">
        <f t="shared" si="142"/>
        <v>32.139512195121881</v>
      </c>
      <c r="AM306" s="295"/>
      <c r="AN306" s="295"/>
      <c r="AO306" s="298">
        <f>'Unit Savings Calculations'!P302</f>
        <v>1.2278048780487816</v>
      </c>
      <c r="AP306" s="405" t="s">
        <v>1443</v>
      </c>
      <c r="AQ306" s="300">
        <f t="shared" si="143"/>
        <v>387.98634146341499</v>
      </c>
      <c r="AR306" s="297">
        <f t="shared" si="144"/>
        <v>32.139512195121881</v>
      </c>
      <c r="AS306" s="295"/>
      <c r="AT306" s="295"/>
      <c r="AU306" s="298">
        <f>'Unit Savings Calculations'!Q302</f>
        <v>1.2278048780487816</v>
      </c>
      <c r="AV306" s="405" t="str">
        <f t="shared" si="131"/>
        <v>Updated heating EFLH</v>
      </c>
      <c r="AW306" s="300">
        <f t="shared" si="145"/>
        <v>387.98634146341499</v>
      </c>
      <c r="AX306" s="297">
        <f t="shared" si="146"/>
        <v>32.139512195121881</v>
      </c>
      <c r="AY306" s="300">
        <f t="shared" si="132"/>
        <v>387.98634146341499</v>
      </c>
      <c r="AZ306" s="300">
        <f t="shared" si="133"/>
        <v>387.98634146341499</v>
      </c>
      <c r="BA306" s="300">
        <f t="shared" si="134"/>
        <v>387.98634146341499</v>
      </c>
      <c r="BB306" s="300">
        <f t="shared" si="135"/>
        <v>387.98634146341499</v>
      </c>
      <c r="BC306" s="301">
        <f t="shared" si="136"/>
        <v>1551.94536585366</v>
      </c>
      <c r="BD306" s="295" t="s">
        <v>764</v>
      </c>
      <c r="BE306" s="302" t="str">
        <f t="shared" si="137"/>
        <v>Exhibit 1.5A_R North Shore EEPS_Adjustable_Savings_Goal_Template.xlsx, Unit Savings Calculations Tab</v>
      </c>
      <c r="BF306" s="304"/>
    </row>
    <row r="307" spans="1:58" ht="15.75" customHeight="1">
      <c r="A307" s="295" t="str">
        <f>'Unit Savings Calculations'!C303</f>
        <v>Bus - Public Rebates</v>
      </c>
      <c r="B307" s="295" t="str">
        <f>'Unit Savings Calculations'!D303</f>
        <v>Boiler ≥88% AFUE, ≥300MBh TE</v>
      </c>
      <c r="C307" s="296">
        <f t="shared" si="147"/>
        <v>1</v>
      </c>
      <c r="D307" s="295" t="str">
        <f>'Unit Savings Calculations'!T303</f>
        <v>4.4.10</v>
      </c>
      <c r="E307" s="460">
        <f>INDEX('Unit Savings Calculations'!$H$4:$H$421,MATCH('Measure-Level Adjustments Tab'!$A307&amp;"_"&amp;'Measure-Level Adjustments Tab'!$B307,'Unit Savings Calculations'!$A$4:$A$421,0))</f>
        <v>20</v>
      </c>
      <c r="F307" s="460">
        <f>INDEX('Unit Savings Calculations'!$I$4:$I$421,MATCH('Measure-Level Adjustments Tab'!A307&amp;"_"&amp;'Measure-Level Adjustments Tab'!B307,'Unit Savings Calculations'!$A$4:$A$421,0))</f>
        <v>20</v>
      </c>
      <c r="G307" s="295" t="str">
        <f>'Unit Savings Calculations'!E303</f>
        <v>MBH</v>
      </c>
      <c r="H307" s="297">
        <f>'Unit Savings Calculations'!$F303*'Unit Savings Calculations'!J303</f>
        <v>1200</v>
      </c>
      <c r="I307" s="297">
        <f>'Unit Savings Calculations'!$F303*'Unit Savings Calculations'!K303</f>
        <v>1200</v>
      </c>
      <c r="J307" s="297">
        <f>'Unit Savings Calculations'!$F303*'Unit Savings Calculations'!L303</f>
        <v>1200</v>
      </c>
      <c r="K307" s="297">
        <f>'Unit Savings Calculations'!$F303*'Unit Savings Calculations'!M303</f>
        <v>1200</v>
      </c>
      <c r="L307" s="295" t="str">
        <f>'Unit Savings Calculations'!U303</f>
        <v>CI-HVC-BOIL-V05-150601</v>
      </c>
      <c r="M307" s="405" t="str">
        <f>'Unit Savings Calculations'!R303</f>
        <v>Exhibit 1.5A_R North Shore EEPS_Adjustable_Savings_Goal_Template.xlsx, Unit Savings Calculations Tab</v>
      </c>
      <c r="N307" s="298">
        <v>1.5389999999999993</v>
      </c>
      <c r="O307" s="298">
        <v>1.5389999999999993</v>
      </c>
      <c r="P307" s="298">
        <v>1.5389999999999993</v>
      </c>
      <c r="Q307" s="298">
        <v>1.5389999999999993</v>
      </c>
      <c r="R307" s="299">
        <f>'Unit Savings Calculations'!$G303</f>
        <v>0.79</v>
      </c>
      <c r="S307" s="299">
        <f>'Unit Savings Calculations'!$G303</f>
        <v>0.79</v>
      </c>
      <c r="T307" s="299">
        <f>'Unit Savings Calculations'!$G303</f>
        <v>0.79</v>
      </c>
      <c r="U307" s="299">
        <f>'Unit Savings Calculations'!$G303</f>
        <v>0.79</v>
      </c>
      <c r="V307" s="300">
        <f t="shared" si="148"/>
        <v>1458.9719999999993</v>
      </c>
      <c r="W307" s="300">
        <f t="shared" si="149"/>
        <v>1458.9719999999993</v>
      </c>
      <c r="X307" s="300">
        <f t="shared" si="150"/>
        <v>1458.9719999999993</v>
      </c>
      <c r="Y307" s="300">
        <f t="shared" si="151"/>
        <v>1458.9719999999993</v>
      </c>
      <c r="Z307" s="300">
        <f t="shared" si="152"/>
        <v>5835.8879999999972</v>
      </c>
      <c r="AA307" s="295"/>
      <c r="AB307" s="295"/>
      <c r="AC307" s="298">
        <f>'Unit Savings Calculations'!N303</f>
        <v>1.6779999999999993</v>
      </c>
      <c r="AD307" s="295"/>
      <c r="AE307" s="300">
        <f t="shared" si="138"/>
        <v>1590.7439999999995</v>
      </c>
      <c r="AF307" s="297">
        <f t="shared" si="139"/>
        <v>131.77200000000016</v>
      </c>
      <c r="AG307" s="295"/>
      <c r="AH307" s="295">
        <f t="shared" si="140"/>
        <v>0</v>
      </c>
      <c r="AI307" s="298">
        <f>'Unit Savings Calculations'!O303</f>
        <v>1.6779999999999993</v>
      </c>
      <c r="AJ307" s="405" t="s">
        <v>879</v>
      </c>
      <c r="AK307" s="300">
        <f t="shared" si="141"/>
        <v>1590.7439999999995</v>
      </c>
      <c r="AL307" s="297">
        <f t="shared" si="142"/>
        <v>131.77200000000016</v>
      </c>
      <c r="AM307" s="295"/>
      <c r="AN307" s="295"/>
      <c r="AO307" s="298">
        <f>'Unit Savings Calculations'!P303</f>
        <v>1.6779999999999993</v>
      </c>
      <c r="AP307" s="405" t="s">
        <v>1443</v>
      </c>
      <c r="AQ307" s="300">
        <f t="shared" si="143"/>
        <v>1590.7439999999995</v>
      </c>
      <c r="AR307" s="297">
        <f t="shared" si="144"/>
        <v>131.77200000000016</v>
      </c>
      <c r="AS307" s="295"/>
      <c r="AT307" s="295"/>
      <c r="AU307" s="298">
        <f>'Unit Savings Calculations'!Q303</f>
        <v>1.6779999999999993</v>
      </c>
      <c r="AV307" s="405" t="str">
        <f t="shared" si="131"/>
        <v>Updated heating EFLH</v>
      </c>
      <c r="AW307" s="300">
        <f t="shared" si="145"/>
        <v>1590.7439999999995</v>
      </c>
      <c r="AX307" s="297">
        <f t="shared" si="146"/>
        <v>131.77200000000016</v>
      </c>
      <c r="AY307" s="300">
        <f t="shared" si="132"/>
        <v>1590.7439999999995</v>
      </c>
      <c r="AZ307" s="300">
        <f t="shared" si="133"/>
        <v>1590.7439999999995</v>
      </c>
      <c r="BA307" s="300">
        <f t="shared" si="134"/>
        <v>1590.7439999999995</v>
      </c>
      <c r="BB307" s="300">
        <f t="shared" si="135"/>
        <v>1590.7439999999995</v>
      </c>
      <c r="BC307" s="301">
        <f t="shared" si="136"/>
        <v>6362.9759999999978</v>
      </c>
      <c r="BD307" s="295" t="s">
        <v>764</v>
      </c>
      <c r="BE307" s="302" t="str">
        <f t="shared" si="137"/>
        <v>Exhibit 1.5A_R North Shore EEPS_Adjustable_Savings_Goal_Template.xlsx, Unit Savings Calculations Tab</v>
      </c>
      <c r="BF307" s="304"/>
    </row>
    <row r="308" spans="1:58" ht="15.75" customHeight="1">
      <c r="A308" s="295" t="str">
        <f>'Unit Savings Calculations'!C304</f>
        <v>Bus - Public Rebates</v>
      </c>
      <c r="B308" s="295" t="str">
        <f>'Unit Savings Calculations'!D304</f>
        <v>Boiler Reset Controls</v>
      </c>
      <c r="C308" s="296">
        <f t="shared" si="147"/>
        <v>1</v>
      </c>
      <c r="D308" s="295" t="str">
        <f>'Unit Savings Calculations'!T304</f>
        <v>4.4.4</v>
      </c>
      <c r="E308" s="460">
        <f>INDEX('Unit Savings Calculations'!$H$4:$H$421,MATCH('Measure-Level Adjustments Tab'!$A308&amp;"_"&amp;'Measure-Level Adjustments Tab'!$B308,'Unit Savings Calculations'!$A$4:$A$421,0))</f>
        <v>20</v>
      </c>
      <c r="F308" s="460">
        <f>INDEX('Unit Savings Calculations'!$I$4:$I$421,MATCH('Measure-Level Adjustments Tab'!A308&amp;"_"&amp;'Measure-Level Adjustments Tab'!B308,'Unit Savings Calculations'!$A$4:$A$421,0))</f>
        <v>20</v>
      </c>
      <c r="G308" s="295" t="str">
        <f>'Unit Savings Calculations'!E304</f>
        <v>each</v>
      </c>
      <c r="H308" s="297">
        <f>'Unit Savings Calculations'!$F304*'Unit Savings Calculations'!J304</f>
        <v>6000</v>
      </c>
      <c r="I308" s="297">
        <f>'Unit Savings Calculations'!$F304*'Unit Savings Calculations'!K304</f>
        <v>6000</v>
      </c>
      <c r="J308" s="297">
        <f>'Unit Savings Calculations'!$F304*'Unit Savings Calculations'!L304</f>
        <v>6000</v>
      </c>
      <c r="K308" s="297">
        <f>'Unit Savings Calculations'!$F304*'Unit Savings Calculations'!M304</f>
        <v>6000</v>
      </c>
      <c r="L308" s="295" t="str">
        <f>'Unit Savings Calculations'!U304</f>
        <v>CI-HVC-BLRC-V03-150601</v>
      </c>
      <c r="M308" s="405" t="str">
        <f>'Unit Savings Calculations'!R304</f>
        <v>Exhibit 1.5A_R North Shore EEPS_Adjustable_Savings_Goal_Template.xlsx, Unit Savings Calculations Tab</v>
      </c>
      <c r="N308" s="298">
        <v>1.2312000000000001</v>
      </c>
      <c r="O308" s="298">
        <v>1.2312000000000001</v>
      </c>
      <c r="P308" s="298">
        <v>1.2312000000000001</v>
      </c>
      <c r="Q308" s="298">
        <v>1.2312000000000001</v>
      </c>
      <c r="R308" s="299">
        <f>'Unit Savings Calculations'!$G304</f>
        <v>0.79</v>
      </c>
      <c r="S308" s="299">
        <f>'Unit Savings Calculations'!$G304</f>
        <v>0.79</v>
      </c>
      <c r="T308" s="299">
        <f>'Unit Savings Calculations'!$G304</f>
        <v>0.79</v>
      </c>
      <c r="U308" s="299">
        <f>'Unit Savings Calculations'!$G304</f>
        <v>0.79</v>
      </c>
      <c r="V308" s="300">
        <f t="shared" si="148"/>
        <v>5835.8880000000008</v>
      </c>
      <c r="W308" s="300">
        <f t="shared" si="149"/>
        <v>5835.8880000000008</v>
      </c>
      <c r="X308" s="300">
        <f t="shared" si="150"/>
        <v>5835.8880000000008</v>
      </c>
      <c r="Y308" s="300">
        <f t="shared" si="151"/>
        <v>5835.8880000000008</v>
      </c>
      <c r="Z308" s="300">
        <f t="shared" si="152"/>
        <v>23343.552000000003</v>
      </c>
      <c r="AA308" s="295"/>
      <c r="AB308" s="295"/>
      <c r="AC308" s="298">
        <f>'Unit Savings Calculations'!N304</f>
        <v>1.3424</v>
      </c>
      <c r="AD308" s="295"/>
      <c r="AE308" s="300">
        <f t="shared" si="138"/>
        <v>6362.9760000000006</v>
      </c>
      <c r="AF308" s="297">
        <f t="shared" si="139"/>
        <v>527.08799999999974</v>
      </c>
      <c r="AG308" s="295"/>
      <c r="AH308" s="295">
        <f t="shared" si="140"/>
        <v>0</v>
      </c>
      <c r="AI308" s="298">
        <f>'Unit Savings Calculations'!O304</f>
        <v>1.3424</v>
      </c>
      <c r="AJ308" s="405" t="s">
        <v>879</v>
      </c>
      <c r="AK308" s="300">
        <f t="shared" si="141"/>
        <v>6362.9760000000006</v>
      </c>
      <c r="AL308" s="297">
        <f t="shared" si="142"/>
        <v>527.08799999999974</v>
      </c>
      <c r="AM308" s="295"/>
      <c r="AN308" s="295"/>
      <c r="AO308" s="298">
        <f>'Unit Savings Calculations'!P304</f>
        <v>1.3424</v>
      </c>
      <c r="AP308" s="405" t="s">
        <v>1443</v>
      </c>
      <c r="AQ308" s="300">
        <f t="shared" si="143"/>
        <v>6362.9760000000006</v>
      </c>
      <c r="AR308" s="297">
        <f t="shared" si="144"/>
        <v>527.08799999999974</v>
      </c>
      <c r="AS308" s="295"/>
      <c r="AT308" s="295"/>
      <c r="AU308" s="298">
        <f>'Unit Savings Calculations'!Q304</f>
        <v>1.3424</v>
      </c>
      <c r="AV308" s="405" t="str">
        <f t="shared" si="131"/>
        <v>Updated heating EFLH</v>
      </c>
      <c r="AW308" s="300">
        <f t="shared" si="145"/>
        <v>6362.9760000000006</v>
      </c>
      <c r="AX308" s="297">
        <f t="shared" si="146"/>
        <v>527.08799999999974</v>
      </c>
      <c r="AY308" s="300">
        <f t="shared" si="132"/>
        <v>6362.9760000000006</v>
      </c>
      <c r="AZ308" s="300">
        <f t="shared" si="133"/>
        <v>6362.9760000000006</v>
      </c>
      <c r="BA308" s="300">
        <f t="shared" si="134"/>
        <v>6362.9760000000006</v>
      </c>
      <c r="BB308" s="300">
        <f t="shared" si="135"/>
        <v>6362.9760000000006</v>
      </c>
      <c r="BC308" s="301">
        <f t="shared" si="136"/>
        <v>25451.904000000002</v>
      </c>
      <c r="BD308" s="295" t="s">
        <v>764</v>
      </c>
      <c r="BE308" s="302" t="str">
        <f t="shared" si="137"/>
        <v>Exhibit 1.5A_R North Shore EEPS_Adjustable_Savings_Goal_Template.xlsx, Unit Savings Calculations Tab</v>
      </c>
      <c r="BF308" s="304"/>
    </row>
    <row r="309" spans="1:58" ht="15.75" customHeight="1">
      <c r="A309" s="295" t="str">
        <f>'Unit Savings Calculations'!C305</f>
        <v>Bus - Public Rebates</v>
      </c>
      <c r="B309" s="295" t="str">
        <f>'Unit Savings Calculations'!D305</f>
        <v>Boiler Tune Up - Process</v>
      </c>
      <c r="C309" s="296">
        <f t="shared" si="147"/>
        <v>1</v>
      </c>
      <c r="D309" s="295" t="str">
        <f>'Unit Savings Calculations'!T305</f>
        <v>4.4.3</v>
      </c>
      <c r="E309" s="460">
        <f>INDEX('Unit Savings Calculations'!$H$4:$H$421,MATCH('Measure-Level Adjustments Tab'!$A309&amp;"_"&amp;'Measure-Level Adjustments Tab'!$B309,'Unit Savings Calculations'!$A$4:$A$421,0))</f>
        <v>3</v>
      </c>
      <c r="F309" s="460">
        <f>INDEX('Unit Savings Calculations'!$I$4:$I$421,MATCH('Measure-Level Adjustments Tab'!A309&amp;"_"&amp;'Measure-Level Adjustments Tab'!B309,'Unit Savings Calculations'!$A$4:$A$421,0))</f>
        <v>3</v>
      </c>
      <c r="G309" s="295" t="str">
        <f>'Unit Savings Calculations'!E305</f>
        <v>MBH</v>
      </c>
      <c r="H309" s="297">
        <f>'Unit Savings Calculations'!$F305*'Unit Savings Calculations'!J305</f>
        <v>35000</v>
      </c>
      <c r="I309" s="297">
        <f>'Unit Savings Calculations'!$F305*'Unit Savings Calculations'!K305</f>
        <v>35000</v>
      </c>
      <c r="J309" s="297">
        <f>'Unit Savings Calculations'!$F305*'Unit Savings Calculations'!L305</f>
        <v>35000</v>
      </c>
      <c r="K309" s="297">
        <f>'Unit Savings Calculations'!$F305*'Unit Savings Calculations'!M305</f>
        <v>35000</v>
      </c>
      <c r="L309" s="295" t="str">
        <f>'Unit Savings Calculations'!U305</f>
        <v>CI-HVC-PBTU-V05-160601</v>
      </c>
      <c r="M309" s="405" t="str">
        <f>'Unit Savings Calculations'!R305</f>
        <v>Exhibit 1.5A_R North Shore EEPS_Adjustable_Savings_Goal_Template.xlsx, Unit Savings Calculations Tab</v>
      </c>
      <c r="N309" s="298">
        <v>0.83823507428978783</v>
      </c>
      <c r="O309" s="298">
        <v>0.83823507428978783</v>
      </c>
      <c r="P309" s="298">
        <v>0.83823507428978783</v>
      </c>
      <c r="Q309" s="298">
        <v>0.83823507428978783</v>
      </c>
      <c r="R309" s="299">
        <f>'Unit Savings Calculations'!$G305</f>
        <v>0.79</v>
      </c>
      <c r="S309" s="299">
        <f>'Unit Savings Calculations'!$G305</f>
        <v>0.79</v>
      </c>
      <c r="T309" s="299">
        <f>'Unit Savings Calculations'!$G305</f>
        <v>0.79</v>
      </c>
      <c r="U309" s="299">
        <f>'Unit Savings Calculations'!$G305</f>
        <v>0.79</v>
      </c>
      <c r="V309" s="300">
        <f t="shared" si="148"/>
        <v>23177.199804112635</v>
      </c>
      <c r="W309" s="300">
        <f t="shared" si="149"/>
        <v>23177.199804112635</v>
      </c>
      <c r="X309" s="300">
        <f t="shared" si="150"/>
        <v>23177.199804112635</v>
      </c>
      <c r="Y309" s="300">
        <f t="shared" si="151"/>
        <v>23177.199804112635</v>
      </c>
      <c r="Z309" s="300">
        <f t="shared" si="152"/>
        <v>92708.799216450541</v>
      </c>
      <c r="AA309" s="295"/>
      <c r="AB309" s="295"/>
      <c r="AC309" s="298">
        <f>'Unit Savings Calculations'!N305</f>
        <v>0.83823507428978783</v>
      </c>
      <c r="AD309" s="295"/>
      <c r="AE309" s="300">
        <f t="shared" si="138"/>
        <v>23177.199804112635</v>
      </c>
      <c r="AF309" s="297">
        <f t="shared" si="139"/>
        <v>0</v>
      </c>
      <c r="AG309" s="295"/>
      <c r="AH309" s="295">
        <f t="shared" si="140"/>
        <v>0</v>
      </c>
      <c r="AI309" s="298">
        <f>'Unit Savings Calculations'!O305</f>
        <v>0.83823507428978783</v>
      </c>
      <c r="AJ309" s="405" t="s">
        <v>879</v>
      </c>
      <c r="AK309" s="300">
        <f t="shared" si="141"/>
        <v>23177.199804112635</v>
      </c>
      <c r="AL309" s="297">
        <f t="shared" si="142"/>
        <v>0</v>
      </c>
      <c r="AM309" s="295"/>
      <c r="AN309" s="295"/>
      <c r="AO309" s="298">
        <f>'Unit Savings Calculations'!P305</f>
        <v>0.83823507428978783</v>
      </c>
      <c r="AP309" s="405" t="s">
        <v>764</v>
      </c>
      <c r="AQ309" s="300">
        <f t="shared" si="143"/>
        <v>23177.199804112635</v>
      </c>
      <c r="AR309" s="297">
        <f t="shared" si="144"/>
        <v>0</v>
      </c>
      <c r="AS309" s="295"/>
      <c r="AT309" s="295"/>
      <c r="AU309" s="298">
        <f>'Unit Savings Calculations'!Q305</f>
        <v>0.83823507428978783</v>
      </c>
      <c r="AV309" s="405" t="str">
        <f t="shared" si="131"/>
        <v>n/a</v>
      </c>
      <c r="AW309" s="300">
        <f t="shared" si="145"/>
        <v>23177.199804112635</v>
      </c>
      <c r="AX309" s="297">
        <f t="shared" si="146"/>
        <v>0</v>
      </c>
      <c r="AY309" s="300">
        <f t="shared" si="132"/>
        <v>23177.199804112635</v>
      </c>
      <c r="AZ309" s="300">
        <f t="shared" si="133"/>
        <v>23177.199804112635</v>
      </c>
      <c r="BA309" s="300">
        <f t="shared" si="134"/>
        <v>23177.199804112635</v>
      </c>
      <c r="BB309" s="300">
        <f t="shared" si="135"/>
        <v>23177.199804112635</v>
      </c>
      <c r="BC309" s="301">
        <f t="shared" si="136"/>
        <v>92708.799216450541</v>
      </c>
      <c r="BD309" s="295" t="s">
        <v>764</v>
      </c>
      <c r="BE309" s="302" t="str">
        <f t="shared" si="137"/>
        <v>Exhibit 1.5A_R North Shore EEPS_Adjustable_Savings_Goal_Template.xlsx, Unit Savings Calculations Tab</v>
      </c>
      <c r="BF309" s="304"/>
    </row>
    <row r="310" spans="1:58" ht="15.75" customHeight="1">
      <c r="A310" s="295" t="str">
        <f>'Unit Savings Calculations'!C306</f>
        <v>Bus - Public Rebates</v>
      </c>
      <c r="B310" s="295" t="str">
        <f>'Unit Savings Calculations'!D306</f>
        <v>Boiler Tune Up - Space Heating</v>
      </c>
      <c r="C310" s="296">
        <f t="shared" si="147"/>
        <v>1</v>
      </c>
      <c r="D310" s="295" t="str">
        <f>'Unit Savings Calculations'!T306</f>
        <v>4.4.2</v>
      </c>
      <c r="E310" s="460">
        <f>INDEX('Unit Savings Calculations'!$H$4:$H$421,MATCH('Measure-Level Adjustments Tab'!$A310&amp;"_"&amp;'Measure-Level Adjustments Tab'!$B310,'Unit Savings Calculations'!$A$4:$A$421,0))</f>
        <v>3</v>
      </c>
      <c r="F310" s="460">
        <f>INDEX('Unit Savings Calculations'!$I$4:$I$421,MATCH('Measure-Level Adjustments Tab'!A310&amp;"_"&amp;'Measure-Level Adjustments Tab'!B310,'Unit Savings Calculations'!$A$4:$A$421,0))</f>
        <v>3</v>
      </c>
      <c r="G310" s="295" t="str">
        <f>'Unit Savings Calculations'!E306</f>
        <v>MBH</v>
      </c>
      <c r="H310" s="297">
        <f>'Unit Savings Calculations'!$F306*'Unit Savings Calculations'!J306</f>
        <v>0</v>
      </c>
      <c r="I310" s="297">
        <f>'Unit Savings Calculations'!$F306*'Unit Savings Calculations'!K306</f>
        <v>0</v>
      </c>
      <c r="J310" s="297">
        <f>'Unit Savings Calculations'!$F306*'Unit Savings Calculations'!L306</f>
        <v>0</v>
      </c>
      <c r="K310" s="297">
        <f>'Unit Savings Calculations'!$F306*'Unit Savings Calculations'!M306</f>
        <v>0</v>
      </c>
      <c r="L310" s="295" t="str">
        <f>'Unit Savings Calculations'!U306</f>
        <v>CI-HVC-BLRT-V06-160601</v>
      </c>
      <c r="M310" s="405" t="str">
        <f>'Unit Savings Calculations'!R306</f>
        <v>Exhibit 1.5A_R North Shore EEPS_Adjustable_Savings_Goal_Template.xlsx, Unit Savings Calculations Tab</v>
      </c>
      <c r="N310" s="298">
        <v>0.35943072618902666</v>
      </c>
      <c r="O310" s="298">
        <v>0.35943072618902666</v>
      </c>
      <c r="P310" s="298">
        <v>0.35943072618902666</v>
      </c>
      <c r="Q310" s="298">
        <v>0.35943072618902666</v>
      </c>
      <c r="R310" s="299">
        <f>'Unit Savings Calculations'!$G306</f>
        <v>0.79</v>
      </c>
      <c r="S310" s="299">
        <f>'Unit Savings Calculations'!$G306</f>
        <v>0.79</v>
      </c>
      <c r="T310" s="299">
        <f>'Unit Savings Calculations'!$G306</f>
        <v>0.79</v>
      </c>
      <c r="U310" s="299">
        <f>'Unit Savings Calculations'!$G306</f>
        <v>0.79</v>
      </c>
      <c r="V310" s="300">
        <f t="shared" si="148"/>
        <v>0</v>
      </c>
      <c r="W310" s="300">
        <f t="shared" si="149"/>
        <v>0</v>
      </c>
      <c r="X310" s="300">
        <f t="shared" si="150"/>
        <v>0</v>
      </c>
      <c r="Y310" s="300">
        <f t="shared" si="151"/>
        <v>0</v>
      </c>
      <c r="Z310" s="300">
        <f t="shared" si="152"/>
        <v>0</v>
      </c>
      <c r="AA310" s="295"/>
      <c r="AB310" s="295"/>
      <c r="AC310" s="298">
        <f>'Unit Savings Calculations'!N306</f>
        <v>0.3918939301788088</v>
      </c>
      <c r="AD310" s="295"/>
      <c r="AE310" s="300">
        <f t="shared" si="138"/>
        <v>0</v>
      </c>
      <c r="AF310" s="297">
        <f t="shared" si="139"/>
        <v>0</v>
      </c>
      <c r="AG310" s="295"/>
      <c r="AH310" s="295">
        <f t="shared" si="140"/>
        <v>0</v>
      </c>
      <c r="AI310" s="298">
        <f>'Unit Savings Calculations'!O306</f>
        <v>0.3918939301788088</v>
      </c>
      <c r="AJ310" s="405" t="s">
        <v>879</v>
      </c>
      <c r="AK310" s="300">
        <f t="shared" si="141"/>
        <v>0</v>
      </c>
      <c r="AL310" s="297">
        <f t="shared" si="142"/>
        <v>0</v>
      </c>
      <c r="AM310" s="295"/>
      <c r="AN310" s="295"/>
      <c r="AO310" s="298">
        <f>'Unit Savings Calculations'!P306</f>
        <v>0.3918939301788088</v>
      </c>
      <c r="AP310" s="405" t="s">
        <v>1443</v>
      </c>
      <c r="AQ310" s="300">
        <f t="shared" si="143"/>
        <v>0</v>
      </c>
      <c r="AR310" s="297">
        <f t="shared" si="144"/>
        <v>0</v>
      </c>
      <c r="AS310" s="295"/>
      <c r="AT310" s="295"/>
      <c r="AU310" s="298">
        <f>'Unit Savings Calculations'!Q306</f>
        <v>0.3918939301788088</v>
      </c>
      <c r="AV310" s="405" t="str">
        <f t="shared" si="131"/>
        <v>Updated heating EFLH</v>
      </c>
      <c r="AW310" s="300">
        <f t="shared" si="145"/>
        <v>0</v>
      </c>
      <c r="AX310" s="297">
        <f t="shared" si="146"/>
        <v>0</v>
      </c>
      <c r="AY310" s="300">
        <f t="shared" si="132"/>
        <v>0</v>
      </c>
      <c r="AZ310" s="300">
        <f t="shared" si="133"/>
        <v>0</v>
      </c>
      <c r="BA310" s="300">
        <f t="shared" si="134"/>
        <v>0</v>
      </c>
      <c r="BB310" s="300">
        <f t="shared" si="135"/>
        <v>0</v>
      </c>
      <c r="BC310" s="301">
        <f t="shared" si="136"/>
        <v>0</v>
      </c>
      <c r="BD310" s="295" t="s">
        <v>764</v>
      </c>
      <c r="BE310" s="302" t="str">
        <f t="shared" si="137"/>
        <v>Exhibit 1.5A_R North Shore EEPS_Adjustable_Savings_Goal_Template.xlsx, Unit Savings Calculations Tab</v>
      </c>
      <c r="BF310" s="304"/>
    </row>
    <row r="311" spans="1:58" ht="15.75" customHeight="1">
      <c r="A311" s="295" t="str">
        <f>'Unit Savings Calculations'!C307</f>
        <v>Bus - Public Rebates</v>
      </c>
      <c r="B311" s="295" t="str">
        <f>'Unit Savings Calculations'!D307</f>
        <v>Condensing Unit Heater</v>
      </c>
      <c r="C311" s="296">
        <f t="shared" si="147"/>
        <v>1</v>
      </c>
      <c r="D311" s="295" t="str">
        <f>'Unit Savings Calculations'!T307</f>
        <v>4.4.5</v>
      </c>
      <c r="E311" s="460">
        <f>INDEX('Unit Savings Calculations'!$H$4:$H$421,MATCH('Measure-Level Adjustments Tab'!$A311&amp;"_"&amp;'Measure-Level Adjustments Tab'!$B311,'Unit Savings Calculations'!$A$4:$A$421,0))</f>
        <v>12</v>
      </c>
      <c r="F311" s="460">
        <f>INDEX('Unit Savings Calculations'!$I$4:$I$421,MATCH('Measure-Level Adjustments Tab'!A311&amp;"_"&amp;'Measure-Level Adjustments Tab'!B311,'Unit Savings Calculations'!$A$4:$A$421,0))</f>
        <v>12</v>
      </c>
      <c r="G311" s="295" t="str">
        <f>'Unit Savings Calculations'!E307</f>
        <v>MBH</v>
      </c>
      <c r="H311" s="297">
        <f>'Unit Savings Calculations'!$F307*'Unit Savings Calculations'!J307</f>
        <v>0</v>
      </c>
      <c r="I311" s="297">
        <f>'Unit Savings Calculations'!$F307*'Unit Savings Calculations'!K307</f>
        <v>0</v>
      </c>
      <c r="J311" s="297">
        <f>'Unit Savings Calculations'!$F307*'Unit Savings Calculations'!L307</f>
        <v>0</v>
      </c>
      <c r="K311" s="297">
        <f>'Unit Savings Calculations'!$F307*'Unit Savings Calculations'!M307</f>
        <v>0</v>
      </c>
      <c r="L311" s="295" t="str">
        <f>'Unit Savings Calculations'!U307</f>
        <v>CI-HVC-CUHT-V01-120601</v>
      </c>
      <c r="M311" s="405" t="str">
        <f>'Unit Savings Calculations'!R307</f>
        <v>Exhibit 1.5A_R North Shore EEPS_Adjustable_Savings_Goal_Template.xlsx, Unit Savings Calculations Tab</v>
      </c>
      <c r="N311" s="298">
        <v>1.7733333333333334</v>
      </c>
      <c r="O311" s="298">
        <v>1.7733333333333334</v>
      </c>
      <c r="P311" s="298">
        <v>1.7733333333333334</v>
      </c>
      <c r="Q311" s="298">
        <v>1.7733333333333334</v>
      </c>
      <c r="R311" s="299">
        <f>'Unit Savings Calculations'!$G307</f>
        <v>0.79</v>
      </c>
      <c r="S311" s="299">
        <f>'Unit Savings Calculations'!$G307</f>
        <v>0.79</v>
      </c>
      <c r="T311" s="299">
        <f>'Unit Savings Calculations'!$G307</f>
        <v>0.79</v>
      </c>
      <c r="U311" s="299">
        <f>'Unit Savings Calculations'!$G307</f>
        <v>0.79</v>
      </c>
      <c r="V311" s="300">
        <f t="shared" si="148"/>
        <v>0</v>
      </c>
      <c r="W311" s="300">
        <f t="shared" si="149"/>
        <v>0</v>
      </c>
      <c r="X311" s="300">
        <f t="shared" si="150"/>
        <v>0</v>
      </c>
      <c r="Y311" s="300">
        <f t="shared" si="151"/>
        <v>0</v>
      </c>
      <c r="Z311" s="300">
        <f t="shared" si="152"/>
        <v>0</v>
      </c>
      <c r="AA311" s="295"/>
      <c r="AB311" s="295"/>
      <c r="AC311" s="298">
        <f>'Unit Savings Calculations'!N307</f>
        <v>1.7733333333333334</v>
      </c>
      <c r="AD311" s="295"/>
      <c r="AE311" s="300">
        <f t="shared" si="138"/>
        <v>0</v>
      </c>
      <c r="AF311" s="297">
        <f t="shared" si="139"/>
        <v>0</v>
      </c>
      <c r="AG311" s="295"/>
      <c r="AH311" s="295">
        <f t="shared" si="140"/>
        <v>0</v>
      </c>
      <c r="AI311" s="298">
        <f>'Unit Savings Calculations'!O307</f>
        <v>1.7733333333333334</v>
      </c>
      <c r="AJ311" s="405" t="s">
        <v>879</v>
      </c>
      <c r="AK311" s="300">
        <f t="shared" si="141"/>
        <v>0</v>
      </c>
      <c r="AL311" s="297">
        <f t="shared" si="142"/>
        <v>0</v>
      </c>
      <c r="AM311" s="295"/>
      <c r="AN311" s="295"/>
      <c r="AO311" s="298">
        <f>'Unit Savings Calculations'!P307</f>
        <v>1.7733333333333334</v>
      </c>
      <c r="AP311" s="405" t="s">
        <v>764</v>
      </c>
      <c r="AQ311" s="300">
        <f t="shared" si="143"/>
        <v>0</v>
      </c>
      <c r="AR311" s="297">
        <f t="shared" si="144"/>
        <v>0</v>
      </c>
      <c r="AS311" s="295"/>
      <c r="AT311" s="295"/>
      <c r="AU311" s="298">
        <f>'Unit Savings Calculations'!Q307</f>
        <v>1.7733333333333334</v>
      </c>
      <c r="AV311" s="405" t="str">
        <f t="shared" si="131"/>
        <v>n/a</v>
      </c>
      <c r="AW311" s="300">
        <f t="shared" si="145"/>
        <v>0</v>
      </c>
      <c r="AX311" s="297">
        <f t="shared" si="146"/>
        <v>0</v>
      </c>
      <c r="AY311" s="300">
        <f t="shared" si="132"/>
        <v>0</v>
      </c>
      <c r="AZ311" s="300">
        <f t="shared" si="133"/>
        <v>0</v>
      </c>
      <c r="BA311" s="300">
        <f t="shared" si="134"/>
        <v>0</v>
      </c>
      <c r="BB311" s="300">
        <f t="shared" si="135"/>
        <v>0</v>
      </c>
      <c r="BC311" s="301">
        <f t="shared" si="136"/>
        <v>0</v>
      </c>
      <c r="BD311" s="295" t="s">
        <v>764</v>
      </c>
      <c r="BE311" s="302" t="str">
        <f t="shared" si="137"/>
        <v>Exhibit 1.5A_R North Shore EEPS_Adjustable_Savings_Goal_Template.xlsx, Unit Savings Calculations Tab</v>
      </c>
      <c r="BF311" s="304"/>
    </row>
    <row r="312" spans="1:58" ht="15.75" customHeight="1">
      <c r="A312" s="295" t="str">
        <f>'Unit Savings Calculations'!C308</f>
        <v>Bus - Public Rebates</v>
      </c>
      <c r="B312" s="295" t="str">
        <f>'Unit Savings Calculations'!D308</f>
        <v>DCV - Kitchen</v>
      </c>
      <c r="C312" s="296">
        <f t="shared" si="147"/>
        <v>1</v>
      </c>
      <c r="D312" s="295" t="str">
        <f>'Unit Savings Calculations'!T308</f>
        <v>4.2.16</v>
      </c>
      <c r="E312" s="460">
        <f>INDEX('Unit Savings Calculations'!$H$4:$H$421,MATCH('Measure-Level Adjustments Tab'!$A312&amp;"_"&amp;'Measure-Level Adjustments Tab'!$B312,'Unit Savings Calculations'!$A$4:$A$421,0))</f>
        <v>15</v>
      </c>
      <c r="F312" s="460">
        <f>INDEX('Unit Savings Calculations'!$I$4:$I$421,MATCH('Measure-Level Adjustments Tab'!A312&amp;"_"&amp;'Measure-Level Adjustments Tab'!B312,'Unit Savings Calculations'!$A$4:$A$421,0))</f>
        <v>15</v>
      </c>
      <c r="G312" s="295" t="str">
        <f>'Unit Savings Calculations'!E308</f>
        <v>each</v>
      </c>
      <c r="H312" s="297">
        <f>'Unit Savings Calculations'!$F308*'Unit Savings Calculations'!J308</f>
        <v>14</v>
      </c>
      <c r="I312" s="297">
        <f>'Unit Savings Calculations'!$F308*'Unit Savings Calculations'!K308</f>
        <v>14</v>
      </c>
      <c r="J312" s="297">
        <f>'Unit Savings Calculations'!$F308*'Unit Savings Calculations'!L308</f>
        <v>14</v>
      </c>
      <c r="K312" s="297">
        <f>'Unit Savings Calculations'!$F308*'Unit Savings Calculations'!M308</f>
        <v>14</v>
      </c>
      <c r="L312" s="295" t="str">
        <f>'Unit Savings Calculations'!U308</f>
        <v>CI-FSE-VENT-V03-160601</v>
      </c>
      <c r="M312" s="405" t="str">
        <f>'Unit Savings Calculations'!R308</f>
        <v>Exhibit 1.5A_R North Shore EEPS_Adjustable_Savings_Goal_Template.xlsx, Unit Savings Calculations Tab</v>
      </c>
      <c r="N312" s="298">
        <v>5998.5</v>
      </c>
      <c r="O312" s="298">
        <v>5998.5</v>
      </c>
      <c r="P312" s="298">
        <v>5998.5</v>
      </c>
      <c r="Q312" s="298">
        <v>5998.5</v>
      </c>
      <c r="R312" s="299">
        <f>'Unit Savings Calculations'!$G308</f>
        <v>0.79</v>
      </c>
      <c r="S312" s="299">
        <f>'Unit Savings Calculations'!$G308</f>
        <v>0.79</v>
      </c>
      <c r="T312" s="299">
        <f>'Unit Savings Calculations'!$G308</f>
        <v>0.79</v>
      </c>
      <c r="U312" s="299">
        <f>'Unit Savings Calculations'!$G308</f>
        <v>0.79</v>
      </c>
      <c r="V312" s="300">
        <f t="shared" si="148"/>
        <v>66343.41</v>
      </c>
      <c r="W312" s="300">
        <f t="shared" si="149"/>
        <v>66343.41</v>
      </c>
      <c r="X312" s="300">
        <f t="shared" si="150"/>
        <v>66343.41</v>
      </c>
      <c r="Y312" s="300">
        <f t="shared" si="151"/>
        <v>66343.41</v>
      </c>
      <c r="Z312" s="300">
        <f t="shared" si="152"/>
        <v>265373.64</v>
      </c>
      <c r="AA312" s="295"/>
      <c r="AB312" s="295"/>
      <c r="AC312" s="298">
        <f>'Unit Savings Calculations'!N308</f>
        <v>5998.5</v>
      </c>
      <c r="AD312" s="295"/>
      <c r="AE312" s="300">
        <f t="shared" si="138"/>
        <v>66343.41</v>
      </c>
      <c r="AF312" s="297">
        <f t="shared" si="139"/>
        <v>0</v>
      </c>
      <c r="AG312" s="295"/>
      <c r="AH312" s="295">
        <f t="shared" si="140"/>
        <v>0</v>
      </c>
      <c r="AI312" s="298">
        <f>'Unit Savings Calculations'!O308</f>
        <v>5998.5</v>
      </c>
      <c r="AJ312" s="405" t="s">
        <v>879</v>
      </c>
      <c r="AK312" s="300">
        <f t="shared" si="141"/>
        <v>66343.41</v>
      </c>
      <c r="AL312" s="297">
        <f t="shared" si="142"/>
        <v>0</v>
      </c>
      <c r="AM312" s="295"/>
      <c r="AN312" s="295"/>
      <c r="AO312" s="298">
        <f>'Unit Savings Calculations'!P308</f>
        <v>5998.5</v>
      </c>
      <c r="AP312" s="405" t="s">
        <v>764</v>
      </c>
      <c r="AQ312" s="300">
        <f t="shared" si="143"/>
        <v>66343.41</v>
      </c>
      <c r="AR312" s="297">
        <f t="shared" si="144"/>
        <v>0</v>
      </c>
      <c r="AS312" s="295"/>
      <c r="AT312" s="295"/>
      <c r="AU312" s="298">
        <f>'Unit Savings Calculations'!Q308</f>
        <v>5998.5</v>
      </c>
      <c r="AV312" s="405" t="str">
        <f t="shared" si="131"/>
        <v>n/a</v>
      </c>
      <c r="AW312" s="300">
        <f t="shared" si="145"/>
        <v>66343.41</v>
      </c>
      <c r="AX312" s="297">
        <f t="shared" si="146"/>
        <v>0</v>
      </c>
      <c r="AY312" s="300">
        <f t="shared" si="132"/>
        <v>66343.41</v>
      </c>
      <c r="AZ312" s="300">
        <f t="shared" si="133"/>
        <v>66343.41</v>
      </c>
      <c r="BA312" s="300">
        <f t="shared" si="134"/>
        <v>66343.41</v>
      </c>
      <c r="BB312" s="300">
        <f t="shared" si="135"/>
        <v>66343.41</v>
      </c>
      <c r="BC312" s="301">
        <f t="shared" si="136"/>
        <v>265373.64</v>
      </c>
      <c r="BD312" s="295" t="s">
        <v>764</v>
      </c>
      <c r="BE312" s="302" t="str">
        <f t="shared" si="137"/>
        <v>Exhibit 1.5A_R North Shore EEPS_Adjustable_Savings_Goal_Template.xlsx, Unit Savings Calculations Tab</v>
      </c>
      <c r="BF312" s="304"/>
    </row>
    <row r="313" spans="1:58" ht="15.75" customHeight="1">
      <c r="A313" s="295" t="str">
        <f>'Unit Savings Calculations'!C309</f>
        <v>Bus - Public Rebates</v>
      </c>
      <c r="B313" s="295" t="str">
        <f>'Unit Savings Calculations'!D309</f>
        <v>Direct Fired Heaters</v>
      </c>
      <c r="C313" s="296">
        <f t="shared" si="147"/>
        <v>0</v>
      </c>
      <c r="D313" s="295" t="str">
        <f>'Unit Savings Calculations'!T309</f>
        <v>Custom</v>
      </c>
      <c r="E313" s="460">
        <f>INDEX('Unit Savings Calculations'!$H$4:$H$421,MATCH('Measure-Level Adjustments Tab'!$A313&amp;"_"&amp;'Measure-Level Adjustments Tab'!$B313,'Unit Savings Calculations'!$A$4:$A$421,0))</f>
        <v>20</v>
      </c>
      <c r="F313" s="460">
        <f>INDEX('Unit Savings Calculations'!$I$4:$I$421,MATCH('Measure-Level Adjustments Tab'!A313&amp;"_"&amp;'Measure-Level Adjustments Tab'!B313,'Unit Savings Calculations'!$A$4:$A$421,0))</f>
        <v>20</v>
      </c>
      <c r="G313" s="295" t="str">
        <f>'Unit Savings Calculations'!E309</f>
        <v>MBH</v>
      </c>
      <c r="H313" s="297">
        <f>'Unit Savings Calculations'!$F309*'Unit Savings Calculations'!J309</f>
        <v>0</v>
      </c>
      <c r="I313" s="297">
        <f>'Unit Savings Calculations'!$F309*'Unit Savings Calculations'!K309</f>
        <v>0</v>
      </c>
      <c r="J313" s="297">
        <f>'Unit Savings Calculations'!$F309*'Unit Savings Calculations'!L309</f>
        <v>0</v>
      </c>
      <c r="K313" s="297">
        <f>'Unit Savings Calculations'!$F309*'Unit Savings Calculations'!M309</f>
        <v>0</v>
      </c>
      <c r="L313" s="295" t="str">
        <f>'Unit Savings Calculations'!U309</f>
        <v>Custom</v>
      </c>
      <c r="M313" s="405" t="str">
        <f>'Unit Savings Calculations'!R309</f>
        <v>Custom</v>
      </c>
      <c r="N313" s="298">
        <v>2.3084999999999987</v>
      </c>
      <c r="O313" s="298">
        <v>2.3084999999999987</v>
      </c>
      <c r="P313" s="298">
        <v>2.3084999999999987</v>
      </c>
      <c r="Q313" s="298">
        <v>2.3084999999999987</v>
      </c>
      <c r="R313" s="299">
        <f>'Unit Savings Calculations'!$G309</f>
        <v>0.79</v>
      </c>
      <c r="S313" s="299">
        <f>'Unit Savings Calculations'!$G309</f>
        <v>0.79</v>
      </c>
      <c r="T313" s="299">
        <f>'Unit Savings Calculations'!$G309</f>
        <v>0.79</v>
      </c>
      <c r="U313" s="299">
        <f>'Unit Savings Calculations'!$G309</f>
        <v>0.79</v>
      </c>
      <c r="V313" s="300">
        <f t="shared" si="148"/>
        <v>0</v>
      </c>
      <c r="W313" s="300">
        <f t="shared" si="149"/>
        <v>0</v>
      </c>
      <c r="X313" s="300">
        <f t="shared" si="150"/>
        <v>0</v>
      </c>
      <c r="Y313" s="300">
        <f t="shared" si="151"/>
        <v>0</v>
      </c>
      <c r="Z313" s="300">
        <f t="shared" si="152"/>
        <v>0</v>
      </c>
      <c r="AA313" s="406"/>
      <c r="AB313" s="406"/>
      <c r="AC313" s="409">
        <f>'Unit Savings Calculations'!N309</f>
        <v>2.5169999999999986</v>
      </c>
      <c r="AD313" s="406"/>
      <c r="AE313" s="407">
        <f t="shared" si="138"/>
        <v>0</v>
      </c>
      <c r="AF313" s="408">
        <f t="shared" si="139"/>
        <v>0</v>
      </c>
      <c r="AG313" s="406"/>
      <c r="AH313" s="406">
        <f t="shared" si="140"/>
        <v>0</v>
      </c>
      <c r="AI313" s="409">
        <f>'Unit Savings Calculations'!O309</f>
        <v>2.5169999999999986</v>
      </c>
      <c r="AJ313" s="457" t="s">
        <v>879</v>
      </c>
      <c r="AK313" s="407">
        <f t="shared" si="141"/>
        <v>0</v>
      </c>
      <c r="AL313" s="408">
        <f t="shared" si="142"/>
        <v>0</v>
      </c>
      <c r="AM313" s="406"/>
      <c r="AN313" s="406"/>
      <c r="AO313" s="409">
        <f>'Unit Savings Calculations'!P309</f>
        <v>2.5169999999999986</v>
      </c>
      <c r="AP313" s="457" t="s">
        <v>1443</v>
      </c>
      <c r="AQ313" s="407">
        <f t="shared" si="143"/>
        <v>0</v>
      </c>
      <c r="AR313" s="408">
        <f t="shared" si="144"/>
        <v>0</v>
      </c>
      <c r="AS313" s="406"/>
      <c r="AT313" s="406"/>
      <c r="AU313" s="409">
        <f>'Unit Savings Calculations'!Q309</f>
        <v>2.5169999999999986</v>
      </c>
      <c r="AV313" s="457" t="str">
        <f t="shared" si="131"/>
        <v>Updated heating EFLH</v>
      </c>
      <c r="AW313" s="407">
        <f t="shared" si="145"/>
        <v>0</v>
      </c>
      <c r="AX313" s="408">
        <f t="shared" si="146"/>
        <v>0</v>
      </c>
      <c r="AY313" s="300">
        <f t="shared" si="132"/>
        <v>0</v>
      </c>
      <c r="AZ313" s="300">
        <f t="shared" si="133"/>
        <v>0</v>
      </c>
      <c r="BA313" s="300">
        <f t="shared" si="134"/>
        <v>0</v>
      </c>
      <c r="BB313" s="300">
        <f t="shared" si="135"/>
        <v>0</v>
      </c>
      <c r="BC313" s="301">
        <f t="shared" si="136"/>
        <v>0</v>
      </c>
      <c r="BD313" s="295" t="s">
        <v>764</v>
      </c>
      <c r="BE313" s="302" t="str">
        <f t="shared" si="137"/>
        <v>Custom</v>
      </c>
      <c r="BF313" s="304"/>
    </row>
    <row r="314" spans="1:58" ht="15.75" customHeight="1">
      <c r="A314" s="295" t="str">
        <f>'Unit Savings Calculations'!C310</f>
        <v>Bus - Public Rebates</v>
      </c>
      <c r="B314" s="295" t="str">
        <f>'Unit Savings Calculations'!D310</f>
        <v>High Speed Washer - Hotel/Motel/Hospital</v>
      </c>
      <c r="C314" s="296">
        <f t="shared" si="147"/>
        <v>1</v>
      </c>
      <c r="D314" s="295" t="str">
        <f>'Unit Savings Calculations'!T310</f>
        <v>4.8.5</v>
      </c>
      <c r="E314" s="460">
        <f>INDEX('Unit Savings Calculations'!$H$4:$H$421,MATCH('Measure-Level Adjustments Tab'!$A314&amp;"_"&amp;'Measure-Level Adjustments Tab'!$B314,'Unit Savings Calculations'!$A$4:$A$421,0))</f>
        <v>7</v>
      </c>
      <c r="F314" s="460">
        <f>INDEX('Unit Savings Calculations'!$I$4:$I$421,MATCH('Measure-Level Adjustments Tab'!A314&amp;"_"&amp;'Measure-Level Adjustments Tab'!B314,'Unit Savings Calculations'!$A$4:$A$421,0))</f>
        <v>7</v>
      </c>
      <c r="G314" s="295" t="str">
        <f>'Unit Savings Calculations'!E310</f>
        <v>lb-capacity</v>
      </c>
      <c r="H314" s="297">
        <f>'Unit Savings Calculations'!$F310*'Unit Savings Calculations'!J310</f>
        <v>0</v>
      </c>
      <c r="I314" s="297">
        <f>'Unit Savings Calculations'!$F310*'Unit Savings Calculations'!K310</f>
        <v>0</v>
      </c>
      <c r="J314" s="297">
        <f>'Unit Savings Calculations'!$F310*'Unit Savings Calculations'!L310</f>
        <v>0</v>
      </c>
      <c r="K314" s="297">
        <f>'Unit Savings Calculations'!$F310*'Unit Savings Calculations'!M310</f>
        <v>0</v>
      </c>
      <c r="L314" s="295" t="str">
        <f>'Unit Savings Calculations'!U310</f>
        <v>CI-MSC-HSCW-V01-180101</v>
      </c>
      <c r="M314" s="405" t="str">
        <f>'Unit Savings Calculations'!R310</f>
        <v>Exhibit 1.5A_R North Shore EEPS_Adjustable_Savings_Goal_Template.xlsx, Unit Savings Calculations Tab</v>
      </c>
      <c r="N314" s="298">
        <v>11.243232000000003</v>
      </c>
      <c r="O314" s="298">
        <v>11.243232000000003</v>
      </c>
      <c r="P314" s="298">
        <v>11.243232000000003</v>
      </c>
      <c r="Q314" s="298">
        <v>11.243232000000003</v>
      </c>
      <c r="R314" s="299">
        <f>'Unit Savings Calculations'!$G310</f>
        <v>0.79</v>
      </c>
      <c r="S314" s="299">
        <f>'Unit Savings Calculations'!$G310</f>
        <v>0.79</v>
      </c>
      <c r="T314" s="299">
        <f>'Unit Savings Calculations'!$G310</f>
        <v>0.79</v>
      </c>
      <c r="U314" s="299">
        <f>'Unit Savings Calculations'!$G310</f>
        <v>0.79</v>
      </c>
      <c r="V314" s="300">
        <f t="shared" si="148"/>
        <v>0</v>
      </c>
      <c r="W314" s="300">
        <f t="shared" si="149"/>
        <v>0</v>
      </c>
      <c r="X314" s="300">
        <f t="shared" si="150"/>
        <v>0</v>
      </c>
      <c r="Y314" s="300">
        <f t="shared" si="151"/>
        <v>0</v>
      </c>
      <c r="Z314" s="300">
        <f t="shared" si="152"/>
        <v>0</v>
      </c>
      <c r="AA314" s="295"/>
      <c r="AB314" s="295"/>
      <c r="AC314" s="298">
        <f>'Unit Savings Calculations'!N310</f>
        <v>11.243232000000003</v>
      </c>
      <c r="AD314" s="295"/>
      <c r="AE314" s="300">
        <f t="shared" si="138"/>
        <v>0</v>
      </c>
      <c r="AF314" s="297">
        <f t="shared" si="139"/>
        <v>0</v>
      </c>
      <c r="AG314" s="295"/>
      <c r="AH314" s="295">
        <f t="shared" si="140"/>
        <v>0</v>
      </c>
      <c r="AI314" s="298">
        <f>'Unit Savings Calculations'!O310</f>
        <v>11.243232000000003</v>
      </c>
      <c r="AJ314" s="405" t="s">
        <v>879</v>
      </c>
      <c r="AK314" s="300">
        <f t="shared" si="141"/>
        <v>0</v>
      </c>
      <c r="AL314" s="297">
        <f t="shared" si="142"/>
        <v>0</v>
      </c>
      <c r="AM314" s="295"/>
      <c r="AN314" s="295"/>
      <c r="AO314" s="298">
        <f>'Unit Savings Calculations'!P310</f>
        <v>11.243232000000003</v>
      </c>
      <c r="AP314" s="405" t="s">
        <v>764</v>
      </c>
      <c r="AQ314" s="300">
        <f t="shared" si="143"/>
        <v>0</v>
      </c>
      <c r="AR314" s="297">
        <f t="shared" si="144"/>
        <v>0</v>
      </c>
      <c r="AS314" s="295"/>
      <c r="AT314" s="295"/>
      <c r="AU314" s="298">
        <f>'Unit Savings Calculations'!Q310</f>
        <v>11.243232000000003</v>
      </c>
      <c r="AV314" s="405" t="str">
        <f t="shared" si="131"/>
        <v>n/a</v>
      </c>
      <c r="AW314" s="300">
        <f t="shared" si="145"/>
        <v>0</v>
      </c>
      <c r="AX314" s="297">
        <f t="shared" si="146"/>
        <v>0</v>
      </c>
      <c r="AY314" s="300">
        <f t="shared" si="132"/>
        <v>0</v>
      </c>
      <c r="AZ314" s="300">
        <f t="shared" si="133"/>
        <v>0</v>
      </c>
      <c r="BA314" s="300">
        <f t="shared" si="134"/>
        <v>0</v>
      </c>
      <c r="BB314" s="300">
        <f t="shared" si="135"/>
        <v>0</v>
      </c>
      <c r="BC314" s="301">
        <f t="shared" si="136"/>
        <v>0</v>
      </c>
      <c r="BD314" s="295" t="s">
        <v>764</v>
      </c>
      <c r="BE314" s="302" t="str">
        <f t="shared" si="137"/>
        <v>Exhibit 1.5A_R North Shore EEPS_Adjustable_Savings_Goal_Template.xlsx, Unit Savings Calculations Tab</v>
      </c>
      <c r="BF314" s="304"/>
    </row>
    <row r="315" spans="1:58" ht="15.75" customHeight="1">
      <c r="A315" s="295" t="str">
        <f>'Unit Savings Calculations'!C311</f>
        <v>Bus - Public Rebates</v>
      </c>
      <c r="B315" s="295" t="str">
        <f>'Unit Savings Calculations'!D311</f>
        <v>Infrared Heater</v>
      </c>
      <c r="C315" s="296">
        <f t="shared" si="147"/>
        <v>1</v>
      </c>
      <c r="D315" s="295" t="str">
        <f>'Unit Savings Calculations'!T311</f>
        <v>4.4.12</v>
      </c>
      <c r="E315" s="460">
        <f>INDEX('Unit Savings Calculations'!$H$4:$H$421,MATCH('Measure-Level Adjustments Tab'!$A315&amp;"_"&amp;'Measure-Level Adjustments Tab'!$B315,'Unit Savings Calculations'!$A$4:$A$421,0))</f>
        <v>12</v>
      </c>
      <c r="F315" s="460">
        <f>INDEX('Unit Savings Calculations'!$I$4:$I$421,MATCH('Measure-Level Adjustments Tab'!A315&amp;"_"&amp;'Measure-Level Adjustments Tab'!B315,'Unit Savings Calculations'!$A$4:$A$421,0))</f>
        <v>12</v>
      </c>
      <c r="G315" s="295" t="str">
        <f>'Unit Savings Calculations'!E311</f>
        <v>MBH</v>
      </c>
      <c r="H315" s="297">
        <f>'Unit Savings Calculations'!$F311*'Unit Savings Calculations'!J311</f>
        <v>0</v>
      </c>
      <c r="I315" s="297">
        <f>'Unit Savings Calculations'!$F311*'Unit Savings Calculations'!K311</f>
        <v>0</v>
      </c>
      <c r="J315" s="297">
        <f>'Unit Savings Calculations'!$F311*'Unit Savings Calculations'!L311</f>
        <v>0</v>
      </c>
      <c r="K315" s="297">
        <f>'Unit Savings Calculations'!$F311*'Unit Savings Calculations'!M311</f>
        <v>0</v>
      </c>
      <c r="L315" s="295" t="str">
        <f>'Unit Savings Calculations'!U311</f>
        <v>CI-HVC-IRHT-V01-120601</v>
      </c>
      <c r="M315" s="405" t="str">
        <f>'Unit Savings Calculations'!R311</f>
        <v>Exhibit 1.5A_R North Shore EEPS_Adjustable_Savings_Goal_Template.xlsx, Unit Savings Calculations Tab</v>
      </c>
      <c r="N315" s="298">
        <v>3.0066666666666668</v>
      </c>
      <c r="O315" s="298">
        <v>3.0066666666666668</v>
      </c>
      <c r="P315" s="298">
        <v>3.0066666666666668</v>
      </c>
      <c r="Q315" s="298">
        <v>3.0066666666666668</v>
      </c>
      <c r="R315" s="299">
        <f>'Unit Savings Calculations'!$G311</f>
        <v>0.79</v>
      </c>
      <c r="S315" s="299">
        <f>'Unit Savings Calculations'!$G311</f>
        <v>0.79</v>
      </c>
      <c r="T315" s="299">
        <f>'Unit Savings Calculations'!$G311</f>
        <v>0.79</v>
      </c>
      <c r="U315" s="299">
        <f>'Unit Savings Calculations'!$G311</f>
        <v>0.79</v>
      </c>
      <c r="V315" s="300">
        <f t="shared" si="148"/>
        <v>0</v>
      </c>
      <c r="W315" s="300">
        <f t="shared" si="149"/>
        <v>0</v>
      </c>
      <c r="X315" s="300">
        <f t="shared" si="150"/>
        <v>0</v>
      </c>
      <c r="Y315" s="300">
        <f t="shared" si="151"/>
        <v>0</v>
      </c>
      <c r="Z315" s="300">
        <f t="shared" si="152"/>
        <v>0</v>
      </c>
      <c r="AA315" s="295"/>
      <c r="AB315" s="295"/>
      <c r="AC315" s="298">
        <f>'Unit Savings Calculations'!N311</f>
        <v>3.0066666666666668</v>
      </c>
      <c r="AD315" s="295"/>
      <c r="AE315" s="300">
        <f t="shared" si="138"/>
        <v>0</v>
      </c>
      <c r="AF315" s="297">
        <f t="shared" si="139"/>
        <v>0</v>
      </c>
      <c r="AG315" s="295"/>
      <c r="AH315" s="295">
        <f t="shared" si="140"/>
        <v>0</v>
      </c>
      <c r="AI315" s="298">
        <f>'Unit Savings Calculations'!O311</f>
        <v>3.0066666666666668</v>
      </c>
      <c r="AJ315" s="405" t="s">
        <v>879</v>
      </c>
      <c r="AK315" s="300">
        <f t="shared" si="141"/>
        <v>0</v>
      </c>
      <c r="AL315" s="297">
        <f t="shared" si="142"/>
        <v>0</v>
      </c>
      <c r="AM315" s="295"/>
      <c r="AN315" s="295"/>
      <c r="AO315" s="298">
        <f>'Unit Savings Calculations'!P311</f>
        <v>3.0066666666666668</v>
      </c>
      <c r="AP315" s="405" t="s">
        <v>764</v>
      </c>
      <c r="AQ315" s="300">
        <f t="shared" si="143"/>
        <v>0</v>
      </c>
      <c r="AR315" s="297">
        <f t="shared" si="144"/>
        <v>0</v>
      </c>
      <c r="AS315" s="295"/>
      <c r="AT315" s="295"/>
      <c r="AU315" s="298">
        <f>'Unit Savings Calculations'!Q311</f>
        <v>3.0066666666666668</v>
      </c>
      <c r="AV315" s="405" t="str">
        <f t="shared" si="131"/>
        <v>n/a</v>
      </c>
      <c r="AW315" s="300">
        <f t="shared" si="145"/>
        <v>0</v>
      </c>
      <c r="AX315" s="297">
        <f t="shared" si="146"/>
        <v>0</v>
      </c>
      <c r="AY315" s="300">
        <f t="shared" si="132"/>
        <v>0</v>
      </c>
      <c r="AZ315" s="300">
        <f t="shared" si="133"/>
        <v>0</v>
      </c>
      <c r="BA315" s="300">
        <f t="shared" si="134"/>
        <v>0</v>
      </c>
      <c r="BB315" s="300">
        <f t="shared" si="135"/>
        <v>0</v>
      </c>
      <c r="BC315" s="301">
        <f t="shared" si="136"/>
        <v>0</v>
      </c>
      <c r="BD315" s="295" t="s">
        <v>764</v>
      </c>
      <c r="BE315" s="302" t="str">
        <f t="shared" si="137"/>
        <v>Exhibit 1.5A_R North Shore EEPS_Adjustable_Savings_Goal_Template.xlsx, Unit Savings Calculations Tab</v>
      </c>
      <c r="BF315" s="304"/>
    </row>
    <row r="316" spans="1:58" ht="15.75" customHeight="1">
      <c r="A316" s="295" t="str">
        <f>'Unit Savings Calculations'!C312</f>
        <v>Bus - Public Rebates</v>
      </c>
      <c r="B316" s="295" t="str">
        <f>'Unit Savings Calculations'!D312</f>
        <v>Modulating Commercial Gas Clothes Dryer</v>
      </c>
      <c r="C316" s="296">
        <f t="shared" si="147"/>
        <v>1</v>
      </c>
      <c r="D316" s="295" t="str">
        <f>'Unit Savings Calculations'!T312</f>
        <v>4.8.4</v>
      </c>
      <c r="E316" s="460">
        <f>INDEX('Unit Savings Calculations'!$H$4:$H$421,MATCH('Measure-Level Adjustments Tab'!$A316&amp;"_"&amp;'Measure-Level Adjustments Tab'!$B316,'Unit Savings Calculations'!$A$4:$A$421,0))</f>
        <v>14</v>
      </c>
      <c r="F316" s="460">
        <f>INDEX('Unit Savings Calculations'!$I$4:$I$421,MATCH('Measure-Level Adjustments Tab'!A316&amp;"_"&amp;'Measure-Level Adjustments Tab'!B316,'Unit Savings Calculations'!$A$4:$A$421,0))</f>
        <v>14</v>
      </c>
      <c r="G316" s="295" t="str">
        <f>'Unit Savings Calculations'!E312</f>
        <v>each</v>
      </c>
      <c r="H316" s="297">
        <f>'Unit Savings Calculations'!$F312*'Unit Savings Calculations'!J312</f>
        <v>0</v>
      </c>
      <c r="I316" s="297">
        <f>'Unit Savings Calculations'!$F312*'Unit Savings Calculations'!K312</f>
        <v>0</v>
      </c>
      <c r="J316" s="297">
        <f>'Unit Savings Calculations'!$F312*'Unit Savings Calculations'!L312</f>
        <v>0</v>
      </c>
      <c r="K316" s="297">
        <f>'Unit Savings Calculations'!$F312*'Unit Savings Calculations'!M312</f>
        <v>0</v>
      </c>
      <c r="L316" s="295" t="str">
        <f>'Unit Savings Calculations'!U312</f>
        <v>CI-MSC-MODD-V01-160601</v>
      </c>
      <c r="M316" s="405" t="str">
        <f>'Unit Savings Calculations'!R312</f>
        <v>Exhibit 1.5A_R North Shore EEPS_Adjustable_Savings_Goal_Template.xlsx, Unit Savings Calculations Tab</v>
      </c>
      <c r="N316" s="298">
        <v>266.94</v>
      </c>
      <c r="O316" s="298">
        <v>266.94</v>
      </c>
      <c r="P316" s="298">
        <v>266.94</v>
      </c>
      <c r="Q316" s="298">
        <v>266.94</v>
      </c>
      <c r="R316" s="299">
        <f>'Unit Savings Calculations'!$G312</f>
        <v>0.79</v>
      </c>
      <c r="S316" s="299">
        <f>'Unit Savings Calculations'!$G312</f>
        <v>0.79</v>
      </c>
      <c r="T316" s="299">
        <f>'Unit Savings Calculations'!$G312</f>
        <v>0.79</v>
      </c>
      <c r="U316" s="299">
        <f>'Unit Savings Calculations'!$G312</f>
        <v>0.79</v>
      </c>
      <c r="V316" s="300">
        <f t="shared" si="148"/>
        <v>0</v>
      </c>
      <c r="W316" s="300">
        <f t="shared" si="149"/>
        <v>0</v>
      </c>
      <c r="X316" s="300">
        <f t="shared" si="150"/>
        <v>0</v>
      </c>
      <c r="Y316" s="300">
        <f t="shared" si="151"/>
        <v>0</v>
      </c>
      <c r="Z316" s="300">
        <f t="shared" si="152"/>
        <v>0</v>
      </c>
      <c r="AA316" s="295"/>
      <c r="AB316" s="295"/>
      <c r="AC316" s="298">
        <f>'Unit Savings Calculations'!N312</f>
        <v>266.94</v>
      </c>
      <c r="AD316" s="295"/>
      <c r="AE316" s="300">
        <f t="shared" si="138"/>
        <v>0</v>
      </c>
      <c r="AF316" s="297">
        <f t="shared" si="139"/>
        <v>0</v>
      </c>
      <c r="AG316" s="295"/>
      <c r="AH316" s="295">
        <f t="shared" si="140"/>
        <v>0</v>
      </c>
      <c r="AI316" s="298">
        <f>'Unit Savings Calculations'!O312</f>
        <v>266.94</v>
      </c>
      <c r="AJ316" s="405" t="s">
        <v>879</v>
      </c>
      <c r="AK316" s="300">
        <f t="shared" si="141"/>
        <v>0</v>
      </c>
      <c r="AL316" s="297">
        <f t="shared" si="142"/>
        <v>0</v>
      </c>
      <c r="AM316" s="295"/>
      <c r="AN316" s="295"/>
      <c r="AO316" s="298">
        <f>'Unit Savings Calculations'!P312</f>
        <v>266.94</v>
      </c>
      <c r="AP316" s="405" t="s">
        <v>764</v>
      </c>
      <c r="AQ316" s="300">
        <f t="shared" si="143"/>
        <v>0</v>
      </c>
      <c r="AR316" s="297">
        <f t="shared" si="144"/>
        <v>0</v>
      </c>
      <c r="AS316" s="295"/>
      <c r="AT316" s="295"/>
      <c r="AU316" s="298">
        <f>'Unit Savings Calculations'!Q312</f>
        <v>266.94</v>
      </c>
      <c r="AV316" s="405" t="str">
        <f t="shared" si="131"/>
        <v>n/a</v>
      </c>
      <c r="AW316" s="300">
        <f t="shared" si="145"/>
        <v>0</v>
      </c>
      <c r="AX316" s="297">
        <f t="shared" si="146"/>
        <v>0</v>
      </c>
      <c r="AY316" s="300">
        <f t="shared" si="132"/>
        <v>0</v>
      </c>
      <c r="AZ316" s="300">
        <f t="shared" si="133"/>
        <v>0</v>
      </c>
      <c r="BA316" s="300">
        <f t="shared" si="134"/>
        <v>0</v>
      </c>
      <c r="BB316" s="300">
        <f t="shared" si="135"/>
        <v>0</v>
      </c>
      <c r="BC316" s="301">
        <f t="shared" si="136"/>
        <v>0</v>
      </c>
      <c r="BD316" s="295" t="s">
        <v>764</v>
      </c>
      <c r="BE316" s="302" t="str">
        <f t="shared" si="137"/>
        <v>Exhibit 1.5A_R North Shore EEPS_Adjustable_Savings_Goal_Template.xlsx, Unit Savings Calculations Tab</v>
      </c>
      <c r="BF316" s="304"/>
    </row>
    <row r="317" spans="1:58" ht="15.75" customHeight="1">
      <c r="A317" s="295" t="str">
        <f>'Unit Savings Calculations'!C313</f>
        <v>Bus - Public Rebates</v>
      </c>
      <c r="B317" s="295" t="str">
        <f>'Unit Savings Calculations'!D313</f>
        <v>Ozone Laundry</v>
      </c>
      <c r="C317" s="296">
        <f t="shared" si="147"/>
        <v>1</v>
      </c>
      <c r="D317" s="295" t="str">
        <f>'Unit Savings Calculations'!T313</f>
        <v>4.3.6</v>
      </c>
      <c r="E317" s="460">
        <f>INDEX('Unit Savings Calculations'!$H$4:$H$421,MATCH('Measure-Level Adjustments Tab'!$A317&amp;"_"&amp;'Measure-Level Adjustments Tab'!$B317,'Unit Savings Calculations'!$A$4:$A$421,0))</f>
        <v>10</v>
      </c>
      <c r="F317" s="460">
        <f>INDEX('Unit Savings Calculations'!$I$4:$I$421,MATCH('Measure-Level Adjustments Tab'!A317&amp;"_"&amp;'Measure-Level Adjustments Tab'!B317,'Unit Savings Calculations'!$A$4:$A$421,0))</f>
        <v>10</v>
      </c>
      <c r="G317" s="295" t="str">
        <f>'Unit Savings Calculations'!E313</f>
        <v>lb-capacity</v>
      </c>
      <c r="H317" s="297">
        <f>'Unit Savings Calculations'!$F313*'Unit Savings Calculations'!J313</f>
        <v>0</v>
      </c>
      <c r="I317" s="297">
        <f>'Unit Savings Calculations'!$F313*'Unit Savings Calculations'!K313</f>
        <v>0</v>
      </c>
      <c r="J317" s="297">
        <f>'Unit Savings Calculations'!$F313*'Unit Savings Calculations'!L313</f>
        <v>0</v>
      </c>
      <c r="K317" s="297">
        <f>'Unit Savings Calculations'!$F313*'Unit Savings Calculations'!M313</f>
        <v>0</v>
      </c>
      <c r="L317" s="295" t="str">
        <f>'Unit Savings Calculations'!U313</f>
        <v>CI-HW-OZLD-VO1-140601</v>
      </c>
      <c r="M317" s="405" t="str">
        <f>'Unit Savings Calculations'!R313</f>
        <v>Exhibit 1.5A_R North Shore EEPS_Adjustable_Savings_Goal_Template.xlsx, Unit Savings Calculations Tab</v>
      </c>
      <c r="N317" s="298">
        <v>30.722664192350027</v>
      </c>
      <c r="O317" s="298">
        <v>30.722664192350027</v>
      </c>
      <c r="P317" s="298">
        <v>30.722664192350027</v>
      </c>
      <c r="Q317" s="298">
        <v>30.722664192350027</v>
      </c>
      <c r="R317" s="299">
        <f>'Unit Savings Calculations'!$G313</f>
        <v>0.79</v>
      </c>
      <c r="S317" s="299">
        <f>'Unit Savings Calculations'!$G313</f>
        <v>0.79</v>
      </c>
      <c r="T317" s="299">
        <f>'Unit Savings Calculations'!$G313</f>
        <v>0.79</v>
      </c>
      <c r="U317" s="299">
        <f>'Unit Savings Calculations'!$G313</f>
        <v>0.79</v>
      </c>
      <c r="V317" s="300">
        <f t="shared" si="148"/>
        <v>0</v>
      </c>
      <c r="W317" s="300">
        <f t="shared" si="149"/>
        <v>0</v>
      </c>
      <c r="X317" s="300">
        <f t="shared" si="150"/>
        <v>0</v>
      </c>
      <c r="Y317" s="300">
        <f t="shared" si="151"/>
        <v>0</v>
      </c>
      <c r="Z317" s="300">
        <f t="shared" si="152"/>
        <v>0</v>
      </c>
      <c r="AA317" s="295"/>
      <c r="AB317" s="295"/>
      <c r="AC317" s="298">
        <f>'Unit Savings Calculations'!N313</f>
        <v>30.722664192350027</v>
      </c>
      <c r="AD317" s="295"/>
      <c r="AE317" s="300">
        <f t="shared" si="138"/>
        <v>0</v>
      </c>
      <c r="AF317" s="297">
        <f t="shared" si="139"/>
        <v>0</v>
      </c>
      <c r="AG317" s="295"/>
      <c r="AH317" s="295">
        <f t="shared" si="140"/>
        <v>0</v>
      </c>
      <c r="AI317" s="298">
        <f>'Unit Savings Calculations'!O313</f>
        <v>30.722664192350027</v>
      </c>
      <c r="AJ317" s="405" t="s">
        <v>879</v>
      </c>
      <c r="AK317" s="300">
        <f t="shared" si="141"/>
        <v>0</v>
      </c>
      <c r="AL317" s="297">
        <f t="shared" si="142"/>
        <v>0</v>
      </c>
      <c r="AM317" s="295"/>
      <c r="AN317" s="295"/>
      <c r="AO317" s="298">
        <f>'Unit Savings Calculations'!P313</f>
        <v>30.722664192350027</v>
      </c>
      <c r="AP317" s="405" t="s">
        <v>764</v>
      </c>
      <c r="AQ317" s="300">
        <f t="shared" si="143"/>
        <v>0</v>
      </c>
      <c r="AR317" s="297">
        <f t="shared" si="144"/>
        <v>0</v>
      </c>
      <c r="AS317" s="295"/>
      <c r="AT317" s="295"/>
      <c r="AU317" s="298">
        <f>'Unit Savings Calculations'!Q313</f>
        <v>30.722664192350027</v>
      </c>
      <c r="AV317" s="405" t="str">
        <f t="shared" si="131"/>
        <v>n/a</v>
      </c>
      <c r="AW317" s="300">
        <f t="shared" si="145"/>
        <v>0</v>
      </c>
      <c r="AX317" s="297">
        <f t="shared" si="146"/>
        <v>0</v>
      </c>
      <c r="AY317" s="300">
        <f t="shared" si="132"/>
        <v>0</v>
      </c>
      <c r="AZ317" s="300">
        <f t="shared" si="133"/>
        <v>0</v>
      </c>
      <c r="BA317" s="300">
        <f t="shared" si="134"/>
        <v>0</v>
      </c>
      <c r="BB317" s="300">
        <f t="shared" si="135"/>
        <v>0</v>
      </c>
      <c r="BC317" s="301">
        <f t="shared" si="136"/>
        <v>0</v>
      </c>
      <c r="BD317" s="295" t="s">
        <v>764</v>
      </c>
      <c r="BE317" s="302" t="str">
        <f t="shared" si="137"/>
        <v>Exhibit 1.5A_R North Shore EEPS_Adjustable_Savings_Goal_Template.xlsx, Unit Savings Calculations Tab</v>
      </c>
      <c r="BF317" s="304"/>
    </row>
    <row r="318" spans="1:58" ht="15.75" customHeight="1">
      <c r="A318" s="295" t="str">
        <f>'Unit Savings Calculations'!C314</f>
        <v>Bus - Public Rebates</v>
      </c>
      <c r="B318" s="295" t="str">
        <f>'Unit Savings Calculations'!D314</f>
        <v>Pipe Insulation - HW Small 1" to 2"</v>
      </c>
      <c r="C318" s="296">
        <f t="shared" si="147"/>
        <v>1</v>
      </c>
      <c r="D318" s="295" t="str">
        <f>'Unit Savings Calculations'!T314</f>
        <v>4.4.14</v>
      </c>
      <c r="E318" s="460">
        <f>INDEX('Unit Savings Calculations'!$H$4:$H$421,MATCH('Measure-Level Adjustments Tab'!$A318&amp;"_"&amp;'Measure-Level Adjustments Tab'!$B318,'Unit Savings Calculations'!$A$4:$A$421,0))</f>
        <v>15</v>
      </c>
      <c r="F318" s="460">
        <f>INDEX('Unit Savings Calculations'!$I$4:$I$421,MATCH('Measure-Level Adjustments Tab'!A318&amp;"_"&amp;'Measure-Level Adjustments Tab'!B318,'Unit Savings Calculations'!$A$4:$A$421,0))</f>
        <v>15</v>
      </c>
      <c r="G318" s="295" t="str">
        <f>'Unit Savings Calculations'!E314</f>
        <v>ft</v>
      </c>
      <c r="H318" s="297">
        <f>'Unit Savings Calculations'!$F314*'Unit Savings Calculations'!J314</f>
        <v>2325</v>
      </c>
      <c r="I318" s="297">
        <f>'Unit Savings Calculations'!$F314*'Unit Savings Calculations'!K314</f>
        <v>2325</v>
      </c>
      <c r="J318" s="297">
        <f>'Unit Savings Calculations'!$F314*'Unit Savings Calculations'!L314</f>
        <v>2325</v>
      </c>
      <c r="K318" s="297">
        <f>'Unit Savings Calculations'!$F314*'Unit Savings Calculations'!M314</f>
        <v>2325</v>
      </c>
      <c r="L318" s="295" t="str">
        <f>'Unit Savings Calculations'!U314</f>
        <v>CI-HVC-PINS-V04-160601</v>
      </c>
      <c r="M318" s="405" t="str">
        <f>'Unit Savings Calculations'!R314</f>
        <v>Exhibit 1.5A_R North Shore EEPS_Adjustable_Savings_Goal_Template.xlsx, Pipe Insulation Detail Tab</v>
      </c>
      <c r="N318" s="298">
        <v>2.6588140926267867</v>
      </c>
      <c r="O318" s="298">
        <v>2.6588140926267867</v>
      </c>
      <c r="P318" s="298">
        <v>2.6588140926267867</v>
      </c>
      <c r="Q318" s="298">
        <v>2.6588140926267867</v>
      </c>
      <c r="R318" s="299">
        <f>'Unit Savings Calculations'!$G314</f>
        <v>0.79</v>
      </c>
      <c r="S318" s="299">
        <f>'Unit Savings Calculations'!$G314</f>
        <v>0.79</v>
      </c>
      <c r="T318" s="299">
        <f>'Unit Savings Calculations'!$G314</f>
        <v>0.79</v>
      </c>
      <c r="U318" s="299">
        <f>'Unit Savings Calculations'!$G314</f>
        <v>0.79</v>
      </c>
      <c r="V318" s="300">
        <f t="shared" si="148"/>
        <v>4883.5767846322515</v>
      </c>
      <c r="W318" s="300">
        <f t="shared" si="149"/>
        <v>4883.5767846322515</v>
      </c>
      <c r="X318" s="300">
        <f t="shared" si="150"/>
        <v>4883.5767846322515</v>
      </c>
      <c r="Y318" s="300">
        <f t="shared" si="151"/>
        <v>4883.5767846322515</v>
      </c>
      <c r="Z318" s="300">
        <f t="shared" si="152"/>
        <v>19534.307138529006</v>
      </c>
      <c r="AA318" s="295"/>
      <c r="AB318" s="295"/>
      <c r="AC318" s="298">
        <f>'Unit Savings Calculations'!N314</f>
        <v>2.6588140926267867</v>
      </c>
      <c r="AD318" s="295"/>
      <c r="AE318" s="300">
        <f t="shared" si="138"/>
        <v>4883.5767846322515</v>
      </c>
      <c r="AF318" s="297">
        <f t="shared" si="139"/>
        <v>0</v>
      </c>
      <c r="AG318" s="295"/>
      <c r="AH318" s="295">
        <f t="shared" si="140"/>
        <v>0</v>
      </c>
      <c r="AI318" s="298">
        <f>'Unit Savings Calculations'!O314</f>
        <v>2.6588140926267867</v>
      </c>
      <c r="AJ318" s="405" t="s">
        <v>879</v>
      </c>
      <c r="AK318" s="300">
        <f t="shared" si="141"/>
        <v>4883.5767846322515</v>
      </c>
      <c r="AL318" s="297">
        <f t="shared" si="142"/>
        <v>0</v>
      </c>
      <c r="AM318" s="295"/>
      <c r="AN318" s="295"/>
      <c r="AO318" s="298">
        <f>'Unit Savings Calculations'!P314</f>
        <v>2.6588140926267867</v>
      </c>
      <c r="AP318" s="405" t="s">
        <v>764</v>
      </c>
      <c r="AQ318" s="300">
        <f t="shared" si="143"/>
        <v>4883.5767846322515</v>
      </c>
      <c r="AR318" s="297">
        <f t="shared" si="144"/>
        <v>0</v>
      </c>
      <c r="AS318" s="295"/>
      <c r="AT318" s="295"/>
      <c r="AU318" s="298">
        <f>'Unit Savings Calculations'!Q314</f>
        <v>2.6588140926267867</v>
      </c>
      <c r="AV318" s="405" t="str">
        <f t="shared" si="131"/>
        <v>n/a</v>
      </c>
      <c r="AW318" s="300">
        <f t="shared" si="145"/>
        <v>4883.5767846322515</v>
      </c>
      <c r="AX318" s="297">
        <f t="shared" si="146"/>
        <v>0</v>
      </c>
      <c r="AY318" s="300">
        <f t="shared" si="132"/>
        <v>4883.5767846322515</v>
      </c>
      <c r="AZ318" s="300">
        <f t="shared" si="133"/>
        <v>4883.5767846322515</v>
      </c>
      <c r="BA318" s="300">
        <f t="shared" si="134"/>
        <v>4883.5767846322515</v>
      </c>
      <c r="BB318" s="300">
        <f t="shared" si="135"/>
        <v>4883.5767846322515</v>
      </c>
      <c r="BC318" s="301">
        <f t="shared" si="136"/>
        <v>19534.307138529006</v>
      </c>
      <c r="BD318" s="295" t="s">
        <v>764</v>
      </c>
      <c r="BE318" s="302" t="str">
        <f t="shared" si="137"/>
        <v>Exhibit 1.5A_R North Shore EEPS_Adjustable_Savings_Goal_Template.xlsx, Pipe Insulation Detail Tab</v>
      </c>
      <c r="BF318" s="304"/>
    </row>
    <row r="319" spans="1:58" ht="15.75" customHeight="1">
      <c r="A319" s="295" t="str">
        <f>'Unit Savings Calculations'!C315</f>
        <v>Bus - Public Rebates</v>
      </c>
      <c r="B319" s="295" t="str">
        <f>'Unit Savings Calculations'!D315</f>
        <v>Pipe Insulation - HW Medium 2.1" to 4"</v>
      </c>
      <c r="C319" s="296">
        <f t="shared" si="147"/>
        <v>1</v>
      </c>
      <c r="D319" s="295" t="str">
        <f>'Unit Savings Calculations'!T315</f>
        <v>4.4.14</v>
      </c>
      <c r="E319" s="460">
        <f>INDEX('Unit Savings Calculations'!$H$4:$H$421,MATCH('Measure-Level Adjustments Tab'!$A319&amp;"_"&amp;'Measure-Level Adjustments Tab'!$B319,'Unit Savings Calculations'!$A$4:$A$421,0))</f>
        <v>15</v>
      </c>
      <c r="F319" s="460">
        <f>INDEX('Unit Savings Calculations'!$I$4:$I$421,MATCH('Measure-Level Adjustments Tab'!A319&amp;"_"&amp;'Measure-Level Adjustments Tab'!B319,'Unit Savings Calculations'!$A$4:$A$421,0))</f>
        <v>15</v>
      </c>
      <c r="G319" s="295" t="str">
        <f>'Unit Savings Calculations'!E315</f>
        <v>ft</v>
      </c>
      <c r="H319" s="297">
        <f>'Unit Savings Calculations'!$F315*'Unit Savings Calculations'!J315</f>
        <v>2250</v>
      </c>
      <c r="I319" s="297">
        <f>'Unit Savings Calculations'!$F315*'Unit Savings Calculations'!K315</f>
        <v>2250</v>
      </c>
      <c r="J319" s="297">
        <f>'Unit Savings Calculations'!$F315*'Unit Savings Calculations'!L315</f>
        <v>2250</v>
      </c>
      <c r="K319" s="297">
        <f>'Unit Savings Calculations'!$F315*'Unit Savings Calculations'!M315</f>
        <v>2250</v>
      </c>
      <c r="L319" s="295" t="str">
        <f>'Unit Savings Calculations'!U315</f>
        <v>CI-HVC-PINS-V04-160601</v>
      </c>
      <c r="M319" s="405" t="str">
        <f>'Unit Savings Calculations'!R315</f>
        <v>Exhibit 1.5A_R North Shore EEPS_Adjustable_Savings_Goal_Template.xlsx, Pipe Insulation Detail Tab</v>
      </c>
      <c r="N319" s="298">
        <v>5.2492031493764015</v>
      </c>
      <c r="O319" s="298">
        <v>5.2492031493764015</v>
      </c>
      <c r="P319" s="298">
        <v>5.2492031493764015</v>
      </c>
      <c r="Q319" s="298">
        <v>5.2492031493764015</v>
      </c>
      <c r="R319" s="299">
        <f>'Unit Savings Calculations'!$G315</f>
        <v>0.79</v>
      </c>
      <c r="S319" s="299">
        <f>'Unit Savings Calculations'!$G315</f>
        <v>0.79</v>
      </c>
      <c r="T319" s="299">
        <f>'Unit Savings Calculations'!$G315</f>
        <v>0.79</v>
      </c>
      <c r="U319" s="299">
        <f>'Unit Savings Calculations'!$G315</f>
        <v>0.79</v>
      </c>
      <c r="V319" s="300">
        <f t="shared" si="148"/>
        <v>9330.4585980165539</v>
      </c>
      <c r="W319" s="300">
        <f t="shared" si="149"/>
        <v>9330.4585980165539</v>
      </c>
      <c r="X319" s="300">
        <f t="shared" si="150"/>
        <v>9330.4585980165539</v>
      </c>
      <c r="Y319" s="300">
        <f t="shared" si="151"/>
        <v>9330.4585980165539</v>
      </c>
      <c r="Z319" s="300">
        <f t="shared" si="152"/>
        <v>37321.834392066216</v>
      </c>
      <c r="AA319" s="295"/>
      <c r="AB319" s="295"/>
      <c r="AC319" s="298">
        <f>'Unit Savings Calculations'!N315</f>
        <v>5.2492031493764015</v>
      </c>
      <c r="AD319" s="295"/>
      <c r="AE319" s="300">
        <f t="shared" si="138"/>
        <v>9330.4585980165539</v>
      </c>
      <c r="AF319" s="297">
        <f t="shared" si="139"/>
        <v>0</v>
      </c>
      <c r="AG319" s="295"/>
      <c r="AH319" s="295">
        <f t="shared" si="140"/>
        <v>0</v>
      </c>
      <c r="AI319" s="298">
        <f>'Unit Savings Calculations'!O315</f>
        <v>5.2492031493764015</v>
      </c>
      <c r="AJ319" s="405" t="s">
        <v>879</v>
      </c>
      <c r="AK319" s="300">
        <f t="shared" si="141"/>
        <v>9330.4585980165539</v>
      </c>
      <c r="AL319" s="297">
        <f t="shared" si="142"/>
        <v>0</v>
      </c>
      <c r="AM319" s="295"/>
      <c r="AN319" s="295"/>
      <c r="AO319" s="298">
        <f>'Unit Savings Calculations'!P315</f>
        <v>5.2492031493764015</v>
      </c>
      <c r="AP319" s="405" t="s">
        <v>764</v>
      </c>
      <c r="AQ319" s="300">
        <f t="shared" si="143"/>
        <v>9330.4585980165539</v>
      </c>
      <c r="AR319" s="297">
        <f t="shared" si="144"/>
        <v>0</v>
      </c>
      <c r="AS319" s="295"/>
      <c r="AT319" s="295"/>
      <c r="AU319" s="298">
        <f>'Unit Savings Calculations'!Q315</f>
        <v>5.2492031493764015</v>
      </c>
      <c r="AV319" s="405" t="str">
        <f t="shared" si="131"/>
        <v>n/a</v>
      </c>
      <c r="AW319" s="300">
        <f t="shared" si="145"/>
        <v>9330.4585980165539</v>
      </c>
      <c r="AX319" s="297">
        <f t="shared" si="146"/>
        <v>0</v>
      </c>
      <c r="AY319" s="300">
        <f t="shared" si="132"/>
        <v>9330.4585980165539</v>
      </c>
      <c r="AZ319" s="300">
        <f t="shared" si="133"/>
        <v>9330.4585980165539</v>
      </c>
      <c r="BA319" s="300">
        <f t="shared" si="134"/>
        <v>9330.4585980165539</v>
      </c>
      <c r="BB319" s="300">
        <f t="shared" si="135"/>
        <v>9330.4585980165539</v>
      </c>
      <c r="BC319" s="301">
        <f t="shared" si="136"/>
        <v>37321.834392066216</v>
      </c>
      <c r="BD319" s="295" t="s">
        <v>764</v>
      </c>
      <c r="BE319" s="302" t="str">
        <f t="shared" si="137"/>
        <v>Exhibit 1.5A_R North Shore EEPS_Adjustable_Savings_Goal_Template.xlsx, Pipe Insulation Detail Tab</v>
      </c>
      <c r="BF319" s="304"/>
    </row>
    <row r="320" spans="1:58" ht="15.75" customHeight="1">
      <c r="A320" s="295" t="str">
        <f>'Unit Savings Calculations'!C316</f>
        <v>Bus - Public Rebates</v>
      </c>
      <c r="B320" s="295" t="str">
        <f>'Unit Savings Calculations'!D316</f>
        <v>Pipe Insulation - HW Large &gt;4"</v>
      </c>
      <c r="C320" s="296">
        <f t="shared" si="147"/>
        <v>1</v>
      </c>
      <c r="D320" s="295" t="str">
        <f>'Unit Savings Calculations'!T316</f>
        <v>4.4.14</v>
      </c>
      <c r="E320" s="460">
        <f>INDEX('Unit Savings Calculations'!$H$4:$H$421,MATCH('Measure-Level Adjustments Tab'!$A320&amp;"_"&amp;'Measure-Level Adjustments Tab'!$B320,'Unit Savings Calculations'!$A$4:$A$421,0))</f>
        <v>15</v>
      </c>
      <c r="F320" s="460">
        <f>INDEX('Unit Savings Calculations'!$I$4:$I$421,MATCH('Measure-Level Adjustments Tab'!A320&amp;"_"&amp;'Measure-Level Adjustments Tab'!B320,'Unit Savings Calculations'!$A$4:$A$421,0))</f>
        <v>15</v>
      </c>
      <c r="G320" s="295" t="str">
        <f>'Unit Savings Calculations'!E316</f>
        <v>ft</v>
      </c>
      <c r="H320" s="297">
        <f>'Unit Savings Calculations'!$F316*'Unit Savings Calculations'!J316</f>
        <v>1875</v>
      </c>
      <c r="I320" s="297">
        <f>'Unit Savings Calculations'!$F316*'Unit Savings Calculations'!K316</f>
        <v>1875</v>
      </c>
      <c r="J320" s="297">
        <f>'Unit Savings Calculations'!$F316*'Unit Savings Calculations'!L316</f>
        <v>1875</v>
      </c>
      <c r="K320" s="297">
        <f>'Unit Savings Calculations'!$F316*'Unit Savings Calculations'!M316</f>
        <v>1875</v>
      </c>
      <c r="L320" s="295" t="str">
        <f>'Unit Savings Calculations'!U316</f>
        <v>CI-HVC-PINS-V04-160601</v>
      </c>
      <c r="M320" s="405" t="str">
        <f>'Unit Savings Calculations'!R316</f>
        <v>Exhibit 1.5A_R North Shore EEPS_Adjustable_Savings_Goal_Template.xlsx, Pipe Insulation Detail Tab</v>
      </c>
      <c r="N320" s="298">
        <v>9.0407613085908682</v>
      </c>
      <c r="O320" s="298">
        <v>9.0407613085908682</v>
      </c>
      <c r="P320" s="298">
        <v>9.0407613085908682</v>
      </c>
      <c r="Q320" s="298">
        <v>9.0407613085908682</v>
      </c>
      <c r="R320" s="299">
        <f>'Unit Savings Calculations'!$G316</f>
        <v>0.79</v>
      </c>
      <c r="S320" s="299">
        <f>'Unit Savings Calculations'!$G316</f>
        <v>0.79</v>
      </c>
      <c r="T320" s="299">
        <f>'Unit Savings Calculations'!$G316</f>
        <v>0.79</v>
      </c>
      <c r="U320" s="299">
        <f>'Unit Savings Calculations'!$G316</f>
        <v>0.79</v>
      </c>
      <c r="V320" s="300">
        <f t="shared" si="148"/>
        <v>13391.627688350223</v>
      </c>
      <c r="W320" s="300">
        <f t="shared" si="149"/>
        <v>13391.627688350223</v>
      </c>
      <c r="X320" s="300">
        <f t="shared" si="150"/>
        <v>13391.627688350223</v>
      </c>
      <c r="Y320" s="300">
        <f t="shared" si="151"/>
        <v>13391.627688350223</v>
      </c>
      <c r="Z320" s="300">
        <f t="shared" si="152"/>
        <v>53566.510753400893</v>
      </c>
      <c r="AA320" s="295"/>
      <c r="AB320" s="295"/>
      <c r="AC320" s="298">
        <f>'Unit Savings Calculations'!N316</f>
        <v>9.0407613085908682</v>
      </c>
      <c r="AD320" s="295"/>
      <c r="AE320" s="300">
        <f t="shared" si="138"/>
        <v>13391.627688350223</v>
      </c>
      <c r="AF320" s="297">
        <f t="shared" si="139"/>
        <v>0</v>
      </c>
      <c r="AG320" s="295"/>
      <c r="AH320" s="295">
        <f t="shared" si="140"/>
        <v>0</v>
      </c>
      <c r="AI320" s="298">
        <f>'Unit Savings Calculations'!O316</f>
        <v>9.0407613085908682</v>
      </c>
      <c r="AJ320" s="405" t="s">
        <v>879</v>
      </c>
      <c r="AK320" s="300">
        <f t="shared" si="141"/>
        <v>13391.627688350223</v>
      </c>
      <c r="AL320" s="297">
        <f t="shared" si="142"/>
        <v>0</v>
      </c>
      <c r="AM320" s="295"/>
      <c r="AN320" s="295"/>
      <c r="AO320" s="298">
        <f>'Unit Savings Calculations'!P316</f>
        <v>9.0407613085908682</v>
      </c>
      <c r="AP320" s="405" t="s">
        <v>764</v>
      </c>
      <c r="AQ320" s="300">
        <f t="shared" si="143"/>
        <v>13391.627688350223</v>
      </c>
      <c r="AR320" s="297">
        <f t="shared" si="144"/>
        <v>0</v>
      </c>
      <c r="AS320" s="295"/>
      <c r="AT320" s="295"/>
      <c r="AU320" s="298">
        <f>'Unit Savings Calculations'!Q316</f>
        <v>9.0407613085908682</v>
      </c>
      <c r="AV320" s="405" t="str">
        <f t="shared" si="131"/>
        <v>n/a</v>
      </c>
      <c r="AW320" s="300">
        <f t="shared" si="145"/>
        <v>13391.627688350223</v>
      </c>
      <c r="AX320" s="297">
        <f t="shared" si="146"/>
        <v>0</v>
      </c>
      <c r="AY320" s="300">
        <f t="shared" si="132"/>
        <v>13391.627688350223</v>
      </c>
      <c r="AZ320" s="300">
        <f t="shared" si="133"/>
        <v>13391.627688350223</v>
      </c>
      <c r="BA320" s="300">
        <f t="shared" si="134"/>
        <v>13391.627688350223</v>
      </c>
      <c r="BB320" s="300">
        <f t="shared" si="135"/>
        <v>13391.627688350223</v>
      </c>
      <c r="BC320" s="301">
        <f t="shared" si="136"/>
        <v>53566.510753400893</v>
      </c>
      <c r="BD320" s="295" t="s">
        <v>764</v>
      </c>
      <c r="BE320" s="302" t="str">
        <f t="shared" si="137"/>
        <v>Exhibit 1.5A_R North Shore EEPS_Adjustable_Savings_Goal_Template.xlsx, Pipe Insulation Detail Tab</v>
      </c>
      <c r="BF320" s="304"/>
    </row>
    <row r="321" spans="1:58" ht="15.75" customHeight="1">
      <c r="A321" s="295" t="str">
        <f>'Unit Savings Calculations'!C317</f>
        <v>Bus - Public Rebates</v>
      </c>
      <c r="B321" s="295" t="str">
        <f>'Unit Savings Calculations'!D317</f>
        <v>Pipe Insulation - Steam - Small 1" to 2"</v>
      </c>
      <c r="C321" s="296">
        <f t="shared" si="147"/>
        <v>1</v>
      </c>
      <c r="D321" s="295" t="str">
        <f>'Unit Savings Calculations'!T317</f>
        <v>4.4.14</v>
      </c>
      <c r="E321" s="460">
        <f>INDEX('Unit Savings Calculations'!$H$4:$H$421,MATCH('Measure-Level Adjustments Tab'!$A321&amp;"_"&amp;'Measure-Level Adjustments Tab'!$B321,'Unit Savings Calculations'!$A$4:$A$421,0))</f>
        <v>15</v>
      </c>
      <c r="F321" s="460">
        <f>INDEX('Unit Savings Calculations'!$I$4:$I$421,MATCH('Measure-Level Adjustments Tab'!A321&amp;"_"&amp;'Measure-Level Adjustments Tab'!B321,'Unit Savings Calculations'!$A$4:$A$421,0))</f>
        <v>15</v>
      </c>
      <c r="G321" s="295" t="str">
        <f>'Unit Savings Calculations'!E317</f>
        <v>ft</v>
      </c>
      <c r="H321" s="297">
        <f>'Unit Savings Calculations'!$F317*'Unit Savings Calculations'!J317</f>
        <v>0</v>
      </c>
      <c r="I321" s="297">
        <f>'Unit Savings Calculations'!$F317*'Unit Savings Calculations'!K317</f>
        <v>0</v>
      </c>
      <c r="J321" s="297">
        <f>'Unit Savings Calculations'!$F317*'Unit Savings Calculations'!L317</f>
        <v>0</v>
      </c>
      <c r="K321" s="297">
        <f>'Unit Savings Calculations'!$F317*'Unit Savings Calculations'!M317</f>
        <v>0</v>
      </c>
      <c r="L321" s="295" t="str">
        <f>'Unit Savings Calculations'!U317</f>
        <v>CI-HVC-PINS-V04-160601</v>
      </c>
      <c r="M321" s="405" t="str">
        <f>'Unit Savings Calculations'!R317</f>
        <v>Exhibit 1.5A_R North Shore EEPS_Adjustable_Savings_Goal_Template.xlsx, Pipe Insulation Detail Tab</v>
      </c>
      <c r="N321" s="298">
        <v>3.1854757047967208</v>
      </c>
      <c r="O321" s="298">
        <v>3.1854757047967208</v>
      </c>
      <c r="P321" s="298">
        <v>3.1854757047967208</v>
      </c>
      <c r="Q321" s="298">
        <v>3.1854757047967208</v>
      </c>
      <c r="R321" s="299">
        <f>'Unit Savings Calculations'!$G317</f>
        <v>0.79</v>
      </c>
      <c r="S321" s="299">
        <f>'Unit Savings Calculations'!$G317</f>
        <v>0.79</v>
      </c>
      <c r="T321" s="299">
        <f>'Unit Savings Calculations'!$G317</f>
        <v>0.79</v>
      </c>
      <c r="U321" s="299">
        <f>'Unit Savings Calculations'!$G317</f>
        <v>0.79</v>
      </c>
      <c r="V321" s="300">
        <f t="shared" si="148"/>
        <v>0</v>
      </c>
      <c r="W321" s="300">
        <f t="shared" si="149"/>
        <v>0</v>
      </c>
      <c r="X321" s="300">
        <f t="shared" si="150"/>
        <v>0</v>
      </c>
      <c r="Y321" s="300">
        <f t="shared" si="151"/>
        <v>0</v>
      </c>
      <c r="Z321" s="300">
        <f t="shared" si="152"/>
        <v>0</v>
      </c>
      <c r="AA321" s="295"/>
      <c r="AB321" s="295"/>
      <c r="AC321" s="298">
        <f>'Unit Savings Calculations'!N317</f>
        <v>3.1854757047967208</v>
      </c>
      <c r="AD321" s="295"/>
      <c r="AE321" s="300">
        <f t="shared" si="138"/>
        <v>0</v>
      </c>
      <c r="AF321" s="297">
        <f t="shared" si="139"/>
        <v>0</v>
      </c>
      <c r="AG321" s="295"/>
      <c r="AH321" s="295">
        <f t="shared" si="140"/>
        <v>0</v>
      </c>
      <c r="AI321" s="298">
        <f>'Unit Savings Calculations'!O317</f>
        <v>3.1854757047967208</v>
      </c>
      <c r="AJ321" s="405" t="s">
        <v>879</v>
      </c>
      <c r="AK321" s="300">
        <f t="shared" si="141"/>
        <v>0</v>
      </c>
      <c r="AL321" s="297">
        <f t="shared" si="142"/>
        <v>0</v>
      </c>
      <c r="AM321" s="295"/>
      <c r="AN321" s="295"/>
      <c r="AO321" s="298">
        <f>'Unit Savings Calculations'!P317</f>
        <v>3.1854757047967208</v>
      </c>
      <c r="AP321" s="405" t="s">
        <v>764</v>
      </c>
      <c r="AQ321" s="300">
        <f t="shared" si="143"/>
        <v>0</v>
      </c>
      <c r="AR321" s="297">
        <f t="shared" si="144"/>
        <v>0</v>
      </c>
      <c r="AS321" s="295"/>
      <c r="AT321" s="295"/>
      <c r="AU321" s="298">
        <f>'Unit Savings Calculations'!Q317</f>
        <v>3.1854757047967208</v>
      </c>
      <c r="AV321" s="405" t="str">
        <f t="shared" si="131"/>
        <v>n/a</v>
      </c>
      <c r="AW321" s="300">
        <f t="shared" si="145"/>
        <v>0</v>
      </c>
      <c r="AX321" s="297">
        <f t="shared" si="146"/>
        <v>0</v>
      </c>
      <c r="AY321" s="300">
        <f t="shared" si="132"/>
        <v>0</v>
      </c>
      <c r="AZ321" s="300">
        <f t="shared" si="133"/>
        <v>0</v>
      </c>
      <c r="BA321" s="300">
        <f t="shared" si="134"/>
        <v>0</v>
      </c>
      <c r="BB321" s="300">
        <f t="shared" si="135"/>
        <v>0</v>
      </c>
      <c r="BC321" s="301">
        <f t="shared" si="136"/>
        <v>0</v>
      </c>
      <c r="BD321" s="295" t="s">
        <v>764</v>
      </c>
      <c r="BE321" s="302" t="str">
        <f t="shared" si="137"/>
        <v>Exhibit 1.5A_R North Shore EEPS_Adjustable_Savings_Goal_Template.xlsx, Pipe Insulation Detail Tab</v>
      </c>
      <c r="BF321" s="304"/>
    </row>
    <row r="322" spans="1:58" ht="15.75" customHeight="1">
      <c r="A322" s="295" t="str">
        <f>'Unit Savings Calculations'!C318</f>
        <v>Bus - Public Rebates</v>
      </c>
      <c r="B322" s="295" t="str">
        <f>'Unit Savings Calculations'!D318</f>
        <v>Pipe Insulation - Steam - Med 2.1" to 5"</v>
      </c>
      <c r="C322" s="296">
        <f t="shared" si="147"/>
        <v>1</v>
      </c>
      <c r="D322" s="295" t="str">
        <f>'Unit Savings Calculations'!T318</f>
        <v>4.4.14</v>
      </c>
      <c r="E322" s="460">
        <f>INDEX('Unit Savings Calculations'!$H$4:$H$421,MATCH('Measure-Level Adjustments Tab'!$A322&amp;"_"&amp;'Measure-Level Adjustments Tab'!$B322,'Unit Savings Calculations'!$A$4:$A$421,0))</f>
        <v>15</v>
      </c>
      <c r="F322" s="460">
        <f>INDEX('Unit Savings Calculations'!$I$4:$I$421,MATCH('Measure-Level Adjustments Tab'!A322&amp;"_"&amp;'Measure-Level Adjustments Tab'!B322,'Unit Savings Calculations'!$A$4:$A$421,0))</f>
        <v>15</v>
      </c>
      <c r="G322" s="295" t="str">
        <f>'Unit Savings Calculations'!E318</f>
        <v>ft</v>
      </c>
      <c r="H322" s="297">
        <f>'Unit Savings Calculations'!$F318*'Unit Savings Calculations'!J318</f>
        <v>2250</v>
      </c>
      <c r="I322" s="297">
        <f>'Unit Savings Calculations'!$F318*'Unit Savings Calculations'!K318</f>
        <v>2250</v>
      </c>
      <c r="J322" s="297">
        <f>'Unit Savings Calculations'!$F318*'Unit Savings Calculations'!L318</f>
        <v>2250</v>
      </c>
      <c r="K322" s="297">
        <f>'Unit Savings Calculations'!$F318*'Unit Savings Calculations'!M318</f>
        <v>2250</v>
      </c>
      <c r="L322" s="295" t="str">
        <f>'Unit Savings Calculations'!U318</f>
        <v>CI-HVC-PINS-V04-160601</v>
      </c>
      <c r="M322" s="405" t="str">
        <f>'Unit Savings Calculations'!R318</f>
        <v>Exhibit 1.5A_R North Shore EEPS_Adjustable_Savings_Goal_Template.xlsx, Pipe Insulation Detail Tab</v>
      </c>
      <c r="N322" s="298">
        <v>13.148126788517139</v>
      </c>
      <c r="O322" s="298">
        <v>13.148126788517139</v>
      </c>
      <c r="P322" s="298">
        <v>13.148126788517139</v>
      </c>
      <c r="Q322" s="298">
        <v>13.148126788517139</v>
      </c>
      <c r="R322" s="299">
        <f>'Unit Savings Calculations'!$G318</f>
        <v>0.79</v>
      </c>
      <c r="S322" s="299">
        <f>'Unit Savings Calculations'!$G318</f>
        <v>0.79</v>
      </c>
      <c r="T322" s="299">
        <f>'Unit Savings Calculations'!$G318</f>
        <v>0.79</v>
      </c>
      <c r="U322" s="299">
        <f>'Unit Savings Calculations'!$G318</f>
        <v>0.79</v>
      </c>
      <c r="V322" s="300">
        <f t="shared" si="148"/>
        <v>23370.795366589216</v>
      </c>
      <c r="W322" s="300">
        <f t="shared" si="149"/>
        <v>23370.795366589216</v>
      </c>
      <c r="X322" s="300">
        <f t="shared" si="150"/>
        <v>23370.795366589216</v>
      </c>
      <c r="Y322" s="300">
        <f t="shared" si="151"/>
        <v>23370.795366589216</v>
      </c>
      <c r="Z322" s="300">
        <f t="shared" si="152"/>
        <v>93483.181466356866</v>
      </c>
      <c r="AA322" s="295"/>
      <c r="AB322" s="295"/>
      <c r="AC322" s="298">
        <f>'Unit Savings Calculations'!N318</f>
        <v>13.148126788517139</v>
      </c>
      <c r="AD322" s="295"/>
      <c r="AE322" s="300">
        <f t="shared" si="138"/>
        <v>23370.795366589216</v>
      </c>
      <c r="AF322" s="297">
        <f t="shared" si="139"/>
        <v>0</v>
      </c>
      <c r="AG322" s="295"/>
      <c r="AH322" s="295">
        <f t="shared" si="140"/>
        <v>0</v>
      </c>
      <c r="AI322" s="298">
        <f>'Unit Savings Calculations'!O318</f>
        <v>13.148126788517139</v>
      </c>
      <c r="AJ322" s="405" t="s">
        <v>879</v>
      </c>
      <c r="AK322" s="300">
        <f t="shared" si="141"/>
        <v>23370.795366589216</v>
      </c>
      <c r="AL322" s="297">
        <f t="shared" si="142"/>
        <v>0</v>
      </c>
      <c r="AM322" s="295"/>
      <c r="AN322" s="295"/>
      <c r="AO322" s="298">
        <f>'Unit Savings Calculations'!P318</f>
        <v>13.148126788517139</v>
      </c>
      <c r="AP322" s="405" t="s">
        <v>764</v>
      </c>
      <c r="AQ322" s="300">
        <f t="shared" si="143"/>
        <v>23370.795366589216</v>
      </c>
      <c r="AR322" s="297">
        <f t="shared" si="144"/>
        <v>0</v>
      </c>
      <c r="AS322" s="295"/>
      <c r="AT322" s="295"/>
      <c r="AU322" s="298">
        <f>'Unit Savings Calculations'!Q318</f>
        <v>13.148126788517139</v>
      </c>
      <c r="AV322" s="405" t="str">
        <f t="shared" si="131"/>
        <v>n/a</v>
      </c>
      <c r="AW322" s="300">
        <f t="shared" si="145"/>
        <v>23370.795366589216</v>
      </c>
      <c r="AX322" s="297">
        <f t="shared" si="146"/>
        <v>0</v>
      </c>
      <c r="AY322" s="300">
        <f t="shared" si="132"/>
        <v>23370.795366589216</v>
      </c>
      <c r="AZ322" s="300">
        <f t="shared" si="133"/>
        <v>23370.795366589216</v>
      </c>
      <c r="BA322" s="300">
        <f t="shared" si="134"/>
        <v>23370.795366589216</v>
      </c>
      <c r="BB322" s="300">
        <f t="shared" si="135"/>
        <v>23370.795366589216</v>
      </c>
      <c r="BC322" s="301">
        <f t="shared" si="136"/>
        <v>93483.181466356866</v>
      </c>
      <c r="BD322" s="295" t="s">
        <v>764</v>
      </c>
      <c r="BE322" s="302" t="str">
        <f t="shared" si="137"/>
        <v>Exhibit 1.5A_R North Shore EEPS_Adjustable_Savings_Goal_Template.xlsx, Pipe Insulation Detail Tab</v>
      </c>
      <c r="BF322" s="304"/>
    </row>
    <row r="323" spans="1:58" ht="15.75" customHeight="1">
      <c r="A323" s="295" t="str">
        <f>'Unit Savings Calculations'!C319</f>
        <v>Bus - Public Rebates</v>
      </c>
      <c r="B323" s="295" t="str">
        <f>'Unit Savings Calculations'!D319</f>
        <v>Pipe Insulation - Steam - Large 5.1" to 8"</v>
      </c>
      <c r="C323" s="296">
        <f t="shared" si="147"/>
        <v>1</v>
      </c>
      <c r="D323" s="295" t="str">
        <f>'Unit Savings Calculations'!T319</f>
        <v>4.4.14</v>
      </c>
      <c r="E323" s="460">
        <f>INDEX('Unit Savings Calculations'!$H$4:$H$421,MATCH('Measure-Level Adjustments Tab'!$A323&amp;"_"&amp;'Measure-Level Adjustments Tab'!$B323,'Unit Savings Calculations'!$A$4:$A$421,0))</f>
        <v>15</v>
      </c>
      <c r="F323" s="460">
        <f>INDEX('Unit Savings Calculations'!$I$4:$I$421,MATCH('Measure-Level Adjustments Tab'!A323&amp;"_"&amp;'Measure-Level Adjustments Tab'!B323,'Unit Savings Calculations'!$A$4:$A$421,0))</f>
        <v>15</v>
      </c>
      <c r="G323" s="295" t="str">
        <f>'Unit Savings Calculations'!E319</f>
        <v>ft</v>
      </c>
      <c r="H323" s="297">
        <f>'Unit Savings Calculations'!$F319*'Unit Savings Calculations'!J319</f>
        <v>0</v>
      </c>
      <c r="I323" s="297">
        <f>'Unit Savings Calculations'!$F319*'Unit Savings Calculations'!K319</f>
        <v>0</v>
      </c>
      <c r="J323" s="297">
        <f>'Unit Savings Calculations'!$F319*'Unit Savings Calculations'!L319</f>
        <v>0</v>
      </c>
      <c r="K323" s="297">
        <f>'Unit Savings Calculations'!$F319*'Unit Savings Calculations'!M319</f>
        <v>0</v>
      </c>
      <c r="L323" s="295" t="str">
        <f>'Unit Savings Calculations'!U319</f>
        <v>CI-HVC-PINS-V04-160601</v>
      </c>
      <c r="M323" s="405" t="str">
        <f>'Unit Savings Calculations'!R319</f>
        <v>Exhibit 1.5A_R North Shore EEPS_Adjustable_Savings_Goal_Template.xlsx, Pipe Insulation Detail Tab</v>
      </c>
      <c r="N323" s="298">
        <v>24.25563238537794</v>
      </c>
      <c r="O323" s="298">
        <v>24.25563238537794</v>
      </c>
      <c r="P323" s="298">
        <v>24.25563238537794</v>
      </c>
      <c r="Q323" s="298">
        <v>24.25563238537794</v>
      </c>
      <c r="R323" s="299">
        <f>'Unit Savings Calculations'!$G319</f>
        <v>0.79</v>
      </c>
      <c r="S323" s="299">
        <f>'Unit Savings Calculations'!$G319</f>
        <v>0.79</v>
      </c>
      <c r="T323" s="299">
        <f>'Unit Savings Calculations'!$G319</f>
        <v>0.79</v>
      </c>
      <c r="U323" s="299">
        <f>'Unit Savings Calculations'!$G319</f>
        <v>0.79</v>
      </c>
      <c r="V323" s="300">
        <f t="shared" si="148"/>
        <v>0</v>
      </c>
      <c r="W323" s="300">
        <f t="shared" si="149"/>
        <v>0</v>
      </c>
      <c r="X323" s="300">
        <f t="shared" si="150"/>
        <v>0</v>
      </c>
      <c r="Y323" s="300">
        <f t="shared" si="151"/>
        <v>0</v>
      </c>
      <c r="Z323" s="300">
        <f t="shared" si="152"/>
        <v>0</v>
      </c>
      <c r="AA323" s="295"/>
      <c r="AB323" s="295"/>
      <c r="AC323" s="298">
        <f>'Unit Savings Calculations'!N319</f>
        <v>24.25563238537794</v>
      </c>
      <c r="AD323" s="295"/>
      <c r="AE323" s="300">
        <f t="shared" si="138"/>
        <v>0</v>
      </c>
      <c r="AF323" s="297">
        <f t="shared" si="139"/>
        <v>0</v>
      </c>
      <c r="AG323" s="295"/>
      <c r="AH323" s="295">
        <f t="shared" si="140"/>
        <v>0</v>
      </c>
      <c r="AI323" s="298">
        <f>'Unit Savings Calculations'!O319</f>
        <v>24.25563238537794</v>
      </c>
      <c r="AJ323" s="405" t="s">
        <v>879</v>
      </c>
      <c r="AK323" s="300">
        <f t="shared" si="141"/>
        <v>0</v>
      </c>
      <c r="AL323" s="297">
        <f t="shared" si="142"/>
        <v>0</v>
      </c>
      <c r="AM323" s="295"/>
      <c r="AN323" s="295"/>
      <c r="AO323" s="298">
        <f>'Unit Savings Calculations'!P319</f>
        <v>24.25563238537794</v>
      </c>
      <c r="AP323" s="405" t="s">
        <v>764</v>
      </c>
      <c r="AQ323" s="300">
        <f t="shared" si="143"/>
        <v>0</v>
      </c>
      <c r="AR323" s="297">
        <f t="shared" si="144"/>
        <v>0</v>
      </c>
      <c r="AS323" s="295"/>
      <c r="AT323" s="295"/>
      <c r="AU323" s="298">
        <f>'Unit Savings Calculations'!Q319</f>
        <v>24.25563238537794</v>
      </c>
      <c r="AV323" s="405" t="str">
        <f t="shared" si="131"/>
        <v>n/a</v>
      </c>
      <c r="AW323" s="300">
        <f t="shared" si="145"/>
        <v>0</v>
      </c>
      <c r="AX323" s="297">
        <f t="shared" si="146"/>
        <v>0</v>
      </c>
      <c r="AY323" s="300">
        <f t="shared" si="132"/>
        <v>0</v>
      </c>
      <c r="AZ323" s="300">
        <f t="shared" si="133"/>
        <v>0</v>
      </c>
      <c r="BA323" s="300">
        <f t="shared" si="134"/>
        <v>0</v>
      </c>
      <c r="BB323" s="300">
        <f t="shared" si="135"/>
        <v>0</v>
      </c>
      <c r="BC323" s="301">
        <f t="shared" si="136"/>
        <v>0</v>
      </c>
      <c r="BD323" s="295" t="s">
        <v>764</v>
      </c>
      <c r="BE323" s="302" t="str">
        <f t="shared" si="137"/>
        <v>Exhibit 1.5A_R North Shore EEPS_Adjustable_Savings_Goal_Template.xlsx, Pipe Insulation Detail Tab</v>
      </c>
      <c r="BF323" s="304"/>
    </row>
    <row r="324" spans="1:58" ht="15.75" customHeight="1">
      <c r="A324" s="295" t="str">
        <f>'Unit Savings Calculations'!C320</f>
        <v>Bus - Public Rebates</v>
      </c>
      <c r="B324" s="295" t="str">
        <f>'Unit Savings Calculations'!D320</f>
        <v>Pipe Insulation - Steam - X-Large &gt;8"</v>
      </c>
      <c r="C324" s="296">
        <f t="shared" si="147"/>
        <v>1</v>
      </c>
      <c r="D324" s="295" t="str">
        <f>'Unit Savings Calculations'!T320</f>
        <v>4.4.14</v>
      </c>
      <c r="E324" s="460">
        <f>INDEX('Unit Savings Calculations'!$H$4:$H$421,MATCH('Measure-Level Adjustments Tab'!$A324&amp;"_"&amp;'Measure-Level Adjustments Tab'!$B324,'Unit Savings Calculations'!$A$4:$A$421,0))</f>
        <v>15</v>
      </c>
      <c r="F324" s="460">
        <f>INDEX('Unit Savings Calculations'!$I$4:$I$421,MATCH('Measure-Level Adjustments Tab'!A324&amp;"_"&amp;'Measure-Level Adjustments Tab'!B324,'Unit Savings Calculations'!$A$4:$A$421,0))</f>
        <v>15</v>
      </c>
      <c r="G324" s="295" t="str">
        <f>'Unit Savings Calculations'!E320</f>
        <v>ft</v>
      </c>
      <c r="H324" s="297">
        <f>'Unit Savings Calculations'!$F320*'Unit Savings Calculations'!J320</f>
        <v>0</v>
      </c>
      <c r="I324" s="297">
        <f>'Unit Savings Calculations'!$F320*'Unit Savings Calculations'!K320</f>
        <v>0</v>
      </c>
      <c r="J324" s="297">
        <f>'Unit Savings Calculations'!$F320*'Unit Savings Calculations'!L320</f>
        <v>0</v>
      </c>
      <c r="K324" s="297">
        <f>'Unit Savings Calculations'!$F320*'Unit Savings Calculations'!M320</f>
        <v>0</v>
      </c>
      <c r="L324" s="295" t="str">
        <f>'Unit Savings Calculations'!U320</f>
        <v>CI-HVC-PINS-V04-160601</v>
      </c>
      <c r="M324" s="405" t="str">
        <f>'Unit Savings Calculations'!R320</f>
        <v>Exhibit 1.5A_R North Shore EEPS_Adjustable_Savings_Goal_Template.xlsx, Pipe Insulation Detail Tab</v>
      </c>
      <c r="N324" s="298">
        <v>35.984797966765058</v>
      </c>
      <c r="O324" s="298">
        <v>35.984797966765058</v>
      </c>
      <c r="P324" s="298">
        <v>35.984797966765058</v>
      </c>
      <c r="Q324" s="298">
        <v>35.984797966765058</v>
      </c>
      <c r="R324" s="299">
        <f>'Unit Savings Calculations'!$G320</f>
        <v>0.79</v>
      </c>
      <c r="S324" s="299">
        <f>'Unit Savings Calculations'!$G320</f>
        <v>0.79</v>
      </c>
      <c r="T324" s="299">
        <f>'Unit Savings Calculations'!$G320</f>
        <v>0.79</v>
      </c>
      <c r="U324" s="299">
        <f>'Unit Savings Calculations'!$G320</f>
        <v>0.79</v>
      </c>
      <c r="V324" s="300">
        <f t="shared" si="148"/>
        <v>0</v>
      </c>
      <c r="W324" s="300">
        <f t="shared" si="149"/>
        <v>0</v>
      </c>
      <c r="X324" s="300">
        <f t="shared" si="150"/>
        <v>0</v>
      </c>
      <c r="Y324" s="300">
        <f t="shared" si="151"/>
        <v>0</v>
      </c>
      <c r="Z324" s="300">
        <f t="shared" si="152"/>
        <v>0</v>
      </c>
      <c r="AA324" s="295"/>
      <c r="AB324" s="295"/>
      <c r="AC324" s="298">
        <f>'Unit Savings Calculations'!N320</f>
        <v>35.984797966765058</v>
      </c>
      <c r="AD324" s="295"/>
      <c r="AE324" s="300">
        <f t="shared" si="138"/>
        <v>0</v>
      </c>
      <c r="AF324" s="297">
        <f t="shared" si="139"/>
        <v>0</v>
      </c>
      <c r="AG324" s="295"/>
      <c r="AH324" s="295">
        <f t="shared" si="140"/>
        <v>0</v>
      </c>
      <c r="AI324" s="298">
        <f>'Unit Savings Calculations'!O320</f>
        <v>35.984797966765058</v>
      </c>
      <c r="AJ324" s="405" t="s">
        <v>879</v>
      </c>
      <c r="AK324" s="300">
        <f t="shared" si="141"/>
        <v>0</v>
      </c>
      <c r="AL324" s="297">
        <f t="shared" si="142"/>
        <v>0</v>
      </c>
      <c r="AM324" s="295"/>
      <c r="AN324" s="295"/>
      <c r="AO324" s="298">
        <f>'Unit Savings Calculations'!P320</f>
        <v>35.984797966765058</v>
      </c>
      <c r="AP324" s="405" t="s">
        <v>764</v>
      </c>
      <c r="AQ324" s="300">
        <f t="shared" si="143"/>
        <v>0</v>
      </c>
      <c r="AR324" s="297">
        <f t="shared" si="144"/>
        <v>0</v>
      </c>
      <c r="AS324" s="295"/>
      <c r="AT324" s="295"/>
      <c r="AU324" s="298">
        <f>'Unit Savings Calculations'!Q320</f>
        <v>35.984797966765058</v>
      </c>
      <c r="AV324" s="405" t="str">
        <f t="shared" si="131"/>
        <v>n/a</v>
      </c>
      <c r="AW324" s="300">
        <f t="shared" si="145"/>
        <v>0</v>
      </c>
      <c r="AX324" s="297">
        <f t="shared" si="146"/>
        <v>0</v>
      </c>
      <c r="AY324" s="300">
        <f t="shared" si="132"/>
        <v>0</v>
      </c>
      <c r="AZ324" s="300">
        <f t="shared" si="133"/>
        <v>0</v>
      </c>
      <c r="BA324" s="300">
        <f t="shared" si="134"/>
        <v>0</v>
      </c>
      <c r="BB324" s="300">
        <f t="shared" si="135"/>
        <v>0</v>
      </c>
      <c r="BC324" s="301">
        <f t="shared" si="136"/>
        <v>0</v>
      </c>
      <c r="BD324" s="295" t="s">
        <v>764</v>
      </c>
      <c r="BE324" s="302" t="str">
        <f t="shared" si="137"/>
        <v>Exhibit 1.5A_R North Shore EEPS_Adjustable_Savings_Goal_Template.xlsx, Pipe Insulation Detail Tab</v>
      </c>
      <c r="BF324" s="304"/>
    </row>
    <row r="325" spans="1:58" ht="15.75" customHeight="1">
      <c r="A325" s="295" t="str">
        <f>'Unit Savings Calculations'!C321</f>
        <v>Bus - Public Rebates</v>
      </c>
      <c r="B325" s="295" t="str">
        <f>'Unit Savings Calculations'!D321</f>
        <v>Pipe Insulation - Steam Med Fitting</v>
      </c>
      <c r="C325" s="296">
        <f t="shared" ref="C325:C330" si="153">IF(D325="Custom",0,1)</f>
        <v>1</v>
      </c>
      <c r="D325" s="295" t="str">
        <f>'Unit Savings Calculations'!T321</f>
        <v>4.4.14</v>
      </c>
      <c r="E325" s="460">
        <f>INDEX('Unit Savings Calculations'!$H$4:$H$421,MATCH('Measure-Level Adjustments Tab'!$A325&amp;"_"&amp;'Measure-Level Adjustments Tab'!$B325,'Unit Savings Calculations'!$A$4:$A$421,0))</f>
        <v>15</v>
      </c>
      <c r="F325" s="460">
        <f>INDEX('Unit Savings Calculations'!$I$4:$I$421,MATCH('Measure-Level Adjustments Tab'!A325&amp;"_"&amp;'Measure-Level Adjustments Tab'!B325,'Unit Savings Calculations'!$A$4:$A$421,0))</f>
        <v>15</v>
      </c>
      <c r="G325" s="295" t="str">
        <f>'Unit Savings Calculations'!E321</f>
        <v>each</v>
      </c>
      <c r="H325" s="297">
        <f>'Unit Savings Calculations'!$F321*'Unit Savings Calculations'!J321</f>
        <v>0</v>
      </c>
      <c r="I325" s="297">
        <f>'Unit Savings Calculations'!$F321*'Unit Savings Calculations'!K321</f>
        <v>0</v>
      </c>
      <c r="J325" s="297">
        <f>'Unit Savings Calculations'!$F321*'Unit Savings Calculations'!L321</f>
        <v>0</v>
      </c>
      <c r="K325" s="297">
        <f>'Unit Savings Calculations'!$F321*'Unit Savings Calculations'!M321</f>
        <v>0</v>
      </c>
      <c r="L325" s="295" t="str">
        <f>'Unit Savings Calculations'!U321</f>
        <v>CI-HVC-PINS-V04-160601</v>
      </c>
      <c r="M325" s="405" t="str">
        <f>'Unit Savings Calculations'!R321</f>
        <v>Exhibit 1.5A_R North Shore EEPS_Adjustable_Savings_Goal_Template.xlsx, Pipe Insulation Detail Tab</v>
      </c>
      <c r="N325" s="298">
        <v>12.515179237984789</v>
      </c>
      <c r="O325" s="298">
        <v>12.515179237984789</v>
      </c>
      <c r="P325" s="298">
        <v>12.515179237984789</v>
      </c>
      <c r="Q325" s="298">
        <v>12.515179237984789</v>
      </c>
      <c r="R325" s="299">
        <f>'Unit Savings Calculations'!$G321</f>
        <v>0.79</v>
      </c>
      <c r="S325" s="299">
        <f>'Unit Savings Calculations'!$G321</f>
        <v>0.79</v>
      </c>
      <c r="T325" s="299">
        <f>'Unit Savings Calculations'!$G321</f>
        <v>0.79</v>
      </c>
      <c r="U325" s="299">
        <f>'Unit Savings Calculations'!$G321</f>
        <v>0.79</v>
      </c>
      <c r="V325" s="300">
        <f t="shared" si="148"/>
        <v>0</v>
      </c>
      <c r="W325" s="300">
        <f t="shared" si="149"/>
        <v>0</v>
      </c>
      <c r="X325" s="300">
        <f t="shared" si="150"/>
        <v>0</v>
      </c>
      <c r="Y325" s="300">
        <f t="shared" si="151"/>
        <v>0</v>
      </c>
      <c r="Z325" s="300">
        <f t="shared" si="152"/>
        <v>0</v>
      </c>
      <c r="AA325" s="295"/>
      <c r="AB325" s="295"/>
      <c r="AC325" s="298">
        <f>'Unit Savings Calculations'!N321</f>
        <v>12.515179237984789</v>
      </c>
      <c r="AD325" s="295"/>
      <c r="AE325" s="300">
        <f t="shared" si="138"/>
        <v>0</v>
      </c>
      <c r="AF325" s="297">
        <f t="shared" si="139"/>
        <v>0</v>
      </c>
      <c r="AG325" s="295"/>
      <c r="AH325" s="295">
        <f t="shared" si="140"/>
        <v>0</v>
      </c>
      <c r="AI325" s="298">
        <f>'Unit Savings Calculations'!O321</f>
        <v>12.515179237984789</v>
      </c>
      <c r="AJ325" s="405" t="s">
        <v>879</v>
      </c>
      <c r="AK325" s="300">
        <f t="shared" si="141"/>
        <v>0</v>
      </c>
      <c r="AL325" s="297">
        <f t="shared" si="142"/>
        <v>0</v>
      </c>
      <c r="AM325" s="295"/>
      <c r="AN325" s="295"/>
      <c r="AO325" s="298">
        <f>'Unit Savings Calculations'!P321</f>
        <v>12.515179237984789</v>
      </c>
      <c r="AP325" s="405" t="s">
        <v>764</v>
      </c>
      <c r="AQ325" s="300">
        <f t="shared" si="143"/>
        <v>0</v>
      </c>
      <c r="AR325" s="297">
        <f t="shared" si="144"/>
        <v>0</v>
      </c>
      <c r="AS325" s="295"/>
      <c r="AT325" s="295"/>
      <c r="AU325" s="298">
        <f>'Unit Savings Calculations'!Q321</f>
        <v>12.515179237984789</v>
      </c>
      <c r="AV325" s="405" t="str">
        <f t="shared" si="131"/>
        <v>n/a</v>
      </c>
      <c r="AW325" s="300">
        <f t="shared" si="145"/>
        <v>0</v>
      </c>
      <c r="AX325" s="297">
        <f t="shared" si="146"/>
        <v>0</v>
      </c>
      <c r="AY325" s="300">
        <f t="shared" si="132"/>
        <v>0</v>
      </c>
      <c r="AZ325" s="300">
        <f t="shared" si="133"/>
        <v>0</v>
      </c>
      <c r="BA325" s="300">
        <f t="shared" si="134"/>
        <v>0</v>
      </c>
      <c r="BB325" s="300">
        <f t="shared" si="135"/>
        <v>0</v>
      </c>
      <c r="BC325" s="301">
        <f t="shared" si="136"/>
        <v>0</v>
      </c>
      <c r="BD325" s="295" t="s">
        <v>764</v>
      </c>
      <c r="BE325" s="302" t="str">
        <f t="shared" si="137"/>
        <v>Exhibit 1.5A_R North Shore EEPS_Adjustable_Savings_Goal_Template.xlsx, Pipe Insulation Detail Tab</v>
      </c>
      <c r="BF325" s="304"/>
    </row>
    <row r="326" spans="1:58" ht="15.75" customHeight="1">
      <c r="A326" s="295" t="str">
        <f>'Unit Savings Calculations'!C322</f>
        <v>Bus - Public Rebates</v>
      </c>
      <c r="B326" s="295" t="str">
        <f>'Unit Savings Calculations'!D322</f>
        <v>Pipe Insulation - Steam Large Fitting</v>
      </c>
      <c r="C326" s="296">
        <f t="shared" si="153"/>
        <v>1</v>
      </c>
      <c r="D326" s="295" t="str">
        <f>'Unit Savings Calculations'!T322</f>
        <v>4.4.14</v>
      </c>
      <c r="E326" s="460">
        <f>INDEX('Unit Savings Calculations'!$H$4:$H$421,MATCH('Measure-Level Adjustments Tab'!$A326&amp;"_"&amp;'Measure-Level Adjustments Tab'!$B326,'Unit Savings Calculations'!$A$4:$A$421,0))</f>
        <v>15</v>
      </c>
      <c r="F326" s="460">
        <f>INDEX('Unit Savings Calculations'!$I$4:$I$421,MATCH('Measure-Level Adjustments Tab'!A326&amp;"_"&amp;'Measure-Level Adjustments Tab'!B326,'Unit Savings Calculations'!$A$4:$A$421,0))</f>
        <v>15</v>
      </c>
      <c r="G326" s="295" t="str">
        <f>'Unit Savings Calculations'!E322</f>
        <v>each</v>
      </c>
      <c r="H326" s="297">
        <f>'Unit Savings Calculations'!$F322*'Unit Savings Calculations'!J322</f>
        <v>30</v>
      </c>
      <c r="I326" s="297">
        <f>'Unit Savings Calculations'!$F322*'Unit Savings Calculations'!K322</f>
        <v>30</v>
      </c>
      <c r="J326" s="297">
        <f>'Unit Savings Calculations'!$F322*'Unit Savings Calculations'!L322</f>
        <v>30</v>
      </c>
      <c r="K326" s="297">
        <f>'Unit Savings Calculations'!$F322*'Unit Savings Calculations'!M322</f>
        <v>30</v>
      </c>
      <c r="L326" s="295" t="str">
        <f>'Unit Savings Calculations'!U322</f>
        <v>CI-HVC-PINS-V04-160601</v>
      </c>
      <c r="M326" s="405" t="str">
        <f>'Unit Savings Calculations'!R322</f>
        <v>Exhibit 1.5A_R North Shore EEPS_Adjustable_Savings_Goal_Template.xlsx, Pipe Insulation Detail Tab</v>
      </c>
      <c r="N326" s="298">
        <v>51.249515380658096</v>
      </c>
      <c r="O326" s="298">
        <v>51.249515380658096</v>
      </c>
      <c r="P326" s="298">
        <v>51.249515380658096</v>
      </c>
      <c r="Q326" s="298">
        <v>51.249515380658096</v>
      </c>
      <c r="R326" s="299">
        <f>'Unit Savings Calculations'!$G322</f>
        <v>0.79</v>
      </c>
      <c r="S326" s="299">
        <f>'Unit Savings Calculations'!$G322</f>
        <v>0.79</v>
      </c>
      <c r="T326" s="299">
        <f>'Unit Savings Calculations'!$G322</f>
        <v>0.79</v>
      </c>
      <c r="U326" s="299">
        <f>'Unit Savings Calculations'!$G322</f>
        <v>0.79</v>
      </c>
      <c r="V326" s="300">
        <f t="shared" si="148"/>
        <v>1214.6135145215969</v>
      </c>
      <c r="W326" s="300">
        <f t="shared" si="149"/>
        <v>1214.6135145215969</v>
      </c>
      <c r="X326" s="300">
        <f t="shared" si="150"/>
        <v>1214.6135145215969</v>
      </c>
      <c r="Y326" s="300">
        <f t="shared" si="151"/>
        <v>1214.6135145215969</v>
      </c>
      <c r="Z326" s="300">
        <f t="shared" si="152"/>
        <v>4858.4540580863877</v>
      </c>
      <c r="AA326" s="295"/>
      <c r="AB326" s="295"/>
      <c r="AC326" s="298">
        <f>'Unit Savings Calculations'!N322</f>
        <v>51.249515380658096</v>
      </c>
      <c r="AD326" s="295"/>
      <c r="AE326" s="300">
        <f t="shared" si="138"/>
        <v>1214.6135145215969</v>
      </c>
      <c r="AF326" s="297">
        <f t="shared" si="139"/>
        <v>0</v>
      </c>
      <c r="AG326" s="295"/>
      <c r="AH326" s="295">
        <f t="shared" si="140"/>
        <v>0</v>
      </c>
      <c r="AI326" s="298">
        <f>'Unit Savings Calculations'!O322</f>
        <v>51.249515380658096</v>
      </c>
      <c r="AJ326" s="405" t="s">
        <v>879</v>
      </c>
      <c r="AK326" s="300">
        <f t="shared" si="141"/>
        <v>1214.6135145215969</v>
      </c>
      <c r="AL326" s="297">
        <f t="shared" si="142"/>
        <v>0</v>
      </c>
      <c r="AM326" s="295"/>
      <c r="AN326" s="295"/>
      <c r="AO326" s="298">
        <f>'Unit Savings Calculations'!P322</f>
        <v>51.249515380658096</v>
      </c>
      <c r="AP326" s="405" t="s">
        <v>764</v>
      </c>
      <c r="AQ326" s="300">
        <f t="shared" si="143"/>
        <v>1214.6135145215969</v>
      </c>
      <c r="AR326" s="297">
        <f t="shared" si="144"/>
        <v>0</v>
      </c>
      <c r="AS326" s="295"/>
      <c r="AT326" s="295"/>
      <c r="AU326" s="298">
        <f>'Unit Savings Calculations'!Q322</f>
        <v>51.249515380658096</v>
      </c>
      <c r="AV326" s="405" t="str">
        <f t="shared" si="131"/>
        <v>n/a</v>
      </c>
      <c r="AW326" s="300">
        <f t="shared" si="145"/>
        <v>1214.6135145215969</v>
      </c>
      <c r="AX326" s="297">
        <f t="shared" si="146"/>
        <v>0</v>
      </c>
      <c r="AY326" s="300">
        <f t="shared" si="132"/>
        <v>1214.6135145215969</v>
      </c>
      <c r="AZ326" s="300">
        <f t="shared" si="133"/>
        <v>1214.6135145215969</v>
      </c>
      <c r="BA326" s="300">
        <f t="shared" si="134"/>
        <v>1214.6135145215969</v>
      </c>
      <c r="BB326" s="300">
        <f t="shared" si="135"/>
        <v>1214.6135145215969</v>
      </c>
      <c r="BC326" s="301">
        <f t="shared" si="136"/>
        <v>4858.4540580863877</v>
      </c>
      <c r="BD326" s="295" t="s">
        <v>764</v>
      </c>
      <c r="BE326" s="302" t="str">
        <f t="shared" si="137"/>
        <v>Exhibit 1.5A_R North Shore EEPS_Adjustable_Savings_Goal_Template.xlsx, Pipe Insulation Detail Tab</v>
      </c>
      <c r="BF326" s="304"/>
    </row>
    <row r="327" spans="1:58" ht="15.75" customHeight="1">
      <c r="A327" s="295" t="str">
        <f>'Unit Savings Calculations'!C323</f>
        <v>Bus - Public Rebates</v>
      </c>
      <c r="B327" s="295" t="str">
        <f>'Unit Savings Calculations'!D323</f>
        <v>Pipe Insulation - Steam X-Large Fitting</v>
      </c>
      <c r="C327" s="296">
        <f t="shared" si="153"/>
        <v>1</v>
      </c>
      <c r="D327" s="295" t="str">
        <f>'Unit Savings Calculations'!T323</f>
        <v>4.4.14</v>
      </c>
      <c r="E327" s="460">
        <f>INDEX('Unit Savings Calculations'!$H$4:$H$421,MATCH('Measure-Level Adjustments Tab'!$A327&amp;"_"&amp;'Measure-Level Adjustments Tab'!$B327,'Unit Savings Calculations'!$A$4:$A$421,0))</f>
        <v>15</v>
      </c>
      <c r="F327" s="460">
        <f>INDEX('Unit Savings Calculations'!$I$4:$I$421,MATCH('Measure-Level Adjustments Tab'!A327&amp;"_"&amp;'Measure-Level Adjustments Tab'!B327,'Unit Savings Calculations'!$A$4:$A$421,0))</f>
        <v>15</v>
      </c>
      <c r="G327" s="295" t="str">
        <f>'Unit Savings Calculations'!E323</f>
        <v>each</v>
      </c>
      <c r="H327" s="297">
        <f>'Unit Savings Calculations'!$F323*'Unit Savings Calculations'!J323</f>
        <v>0</v>
      </c>
      <c r="I327" s="297">
        <f>'Unit Savings Calculations'!$F323*'Unit Savings Calculations'!K323</f>
        <v>0</v>
      </c>
      <c r="J327" s="297">
        <f>'Unit Savings Calculations'!$F323*'Unit Savings Calculations'!L323</f>
        <v>0</v>
      </c>
      <c r="K327" s="297">
        <f>'Unit Savings Calculations'!$F323*'Unit Savings Calculations'!M323</f>
        <v>0</v>
      </c>
      <c r="L327" s="295" t="str">
        <f>'Unit Savings Calculations'!U323</f>
        <v>CI-HVC-PINS-V04-160601</v>
      </c>
      <c r="M327" s="405" t="str">
        <f>'Unit Savings Calculations'!R323</f>
        <v>Exhibit 1.5A_R North Shore EEPS_Adjustable_Savings_Goal_Template.xlsx, Pipe Insulation Detail Tab</v>
      </c>
      <c r="N327" s="298">
        <v>99.138118398437726</v>
      </c>
      <c r="O327" s="298">
        <v>99.138118398437726</v>
      </c>
      <c r="P327" s="298">
        <v>99.138118398437726</v>
      </c>
      <c r="Q327" s="298">
        <v>99.138118398437726</v>
      </c>
      <c r="R327" s="299">
        <f>'Unit Savings Calculations'!$G323</f>
        <v>0.79</v>
      </c>
      <c r="S327" s="299">
        <f>'Unit Savings Calculations'!$G323</f>
        <v>0.79</v>
      </c>
      <c r="T327" s="299">
        <f>'Unit Savings Calculations'!$G323</f>
        <v>0.79</v>
      </c>
      <c r="U327" s="299">
        <f>'Unit Savings Calculations'!$G323</f>
        <v>0.79</v>
      </c>
      <c r="V327" s="300">
        <f t="shared" si="148"/>
        <v>0</v>
      </c>
      <c r="W327" s="300">
        <f t="shared" si="149"/>
        <v>0</v>
      </c>
      <c r="X327" s="300">
        <f t="shared" si="150"/>
        <v>0</v>
      </c>
      <c r="Y327" s="300">
        <f t="shared" si="151"/>
        <v>0</v>
      </c>
      <c r="Z327" s="300">
        <f t="shared" si="152"/>
        <v>0</v>
      </c>
      <c r="AA327" s="295"/>
      <c r="AB327" s="295"/>
      <c r="AC327" s="298">
        <f>'Unit Savings Calculations'!N323</f>
        <v>99.138118398437726</v>
      </c>
      <c r="AD327" s="295"/>
      <c r="AE327" s="300">
        <f t="shared" si="138"/>
        <v>0</v>
      </c>
      <c r="AF327" s="297">
        <f t="shared" si="139"/>
        <v>0</v>
      </c>
      <c r="AG327" s="295"/>
      <c r="AH327" s="295">
        <f t="shared" si="140"/>
        <v>0</v>
      </c>
      <c r="AI327" s="298">
        <f>'Unit Savings Calculations'!O323</f>
        <v>99.138118398437726</v>
      </c>
      <c r="AJ327" s="405" t="s">
        <v>879</v>
      </c>
      <c r="AK327" s="300">
        <f t="shared" si="141"/>
        <v>0</v>
      </c>
      <c r="AL327" s="297">
        <f t="shared" si="142"/>
        <v>0</v>
      </c>
      <c r="AM327" s="295"/>
      <c r="AN327" s="295"/>
      <c r="AO327" s="298">
        <f>'Unit Savings Calculations'!P323</f>
        <v>99.138118398437726</v>
      </c>
      <c r="AP327" s="405" t="s">
        <v>764</v>
      </c>
      <c r="AQ327" s="300">
        <f t="shared" si="143"/>
        <v>0</v>
      </c>
      <c r="AR327" s="297">
        <f t="shared" si="144"/>
        <v>0</v>
      </c>
      <c r="AS327" s="295"/>
      <c r="AT327" s="295"/>
      <c r="AU327" s="298">
        <f>'Unit Savings Calculations'!Q323</f>
        <v>99.138118398437726</v>
      </c>
      <c r="AV327" s="405" t="str">
        <f t="shared" si="131"/>
        <v>n/a</v>
      </c>
      <c r="AW327" s="300">
        <f t="shared" si="145"/>
        <v>0</v>
      </c>
      <c r="AX327" s="297">
        <f t="shared" si="146"/>
        <v>0</v>
      </c>
      <c r="AY327" s="300">
        <f t="shared" si="132"/>
        <v>0</v>
      </c>
      <c r="AZ327" s="300">
        <f t="shared" si="133"/>
        <v>0</v>
      </c>
      <c r="BA327" s="300">
        <f t="shared" si="134"/>
        <v>0</v>
      </c>
      <c r="BB327" s="300">
        <f t="shared" si="135"/>
        <v>0</v>
      </c>
      <c r="BC327" s="301">
        <f t="shared" si="136"/>
        <v>0</v>
      </c>
      <c r="BD327" s="295" t="s">
        <v>764</v>
      </c>
      <c r="BE327" s="302" t="str">
        <f t="shared" si="137"/>
        <v>Exhibit 1.5A_R North Shore EEPS_Adjustable_Savings_Goal_Template.xlsx, Pipe Insulation Detail Tab</v>
      </c>
      <c r="BF327" s="304"/>
    </row>
    <row r="328" spans="1:58" ht="15.75" customHeight="1">
      <c r="A328" s="295" t="str">
        <f>'Unit Savings Calculations'!C324</f>
        <v>Bus - Public Rebates</v>
      </c>
      <c r="B328" s="295" t="str">
        <f>'Unit Savings Calculations'!D324</f>
        <v>Pipe Insulation - Steam Med Valve</v>
      </c>
      <c r="C328" s="296">
        <f t="shared" si="153"/>
        <v>1</v>
      </c>
      <c r="D328" s="295" t="str">
        <f>'Unit Savings Calculations'!T324</f>
        <v>4.4.14</v>
      </c>
      <c r="E328" s="460">
        <f>INDEX('Unit Savings Calculations'!$H$4:$H$421,MATCH('Measure-Level Adjustments Tab'!$A328&amp;"_"&amp;'Measure-Level Adjustments Tab'!$B328,'Unit Savings Calculations'!$A$4:$A$421,0))</f>
        <v>15</v>
      </c>
      <c r="F328" s="460">
        <f>INDEX('Unit Savings Calculations'!$I$4:$I$421,MATCH('Measure-Level Adjustments Tab'!A328&amp;"_"&amp;'Measure-Level Adjustments Tab'!B328,'Unit Savings Calculations'!$A$4:$A$421,0))</f>
        <v>15</v>
      </c>
      <c r="G328" s="295" t="str">
        <f>'Unit Savings Calculations'!E324</f>
        <v>each</v>
      </c>
      <c r="H328" s="297">
        <f>'Unit Savings Calculations'!$F324*'Unit Savings Calculations'!J324</f>
        <v>0</v>
      </c>
      <c r="I328" s="297">
        <f>'Unit Savings Calculations'!$F324*'Unit Savings Calculations'!K324</f>
        <v>0</v>
      </c>
      <c r="J328" s="297">
        <f>'Unit Savings Calculations'!$F324*'Unit Savings Calculations'!L324</f>
        <v>0</v>
      </c>
      <c r="K328" s="297">
        <f>'Unit Savings Calculations'!$F324*'Unit Savings Calculations'!M324</f>
        <v>0</v>
      </c>
      <c r="L328" s="295" t="str">
        <f>'Unit Savings Calculations'!U324</f>
        <v>CI-HVC-PINS-V04-160601</v>
      </c>
      <c r="M328" s="405" t="str">
        <f>'Unit Savings Calculations'!R324</f>
        <v>Exhibit 1.5A_R North Shore EEPS_Adjustable_Savings_Goal_Template.xlsx, Pipe Insulation Detail Tab</v>
      </c>
      <c r="N328" s="298">
        <v>37.423389683572815</v>
      </c>
      <c r="O328" s="298">
        <v>37.423389683572815</v>
      </c>
      <c r="P328" s="298">
        <v>37.423389683572815</v>
      </c>
      <c r="Q328" s="298">
        <v>37.423389683572815</v>
      </c>
      <c r="R328" s="299">
        <f>'Unit Savings Calculations'!$G324</f>
        <v>0.79</v>
      </c>
      <c r="S328" s="299">
        <f>'Unit Savings Calculations'!$G324</f>
        <v>0.79</v>
      </c>
      <c r="T328" s="299">
        <f>'Unit Savings Calculations'!$G324</f>
        <v>0.79</v>
      </c>
      <c r="U328" s="299">
        <f>'Unit Savings Calculations'!$G324</f>
        <v>0.79</v>
      </c>
      <c r="V328" s="300">
        <f t="shared" si="148"/>
        <v>0</v>
      </c>
      <c r="W328" s="300">
        <f t="shared" si="149"/>
        <v>0</v>
      </c>
      <c r="X328" s="300">
        <f t="shared" si="150"/>
        <v>0</v>
      </c>
      <c r="Y328" s="300">
        <f t="shared" si="151"/>
        <v>0</v>
      </c>
      <c r="Z328" s="300">
        <f t="shared" si="152"/>
        <v>0</v>
      </c>
      <c r="AA328" s="295"/>
      <c r="AB328" s="295"/>
      <c r="AC328" s="298">
        <f>'Unit Savings Calculations'!N324</f>
        <v>37.423389683572815</v>
      </c>
      <c r="AD328" s="295"/>
      <c r="AE328" s="300">
        <f t="shared" si="138"/>
        <v>0</v>
      </c>
      <c r="AF328" s="297">
        <f t="shared" si="139"/>
        <v>0</v>
      </c>
      <c r="AG328" s="295"/>
      <c r="AH328" s="295">
        <f t="shared" si="140"/>
        <v>0</v>
      </c>
      <c r="AI328" s="298">
        <f>'Unit Savings Calculations'!O324</f>
        <v>37.423389683572815</v>
      </c>
      <c r="AJ328" s="405" t="s">
        <v>879</v>
      </c>
      <c r="AK328" s="300">
        <f t="shared" si="141"/>
        <v>0</v>
      </c>
      <c r="AL328" s="297">
        <f t="shared" si="142"/>
        <v>0</v>
      </c>
      <c r="AM328" s="295"/>
      <c r="AN328" s="295"/>
      <c r="AO328" s="298">
        <f>'Unit Savings Calculations'!P324</f>
        <v>37.423389683572815</v>
      </c>
      <c r="AP328" s="405" t="s">
        <v>764</v>
      </c>
      <c r="AQ328" s="300">
        <f t="shared" si="143"/>
        <v>0</v>
      </c>
      <c r="AR328" s="297">
        <f t="shared" si="144"/>
        <v>0</v>
      </c>
      <c r="AS328" s="295"/>
      <c r="AT328" s="295"/>
      <c r="AU328" s="298">
        <f>'Unit Savings Calculations'!Q324</f>
        <v>37.423389683572815</v>
      </c>
      <c r="AV328" s="405" t="str">
        <f t="shared" si="131"/>
        <v>n/a</v>
      </c>
      <c r="AW328" s="300">
        <f t="shared" si="145"/>
        <v>0</v>
      </c>
      <c r="AX328" s="297">
        <f t="shared" si="146"/>
        <v>0</v>
      </c>
      <c r="AY328" s="300">
        <f t="shared" si="132"/>
        <v>0</v>
      </c>
      <c r="AZ328" s="300">
        <f t="shared" si="133"/>
        <v>0</v>
      </c>
      <c r="BA328" s="300">
        <f t="shared" si="134"/>
        <v>0</v>
      </c>
      <c r="BB328" s="300">
        <f t="shared" si="135"/>
        <v>0</v>
      </c>
      <c r="BC328" s="301">
        <f t="shared" si="136"/>
        <v>0</v>
      </c>
      <c r="BD328" s="295" t="s">
        <v>764</v>
      </c>
      <c r="BE328" s="302" t="str">
        <f t="shared" si="137"/>
        <v>Exhibit 1.5A_R North Shore EEPS_Adjustable_Savings_Goal_Template.xlsx, Pipe Insulation Detail Tab</v>
      </c>
      <c r="BF328" s="304"/>
    </row>
    <row r="329" spans="1:58" ht="15.75" customHeight="1">
      <c r="A329" s="295" t="str">
        <f>'Unit Savings Calculations'!C325</f>
        <v>Bus - Public Rebates</v>
      </c>
      <c r="B329" s="295" t="str">
        <f>'Unit Savings Calculations'!D325</f>
        <v>Pipe Insulation - Steam Large Valve</v>
      </c>
      <c r="C329" s="296">
        <f t="shared" si="153"/>
        <v>1</v>
      </c>
      <c r="D329" s="295" t="str">
        <f>'Unit Savings Calculations'!T325</f>
        <v>4.4.14</v>
      </c>
      <c r="E329" s="460">
        <f>INDEX('Unit Savings Calculations'!$H$4:$H$421,MATCH('Measure-Level Adjustments Tab'!$A329&amp;"_"&amp;'Measure-Level Adjustments Tab'!$B329,'Unit Savings Calculations'!$A$4:$A$421,0))</f>
        <v>15</v>
      </c>
      <c r="F329" s="460">
        <f>INDEX('Unit Savings Calculations'!$I$4:$I$421,MATCH('Measure-Level Adjustments Tab'!A329&amp;"_"&amp;'Measure-Level Adjustments Tab'!B329,'Unit Savings Calculations'!$A$4:$A$421,0))</f>
        <v>15</v>
      </c>
      <c r="G329" s="295" t="str">
        <f>'Unit Savings Calculations'!E325</f>
        <v>each</v>
      </c>
      <c r="H329" s="297">
        <f>'Unit Savings Calculations'!$F325*'Unit Savings Calculations'!J325</f>
        <v>0</v>
      </c>
      <c r="I329" s="297">
        <f>'Unit Savings Calculations'!$F325*'Unit Savings Calculations'!K325</f>
        <v>0</v>
      </c>
      <c r="J329" s="297">
        <f>'Unit Savings Calculations'!$F325*'Unit Savings Calculations'!L325</f>
        <v>0</v>
      </c>
      <c r="K329" s="297">
        <f>'Unit Savings Calculations'!$F325*'Unit Savings Calculations'!M325</f>
        <v>0</v>
      </c>
      <c r="L329" s="295" t="str">
        <f>'Unit Savings Calculations'!U325</f>
        <v>CI-HVC-PINS-V04-160601</v>
      </c>
      <c r="M329" s="405" t="str">
        <f>'Unit Savings Calculations'!R325</f>
        <v>Exhibit 1.5A_R North Shore EEPS_Adjustable_Savings_Goal_Template.xlsx, Pipe Insulation Detail Tab</v>
      </c>
      <c r="N329" s="298">
        <v>107.52607289087437</v>
      </c>
      <c r="O329" s="298">
        <v>107.52607289087437</v>
      </c>
      <c r="P329" s="298">
        <v>107.52607289087437</v>
      </c>
      <c r="Q329" s="298">
        <v>107.52607289087437</v>
      </c>
      <c r="R329" s="299">
        <f>'Unit Savings Calculations'!$G325</f>
        <v>0.79</v>
      </c>
      <c r="S329" s="299">
        <f>'Unit Savings Calculations'!$G325</f>
        <v>0.79</v>
      </c>
      <c r="T329" s="299">
        <f>'Unit Savings Calculations'!$G325</f>
        <v>0.79</v>
      </c>
      <c r="U329" s="299">
        <f>'Unit Savings Calculations'!$G325</f>
        <v>0.79</v>
      </c>
      <c r="V329" s="300">
        <f t="shared" si="148"/>
        <v>0</v>
      </c>
      <c r="W329" s="300">
        <f t="shared" si="149"/>
        <v>0</v>
      </c>
      <c r="X329" s="300">
        <f t="shared" si="150"/>
        <v>0</v>
      </c>
      <c r="Y329" s="300">
        <f t="shared" si="151"/>
        <v>0</v>
      </c>
      <c r="Z329" s="300">
        <f t="shared" si="152"/>
        <v>0</v>
      </c>
      <c r="AA329" s="295"/>
      <c r="AB329" s="295"/>
      <c r="AC329" s="298">
        <f>'Unit Savings Calculations'!N325</f>
        <v>107.52607289087437</v>
      </c>
      <c r="AD329" s="295"/>
      <c r="AE329" s="300">
        <f t="shared" si="138"/>
        <v>0</v>
      </c>
      <c r="AF329" s="297">
        <f t="shared" si="139"/>
        <v>0</v>
      </c>
      <c r="AG329" s="295"/>
      <c r="AH329" s="295">
        <f t="shared" si="140"/>
        <v>0</v>
      </c>
      <c r="AI329" s="298">
        <f>'Unit Savings Calculations'!O325</f>
        <v>107.52607289087437</v>
      </c>
      <c r="AJ329" s="405" t="s">
        <v>879</v>
      </c>
      <c r="AK329" s="300">
        <f t="shared" si="141"/>
        <v>0</v>
      </c>
      <c r="AL329" s="297">
        <f t="shared" si="142"/>
        <v>0</v>
      </c>
      <c r="AM329" s="295"/>
      <c r="AN329" s="295"/>
      <c r="AO329" s="298">
        <f>'Unit Savings Calculations'!P325</f>
        <v>107.52607289087437</v>
      </c>
      <c r="AP329" s="405" t="s">
        <v>764</v>
      </c>
      <c r="AQ329" s="300">
        <f t="shared" si="143"/>
        <v>0</v>
      </c>
      <c r="AR329" s="297">
        <f t="shared" si="144"/>
        <v>0</v>
      </c>
      <c r="AS329" s="295"/>
      <c r="AT329" s="295"/>
      <c r="AU329" s="298">
        <f>'Unit Savings Calculations'!Q325</f>
        <v>107.52607289087437</v>
      </c>
      <c r="AV329" s="405" t="str">
        <f t="shared" ref="AV329:AV392" si="154">AP329</f>
        <v>n/a</v>
      </c>
      <c r="AW329" s="300">
        <f t="shared" si="145"/>
        <v>0</v>
      </c>
      <c r="AX329" s="297">
        <f t="shared" si="146"/>
        <v>0</v>
      </c>
      <c r="AY329" s="300">
        <f t="shared" ref="AY329:AY392" si="155">IF(C329=1,AE329,V329)</f>
        <v>0</v>
      </c>
      <c r="AZ329" s="300">
        <f t="shared" ref="AZ329:AZ392" si="156">IF(C329=1,AK329,W329)</f>
        <v>0</v>
      </c>
      <c r="BA329" s="300">
        <f t="shared" ref="BA329:BA392" si="157">IF(C329=1,AQ329,X329)</f>
        <v>0</v>
      </c>
      <c r="BB329" s="300">
        <f t="shared" ref="BB329:BB392" si="158">IF(C329=1,AW329,Y329)</f>
        <v>0</v>
      </c>
      <c r="BC329" s="301">
        <f t="shared" ref="BC329:BC392" si="159">AY329+AZ329+BA329+BB329</f>
        <v>0</v>
      </c>
      <c r="BD329" s="295" t="s">
        <v>764</v>
      </c>
      <c r="BE329" s="302" t="str">
        <f t="shared" ref="BE329:BE392" si="160">M329</f>
        <v>Exhibit 1.5A_R North Shore EEPS_Adjustable_Savings_Goal_Template.xlsx, Pipe Insulation Detail Tab</v>
      </c>
      <c r="BF329" s="304"/>
    </row>
    <row r="330" spans="1:58" ht="15.75" customHeight="1">
      <c r="A330" s="295" t="str">
        <f>'Unit Savings Calculations'!C326</f>
        <v>Bus - Public Rebates</v>
      </c>
      <c r="B330" s="295" t="str">
        <f>'Unit Savings Calculations'!D326</f>
        <v>Pipe Insulation - Steam X-Large Valve</v>
      </c>
      <c r="C330" s="296">
        <f t="shared" si="153"/>
        <v>1</v>
      </c>
      <c r="D330" s="295" t="str">
        <f>'Unit Savings Calculations'!T326</f>
        <v>4.4.14</v>
      </c>
      <c r="E330" s="460">
        <f>INDEX('Unit Savings Calculations'!$H$4:$H$421,MATCH('Measure-Level Adjustments Tab'!$A330&amp;"_"&amp;'Measure-Level Adjustments Tab'!$B330,'Unit Savings Calculations'!$A$4:$A$421,0))</f>
        <v>15</v>
      </c>
      <c r="F330" s="460">
        <f>INDEX('Unit Savings Calculations'!$I$4:$I$421,MATCH('Measure-Level Adjustments Tab'!A330&amp;"_"&amp;'Measure-Level Adjustments Tab'!B330,'Unit Savings Calculations'!$A$4:$A$421,0))</f>
        <v>15</v>
      </c>
      <c r="G330" s="295" t="str">
        <f>'Unit Savings Calculations'!E326</f>
        <v>each</v>
      </c>
      <c r="H330" s="297">
        <f>'Unit Savings Calculations'!$F326*'Unit Savings Calculations'!J326</f>
        <v>0</v>
      </c>
      <c r="I330" s="297">
        <f>'Unit Savings Calculations'!$F326*'Unit Savings Calculations'!K326</f>
        <v>0</v>
      </c>
      <c r="J330" s="297">
        <f>'Unit Savings Calculations'!$F326*'Unit Savings Calculations'!L326</f>
        <v>0</v>
      </c>
      <c r="K330" s="297">
        <f>'Unit Savings Calculations'!$F326*'Unit Savings Calculations'!M326</f>
        <v>0</v>
      </c>
      <c r="L330" s="295" t="str">
        <f>'Unit Savings Calculations'!U326</f>
        <v>CI-HVC-PINS-V04-160601</v>
      </c>
      <c r="M330" s="405" t="str">
        <f>'Unit Savings Calculations'!R326</f>
        <v>Exhibit 1.5A_R North Shore EEPS_Adjustable_Savings_Goal_Template.xlsx, Pipe Insulation Detail Tab</v>
      </c>
      <c r="N330" s="298">
        <v>175.06254164158375</v>
      </c>
      <c r="O330" s="298">
        <v>175.06254164158375</v>
      </c>
      <c r="P330" s="298">
        <v>175.06254164158375</v>
      </c>
      <c r="Q330" s="298">
        <v>175.06254164158375</v>
      </c>
      <c r="R330" s="299">
        <f>'Unit Savings Calculations'!$G326</f>
        <v>0.79</v>
      </c>
      <c r="S330" s="299">
        <f>'Unit Savings Calculations'!$G326</f>
        <v>0.79</v>
      </c>
      <c r="T330" s="299">
        <f>'Unit Savings Calculations'!$G326</f>
        <v>0.79</v>
      </c>
      <c r="U330" s="299">
        <f>'Unit Savings Calculations'!$G326</f>
        <v>0.79</v>
      </c>
      <c r="V330" s="300">
        <f t="shared" si="148"/>
        <v>0</v>
      </c>
      <c r="W330" s="300">
        <f t="shared" si="149"/>
        <v>0</v>
      </c>
      <c r="X330" s="300">
        <f t="shared" si="150"/>
        <v>0</v>
      </c>
      <c r="Y330" s="300">
        <f t="shared" si="151"/>
        <v>0</v>
      </c>
      <c r="Z330" s="300">
        <f t="shared" si="152"/>
        <v>0</v>
      </c>
      <c r="AA330" s="295"/>
      <c r="AB330" s="295"/>
      <c r="AC330" s="298">
        <f>'Unit Savings Calculations'!N326</f>
        <v>175.06254164158375</v>
      </c>
      <c r="AD330" s="295"/>
      <c r="AE330" s="300">
        <f t="shared" ref="AE330:AE393" si="161">H330*AC330*R330</f>
        <v>0</v>
      </c>
      <c r="AF330" s="297">
        <f t="shared" ref="AF330:AF393" si="162">AE330-V330</f>
        <v>0</v>
      </c>
      <c r="AG330" s="295"/>
      <c r="AH330" s="295">
        <f t="shared" ref="AH330:AH393" si="163">AB330</f>
        <v>0</v>
      </c>
      <c r="AI330" s="298">
        <f>'Unit Savings Calculations'!O326</f>
        <v>175.06254164158375</v>
      </c>
      <c r="AJ330" s="405" t="s">
        <v>879</v>
      </c>
      <c r="AK330" s="300">
        <f t="shared" ref="AK330:AK393" si="164">I330*AI330*S330</f>
        <v>0</v>
      </c>
      <c r="AL330" s="297">
        <f t="shared" ref="AL330:AL393" si="165">AK330-W330</f>
        <v>0</v>
      </c>
      <c r="AM330" s="295"/>
      <c r="AN330" s="295"/>
      <c r="AO330" s="298">
        <f>'Unit Savings Calculations'!P326</f>
        <v>175.06254164158375</v>
      </c>
      <c r="AP330" s="405" t="s">
        <v>764</v>
      </c>
      <c r="AQ330" s="300">
        <f t="shared" ref="AQ330:AQ393" si="166">J330*AO330*T330</f>
        <v>0</v>
      </c>
      <c r="AR330" s="297">
        <f t="shared" ref="AR330:AR393" si="167">AQ330-X330</f>
        <v>0</v>
      </c>
      <c r="AS330" s="295"/>
      <c r="AT330" s="295"/>
      <c r="AU330" s="298">
        <f>'Unit Savings Calculations'!Q326</f>
        <v>175.06254164158375</v>
      </c>
      <c r="AV330" s="405" t="str">
        <f t="shared" si="154"/>
        <v>n/a</v>
      </c>
      <c r="AW330" s="300">
        <f t="shared" ref="AW330:AW393" si="168">K330*AU330*U330</f>
        <v>0</v>
      </c>
      <c r="AX330" s="297">
        <f t="shared" ref="AX330:AX393" si="169">AW330-Y330</f>
        <v>0</v>
      </c>
      <c r="AY330" s="300">
        <f t="shared" si="155"/>
        <v>0</v>
      </c>
      <c r="AZ330" s="300">
        <f t="shared" si="156"/>
        <v>0</v>
      </c>
      <c r="BA330" s="300">
        <f t="shared" si="157"/>
        <v>0</v>
      </c>
      <c r="BB330" s="300">
        <f t="shared" si="158"/>
        <v>0</v>
      </c>
      <c r="BC330" s="301">
        <f t="shared" si="159"/>
        <v>0</v>
      </c>
      <c r="BD330" s="295" t="s">
        <v>764</v>
      </c>
      <c r="BE330" s="302" t="str">
        <f t="shared" si="160"/>
        <v>Exhibit 1.5A_R North Shore EEPS_Adjustable_Savings_Goal_Template.xlsx, Pipe Insulation Detail Tab</v>
      </c>
      <c r="BF330" s="304"/>
    </row>
    <row r="331" spans="1:58" ht="15.75" customHeight="1">
      <c r="A331" s="295" t="str">
        <f>'Unit Savings Calculations'!C327</f>
        <v>Bus - Public Rebates</v>
      </c>
      <c r="B331" s="295" t="str">
        <f>'Unit Savings Calculations'!D327</f>
        <v>Pre Rinse Sprayer</v>
      </c>
      <c r="C331" s="296">
        <f t="shared" si="147"/>
        <v>1</v>
      </c>
      <c r="D331" s="295" t="str">
        <f>'Unit Savings Calculations'!T327</f>
        <v>4.2.11</v>
      </c>
      <c r="E331" s="460">
        <f>INDEX('Unit Savings Calculations'!$H$4:$H$421,MATCH('Measure-Level Adjustments Tab'!$A331&amp;"_"&amp;'Measure-Level Adjustments Tab'!$B331,'Unit Savings Calculations'!$A$4:$A$421,0))</f>
        <v>5</v>
      </c>
      <c r="F331" s="460">
        <f>INDEX('Unit Savings Calculations'!$I$4:$I$421,MATCH('Measure-Level Adjustments Tab'!A331&amp;"_"&amp;'Measure-Level Adjustments Tab'!B331,'Unit Savings Calculations'!$A$4:$A$421,0))</f>
        <v>5</v>
      </c>
      <c r="G331" s="295" t="str">
        <f>'Unit Savings Calculations'!E327</f>
        <v>each</v>
      </c>
      <c r="H331" s="297">
        <f>'Unit Savings Calculations'!$F327*'Unit Savings Calculations'!J327</f>
        <v>0</v>
      </c>
      <c r="I331" s="297">
        <f>'Unit Savings Calculations'!$F327*'Unit Savings Calculations'!K327</f>
        <v>0</v>
      </c>
      <c r="J331" s="297">
        <f>'Unit Savings Calculations'!$F327*'Unit Savings Calculations'!L327</f>
        <v>0</v>
      </c>
      <c r="K331" s="297">
        <f>'Unit Savings Calculations'!$F327*'Unit Savings Calculations'!M327</f>
        <v>0</v>
      </c>
      <c r="L331" s="295" t="str">
        <f>'Unit Savings Calculations'!U327</f>
        <v>CI-FSE-SPRY-V04-180101</v>
      </c>
      <c r="M331" s="405" t="str">
        <f>'Unit Savings Calculations'!R327</f>
        <v>Exhibit 1.5A_R North Shore EEPS_Adjustable_Savings_Goal_Template.xlsx, Unit Savings Calculations Tab</v>
      </c>
      <c r="N331" s="298">
        <v>221.04154800000003</v>
      </c>
      <c r="O331" s="298">
        <v>221.04154800000003</v>
      </c>
      <c r="P331" s="298">
        <v>221.04154800000003</v>
      </c>
      <c r="Q331" s="298">
        <v>221.04154800000003</v>
      </c>
      <c r="R331" s="299">
        <f>'Unit Savings Calculations'!$G327</f>
        <v>0.79</v>
      </c>
      <c r="S331" s="299">
        <f>'Unit Savings Calculations'!$G327</f>
        <v>0.79</v>
      </c>
      <c r="T331" s="299">
        <f>'Unit Savings Calculations'!$G327</f>
        <v>0.79</v>
      </c>
      <c r="U331" s="299">
        <f>'Unit Savings Calculations'!$G327</f>
        <v>0.79</v>
      </c>
      <c r="V331" s="300">
        <f t="shared" si="148"/>
        <v>0</v>
      </c>
      <c r="W331" s="300">
        <f t="shared" si="149"/>
        <v>0</v>
      </c>
      <c r="X331" s="300">
        <f t="shared" si="150"/>
        <v>0</v>
      </c>
      <c r="Y331" s="300">
        <f t="shared" si="151"/>
        <v>0</v>
      </c>
      <c r="Z331" s="300">
        <f t="shared" si="152"/>
        <v>0</v>
      </c>
      <c r="AA331" s="295"/>
      <c r="AB331" s="295"/>
      <c r="AC331" s="298">
        <f>'Unit Savings Calculations'!N327</f>
        <v>102.33405</v>
      </c>
      <c r="AD331" s="295"/>
      <c r="AE331" s="300">
        <f t="shared" si="161"/>
        <v>0</v>
      </c>
      <c r="AF331" s="297">
        <f t="shared" si="162"/>
        <v>0</v>
      </c>
      <c r="AG331" s="295"/>
      <c r="AH331" s="295">
        <f t="shared" si="163"/>
        <v>0</v>
      </c>
      <c r="AI331" s="298">
        <f>'Unit Savings Calculations'!O327</f>
        <v>102.33405</v>
      </c>
      <c r="AJ331" s="405" t="s">
        <v>879</v>
      </c>
      <c r="AK331" s="300">
        <f t="shared" si="164"/>
        <v>0</v>
      </c>
      <c r="AL331" s="297">
        <f t="shared" si="165"/>
        <v>0</v>
      </c>
      <c r="AM331" s="295"/>
      <c r="AN331" s="295"/>
      <c r="AO331" s="298">
        <f>'Unit Savings Calculations'!P327</f>
        <v>102.33405</v>
      </c>
      <c r="AP331" s="405" t="s">
        <v>1429</v>
      </c>
      <c r="AQ331" s="300">
        <f t="shared" si="166"/>
        <v>0</v>
      </c>
      <c r="AR331" s="297">
        <f t="shared" si="167"/>
        <v>0</v>
      </c>
      <c r="AS331" s="295"/>
      <c r="AT331" s="295"/>
      <c r="AU331" s="298">
        <f>'Unit Savings Calculations'!Q327</f>
        <v>102.33405</v>
      </c>
      <c r="AV331" s="405" t="str">
        <f t="shared" si="154"/>
        <v>Updated base and EE flow rates</v>
      </c>
      <c r="AW331" s="300">
        <f t="shared" si="168"/>
        <v>0</v>
      </c>
      <c r="AX331" s="297">
        <f t="shared" si="169"/>
        <v>0</v>
      </c>
      <c r="AY331" s="300">
        <f t="shared" si="155"/>
        <v>0</v>
      </c>
      <c r="AZ331" s="300">
        <f t="shared" si="156"/>
        <v>0</v>
      </c>
      <c r="BA331" s="300">
        <f t="shared" si="157"/>
        <v>0</v>
      </c>
      <c r="BB331" s="300">
        <f t="shared" si="158"/>
        <v>0</v>
      </c>
      <c r="BC331" s="301">
        <f t="shared" si="159"/>
        <v>0</v>
      </c>
      <c r="BD331" s="295" t="s">
        <v>764</v>
      </c>
      <c r="BE331" s="302" t="str">
        <f t="shared" si="160"/>
        <v>Exhibit 1.5A_R North Shore EEPS_Adjustable_Savings_Goal_Template.xlsx, Unit Savings Calculations Tab</v>
      </c>
      <c r="BF331" s="304"/>
    </row>
    <row r="332" spans="1:58" ht="15.75" customHeight="1">
      <c r="A332" s="295" t="str">
        <f>'Unit Savings Calculations'!C328</f>
        <v>Bus - Public Rebates</v>
      </c>
      <c r="B332" s="295" t="str">
        <f>'Unit Savings Calculations'!D328</f>
        <v>Steam Boiler ≥82% AFUE, &gt;300MBh TE</v>
      </c>
      <c r="C332" s="296">
        <f t="shared" si="147"/>
        <v>1</v>
      </c>
      <c r="D332" s="295" t="str">
        <f>'Unit Savings Calculations'!T328</f>
        <v>4.4.10</v>
      </c>
      <c r="E332" s="460">
        <f>INDEX('Unit Savings Calculations'!$H$4:$H$421,MATCH('Measure-Level Adjustments Tab'!$A332&amp;"_"&amp;'Measure-Level Adjustments Tab'!$B332,'Unit Savings Calculations'!$A$4:$A$421,0))</f>
        <v>20</v>
      </c>
      <c r="F332" s="460">
        <f>INDEX('Unit Savings Calculations'!$I$4:$I$421,MATCH('Measure-Level Adjustments Tab'!A332&amp;"_"&amp;'Measure-Level Adjustments Tab'!B332,'Unit Savings Calculations'!$A$4:$A$421,0))</f>
        <v>20</v>
      </c>
      <c r="G332" s="295" t="str">
        <f>'Unit Savings Calculations'!E328</f>
        <v>MBH</v>
      </c>
      <c r="H332" s="297">
        <f>'Unit Savings Calculations'!$F328*'Unit Savings Calculations'!J328</f>
        <v>7000</v>
      </c>
      <c r="I332" s="297">
        <f>'Unit Savings Calculations'!$F328*'Unit Savings Calculations'!K328</f>
        <v>7000</v>
      </c>
      <c r="J332" s="297">
        <f>'Unit Savings Calculations'!$F328*'Unit Savings Calculations'!L328</f>
        <v>7000</v>
      </c>
      <c r="K332" s="297">
        <f>'Unit Savings Calculations'!$F328*'Unit Savings Calculations'!M328</f>
        <v>7000</v>
      </c>
      <c r="L332" s="295" t="str">
        <f>'Unit Savings Calculations'!U328</f>
        <v>CI-HVC-BOIL-V05-150601</v>
      </c>
      <c r="M332" s="405" t="str">
        <f>'Unit Savings Calculations'!R328</f>
        <v>Exhibit 1.5A_R North Shore EEPS_Adjustable_Savings_Goal_Template.xlsx, Unit Savings Calculations Tab</v>
      </c>
      <c r="N332" s="298">
        <v>0.58443037974683376</v>
      </c>
      <c r="O332" s="298">
        <v>0.58443037974683376</v>
      </c>
      <c r="P332" s="298">
        <v>0.58443037974683376</v>
      </c>
      <c r="Q332" s="298">
        <v>0.58443037974683376</v>
      </c>
      <c r="R332" s="299">
        <f>'Unit Savings Calculations'!$G328</f>
        <v>0.79</v>
      </c>
      <c r="S332" s="299">
        <f>'Unit Savings Calculations'!$G328</f>
        <v>0.79</v>
      </c>
      <c r="T332" s="299">
        <f>'Unit Savings Calculations'!$G328</f>
        <v>0.79</v>
      </c>
      <c r="U332" s="299">
        <f>'Unit Savings Calculations'!$G328</f>
        <v>0.79</v>
      </c>
      <c r="V332" s="300">
        <f t="shared" si="148"/>
        <v>3231.899999999991</v>
      </c>
      <c r="W332" s="300">
        <f t="shared" si="149"/>
        <v>3231.899999999991</v>
      </c>
      <c r="X332" s="300">
        <f t="shared" si="150"/>
        <v>3231.899999999991</v>
      </c>
      <c r="Y332" s="300">
        <f t="shared" si="151"/>
        <v>3231.899999999991</v>
      </c>
      <c r="Z332" s="300">
        <f t="shared" si="152"/>
        <v>12927.599999999964</v>
      </c>
      <c r="AA332" s="295"/>
      <c r="AB332" s="295"/>
      <c r="AC332" s="298">
        <f>'Unit Savings Calculations'!N328</f>
        <v>0.63721518987341585</v>
      </c>
      <c r="AD332" s="295"/>
      <c r="AE332" s="300">
        <f t="shared" si="161"/>
        <v>3523.7999999999902</v>
      </c>
      <c r="AF332" s="297">
        <f t="shared" si="162"/>
        <v>291.89999999999918</v>
      </c>
      <c r="AG332" s="295"/>
      <c r="AH332" s="295">
        <f t="shared" si="163"/>
        <v>0</v>
      </c>
      <c r="AI332" s="298">
        <f>'Unit Savings Calculations'!O328</f>
        <v>0.63721518987341585</v>
      </c>
      <c r="AJ332" s="405" t="s">
        <v>879</v>
      </c>
      <c r="AK332" s="300">
        <f t="shared" si="164"/>
        <v>3523.7999999999902</v>
      </c>
      <c r="AL332" s="297">
        <f t="shared" si="165"/>
        <v>291.89999999999918</v>
      </c>
      <c r="AM332" s="295"/>
      <c r="AN332" s="295"/>
      <c r="AO332" s="298">
        <f>'Unit Savings Calculations'!P328</f>
        <v>0.63721518987341585</v>
      </c>
      <c r="AP332" s="405" t="s">
        <v>1443</v>
      </c>
      <c r="AQ332" s="300">
        <f t="shared" si="166"/>
        <v>3523.7999999999902</v>
      </c>
      <c r="AR332" s="297">
        <f t="shared" si="167"/>
        <v>291.89999999999918</v>
      </c>
      <c r="AS332" s="295"/>
      <c r="AT332" s="295"/>
      <c r="AU332" s="298">
        <f>'Unit Savings Calculations'!Q328</f>
        <v>0.63721518987341585</v>
      </c>
      <c r="AV332" s="405" t="str">
        <f t="shared" si="154"/>
        <v>Updated heating EFLH</v>
      </c>
      <c r="AW332" s="300">
        <f t="shared" si="168"/>
        <v>3523.7999999999902</v>
      </c>
      <c r="AX332" s="297">
        <f t="shared" si="169"/>
        <v>291.89999999999918</v>
      </c>
      <c r="AY332" s="300">
        <f t="shared" si="155"/>
        <v>3523.7999999999902</v>
      </c>
      <c r="AZ332" s="300">
        <f t="shared" si="156"/>
        <v>3523.7999999999902</v>
      </c>
      <c r="BA332" s="300">
        <f t="shared" si="157"/>
        <v>3523.7999999999902</v>
      </c>
      <c r="BB332" s="300">
        <f t="shared" si="158"/>
        <v>3523.7999999999902</v>
      </c>
      <c r="BC332" s="301">
        <f t="shared" si="159"/>
        <v>14095.199999999961</v>
      </c>
      <c r="BD332" s="295" t="s">
        <v>764</v>
      </c>
      <c r="BE332" s="302" t="str">
        <f t="shared" si="160"/>
        <v>Exhibit 1.5A_R North Shore EEPS_Adjustable_Savings_Goal_Template.xlsx, Unit Savings Calculations Tab</v>
      </c>
      <c r="BF332" s="304"/>
    </row>
    <row r="333" spans="1:58" ht="15.75" customHeight="1">
      <c r="A333" s="295" t="str">
        <f>'Unit Savings Calculations'!C329</f>
        <v>Bus - Public Rebates</v>
      </c>
      <c r="B333" s="295" t="str">
        <f>'Unit Savings Calculations'!D329</f>
        <v>Steam Traps - Dry Cleaner/Industrial</v>
      </c>
      <c r="C333" s="296">
        <f t="shared" si="147"/>
        <v>1</v>
      </c>
      <c r="D333" s="295" t="str">
        <f>'Unit Savings Calculations'!T329</f>
        <v>4.4.16</v>
      </c>
      <c r="E333" s="460">
        <f>INDEX('Unit Savings Calculations'!$H$4:$H$421,MATCH('Measure-Level Adjustments Tab'!$A333&amp;"_"&amp;'Measure-Level Adjustments Tab'!$B333,'Unit Savings Calculations'!$A$4:$A$421,0))</f>
        <v>6</v>
      </c>
      <c r="F333" s="460">
        <f>INDEX('Unit Savings Calculations'!$I$4:$I$421,MATCH('Measure-Level Adjustments Tab'!A333&amp;"_"&amp;'Measure-Level Adjustments Tab'!B333,'Unit Savings Calculations'!$A$4:$A$421,0))</f>
        <v>6</v>
      </c>
      <c r="G333" s="295" t="str">
        <f>'Unit Savings Calculations'!E329</f>
        <v>each</v>
      </c>
      <c r="H333" s="297">
        <f>'Unit Savings Calculations'!$F329*'Unit Savings Calculations'!J329</f>
        <v>61</v>
      </c>
      <c r="I333" s="297">
        <f>'Unit Savings Calculations'!$F329*'Unit Savings Calculations'!K329</f>
        <v>61</v>
      </c>
      <c r="J333" s="297">
        <f>'Unit Savings Calculations'!$F329*'Unit Savings Calculations'!L329</f>
        <v>61</v>
      </c>
      <c r="K333" s="297">
        <f>'Unit Savings Calculations'!$F329*'Unit Savings Calculations'!M329</f>
        <v>61</v>
      </c>
      <c r="L333" s="295" t="str">
        <f>'Unit Savings Calculations'!U329</f>
        <v>CI-HVC-STRE-V05-180101</v>
      </c>
      <c r="M333" s="405" t="str">
        <f>'Unit Savings Calculations'!R329</f>
        <v>Exhibit 1.5A_R North Shore EEPS_Adjustable_Savings_Goal_Template.xlsx, Unit Savings Calculations Tab</v>
      </c>
      <c r="N333" s="298">
        <v>137.91939591078068</v>
      </c>
      <c r="O333" s="298">
        <v>137.91939591078068</v>
      </c>
      <c r="P333" s="298">
        <v>137.91939591078068</v>
      </c>
      <c r="Q333" s="298">
        <v>137.91939591078068</v>
      </c>
      <c r="R333" s="299">
        <f>'Unit Savings Calculations'!$G329</f>
        <v>0.79</v>
      </c>
      <c r="S333" s="299">
        <f>'Unit Savings Calculations'!$G329</f>
        <v>0.79</v>
      </c>
      <c r="T333" s="299">
        <f>'Unit Savings Calculations'!$G329</f>
        <v>0.79</v>
      </c>
      <c r="U333" s="299">
        <f>'Unit Savings Calculations'!$G329</f>
        <v>0.79</v>
      </c>
      <c r="V333" s="300">
        <f t="shared" si="148"/>
        <v>6646.3356889405204</v>
      </c>
      <c r="W333" s="300">
        <f t="shared" si="149"/>
        <v>6646.3356889405204</v>
      </c>
      <c r="X333" s="300">
        <f t="shared" si="150"/>
        <v>6646.3356889405204</v>
      </c>
      <c r="Y333" s="300">
        <f t="shared" si="151"/>
        <v>6646.3356889405204</v>
      </c>
      <c r="Z333" s="300">
        <f t="shared" si="152"/>
        <v>26585.342755762082</v>
      </c>
      <c r="AA333" s="295"/>
      <c r="AB333" s="295"/>
      <c r="AC333" s="298">
        <f>'Unit Savings Calculations'!N329</f>
        <v>137.91939591078068</v>
      </c>
      <c r="AD333" s="295"/>
      <c r="AE333" s="300">
        <f t="shared" si="161"/>
        <v>6646.3356889405204</v>
      </c>
      <c r="AF333" s="297">
        <f t="shared" si="162"/>
        <v>0</v>
      </c>
      <c r="AG333" s="295"/>
      <c r="AH333" s="295">
        <f t="shared" si="163"/>
        <v>0</v>
      </c>
      <c r="AI333" s="298">
        <f>'Unit Savings Calculations'!O329</f>
        <v>137.91939591078068</v>
      </c>
      <c r="AJ333" s="405" t="s">
        <v>879</v>
      </c>
      <c r="AK333" s="300">
        <f t="shared" si="164"/>
        <v>6646.3356889405204</v>
      </c>
      <c r="AL333" s="297">
        <f t="shared" si="165"/>
        <v>0</v>
      </c>
      <c r="AM333" s="295"/>
      <c r="AN333" s="295"/>
      <c r="AO333" s="298">
        <f>'Unit Savings Calculations'!P329</f>
        <v>137.91939591078068</v>
      </c>
      <c r="AP333" s="405" t="s">
        <v>764</v>
      </c>
      <c r="AQ333" s="300">
        <f t="shared" si="166"/>
        <v>6646.3356889405204</v>
      </c>
      <c r="AR333" s="297">
        <f t="shared" si="167"/>
        <v>0</v>
      </c>
      <c r="AS333" s="295"/>
      <c r="AT333" s="295"/>
      <c r="AU333" s="298">
        <f>'Unit Savings Calculations'!Q329</f>
        <v>137.91939591078068</v>
      </c>
      <c r="AV333" s="405" t="str">
        <f t="shared" si="154"/>
        <v>n/a</v>
      </c>
      <c r="AW333" s="300">
        <f t="shared" si="168"/>
        <v>6646.3356889405204</v>
      </c>
      <c r="AX333" s="297">
        <f t="shared" si="169"/>
        <v>0</v>
      </c>
      <c r="AY333" s="300">
        <f t="shared" si="155"/>
        <v>6646.3356889405204</v>
      </c>
      <c r="AZ333" s="300">
        <f t="shared" si="156"/>
        <v>6646.3356889405204</v>
      </c>
      <c r="BA333" s="300">
        <f t="shared" si="157"/>
        <v>6646.3356889405204</v>
      </c>
      <c r="BB333" s="300">
        <f t="shared" si="158"/>
        <v>6646.3356889405204</v>
      </c>
      <c r="BC333" s="301">
        <f t="shared" si="159"/>
        <v>26585.342755762082</v>
      </c>
      <c r="BD333" s="295" t="s">
        <v>764</v>
      </c>
      <c r="BE333" s="302" t="str">
        <f t="shared" si="160"/>
        <v>Exhibit 1.5A_R North Shore EEPS_Adjustable_Savings_Goal_Template.xlsx, Unit Savings Calculations Tab</v>
      </c>
      <c r="BF333" s="304"/>
    </row>
    <row r="334" spans="1:58" ht="15.75" customHeight="1">
      <c r="A334" s="295" t="str">
        <f>'Unit Savings Calculations'!C330</f>
        <v>Bus - Public Rebates</v>
      </c>
      <c r="B334" s="295" t="str">
        <f>'Unit Savings Calculations'!D330</f>
        <v>Steam Traps - HVAC Repair/Rep - Audit</v>
      </c>
      <c r="C334" s="296">
        <f t="shared" si="147"/>
        <v>1</v>
      </c>
      <c r="D334" s="295" t="str">
        <f>'Unit Savings Calculations'!T330</f>
        <v>4.4.16</v>
      </c>
      <c r="E334" s="460">
        <f>INDEX('Unit Savings Calculations'!$H$4:$H$421,MATCH('Measure-Level Adjustments Tab'!$A334&amp;"_"&amp;'Measure-Level Adjustments Tab'!$B334,'Unit Savings Calculations'!$A$4:$A$421,0))</f>
        <v>6</v>
      </c>
      <c r="F334" s="460">
        <f>INDEX('Unit Savings Calculations'!$I$4:$I$421,MATCH('Measure-Level Adjustments Tab'!A334&amp;"_"&amp;'Measure-Level Adjustments Tab'!B334,'Unit Savings Calculations'!$A$4:$A$421,0))</f>
        <v>6</v>
      </c>
      <c r="G334" s="295" t="str">
        <f>'Unit Savings Calculations'!E330</f>
        <v>each</v>
      </c>
      <c r="H334" s="297">
        <f>'Unit Savings Calculations'!$F330*'Unit Savings Calculations'!J330</f>
        <v>61</v>
      </c>
      <c r="I334" s="297">
        <f>'Unit Savings Calculations'!$F330*'Unit Savings Calculations'!K330</f>
        <v>61</v>
      </c>
      <c r="J334" s="297">
        <f>'Unit Savings Calculations'!$F330*'Unit Savings Calculations'!L330</f>
        <v>61</v>
      </c>
      <c r="K334" s="297">
        <f>'Unit Savings Calculations'!$F330*'Unit Savings Calculations'!M330</f>
        <v>61</v>
      </c>
      <c r="L334" s="295" t="str">
        <f>'Unit Savings Calculations'!U330</f>
        <v>CI-HVC-STRE-V05-180101</v>
      </c>
      <c r="M334" s="405" t="str">
        <f>'Unit Savings Calculations'!R330</f>
        <v>Exhibit 1.5A_R North Shore EEPS_Adjustable_Savings_Goal_Template.xlsx, Unit Savings Calculations Tab</v>
      </c>
      <c r="N334" s="298">
        <v>88.453924126394057</v>
      </c>
      <c r="O334" s="298">
        <v>88.453924126394057</v>
      </c>
      <c r="P334" s="298">
        <v>88.453924126394057</v>
      </c>
      <c r="Q334" s="298">
        <v>88.453924126394057</v>
      </c>
      <c r="R334" s="299">
        <f>'Unit Savings Calculations'!$G330</f>
        <v>0.79</v>
      </c>
      <c r="S334" s="299">
        <f>'Unit Savings Calculations'!$G330</f>
        <v>0.79</v>
      </c>
      <c r="T334" s="299">
        <f>'Unit Savings Calculations'!$G330</f>
        <v>0.79</v>
      </c>
      <c r="U334" s="299">
        <f>'Unit Savings Calculations'!$G330</f>
        <v>0.79</v>
      </c>
      <c r="V334" s="300">
        <f t="shared" si="148"/>
        <v>4262.5946036509295</v>
      </c>
      <c r="W334" s="300">
        <f t="shared" si="149"/>
        <v>4262.5946036509295</v>
      </c>
      <c r="X334" s="300">
        <f t="shared" si="150"/>
        <v>4262.5946036509295</v>
      </c>
      <c r="Y334" s="300">
        <f t="shared" si="151"/>
        <v>4262.5946036509295</v>
      </c>
      <c r="Z334" s="300">
        <f t="shared" si="152"/>
        <v>17050.378414603718</v>
      </c>
      <c r="AA334" s="295"/>
      <c r="AB334" s="295"/>
      <c r="AC334" s="298">
        <f>'Unit Savings Calculations'!N330</f>
        <v>88.453924126394057</v>
      </c>
      <c r="AD334" s="295"/>
      <c r="AE334" s="300">
        <f t="shared" si="161"/>
        <v>4262.5946036509295</v>
      </c>
      <c r="AF334" s="297">
        <f t="shared" si="162"/>
        <v>0</v>
      </c>
      <c r="AG334" s="295"/>
      <c r="AH334" s="295">
        <f t="shared" si="163"/>
        <v>0</v>
      </c>
      <c r="AI334" s="298">
        <f>'Unit Savings Calculations'!O330</f>
        <v>88.453924126394057</v>
      </c>
      <c r="AJ334" s="405" t="s">
        <v>879</v>
      </c>
      <c r="AK334" s="300">
        <f t="shared" si="164"/>
        <v>4262.5946036509295</v>
      </c>
      <c r="AL334" s="297">
        <f t="shared" si="165"/>
        <v>0</v>
      </c>
      <c r="AM334" s="295"/>
      <c r="AN334" s="295"/>
      <c r="AO334" s="298">
        <f>'Unit Savings Calculations'!P330</f>
        <v>88.453924126394057</v>
      </c>
      <c r="AP334" s="405" t="s">
        <v>764</v>
      </c>
      <c r="AQ334" s="300">
        <f t="shared" si="166"/>
        <v>4262.5946036509295</v>
      </c>
      <c r="AR334" s="297">
        <f t="shared" si="167"/>
        <v>0</v>
      </c>
      <c r="AS334" s="295"/>
      <c r="AT334" s="295"/>
      <c r="AU334" s="298">
        <f>'Unit Savings Calculations'!Q330</f>
        <v>88.453924126394057</v>
      </c>
      <c r="AV334" s="405" t="str">
        <f t="shared" si="154"/>
        <v>n/a</v>
      </c>
      <c r="AW334" s="300">
        <f t="shared" si="168"/>
        <v>4262.5946036509295</v>
      </c>
      <c r="AX334" s="297">
        <f t="shared" si="169"/>
        <v>0</v>
      </c>
      <c r="AY334" s="300">
        <f t="shared" si="155"/>
        <v>4262.5946036509295</v>
      </c>
      <c r="AZ334" s="300">
        <f t="shared" si="156"/>
        <v>4262.5946036509295</v>
      </c>
      <c r="BA334" s="300">
        <f t="shared" si="157"/>
        <v>4262.5946036509295</v>
      </c>
      <c r="BB334" s="300">
        <f t="shared" si="158"/>
        <v>4262.5946036509295</v>
      </c>
      <c r="BC334" s="301">
        <f t="shared" si="159"/>
        <v>17050.378414603718</v>
      </c>
      <c r="BD334" s="295" t="s">
        <v>764</v>
      </c>
      <c r="BE334" s="302" t="str">
        <f t="shared" si="160"/>
        <v>Exhibit 1.5A_R North Shore EEPS_Adjustable_Savings_Goal_Template.xlsx, Unit Savings Calculations Tab</v>
      </c>
      <c r="BF334" s="304"/>
    </row>
    <row r="335" spans="1:58" ht="15.75" customHeight="1">
      <c r="A335" s="295" t="str">
        <f>'Unit Savings Calculations'!C331</f>
        <v>Bus - Public Rebates</v>
      </c>
      <c r="B335" s="295" t="str">
        <f>'Unit Savings Calculations'!D331</f>
        <v>Steam Traps - HVAC Repair/Rep - No Audit</v>
      </c>
      <c r="C335" s="296">
        <f t="shared" si="147"/>
        <v>1</v>
      </c>
      <c r="D335" s="295" t="str">
        <f>'Unit Savings Calculations'!T331</f>
        <v>4.4.16</v>
      </c>
      <c r="E335" s="460">
        <f>INDEX('Unit Savings Calculations'!$H$4:$H$421,MATCH('Measure-Level Adjustments Tab'!$A335&amp;"_"&amp;'Measure-Level Adjustments Tab'!$B335,'Unit Savings Calculations'!$A$4:$A$421,0))</f>
        <v>6</v>
      </c>
      <c r="F335" s="460">
        <f>INDEX('Unit Savings Calculations'!$I$4:$I$421,MATCH('Measure-Level Adjustments Tab'!A335&amp;"_"&amp;'Measure-Level Adjustments Tab'!B335,'Unit Savings Calculations'!$A$4:$A$421,0))</f>
        <v>6</v>
      </c>
      <c r="G335" s="295" t="str">
        <f>'Unit Savings Calculations'!E331</f>
        <v>each</v>
      </c>
      <c r="H335" s="297">
        <f>'Unit Savings Calculations'!$F331*'Unit Savings Calculations'!J331</f>
        <v>19</v>
      </c>
      <c r="I335" s="297">
        <f>'Unit Savings Calculations'!$F331*'Unit Savings Calculations'!K331</f>
        <v>19</v>
      </c>
      <c r="J335" s="297">
        <f>'Unit Savings Calculations'!$F331*'Unit Savings Calculations'!L331</f>
        <v>19</v>
      </c>
      <c r="K335" s="297">
        <f>'Unit Savings Calculations'!$F331*'Unit Savings Calculations'!M331</f>
        <v>19</v>
      </c>
      <c r="L335" s="295" t="str">
        <f>'Unit Savings Calculations'!U331</f>
        <v>CI-HVC-STRE-V05-180101</v>
      </c>
      <c r="M335" s="405" t="str">
        <f>'Unit Savings Calculations'!R331</f>
        <v>Exhibit 1.5A_R North Shore EEPS_Adjustable_Savings_Goal_Template.xlsx, Unit Savings Calculations Tab</v>
      </c>
      <c r="N335" s="298">
        <v>88.453924126394057</v>
      </c>
      <c r="O335" s="298">
        <v>88.453924126394057</v>
      </c>
      <c r="P335" s="298">
        <v>88.453924126394057</v>
      </c>
      <c r="Q335" s="298">
        <v>88.453924126394057</v>
      </c>
      <c r="R335" s="299">
        <f>'Unit Savings Calculations'!$G331</f>
        <v>0.79</v>
      </c>
      <c r="S335" s="299">
        <f>'Unit Savings Calculations'!$G331</f>
        <v>0.79</v>
      </c>
      <c r="T335" s="299">
        <f>'Unit Savings Calculations'!$G331</f>
        <v>0.79</v>
      </c>
      <c r="U335" s="299">
        <f>'Unit Savings Calculations'!$G331</f>
        <v>0.79</v>
      </c>
      <c r="V335" s="300">
        <f t="shared" si="148"/>
        <v>1327.6934011371748</v>
      </c>
      <c r="W335" s="300">
        <f t="shared" si="149"/>
        <v>1327.6934011371748</v>
      </c>
      <c r="X335" s="300">
        <f t="shared" si="150"/>
        <v>1327.6934011371748</v>
      </c>
      <c r="Y335" s="300">
        <f t="shared" si="151"/>
        <v>1327.6934011371748</v>
      </c>
      <c r="Z335" s="300">
        <f t="shared" si="152"/>
        <v>5310.773604548699</v>
      </c>
      <c r="AA335" s="295"/>
      <c r="AB335" s="295"/>
      <c r="AC335" s="298">
        <f>'Unit Savings Calculations'!N331</f>
        <v>88.453924126394057</v>
      </c>
      <c r="AD335" s="295"/>
      <c r="AE335" s="300">
        <f t="shared" si="161"/>
        <v>1327.6934011371748</v>
      </c>
      <c r="AF335" s="297">
        <f t="shared" si="162"/>
        <v>0</v>
      </c>
      <c r="AG335" s="295"/>
      <c r="AH335" s="295">
        <f t="shared" si="163"/>
        <v>0</v>
      </c>
      <c r="AI335" s="298">
        <f>'Unit Savings Calculations'!O331</f>
        <v>88.453924126394057</v>
      </c>
      <c r="AJ335" s="405" t="s">
        <v>879</v>
      </c>
      <c r="AK335" s="300">
        <f t="shared" si="164"/>
        <v>1327.6934011371748</v>
      </c>
      <c r="AL335" s="297">
        <f t="shared" si="165"/>
        <v>0</v>
      </c>
      <c r="AM335" s="295"/>
      <c r="AN335" s="295"/>
      <c r="AO335" s="298">
        <f>'Unit Savings Calculations'!P331</f>
        <v>88.453924126394057</v>
      </c>
      <c r="AP335" s="405" t="s">
        <v>764</v>
      </c>
      <c r="AQ335" s="300">
        <f t="shared" si="166"/>
        <v>1327.6934011371748</v>
      </c>
      <c r="AR335" s="297">
        <f t="shared" si="167"/>
        <v>0</v>
      </c>
      <c r="AS335" s="295"/>
      <c r="AT335" s="295"/>
      <c r="AU335" s="298">
        <f>'Unit Savings Calculations'!Q331</f>
        <v>88.453924126394057</v>
      </c>
      <c r="AV335" s="405" t="str">
        <f t="shared" si="154"/>
        <v>n/a</v>
      </c>
      <c r="AW335" s="300">
        <f t="shared" si="168"/>
        <v>1327.6934011371748</v>
      </c>
      <c r="AX335" s="297">
        <f t="shared" si="169"/>
        <v>0</v>
      </c>
      <c r="AY335" s="300">
        <f t="shared" si="155"/>
        <v>1327.6934011371748</v>
      </c>
      <c r="AZ335" s="300">
        <f t="shared" si="156"/>
        <v>1327.6934011371748</v>
      </c>
      <c r="BA335" s="300">
        <f t="shared" si="157"/>
        <v>1327.6934011371748</v>
      </c>
      <c r="BB335" s="300">
        <f t="shared" si="158"/>
        <v>1327.6934011371748</v>
      </c>
      <c r="BC335" s="301">
        <f t="shared" si="159"/>
        <v>5310.773604548699</v>
      </c>
      <c r="BD335" s="295" t="s">
        <v>764</v>
      </c>
      <c r="BE335" s="302" t="str">
        <f t="shared" si="160"/>
        <v>Exhibit 1.5A_R North Shore EEPS_Adjustable_Savings_Goal_Template.xlsx, Unit Savings Calculations Tab</v>
      </c>
      <c r="BF335" s="304"/>
    </row>
    <row r="336" spans="1:58" ht="15.75" customHeight="1">
      <c r="A336" s="295" t="str">
        <f>'Unit Savings Calculations'!C332</f>
        <v>Bus - Public Rebates</v>
      </c>
      <c r="B336" s="295" t="str">
        <f>'Unit Savings Calculations'!D332</f>
        <v>Steam Traps - Test</v>
      </c>
      <c r="C336" s="296">
        <f t="shared" si="147"/>
        <v>0</v>
      </c>
      <c r="D336" s="295" t="str">
        <f>'Unit Savings Calculations'!T332</f>
        <v>Custom</v>
      </c>
      <c r="E336" s="460">
        <f>INDEX('Unit Savings Calculations'!$H$4:$H$421,MATCH('Measure-Level Adjustments Tab'!$A336&amp;"_"&amp;'Measure-Level Adjustments Tab'!$B336,'Unit Savings Calculations'!$A$4:$A$421,0))</f>
        <v>3</v>
      </c>
      <c r="F336" s="460">
        <f>INDEX('Unit Savings Calculations'!$I$4:$I$421,MATCH('Measure-Level Adjustments Tab'!A336&amp;"_"&amp;'Measure-Level Adjustments Tab'!B336,'Unit Savings Calculations'!$A$4:$A$421,0))</f>
        <v>3</v>
      </c>
      <c r="G336" s="295" t="str">
        <f>'Unit Savings Calculations'!E332</f>
        <v>each</v>
      </c>
      <c r="H336" s="297">
        <f>'Unit Savings Calculations'!$F332*'Unit Savings Calculations'!J332</f>
        <v>19</v>
      </c>
      <c r="I336" s="297">
        <f>'Unit Savings Calculations'!$F332*'Unit Savings Calculations'!K332</f>
        <v>19</v>
      </c>
      <c r="J336" s="297">
        <f>'Unit Savings Calculations'!$F332*'Unit Savings Calculations'!L332</f>
        <v>19</v>
      </c>
      <c r="K336" s="297">
        <f>'Unit Savings Calculations'!$F332*'Unit Savings Calculations'!M332</f>
        <v>19</v>
      </c>
      <c r="L336" s="295" t="str">
        <f>'Unit Savings Calculations'!U332</f>
        <v>Custom</v>
      </c>
      <c r="M336" s="405" t="str">
        <f>'Unit Savings Calculations'!R332</f>
        <v>Custom</v>
      </c>
      <c r="N336" s="298">
        <v>0</v>
      </c>
      <c r="O336" s="298">
        <v>0</v>
      </c>
      <c r="P336" s="298">
        <v>0</v>
      </c>
      <c r="Q336" s="298">
        <v>0</v>
      </c>
      <c r="R336" s="299">
        <f>'Unit Savings Calculations'!$G332</f>
        <v>0.79</v>
      </c>
      <c r="S336" s="299">
        <f>'Unit Savings Calculations'!$G332</f>
        <v>0.79</v>
      </c>
      <c r="T336" s="299">
        <f>'Unit Savings Calculations'!$G332</f>
        <v>0.79</v>
      </c>
      <c r="U336" s="299">
        <f>'Unit Savings Calculations'!$G332</f>
        <v>0.79</v>
      </c>
      <c r="V336" s="300">
        <f t="shared" si="148"/>
        <v>0</v>
      </c>
      <c r="W336" s="300">
        <f t="shared" si="149"/>
        <v>0</v>
      </c>
      <c r="X336" s="300">
        <f t="shared" si="150"/>
        <v>0</v>
      </c>
      <c r="Y336" s="300">
        <f t="shared" si="151"/>
        <v>0</v>
      </c>
      <c r="Z336" s="300">
        <f t="shared" si="152"/>
        <v>0</v>
      </c>
      <c r="AA336" s="406"/>
      <c r="AB336" s="406"/>
      <c r="AC336" s="409">
        <f>'Unit Savings Calculations'!N332</f>
        <v>0</v>
      </c>
      <c r="AD336" s="406"/>
      <c r="AE336" s="407">
        <f t="shared" si="161"/>
        <v>0</v>
      </c>
      <c r="AF336" s="408">
        <f t="shared" si="162"/>
        <v>0</v>
      </c>
      <c r="AG336" s="406"/>
      <c r="AH336" s="406">
        <f t="shared" si="163"/>
        <v>0</v>
      </c>
      <c r="AI336" s="409">
        <f>'Unit Savings Calculations'!O332</f>
        <v>0</v>
      </c>
      <c r="AJ336" s="457" t="s">
        <v>879</v>
      </c>
      <c r="AK336" s="407">
        <f t="shared" si="164"/>
        <v>0</v>
      </c>
      <c r="AL336" s="408">
        <f t="shared" si="165"/>
        <v>0</v>
      </c>
      <c r="AM336" s="406"/>
      <c r="AN336" s="406"/>
      <c r="AO336" s="409">
        <f>'Unit Savings Calculations'!P332</f>
        <v>0</v>
      </c>
      <c r="AP336" s="457" t="s">
        <v>764</v>
      </c>
      <c r="AQ336" s="407">
        <f t="shared" si="166"/>
        <v>0</v>
      </c>
      <c r="AR336" s="408">
        <f t="shared" si="167"/>
        <v>0</v>
      </c>
      <c r="AS336" s="406"/>
      <c r="AT336" s="406"/>
      <c r="AU336" s="409">
        <f>'Unit Savings Calculations'!Q332</f>
        <v>0</v>
      </c>
      <c r="AV336" s="457" t="str">
        <f t="shared" si="154"/>
        <v>n/a</v>
      </c>
      <c r="AW336" s="407">
        <f t="shared" si="168"/>
        <v>0</v>
      </c>
      <c r="AX336" s="408">
        <f t="shared" si="169"/>
        <v>0</v>
      </c>
      <c r="AY336" s="300">
        <f t="shared" si="155"/>
        <v>0</v>
      </c>
      <c r="AZ336" s="300">
        <f t="shared" si="156"/>
        <v>0</v>
      </c>
      <c r="BA336" s="300">
        <f t="shared" si="157"/>
        <v>0</v>
      </c>
      <c r="BB336" s="300">
        <f t="shared" si="158"/>
        <v>0</v>
      </c>
      <c r="BC336" s="301">
        <f t="shared" si="159"/>
        <v>0</v>
      </c>
      <c r="BD336" s="295" t="s">
        <v>764</v>
      </c>
      <c r="BE336" s="302" t="str">
        <f t="shared" si="160"/>
        <v>Custom</v>
      </c>
      <c r="BF336" s="304"/>
    </row>
    <row r="337" spans="1:58" ht="15.75" customHeight="1">
      <c r="A337" s="295" t="str">
        <f>'Unit Savings Calculations'!C333</f>
        <v>Bus - Public Rebates</v>
      </c>
      <c r="B337" s="295" t="str">
        <f>'Unit Savings Calculations'!D333</f>
        <v>Thermostat - Programmable</v>
      </c>
      <c r="C337" s="296">
        <f t="shared" si="147"/>
        <v>1</v>
      </c>
      <c r="D337" s="295" t="str">
        <f>'Unit Savings Calculations'!T333</f>
        <v>4.4.18</v>
      </c>
      <c r="E337" s="460">
        <f>INDEX('Unit Savings Calculations'!$H$4:$H$421,MATCH('Measure-Level Adjustments Tab'!$A337&amp;"_"&amp;'Measure-Level Adjustments Tab'!$B337,'Unit Savings Calculations'!$A$4:$A$421,0))</f>
        <v>4</v>
      </c>
      <c r="F337" s="460">
        <f>INDEX('Unit Savings Calculations'!$I$4:$I$421,MATCH('Measure-Level Adjustments Tab'!A337&amp;"_"&amp;'Measure-Level Adjustments Tab'!B337,'Unit Savings Calculations'!$A$4:$A$421,0))</f>
        <v>4</v>
      </c>
      <c r="G337" s="295" t="str">
        <f>'Unit Savings Calculations'!E333</f>
        <v>each</v>
      </c>
      <c r="H337" s="297">
        <f>'Unit Savings Calculations'!$F333*'Unit Savings Calculations'!J333</f>
        <v>300</v>
      </c>
      <c r="I337" s="297">
        <f>'Unit Savings Calculations'!$F333*'Unit Savings Calculations'!K333</f>
        <v>300</v>
      </c>
      <c r="J337" s="297">
        <f>'Unit Savings Calculations'!$F333*'Unit Savings Calculations'!L333</f>
        <v>300</v>
      </c>
      <c r="K337" s="297">
        <f>'Unit Savings Calculations'!$F333*'Unit Savings Calculations'!M333</f>
        <v>300</v>
      </c>
      <c r="L337" s="295" t="str">
        <f>'Unit Savings Calculations'!U333</f>
        <v>CI-HVC-PROG-V02-150601</v>
      </c>
      <c r="M337" s="405" t="str">
        <f>'Unit Savings Calculations'!R333</f>
        <v>Exhibit 1.5A_R North Shore EEPS_Adjustable_Savings_Goal_Template.xlsx, Thermostat Detail Tab</v>
      </c>
      <c r="N337" s="298">
        <v>124.68584320000001</v>
      </c>
      <c r="O337" s="298">
        <v>124.68584320000001</v>
      </c>
      <c r="P337" s="298">
        <v>124.68584320000001</v>
      </c>
      <c r="Q337" s="298">
        <v>124.68584320000001</v>
      </c>
      <c r="R337" s="299">
        <f>'Unit Savings Calculations'!$G333</f>
        <v>0.79</v>
      </c>
      <c r="S337" s="299">
        <f>'Unit Savings Calculations'!$G333</f>
        <v>0.79</v>
      </c>
      <c r="T337" s="299">
        <f>'Unit Savings Calculations'!$G333</f>
        <v>0.79</v>
      </c>
      <c r="U337" s="299">
        <f>'Unit Savings Calculations'!$G333</f>
        <v>0.79</v>
      </c>
      <c r="V337" s="300">
        <f t="shared" si="148"/>
        <v>29550.544838400005</v>
      </c>
      <c r="W337" s="300">
        <f t="shared" si="149"/>
        <v>29550.544838400005</v>
      </c>
      <c r="X337" s="300">
        <f t="shared" si="150"/>
        <v>29550.544838400005</v>
      </c>
      <c r="Y337" s="300">
        <f t="shared" si="151"/>
        <v>29550.544838400005</v>
      </c>
      <c r="Z337" s="300">
        <f t="shared" si="152"/>
        <v>118202.17935360002</v>
      </c>
      <c r="AA337" s="295"/>
      <c r="AB337" s="295"/>
      <c r="AC337" s="298">
        <f>'Unit Savings Calculations'!N333</f>
        <v>124.68584320000001</v>
      </c>
      <c r="AD337" s="295"/>
      <c r="AE337" s="300">
        <f t="shared" si="161"/>
        <v>29550.544838400005</v>
      </c>
      <c r="AF337" s="297">
        <f t="shared" si="162"/>
        <v>0</v>
      </c>
      <c r="AG337" s="295"/>
      <c r="AH337" s="295">
        <f t="shared" si="163"/>
        <v>0</v>
      </c>
      <c r="AI337" s="298">
        <f>'Unit Savings Calculations'!O333</f>
        <v>124.68584320000001</v>
      </c>
      <c r="AJ337" s="405" t="s">
        <v>879</v>
      </c>
      <c r="AK337" s="300">
        <f t="shared" si="164"/>
        <v>29550.544838400005</v>
      </c>
      <c r="AL337" s="297">
        <f t="shared" si="165"/>
        <v>0</v>
      </c>
      <c r="AM337" s="295"/>
      <c r="AN337" s="295"/>
      <c r="AO337" s="298">
        <f>'Unit Savings Calculations'!P333</f>
        <v>124.68584320000001</v>
      </c>
      <c r="AP337" s="405" t="s">
        <v>764</v>
      </c>
      <c r="AQ337" s="300">
        <f t="shared" si="166"/>
        <v>29550.544838400005</v>
      </c>
      <c r="AR337" s="297">
        <f t="shared" si="167"/>
        <v>0</v>
      </c>
      <c r="AS337" s="295"/>
      <c r="AT337" s="295"/>
      <c r="AU337" s="298">
        <f>'Unit Savings Calculations'!Q333</f>
        <v>124.68584320000001</v>
      </c>
      <c r="AV337" s="405" t="str">
        <f t="shared" si="154"/>
        <v>n/a</v>
      </c>
      <c r="AW337" s="300">
        <f t="shared" si="168"/>
        <v>29550.544838400005</v>
      </c>
      <c r="AX337" s="297">
        <f t="shared" si="169"/>
        <v>0</v>
      </c>
      <c r="AY337" s="300">
        <f t="shared" si="155"/>
        <v>29550.544838400005</v>
      </c>
      <c r="AZ337" s="300">
        <f t="shared" si="156"/>
        <v>29550.544838400005</v>
      </c>
      <c r="BA337" s="300">
        <f t="shared" si="157"/>
        <v>29550.544838400005</v>
      </c>
      <c r="BB337" s="300">
        <f t="shared" si="158"/>
        <v>29550.544838400005</v>
      </c>
      <c r="BC337" s="301">
        <f t="shared" si="159"/>
        <v>118202.17935360002</v>
      </c>
      <c r="BD337" s="295" t="s">
        <v>764</v>
      </c>
      <c r="BE337" s="302" t="str">
        <f t="shared" si="160"/>
        <v>Exhibit 1.5A_R North Shore EEPS_Adjustable_Savings_Goal_Template.xlsx, Thermostat Detail Tab</v>
      </c>
      <c r="BF337" s="304"/>
    </row>
    <row r="338" spans="1:58" ht="15.75" customHeight="1">
      <c r="A338" s="295" t="str">
        <f>'Unit Savings Calculations'!C334</f>
        <v>Bus - Public Rebates</v>
      </c>
      <c r="B338" s="295" t="str">
        <f>'Unit Savings Calculations'!D334</f>
        <v>Water Heater - Storage 88% TE ≥75MBh</v>
      </c>
      <c r="C338" s="296">
        <f t="shared" si="147"/>
        <v>1</v>
      </c>
      <c r="D338" s="295" t="str">
        <f>'Unit Savings Calculations'!T334</f>
        <v>4.3.1</v>
      </c>
      <c r="E338" s="460">
        <f>INDEX('Unit Savings Calculations'!$H$4:$H$421,MATCH('Measure-Level Adjustments Tab'!$A338&amp;"_"&amp;'Measure-Level Adjustments Tab'!$B338,'Unit Savings Calculations'!$A$4:$A$421,0))</f>
        <v>15</v>
      </c>
      <c r="F338" s="460">
        <f>INDEX('Unit Savings Calculations'!$I$4:$I$421,MATCH('Measure-Level Adjustments Tab'!A338&amp;"_"&amp;'Measure-Level Adjustments Tab'!B338,'Unit Savings Calculations'!$A$4:$A$421,0))</f>
        <v>15</v>
      </c>
      <c r="G338" s="295" t="str">
        <f>'Unit Savings Calculations'!E334</f>
        <v>each</v>
      </c>
      <c r="H338" s="297">
        <f>'Unit Savings Calculations'!$F334*'Unit Savings Calculations'!J334</f>
        <v>0</v>
      </c>
      <c r="I338" s="297">
        <f>'Unit Savings Calculations'!$F334*'Unit Savings Calculations'!K334</f>
        <v>0</v>
      </c>
      <c r="J338" s="297">
        <f>'Unit Savings Calculations'!$F334*'Unit Savings Calculations'!L334</f>
        <v>0</v>
      </c>
      <c r="K338" s="297">
        <f>'Unit Savings Calculations'!$F334*'Unit Savings Calculations'!M334</f>
        <v>0</v>
      </c>
      <c r="L338" s="295" t="str">
        <f>'Unit Savings Calculations'!U334</f>
        <v>CI-HW-STWH-V03-180101</v>
      </c>
      <c r="M338" s="405" t="str">
        <f>'Unit Savings Calculations'!R334</f>
        <v>Exhibit 1.5A_R North Shore EEPS_Adjustable_Savings_Goal_Template.xlsx, Unit Savings Calculations Tab</v>
      </c>
      <c r="N338" s="298">
        <v>135.66827090062347</v>
      </c>
      <c r="O338" s="298">
        <v>135.66827090062347</v>
      </c>
      <c r="P338" s="298">
        <v>135.66827090062347</v>
      </c>
      <c r="Q338" s="298">
        <v>135.66827090062347</v>
      </c>
      <c r="R338" s="299">
        <f>'Unit Savings Calculations'!$G334</f>
        <v>0.79</v>
      </c>
      <c r="S338" s="299">
        <f>'Unit Savings Calculations'!$G334</f>
        <v>0.79</v>
      </c>
      <c r="T338" s="299">
        <f>'Unit Savings Calculations'!$G334</f>
        <v>0.79</v>
      </c>
      <c r="U338" s="299">
        <f>'Unit Savings Calculations'!$G334</f>
        <v>0.79</v>
      </c>
      <c r="V338" s="300">
        <f t="shared" si="148"/>
        <v>0</v>
      </c>
      <c r="W338" s="300">
        <f t="shared" si="149"/>
        <v>0</v>
      </c>
      <c r="X338" s="300">
        <f t="shared" si="150"/>
        <v>0</v>
      </c>
      <c r="Y338" s="300">
        <f t="shared" si="151"/>
        <v>0</v>
      </c>
      <c r="Z338" s="300">
        <f t="shared" si="152"/>
        <v>0</v>
      </c>
      <c r="AA338" s="295"/>
      <c r="AB338" s="295"/>
      <c r="AC338" s="298">
        <f>'Unit Savings Calculations'!N334</f>
        <v>1514.573584976577</v>
      </c>
      <c r="AD338" s="295"/>
      <c r="AE338" s="300">
        <f t="shared" si="161"/>
        <v>0</v>
      </c>
      <c r="AF338" s="297">
        <f t="shared" si="162"/>
        <v>0</v>
      </c>
      <c r="AG338" s="295"/>
      <c r="AH338" s="295">
        <f t="shared" si="163"/>
        <v>0</v>
      </c>
      <c r="AI338" s="298">
        <f>'Unit Savings Calculations'!O334</f>
        <v>1514.573584976577</v>
      </c>
      <c r="AJ338" s="405" t="s">
        <v>895</v>
      </c>
      <c r="AK338" s="300">
        <f t="shared" si="164"/>
        <v>0</v>
      </c>
      <c r="AL338" s="297">
        <f t="shared" si="165"/>
        <v>0</v>
      </c>
      <c r="AM338" s="295"/>
      <c r="AN338" s="295"/>
      <c r="AO338" s="298">
        <f>'Unit Savings Calculations'!P334</f>
        <v>1514.573584976577</v>
      </c>
      <c r="AP338" s="405" t="s">
        <v>764</v>
      </c>
      <c r="AQ338" s="300">
        <f t="shared" si="166"/>
        <v>0</v>
      </c>
      <c r="AR338" s="297">
        <f t="shared" si="167"/>
        <v>0</v>
      </c>
      <c r="AS338" s="295"/>
      <c r="AT338" s="295"/>
      <c r="AU338" s="298">
        <f>'Unit Savings Calculations'!Q334</f>
        <v>1514.573584976577</v>
      </c>
      <c r="AV338" s="405" t="str">
        <f t="shared" si="154"/>
        <v>n/a</v>
      </c>
      <c r="AW338" s="300">
        <f t="shared" si="168"/>
        <v>0</v>
      </c>
      <c r="AX338" s="297">
        <f t="shared" si="169"/>
        <v>0</v>
      </c>
      <c r="AY338" s="300">
        <f t="shared" si="155"/>
        <v>0</v>
      </c>
      <c r="AZ338" s="300">
        <f t="shared" si="156"/>
        <v>0</v>
      </c>
      <c r="BA338" s="300">
        <f t="shared" si="157"/>
        <v>0</v>
      </c>
      <c r="BB338" s="300">
        <f t="shared" si="158"/>
        <v>0</v>
      </c>
      <c r="BC338" s="301">
        <f t="shared" si="159"/>
        <v>0</v>
      </c>
      <c r="BD338" s="295" t="s">
        <v>764</v>
      </c>
      <c r="BE338" s="302" t="str">
        <f t="shared" si="160"/>
        <v>Exhibit 1.5A_R North Shore EEPS_Adjustable_Savings_Goal_Template.xlsx, Unit Savings Calculations Tab</v>
      </c>
      <c r="BF338" s="304"/>
    </row>
    <row r="339" spans="1:58" ht="15.75" customHeight="1">
      <c r="A339" s="295" t="str">
        <f>'Unit Savings Calculations'!C335</f>
        <v>Bus - Public Rebates</v>
      </c>
      <c r="B339" s="295" t="str">
        <f>'Unit Savings Calculations'!D335</f>
        <v>Double Rack Oven</v>
      </c>
      <c r="C339" s="296">
        <f t="shared" si="147"/>
        <v>1</v>
      </c>
      <c r="D339" s="295" t="str">
        <f>'Unit Savings Calculations'!T335</f>
        <v>4.2.18</v>
      </c>
      <c r="E339" s="460">
        <f>INDEX('Unit Savings Calculations'!$H$4:$H$421,MATCH('Measure-Level Adjustments Tab'!$A339&amp;"_"&amp;'Measure-Level Adjustments Tab'!$B339,'Unit Savings Calculations'!$A$4:$A$421,0))</f>
        <v>12</v>
      </c>
      <c r="F339" s="460">
        <f>INDEX('Unit Savings Calculations'!$I$4:$I$421,MATCH('Measure-Level Adjustments Tab'!A339&amp;"_"&amp;'Measure-Level Adjustments Tab'!B339,'Unit Savings Calculations'!$A$4:$A$421,0))</f>
        <v>12</v>
      </c>
      <c r="G339" s="295" t="str">
        <f>'Unit Savings Calculations'!E335</f>
        <v>each</v>
      </c>
      <c r="H339" s="297">
        <f>'Unit Savings Calculations'!$F335*'Unit Savings Calculations'!J335</f>
        <v>0</v>
      </c>
      <c r="I339" s="297">
        <f>'Unit Savings Calculations'!$F335*'Unit Savings Calculations'!K335</f>
        <v>0</v>
      </c>
      <c r="J339" s="297">
        <f>'Unit Savings Calculations'!$F335*'Unit Savings Calculations'!L335</f>
        <v>0</v>
      </c>
      <c r="K339" s="297">
        <f>'Unit Savings Calculations'!$F335*'Unit Savings Calculations'!M335</f>
        <v>0</v>
      </c>
      <c r="L339" s="295" t="str">
        <f>'Unit Savings Calculations'!U335</f>
        <v>CI-FSE-RKOV-VO2-180101</v>
      </c>
      <c r="M339" s="405" t="str">
        <f>'Unit Savings Calculations'!R335</f>
        <v>Exhibit 1.5A_R North Shore EEPS_Adjustable_Savings_Goal_Template.xlsx, Unit Savings Calculations Tab</v>
      </c>
      <c r="N339" s="298">
        <v>1930</v>
      </c>
      <c r="O339" s="298">
        <v>1930</v>
      </c>
      <c r="P339" s="298">
        <v>1930</v>
      </c>
      <c r="Q339" s="298">
        <v>1930</v>
      </c>
      <c r="R339" s="299">
        <f>'Unit Savings Calculations'!$G335</f>
        <v>0.79</v>
      </c>
      <c r="S339" s="299">
        <f>'Unit Savings Calculations'!$G335</f>
        <v>0.79</v>
      </c>
      <c r="T339" s="299">
        <f>'Unit Savings Calculations'!$G335</f>
        <v>0.79</v>
      </c>
      <c r="U339" s="299">
        <f>'Unit Savings Calculations'!$G335</f>
        <v>0.79</v>
      </c>
      <c r="V339" s="300">
        <f t="shared" si="148"/>
        <v>0</v>
      </c>
      <c r="W339" s="300">
        <f t="shared" si="149"/>
        <v>0</v>
      </c>
      <c r="X339" s="300">
        <f t="shared" si="150"/>
        <v>0</v>
      </c>
      <c r="Y339" s="300">
        <f t="shared" si="151"/>
        <v>0</v>
      </c>
      <c r="Z339" s="300">
        <f t="shared" si="152"/>
        <v>0</v>
      </c>
      <c r="AA339" s="295"/>
      <c r="AB339" s="295"/>
      <c r="AC339" s="298">
        <f>'Unit Savings Calculations'!N335</f>
        <v>1930</v>
      </c>
      <c r="AD339" s="295"/>
      <c r="AE339" s="300">
        <f t="shared" si="161"/>
        <v>0</v>
      </c>
      <c r="AF339" s="297">
        <f t="shared" si="162"/>
        <v>0</v>
      </c>
      <c r="AG339" s="295"/>
      <c r="AH339" s="295">
        <f t="shared" si="163"/>
        <v>0</v>
      </c>
      <c r="AI339" s="298">
        <f>'Unit Savings Calculations'!O335</f>
        <v>1930</v>
      </c>
      <c r="AJ339" s="405" t="s">
        <v>879</v>
      </c>
      <c r="AK339" s="300">
        <f t="shared" si="164"/>
        <v>0</v>
      </c>
      <c r="AL339" s="297">
        <f t="shared" si="165"/>
        <v>0</v>
      </c>
      <c r="AM339" s="295"/>
      <c r="AN339" s="295"/>
      <c r="AO339" s="298">
        <f>'Unit Savings Calculations'!P335</f>
        <v>1930</v>
      </c>
      <c r="AP339" s="405" t="s">
        <v>764</v>
      </c>
      <c r="AQ339" s="300">
        <f t="shared" si="166"/>
        <v>0</v>
      </c>
      <c r="AR339" s="297">
        <f t="shared" si="167"/>
        <v>0</v>
      </c>
      <c r="AS339" s="295"/>
      <c r="AT339" s="295"/>
      <c r="AU339" s="298">
        <f>'Unit Savings Calculations'!Q335</f>
        <v>1930</v>
      </c>
      <c r="AV339" s="405" t="str">
        <f t="shared" si="154"/>
        <v>n/a</v>
      </c>
      <c r="AW339" s="300">
        <f t="shared" si="168"/>
        <v>0</v>
      </c>
      <c r="AX339" s="297">
        <f t="shared" si="169"/>
        <v>0</v>
      </c>
      <c r="AY339" s="300">
        <f t="shared" si="155"/>
        <v>0</v>
      </c>
      <c r="AZ339" s="300">
        <f t="shared" si="156"/>
        <v>0</v>
      </c>
      <c r="BA339" s="300">
        <f t="shared" si="157"/>
        <v>0</v>
      </c>
      <c r="BB339" s="300">
        <f t="shared" si="158"/>
        <v>0</v>
      </c>
      <c r="BC339" s="301">
        <f t="shared" si="159"/>
        <v>0</v>
      </c>
      <c r="BD339" s="295" t="s">
        <v>764</v>
      </c>
      <c r="BE339" s="302" t="str">
        <f t="shared" si="160"/>
        <v>Exhibit 1.5A_R North Shore EEPS_Adjustable_Savings_Goal_Template.xlsx, Unit Savings Calculations Tab</v>
      </c>
      <c r="BF339" s="304"/>
    </row>
    <row r="340" spans="1:58" ht="15.75" customHeight="1">
      <c r="A340" s="295" t="str">
        <f>'Unit Savings Calculations'!C336</f>
        <v>Bus - Public Rebates</v>
      </c>
      <c r="B340" s="295" t="str">
        <f>'Unit Savings Calculations'!D336</f>
        <v>Energy Star Convection Oven</v>
      </c>
      <c r="C340" s="296">
        <f t="shared" si="147"/>
        <v>1</v>
      </c>
      <c r="D340" s="295" t="str">
        <f>'Unit Savings Calculations'!T336</f>
        <v>4.2.5</v>
      </c>
      <c r="E340" s="460">
        <f>INDEX('Unit Savings Calculations'!$H$4:$H$421,MATCH('Measure-Level Adjustments Tab'!$A340&amp;"_"&amp;'Measure-Level Adjustments Tab'!$B340,'Unit Savings Calculations'!$A$4:$A$421,0))</f>
        <v>12</v>
      </c>
      <c r="F340" s="460">
        <f>INDEX('Unit Savings Calculations'!$I$4:$I$421,MATCH('Measure-Level Adjustments Tab'!A340&amp;"_"&amp;'Measure-Level Adjustments Tab'!B340,'Unit Savings Calculations'!$A$4:$A$421,0))</f>
        <v>12</v>
      </c>
      <c r="G340" s="295" t="str">
        <f>'Unit Savings Calculations'!E336</f>
        <v>each</v>
      </c>
      <c r="H340" s="297">
        <f>'Unit Savings Calculations'!$F336*'Unit Savings Calculations'!J336</f>
        <v>0</v>
      </c>
      <c r="I340" s="297">
        <f>'Unit Savings Calculations'!$F336*'Unit Savings Calculations'!K336</f>
        <v>0</v>
      </c>
      <c r="J340" s="297">
        <f>'Unit Savings Calculations'!$F336*'Unit Savings Calculations'!L336</f>
        <v>0</v>
      </c>
      <c r="K340" s="297">
        <f>'Unit Savings Calculations'!$F336*'Unit Savings Calculations'!M336</f>
        <v>0</v>
      </c>
      <c r="L340" s="295" t="str">
        <f>'Unit Savings Calculations'!U336</f>
        <v>CI-FSE-ESCV-V02-180101</v>
      </c>
      <c r="M340" s="405" t="str">
        <f>'Unit Savings Calculations'!R336</f>
        <v>Exhibit 1.5A_R North Shore EEPS_Adjustable_Savings_Goal_Template.xlsx, Unit Savings Calculations Tab</v>
      </c>
      <c r="N340" s="298">
        <v>352.14445072463781</v>
      </c>
      <c r="O340" s="298">
        <v>352.14445072463781</v>
      </c>
      <c r="P340" s="298">
        <v>352.14445072463781</v>
      </c>
      <c r="Q340" s="298">
        <v>352.14445072463781</v>
      </c>
      <c r="R340" s="299">
        <f>'Unit Savings Calculations'!$G336</f>
        <v>0.79</v>
      </c>
      <c r="S340" s="299">
        <f>'Unit Savings Calculations'!$G336</f>
        <v>0.79</v>
      </c>
      <c r="T340" s="299">
        <f>'Unit Savings Calculations'!$G336</f>
        <v>0.79</v>
      </c>
      <c r="U340" s="299">
        <f>'Unit Savings Calculations'!$G336</f>
        <v>0.79</v>
      </c>
      <c r="V340" s="300">
        <f t="shared" si="148"/>
        <v>0</v>
      </c>
      <c r="W340" s="300">
        <f t="shared" si="149"/>
        <v>0</v>
      </c>
      <c r="X340" s="300">
        <f t="shared" si="150"/>
        <v>0</v>
      </c>
      <c r="Y340" s="300">
        <f t="shared" si="151"/>
        <v>0</v>
      </c>
      <c r="Z340" s="300">
        <f t="shared" si="152"/>
        <v>0</v>
      </c>
      <c r="AA340" s="295"/>
      <c r="AB340" s="295"/>
      <c r="AC340" s="298">
        <f>'Unit Savings Calculations'!N336</f>
        <v>352.14445072463781</v>
      </c>
      <c r="AD340" s="295"/>
      <c r="AE340" s="300">
        <f t="shared" si="161"/>
        <v>0</v>
      </c>
      <c r="AF340" s="297">
        <f t="shared" si="162"/>
        <v>0</v>
      </c>
      <c r="AG340" s="295"/>
      <c r="AH340" s="295">
        <f t="shared" si="163"/>
        <v>0</v>
      </c>
      <c r="AI340" s="298">
        <f>'Unit Savings Calculations'!O336</f>
        <v>352.14445072463781</v>
      </c>
      <c r="AJ340" s="405" t="s">
        <v>879</v>
      </c>
      <c r="AK340" s="300">
        <f t="shared" si="164"/>
        <v>0</v>
      </c>
      <c r="AL340" s="297">
        <f t="shared" si="165"/>
        <v>0</v>
      </c>
      <c r="AM340" s="295"/>
      <c r="AN340" s="295"/>
      <c r="AO340" s="298">
        <f>'Unit Savings Calculations'!P336</f>
        <v>352.14445072463781</v>
      </c>
      <c r="AP340" s="405" t="s">
        <v>764</v>
      </c>
      <c r="AQ340" s="300">
        <f t="shared" si="166"/>
        <v>0</v>
      </c>
      <c r="AR340" s="297">
        <f t="shared" si="167"/>
        <v>0</v>
      </c>
      <c r="AS340" s="295"/>
      <c r="AT340" s="295"/>
      <c r="AU340" s="298">
        <f>'Unit Savings Calculations'!Q336</f>
        <v>352.14445072463781</v>
      </c>
      <c r="AV340" s="405" t="str">
        <f t="shared" si="154"/>
        <v>n/a</v>
      </c>
      <c r="AW340" s="300">
        <f t="shared" si="168"/>
        <v>0</v>
      </c>
      <c r="AX340" s="297">
        <f t="shared" si="169"/>
        <v>0</v>
      </c>
      <c r="AY340" s="300">
        <f t="shared" si="155"/>
        <v>0</v>
      </c>
      <c r="AZ340" s="300">
        <f t="shared" si="156"/>
        <v>0</v>
      </c>
      <c r="BA340" s="300">
        <f t="shared" si="157"/>
        <v>0</v>
      </c>
      <c r="BB340" s="300">
        <f t="shared" si="158"/>
        <v>0</v>
      </c>
      <c r="BC340" s="301">
        <f t="shared" si="159"/>
        <v>0</v>
      </c>
      <c r="BD340" s="295" t="s">
        <v>764</v>
      </c>
      <c r="BE340" s="302" t="str">
        <f t="shared" si="160"/>
        <v>Exhibit 1.5A_R North Shore EEPS_Adjustable_Savings_Goal_Template.xlsx, Unit Savings Calculations Tab</v>
      </c>
      <c r="BF340" s="304"/>
    </row>
    <row r="341" spans="1:58" ht="15.75" customHeight="1">
      <c r="A341" s="295" t="str">
        <f>'Unit Savings Calculations'!C337</f>
        <v>Bus - Public Rebates</v>
      </c>
      <c r="B341" s="295" t="str">
        <f>'Unit Savings Calculations'!D337</f>
        <v>Energy Star Conveyer Oven</v>
      </c>
      <c r="C341" s="296">
        <f t="shared" si="147"/>
        <v>1</v>
      </c>
      <c r="D341" s="295" t="str">
        <f>'Unit Savings Calculations'!T337</f>
        <v>4.2.4</v>
      </c>
      <c r="E341" s="460">
        <f>INDEX('Unit Savings Calculations'!$H$4:$H$421,MATCH('Measure-Level Adjustments Tab'!$A341&amp;"_"&amp;'Measure-Level Adjustments Tab'!$B341,'Unit Savings Calculations'!$A$4:$A$421,0))</f>
        <v>17</v>
      </c>
      <c r="F341" s="460">
        <f>INDEX('Unit Savings Calculations'!$I$4:$I$421,MATCH('Measure-Level Adjustments Tab'!A341&amp;"_"&amp;'Measure-Level Adjustments Tab'!B341,'Unit Savings Calculations'!$A$4:$A$421,0))</f>
        <v>17</v>
      </c>
      <c r="G341" s="295" t="str">
        <f>'Unit Savings Calculations'!E337</f>
        <v>each</v>
      </c>
      <c r="H341" s="297">
        <f>'Unit Savings Calculations'!$F337*'Unit Savings Calculations'!J337</f>
        <v>0</v>
      </c>
      <c r="I341" s="297">
        <f>'Unit Savings Calculations'!$F337*'Unit Savings Calculations'!K337</f>
        <v>0</v>
      </c>
      <c r="J341" s="297">
        <f>'Unit Savings Calculations'!$F337*'Unit Savings Calculations'!L337</f>
        <v>0</v>
      </c>
      <c r="K341" s="297">
        <f>'Unit Savings Calculations'!$F337*'Unit Savings Calculations'!M337</f>
        <v>0</v>
      </c>
      <c r="L341" s="295" t="str">
        <f>'Unit Savings Calculations'!U337</f>
        <v>CI-FSE-CVOV-V02-180101</v>
      </c>
      <c r="M341" s="405" t="str">
        <f>'Unit Savings Calculations'!R337</f>
        <v>Exhibit 1.5A_R North Shore EEPS_Adjustable_Savings_Goal_Template.xlsx, Unit Savings Calculations Tab</v>
      </c>
      <c r="N341" s="298">
        <v>884</v>
      </c>
      <c r="O341" s="298">
        <v>884</v>
      </c>
      <c r="P341" s="298">
        <v>884</v>
      </c>
      <c r="Q341" s="298">
        <v>884</v>
      </c>
      <c r="R341" s="299">
        <f>'Unit Savings Calculations'!$G337</f>
        <v>0.79</v>
      </c>
      <c r="S341" s="299">
        <f>'Unit Savings Calculations'!$G337</f>
        <v>0.79</v>
      </c>
      <c r="T341" s="299">
        <f>'Unit Savings Calculations'!$G337</f>
        <v>0.79</v>
      </c>
      <c r="U341" s="299">
        <f>'Unit Savings Calculations'!$G337</f>
        <v>0.79</v>
      </c>
      <c r="V341" s="300">
        <f t="shared" si="148"/>
        <v>0</v>
      </c>
      <c r="W341" s="300">
        <f t="shared" si="149"/>
        <v>0</v>
      </c>
      <c r="X341" s="300">
        <f t="shared" si="150"/>
        <v>0</v>
      </c>
      <c r="Y341" s="300">
        <f t="shared" si="151"/>
        <v>0</v>
      </c>
      <c r="Z341" s="300">
        <f t="shared" si="152"/>
        <v>0</v>
      </c>
      <c r="AA341" s="295"/>
      <c r="AB341" s="295"/>
      <c r="AC341" s="298">
        <f>'Unit Savings Calculations'!N337</f>
        <v>884</v>
      </c>
      <c r="AD341" s="295"/>
      <c r="AE341" s="300">
        <f t="shared" si="161"/>
        <v>0</v>
      </c>
      <c r="AF341" s="297">
        <f t="shared" si="162"/>
        <v>0</v>
      </c>
      <c r="AG341" s="295"/>
      <c r="AH341" s="295">
        <f t="shared" si="163"/>
        <v>0</v>
      </c>
      <c r="AI341" s="298">
        <f>'Unit Savings Calculations'!O337</f>
        <v>884</v>
      </c>
      <c r="AJ341" s="405" t="s">
        <v>879</v>
      </c>
      <c r="AK341" s="300">
        <f t="shared" si="164"/>
        <v>0</v>
      </c>
      <c r="AL341" s="297">
        <f t="shared" si="165"/>
        <v>0</v>
      </c>
      <c r="AM341" s="295"/>
      <c r="AN341" s="295"/>
      <c r="AO341" s="298">
        <f>'Unit Savings Calculations'!P337</f>
        <v>884</v>
      </c>
      <c r="AP341" s="405" t="s">
        <v>764</v>
      </c>
      <c r="AQ341" s="300">
        <f t="shared" si="166"/>
        <v>0</v>
      </c>
      <c r="AR341" s="297">
        <f t="shared" si="167"/>
        <v>0</v>
      </c>
      <c r="AS341" s="295"/>
      <c r="AT341" s="295"/>
      <c r="AU341" s="298">
        <f>'Unit Savings Calculations'!Q337</f>
        <v>884</v>
      </c>
      <c r="AV341" s="405" t="str">
        <f t="shared" si="154"/>
        <v>n/a</v>
      </c>
      <c r="AW341" s="300">
        <f t="shared" si="168"/>
        <v>0</v>
      </c>
      <c r="AX341" s="297">
        <f t="shared" si="169"/>
        <v>0</v>
      </c>
      <c r="AY341" s="300">
        <f t="shared" si="155"/>
        <v>0</v>
      </c>
      <c r="AZ341" s="300">
        <f t="shared" si="156"/>
        <v>0</v>
      </c>
      <c r="BA341" s="300">
        <f t="shared" si="157"/>
        <v>0</v>
      </c>
      <c r="BB341" s="300">
        <f t="shared" si="158"/>
        <v>0</v>
      </c>
      <c r="BC341" s="301">
        <f t="shared" si="159"/>
        <v>0</v>
      </c>
      <c r="BD341" s="295" t="s">
        <v>764</v>
      </c>
      <c r="BE341" s="302" t="str">
        <f t="shared" si="160"/>
        <v>Exhibit 1.5A_R North Shore EEPS_Adjustable_Savings_Goal_Template.xlsx, Unit Savings Calculations Tab</v>
      </c>
      <c r="BF341" s="304"/>
    </row>
    <row r="342" spans="1:58" ht="15.75" customHeight="1">
      <c r="A342" s="295" t="str">
        <f>'Unit Savings Calculations'!C338</f>
        <v>Bus - Public Rebates</v>
      </c>
      <c r="B342" s="295" t="str">
        <f>'Unit Savings Calculations'!D338</f>
        <v>Energy Star Fryer</v>
      </c>
      <c r="C342" s="296">
        <f t="shared" si="147"/>
        <v>1</v>
      </c>
      <c r="D342" s="295" t="str">
        <f>'Unit Savings Calculations'!T338</f>
        <v>4.2.7</v>
      </c>
      <c r="E342" s="460">
        <f>INDEX('Unit Savings Calculations'!$H$4:$H$421,MATCH('Measure-Level Adjustments Tab'!$A342&amp;"_"&amp;'Measure-Level Adjustments Tab'!$B342,'Unit Savings Calculations'!$A$4:$A$421,0))</f>
        <v>15</v>
      </c>
      <c r="F342" s="460">
        <f>INDEX('Unit Savings Calculations'!$I$4:$I$421,MATCH('Measure-Level Adjustments Tab'!A342&amp;"_"&amp;'Measure-Level Adjustments Tab'!B342,'Unit Savings Calculations'!$A$4:$A$421,0))</f>
        <v>12</v>
      </c>
      <c r="G342" s="295" t="str">
        <f>'Unit Savings Calculations'!E338</f>
        <v>each</v>
      </c>
      <c r="H342" s="297">
        <f>'Unit Savings Calculations'!$F338*'Unit Savings Calculations'!J338</f>
        <v>0</v>
      </c>
      <c r="I342" s="297">
        <f>'Unit Savings Calculations'!$F338*'Unit Savings Calculations'!K338</f>
        <v>0</v>
      </c>
      <c r="J342" s="297">
        <f>'Unit Savings Calculations'!$F338*'Unit Savings Calculations'!L338</f>
        <v>0</v>
      </c>
      <c r="K342" s="297">
        <f>'Unit Savings Calculations'!$F338*'Unit Savings Calculations'!M338</f>
        <v>0</v>
      </c>
      <c r="L342" s="295" t="str">
        <f>'Unit Savings Calculations'!U338</f>
        <v>CI-FSE-ESFR-V01-120601</v>
      </c>
      <c r="M342" s="405" t="str">
        <f>'Unit Savings Calculations'!R338</f>
        <v>Exhibit 1.5A_R North Shore EEPS_Adjustable_Savings_Goal_Template.xlsx, Unit Savings Calculations Tab</v>
      </c>
      <c r="N342" s="298">
        <v>505.37299714285717</v>
      </c>
      <c r="O342" s="298">
        <v>505.37299714285717</v>
      </c>
      <c r="P342" s="298">
        <v>505.37299714285717</v>
      </c>
      <c r="Q342" s="298">
        <v>505.37299714285717</v>
      </c>
      <c r="R342" s="299">
        <f>'Unit Savings Calculations'!$G338</f>
        <v>0.79</v>
      </c>
      <c r="S342" s="299">
        <f>'Unit Savings Calculations'!$G338</f>
        <v>0.79</v>
      </c>
      <c r="T342" s="299">
        <f>'Unit Savings Calculations'!$G338</f>
        <v>0.79</v>
      </c>
      <c r="U342" s="299">
        <f>'Unit Savings Calculations'!$G338</f>
        <v>0.79</v>
      </c>
      <c r="V342" s="300">
        <f t="shared" si="148"/>
        <v>0</v>
      </c>
      <c r="W342" s="300">
        <f t="shared" si="149"/>
        <v>0</v>
      </c>
      <c r="X342" s="300">
        <f t="shared" si="150"/>
        <v>0</v>
      </c>
      <c r="Y342" s="300">
        <f t="shared" si="151"/>
        <v>0</v>
      </c>
      <c r="Z342" s="300">
        <f t="shared" si="152"/>
        <v>0</v>
      </c>
      <c r="AA342" s="295"/>
      <c r="AB342" s="295"/>
      <c r="AC342" s="298">
        <f>'Unit Savings Calculations'!N338</f>
        <v>505.37299714285717</v>
      </c>
      <c r="AD342" s="295"/>
      <c r="AE342" s="300">
        <f t="shared" si="161"/>
        <v>0</v>
      </c>
      <c r="AF342" s="297">
        <f t="shared" si="162"/>
        <v>0</v>
      </c>
      <c r="AG342" s="295"/>
      <c r="AH342" s="295">
        <f t="shared" si="163"/>
        <v>0</v>
      </c>
      <c r="AI342" s="298">
        <f>'Unit Savings Calculations'!O338</f>
        <v>505.37299714285717</v>
      </c>
      <c r="AJ342" s="405" t="s">
        <v>879</v>
      </c>
      <c r="AK342" s="300">
        <f t="shared" si="164"/>
        <v>0</v>
      </c>
      <c r="AL342" s="297">
        <f t="shared" si="165"/>
        <v>0</v>
      </c>
      <c r="AM342" s="295"/>
      <c r="AN342" s="295"/>
      <c r="AO342" s="298">
        <f>'Unit Savings Calculations'!P338</f>
        <v>505.37299714285717</v>
      </c>
      <c r="AP342" s="405" t="s">
        <v>764</v>
      </c>
      <c r="AQ342" s="300">
        <f t="shared" si="166"/>
        <v>0</v>
      </c>
      <c r="AR342" s="297">
        <f t="shared" si="167"/>
        <v>0</v>
      </c>
      <c r="AS342" s="295"/>
      <c r="AT342" s="295"/>
      <c r="AU342" s="298">
        <f>'Unit Savings Calculations'!Q338</f>
        <v>505.37299714285717</v>
      </c>
      <c r="AV342" s="405" t="str">
        <f t="shared" si="154"/>
        <v>n/a</v>
      </c>
      <c r="AW342" s="300">
        <f t="shared" si="168"/>
        <v>0</v>
      </c>
      <c r="AX342" s="297">
        <f t="shared" si="169"/>
        <v>0</v>
      </c>
      <c r="AY342" s="300">
        <f t="shared" si="155"/>
        <v>0</v>
      </c>
      <c r="AZ342" s="300">
        <f t="shared" si="156"/>
        <v>0</v>
      </c>
      <c r="BA342" s="300">
        <f t="shared" si="157"/>
        <v>0</v>
      </c>
      <c r="BB342" s="300">
        <f t="shared" si="158"/>
        <v>0</v>
      </c>
      <c r="BC342" s="301">
        <f t="shared" si="159"/>
        <v>0</v>
      </c>
      <c r="BD342" s="295" t="s">
        <v>764</v>
      </c>
      <c r="BE342" s="302" t="str">
        <f t="shared" si="160"/>
        <v>Exhibit 1.5A_R North Shore EEPS_Adjustable_Savings_Goal_Template.xlsx, Unit Savings Calculations Tab</v>
      </c>
      <c r="BF342" s="304"/>
    </row>
    <row r="343" spans="1:58" ht="15.75" customHeight="1">
      <c r="A343" s="295" t="str">
        <f>'Unit Savings Calculations'!C339</f>
        <v>Bus - Public Rebates</v>
      </c>
      <c r="B343" s="295" t="str">
        <f>'Unit Savings Calculations'!D339</f>
        <v>Energy Star Steamer - 3 Pans</v>
      </c>
      <c r="C343" s="296">
        <f t="shared" si="147"/>
        <v>1</v>
      </c>
      <c r="D343" s="295" t="str">
        <f>'Unit Savings Calculations'!T339</f>
        <v>4.2.3</v>
      </c>
      <c r="E343" s="460">
        <f>INDEX('Unit Savings Calculations'!$H$4:$H$421,MATCH('Measure-Level Adjustments Tab'!$A343&amp;"_"&amp;'Measure-Level Adjustments Tab'!$B343,'Unit Savings Calculations'!$A$4:$A$421,0))</f>
        <v>12</v>
      </c>
      <c r="F343" s="460">
        <f>INDEX('Unit Savings Calculations'!$I$4:$I$421,MATCH('Measure-Level Adjustments Tab'!A343&amp;"_"&amp;'Measure-Level Adjustments Tab'!B343,'Unit Savings Calculations'!$A$4:$A$421,0))</f>
        <v>12</v>
      </c>
      <c r="G343" s="295" t="str">
        <f>'Unit Savings Calculations'!E339</f>
        <v>each</v>
      </c>
      <c r="H343" s="297">
        <f>'Unit Savings Calculations'!$F339*'Unit Savings Calculations'!J339</f>
        <v>0</v>
      </c>
      <c r="I343" s="297">
        <f>'Unit Savings Calculations'!$F339*'Unit Savings Calculations'!K339</f>
        <v>0</v>
      </c>
      <c r="J343" s="297">
        <f>'Unit Savings Calculations'!$F339*'Unit Savings Calculations'!L339</f>
        <v>0</v>
      </c>
      <c r="K343" s="297">
        <f>'Unit Savings Calculations'!$F339*'Unit Savings Calculations'!M339</f>
        <v>0</v>
      </c>
      <c r="L343" s="295" t="str">
        <f>'Unit Savings Calculations'!U339</f>
        <v>CI-FSE-STMC-V04-160601</v>
      </c>
      <c r="M343" s="405" t="str">
        <f>'Unit Savings Calculations'!R339</f>
        <v>Exhibit 1.5A_R North Shore EEPS_Adjustable_Savings_Goal_Template.xlsx, Food Equipment Tab</v>
      </c>
      <c r="N343" s="298">
        <v>752.01231086676478</v>
      </c>
      <c r="O343" s="298">
        <v>752.01231086676478</v>
      </c>
      <c r="P343" s="298">
        <v>752.01231086676478</v>
      </c>
      <c r="Q343" s="298">
        <v>752.01231086676478</v>
      </c>
      <c r="R343" s="299">
        <f>'Unit Savings Calculations'!$G339</f>
        <v>0.79</v>
      </c>
      <c r="S343" s="299">
        <f>'Unit Savings Calculations'!$G339</f>
        <v>0.79</v>
      </c>
      <c r="T343" s="299">
        <f>'Unit Savings Calculations'!$G339</f>
        <v>0.79</v>
      </c>
      <c r="U343" s="299">
        <f>'Unit Savings Calculations'!$G339</f>
        <v>0.79</v>
      </c>
      <c r="V343" s="300">
        <f t="shared" si="148"/>
        <v>0</v>
      </c>
      <c r="W343" s="300">
        <f t="shared" si="149"/>
        <v>0</v>
      </c>
      <c r="X343" s="300">
        <f t="shared" si="150"/>
        <v>0</v>
      </c>
      <c r="Y343" s="300">
        <f t="shared" si="151"/>
        <v>0</v>
      </c>
      <c r="Z343" s="300">
        <f t="shared" si="152"/>
        <v>0</v>
      </c>
      <c r="AA343" s="295"/>
      <c r="AB343" s="295"/>
      <c r="AC343" s="298">
        <f>'Unit Savings Calculations'!N339</f>
        <v>752.01231086676478</v>
      </c>
      <c r="AD343" s="295"/>
      <c r="AE343" s="300">
        <f t="shared" si="161"/>
        <v>0</v>
      </c>
      <c r="AF343" s="297">
        <f t="shared" si="162"/>
        <v>0</v>
      </c>
      <c r="AG343" s="295"/>
      <c r="AH343" s="295">
        <f t="shared" si="163"/>
        <v>0</v>
      </c>
      <c r="AI343" s="298">
        <f>'Unit Savings Calculations'!O339</f>
        <v>752.01231086676478</v>
      </c>
      <c r="AJ343" s="405" t="s">
        <v>879</v>
      </c>
      <c r="AK343" s="300">
        <f t="shared" si="164"/>
        <v>0</v>
      </c>
      <c r="AL343" s="297">
        <f t="shared" si="165"/>
        <v>0</v>
      </c>
      <c r="AM343" s="295"/>
      <c r="AN343" s="295"/>
      <c r="AO343" s="298">
        <f>'Unit Savings Calculations'!P339</f>
        <v>752.01231086676478</v>
      </c>
      <c r="AP343" s="405" t="s">
        <v>764</v>
      </c>
      <c r="AQ343" s="300">
        <f t="shared" si="166"/>
        <v>0</v>
      </c>
      <c r="AR343" s="297">
        <f t="shared" si="167"/>
        <v>0</v>
      </c>
      <c r="AS343" s="295"/>
      <c r="AT343" s="295"/>
      <c r="AU343" s="298">
        <f>'Unit Savings Calculations'!Q339</f>
        <v>752.01231086676478</v>
      </c>
      <c r="AV343" s="405" t="str">
        <f t="shared" si="154"/>
        <v>n/a</v>
      </c>
      <c r="AW343" s="300">
        <f t="shared" si="168"/>
        <v>0</v>
      </c>
      <c r="AX343" s="297">
        <f t="shared" si="169"/>
        <v>0</v>
      </c>
      <c r="AY343" s="300">
        <f t="shared" si="155"/>
        <v>0</v>
      </c>
      <c r="AZ343" s="300">
        <f t="shared" si="156"/>
        <v>0</v>
      </c>
      <c r="BA343" s="300">
        <f t="shared" si="157"/>
        <v>0</v>
      </c>
      <c r="BB343" s="300">
        <f t="shared" si="158"/>
        <v>0</v>
      </c>
      <c r="BC343" s="301">
        <f t="shared" si="159"/>
        <v>0</v>
      </c>
      <c r="BD343" s="295" t="s">
        <v>764</v>
      </c>
      <c r="BE343" s="302" t="str">
        <f t="shared" si="160"/>
        <v>Exhibit 1.5A_R North Shore EEPS_Adjustable_Savings_Goal_Template.xlsx, Food Equipment Tab</v>
      </c>
      <c r="BF343" s="304"/>
    </row>
    <row r="344" spans="1:58" ht="15.75" customHeight="1">
      <c r="A344" s="295" t="str">
        <f>'Unit Savings Calculations'!C340</f>
        <v>Bus - Public Rebates</v>
      </c>
      <c r="B344" s="295" t="str">
        <f>'Unit Savings Calculations'!D340</f>
        <v>Energy Star Steamer - 4 Pans</v>
      </c>
      <c r="C344" s="296">
        <f t="shared" si="147"/>
        <v>1</v>
      </c>
      <c r="D344" s="295" t="str">
        <f>'Unit Savings Calculations'!T340</f>
        <v>4.2.3</v>
      </c>
      <c r="E344" s="460">
        <f>INDEX('Unit Savings Calculations'!$H$4:$H$421,MATCH('Measure-Level Adjustments Tab'!$A344&amp;"_"&amp;'Measure-Level Adjustments Tab'!$B344,'Unit Savings Calculations'!$A$4:$A$421,0))</f>
        <v>12</v>
      </c>
      <c r="F344" s="460">
        <f>INDEX('Unit Savings Calculations'!$I$4:$I$421,MATCH('Measure-Level Adjustments Tab'!A344&amp;"_"&amp;'Measure-Level Adjustments Tab'!B344,'Unit Savings Calculations'!$A$4:$A$421,0))</f>
        <v>12</v>
      </c>
      <c r="G344" s="295" t="str">
        <f>'Unit Savings Calculations'!E340</f>
        <v>each</v>
      </c>
      <c r="H344" s="297">
        <f>'Unit Savings Calculations'!$F340*'Unit Savings Calculations'!J340</f>
        <v>0</v>
      </c>
      <c r="I344" s="297">
        <f>'Unit Savings Calculations'!$F340*'Unit Savings Calculations'!K340</f>
        <v>0</v>
      </c>
      <c r="J344" s="297">
        <f>'Unit Savings Calculations'!$F340*'Unit Savings Calculations'!L340</f>
        <v>0</v>
      </c>
      <c r="K344" s="297">
        <f>'Unit Savings Calculations'!$F340*'Unit Savings Calculations'!M340</f>
        <v>0</v>
      </c>
      <c r="L344" s="295" t="str">
        <f>'Unit Savings Calculations'!U340</f>
        <v>CI-FSE-STMC-V04-160601</v>
      </c>
      <c r="M344" s="405" t="str">
        <f>'Unit Savings Calculations'!R340</f>
        <v>Exhibit 1.5A_R North Shore EEPS_Adjustable_Savings_Goal_Template.xlsx, Food Equipment Tab</v>
      </c>
      <c r="N344" s="298">
        <v>1007.2641787965732</v>
      </c>
      <c r="O344" s="298">
        <v>1007.2641787965732</v>
      </c>
      <c r="P344" s="298">
        <v>1007.2641787965732</v>
      </c>
      <c r="Q344" s="298">
        <v>1007.2641787965732</v>
      </c>
      <c r="R344" s="299">
        <f>'Unit Savings Calculations'!$G340</f>
        <v>0.79</v>
      </c>
      <c r="S344" s="299">
        <f>'Unit Savings Calculations'!$G340</f>
        <v>0.79</v>
      </c>
      <c r="T344" s="299">
        <f>'Unit Savings Calculations'!$G340</f>
        <v>0.79</v>
      </c>
      <c r="U344" s="299">
        <f>'Unit Savings Calculations'!$G340</f>
        <v>0.79</v>
      </c>
      <c r="V344" s="300">
        <f t="shared" si="148"/>
        <v>0</v>
      </c>
      <c r="W344" s="300">
        <f t="shared" si="149"/>
        <v>0</v>
      </c>
      <c r="X344" s="300">
        <f t="shared" si="150"/>
        <v>0</v>
      </c>
      <c r="Y344" s="300">
        <f t="shared" si="151"/>
        <v>0</v>
      </c>
      <c r="Z344" s="300">
        <f t="shared" si="152"/>
        <v>0</v>
      </c>
      <c r="AA344" s="295"/>
      <c r="AB344" s="295"/>
      <c r="AC344" s="298">
        <f>'Unit Savings Calculations'!N340</f>
        <v>1007.2641787965732</v>
      </c>
      <c r="AD344" s="295"/>
      <c r="AE344" s="300">
        <f t="shared" si="161"/>
        <v>0</v>
      </c>
      <c r="AF344" s="297">
        <f t="shared" si="162"/>
        <v>0</v>
      </c>
      <c r="AG344" s="295"/>
      <c r="AH344" s="295">
        <f t="shared" si="163"/>
        <v>0</v>
      </c>
      <c r="AI344" s="298">
        <f>'Unit Savings Calculations'!O340</f>
        <v>1007.2641787965732</v>
      </c>
      <c r="AJ344" s="405" t="s">
        <v>879</v>
      </c>
      <c r="AK344" s="300">
        <f t="shared" si="164"/>
        <v>0</v>
      </c>
      <c r="AL344" s="297">
        <f t="shared" si="165"/>
        <v>0</v>
      </c>
      <c r="AM344" s="295"/>
      <c r="AN344" s="295"/>
      <c r="AO344" s="298">
        <f>'Unit Savings Calculations'!P340</f>
        <v>1007.2641787965732</v>
      </c>
      <c r="AP344" s="405" t="s">
        <v>764</v>
      </c>
      <c r="AQ344" s="300">
        <f t="shared" si="166"/>
        <v>0</v>
      </c>
      <c r="AR344" s="297">
        <f t="shared" si="167"/>
        <v>0</v>
      </c>
      <c r="AS344" s="295"/>
      <c r="AT344" s="295"/>
      <c r="AU344" s="298">
        <f>'Unit Savings Calculations'!Q340</f>
        <v>1007.2641787965732</v>
      </c>
      <c r="AV344" s="405" t="str">
        <f t="shared" si="154"/>
        <v>n/a</v>
      </c>
      <c r="AW344" s="300">
        <f t="shared" si="168"/>
        <v>0</v>
      </c>
      <c r="AX344" s="297">
        <f t="shared" si="169"/>
        <v>0</v>
      </c>
      <c r="AY344" s="300">
        <f t="shared" si="155"/>
        <v>0</v>
      </c>
      <c r="AZ344" s="300">
        <f t="shared" si="156"/>
        <v>0</v>
      </c>
      <c r="BA344" s="300">
        <f t="shared" si="157"/>
        <v>0</v>
      </c>
      <c r="BB344" s="300">
        <f t="shared" si="158"/>
        <v>0</v>
      </c>
      <c r="BC344" s="301">
        <f t="shared" si="159"/>
        <v>0</v>
      </c>
      <c r="BD344" s="295" t="s">
        <v>764</v>
      </c>
      <c r="BE344" s="302" t="str">
        <f t="shared" si="160"/>
        <v>Exhibit 1.5A_R North Shore EEPS_Adjustable_Savings_Goal_Template.xlsx, Food Equipment Tab</v>
      </c>
      <c r="BF344" s="304"/>
    </row>
    <row r="345" spans="1:58" ht="15.75" customHeight="1">
      <c r="A345" s="295" t="str">
        <f>'Unit Savings Calculations'!C341</f>
        <v>Bus - Public Rebates</v>
      </c>
      <c r="B345" s="295" t="str">
        <f>'Unit Savings Calculations'!D341</f>
        <v>Energy Star Steamer - 5 Pans</v>
      </c>
      <c r="C345" s="296">
        <f t="shared" si="147"/>
        <v>1</v>
      </c>
      <c r="D345" s="295" t="str">
        <f>'Unit Savings Calculations'!T341</f>
        <v>4.2.3</v>
      </c>
      <c r="E345" s="460">
        <f>INDEX('Unit Savings Calculations'!$H$4:$H$421,MATCH('Measure-Level Adjustments Tab'!$A345&amp;"_"&amp;'Measure-Level Adjustments Tab'!$B345,'Unit Savings Calculations'!$A$4:$A$421,0))</f>
        <v>12</v>
      </c>
      <c r="F345" s="460">
        <f>INDEX('Unit Savings Calculations'!$I$4:$I$421,MATCH('Measure-Level Adjustments Tab'!A345&amp;"_"&amp;'Measure-Level Adjustments Tab'!B345,'Unit Savings Calculations'!$A$4:$A$421,0))</f>
        <v>12</v>
      </c>
      <c r="G345" s="295" t="str">
        <f>'Unit Savings Calculations'!E341</f>
        <v>each</v>
      </c>
      <c r="H345" s="297">
        <f>'Unit Savings Calculations'!$F341*'Unit Savings Calculations'!J341</f>
        <v>0</v>
      </c>
      <c r="I345" s="297">
        <f>'Unit Savings Calculations'!$F341*'Unit Savings Calculations'!K341</f>
        <v>0</v>
      </c>
      <c r="J345" s="297">
        <f>'Unit Savings Calculations'!$F341*'Unit Savings Calculations'!L341</f>
        <v>0</v>
      </c>
      <c r="K345" s="297">
        <f>'Unit Savings Calculations'!$F341*'Unit Savings Calculations'!M341</f>
        <v>0</v>
      </c>
      <c r="L345" s="295" t="str">
        <f>'Unit Savings Calculations'!U341</f>
        <v>CI-FSE-STMC-V04-160601</v>
      </c>
      <c r="M345" s="405" t="str">
        <f>'Unit Savings Calculations'!R341</f>
        <v>Exhibit 1.5A_R North Shore EEPS_Adjustable_Savings_Goal_Template.xlsx, Food Equipment Tab</v>
      </c>
      <c r="N345" s="298">
        <v>1248.6709419898457</v>
      </c>
      <c r="O345" s="298">
        <v>1248.6709419898457</v>
      </c>
      <c r="P345" s="298">
        <v>1248.6709419898457</v>
      </c>
      <c r="Q345" s="298">
        <v>1248.6709419898457</v>
      </c>
      <c r="R345" s="299">
        <f>'Unit Savings Calculations'!$G341</f>
        <v>0.79</v>
      </c>
      <c r="S345" s="299">
        <f>'Unit Savings Calculations'!$G341</f>
        <v>0.79</v>
      </c>
      <c r="T345" s="299">
        <f>'Unit Savings Calculations'!$G341</f>
        <v>0.79</v>
      </c>
      <c r="U345" s="299">
        <f>'Unit Savings Calculations'!$G341</f>
        <v>0.79</v>
      </c>
      <c r="V345" s="300">
        <f t="shared" si="148"/>
        <v>0</v>
      </c>
      <c r="W345" s="300">
        <f t="shared" si="149"/>
        <v>0</v>
      </c>
      <c r="X345" s="300">
        <f t="shared" si="150"/>
        <v>0</v>
      </c>
      <c r="Y345" s="300">
        <f t="shared" si="151"/>
        <v>0</v>
      </c>
      <c r="Z345" s="300">
        <f t="shared" si="152"/>
        <v>0</v>
      </c>
      <c r="AA345" s="295"/>
      <c r="AB345" s="295"/>
      <c r="AC345" s="298">
        <f>'Unit Savings Calculations'!N341</f>
        <v>1248.6709419898457</v>
      </c>
      <c r="AD345" s="295"/>
      <c r="AE345" s="300">
        <f t="shared" si="161"/>
        <v>0</v>
      </c>
      <c r="AF345" s="297">
        <f t="shared" si="162"/>
        <v>0</v>
      </c>
      <c r="AG345" s="295"/>
      <c r="AH345" s="295">
        <f t="shared" si="163"/>
        <v>0</v>
      </c>
      <c r="AI345" s="298">
        <f>'Unit Savings Calculations'!O341</f>
        <v>1248.6709419898457</v>
      </c>
      <c r="AJ345" s="405" t="s">
        <v>879</v>
      </c>
      <c r="AK345" s="300">
        <f t="shared" si="164"/>
        <v>0</v>
      </c>
      <c r="AL345" s="297">
        <f t="shared" si="165"/>
        <v>0</v>
      </c>
      <c r="AM345" s="295"/>
      <c r="AN345" s="295"/>
      <c r="AO345" s="298">
        <f>'Unit Savings Calculations'!P341</f>
        <v>1248.6709419898457</v>
      </c>
      <c r="AP345" s="405" t="s">
        <v>764</v>
      </c>
      <c r="AQ345" s="300">
        <f t="shared" si="166"/>
        <v>0</v>
      </c>
      <c r="AR345" s="297">
        <f t="shared" si="167"/>
        <v>0</v>
      </c>
      <c r="AS345" s="295"/>
      <c r="AT345" s="295"/>
      <c r="AU345" s="298">
        <f>'Unit Savings Calculations'!Q341</f>
        <v>1248.6709419898457</v>
      </c>
      <c r="AV345" s="405" t="str">
        <f t="shared" si="154"/>
        <v>n/a</v>
      </c>
      <c r="AW345" s="300">
        <f t="shared" si="168"/>
        <v>0</v>
      </c>
      <c r="AX345" s="297">
        <f t="shared" si="169"/>
        <v>0</v>
      </c>
      <c r="AY345" s="300">
        <f t="shared" si="155"/>
        <v>0</v>
      </c>
      <c r="AZ345" s="300">
        <f t="shared" si="156"/>
        <v>0</v>
      </c>
      <c r="BA345" s="300">
        <f t="shared" si="157"/>
        <v>0</v>
      </c>
      <c r="BB345" s="300">
        <f t="shared" si="158"/>
        <v>0</v>
      </c>
      <c r="BC345" s="301">
        <f t="shared" si="159"/>
        <v>0</v>
      </c>
      <c r="BD345" s="295" t="s">
        <v>764</v>
      </c>
      <c r="BE345" s="302" t="str">
        <f t="shared" si="160"/>
        <v>Exhibit 1.5A_R North Shore EEPS_Adjustable_Savings_Goal_Template.xlsx, Food Equipment Tab</v>
      </c>
      <c r="BF345" s="304"/>
    </row>
    <row r="346" spans="1:58" ht="15.75" customHeight="1">
      <c r="A346" s="295" t="str">
        <f>'Unit Savings Calculations'!C342</f>
        <v>Bus - Public Rebates</v>
      </c>
      <c r="B346" s="295" t="str">
        <f>'Unit Savings Calculations'!D342</f>
        <v>Energy Star Steamer - 6 Pans</v>
      </c>
      <c r="C346" s="296">
        <f t="shared" si="147"/>
        <v>1</v>
      </c>
      <c r="D346" s="295" t="str">
        <f>'Unit Savings Calculations'!T342</f>
        <v>4.2.3</v>
      </c>
      <c r="E346" s="460">
        <f>INDEX('Unit Savings Calculations'!$H$4:$H$421,MATCH('Measure-Level Adjustments Tab'!$A346&amp;"_"&amp;'Measure-Level Adjustments Tab'!$B346,'Unit Savings Calculations'!$A$4:$A$421,0))</f>
        <v>12</v>
      </c>
      <c r="F346" s="460">
        <f>INDEX('Unit Savings Calculations'!$I$4:$I$421,MATCH('Measure-Level Adjustments Tab'!A346&amp;"_"&amp;'Measure-Level Adjustments Tab'!B346,'Unit Savings Calculations'!$A$4:$A$421,0))</f>
        <v>12</v>
      </c>
      <c r="G346" s="295" t="str">
        <f>'Unit Savings Calculations'!E342</f>
        <v>each</v>
      </c>
      <c r="H346" s="297">
        <f>'Unit Savings Calculations'!$F342*'Unit Savings Calculations'!J342</f>
        <v>0</v>
      </c>
      <c r="I346" s="297">
        <f>'Unit Savings Calculations'!$F342*'Unit Savings Calculations'!K342</f>
        <v>0</v>
      </c>
      <c r="J346" s="297">
        <f>'Unit Savings Calculations'!$F342*'Unit Savings Calculations'!L342</f>
        <v>0</v>
      </c>
      <c r="K346" s="297">
        <f>'Unit Savings Calculations'!$F342*'Unit Savings Calculations'!M342</f>
        <v>0</v>
      </c>
      <c r="L346" s="295" t="str">
        <f>'Unit Savings Calculations'!U342</f>
        <v>CI-FSE-STMC-V04-160601</v>
      </c>
      <c r="M346" s="405" t="str">
        <f>'Unit Savings Calculations'!R342</f>
        <v>Exhibit 1.5A_R North Shore EEPS_Adjustable_Savings_Goal_Template.xlsx, Food Equipment Tab</v>
      </c>
      <c r="N346" s="298">
        <v>1503.8794358667649</v>
      </c>
      <c r="O346" s="298">
        <v>1503.8794358667649</v>
      </c>
      <c r="P346" s="298">
        <v>1503.8794358667649</v>
      </c>
      <c r="Q346" s="298">
        <v>1503.8794358667649</v>
      </c>
      <c r="R346" s="299">
        <f>'Unit Savings Calculations'!$G342</f>
        <v>0.79</v>
      </c>
      <c r="S346" s="299">
        <f>'Unit Savings Calculations'!$G342</f>
        <v>0.79</v>
      </c>
      <c r="T346" s="299">
        <f>'Unit Savings Calculations'!$G342</f>
        <v>0.79</v>
      </c>
      <c r="U346" s="299">
        <f>'Unit Savings Calculations'!$G342</f>
        <v>0.79</v>
      </c>
      <c r="V346" s="300">
        <f t="shared" si="148"/>
        <v>0</v>
      </c>
      <c r="W346" s="300">
        <f t="shared" si="149"/>
        <v>0</v>
      </c>
      <c r="X346" s="300">
        <f t="shared" si="150"/>
        <v>0</v>
      </c>
      <c r="Y346" s="300">
        <f t="shared" si="151"/>
        <v>0</v>
      </c>
      <c r="Z346" s="300">
        <f t="shared" si="152"/>
        <v>0</v>
      </c>
      <c r="AA346" s="295"/>
      <c r="AB346" s="295"/>
      <c r="AC346" s="298">
        <f>'Unit Savings Calculations'!N342</f>
        <v>1503.8794358667649</v>
      </c>
      <c r="AD346" s="295"/>
      <c r="AE346" s="300">
        <f t="shared" si="161"/>
        <v>0</v>
      </c>
      <c r="AF346" s="297">
        <f t="shared" si="162"/>
        <v>0</v>
      </c>
      <c r="AG346" s="295"/>
      <c r="AH346" s="295">
        <f t="shared" si="163"/>
        <v>0</v>
      </c>
      <c r="AI346" s="298">
        <f>'Unit Savings Calculations'!O342</f>
        <v>1503.8794358667649</v>
      </c>
      <c r="AJ346" s="405" t="s">
        <v>879</v>
      </c>
      <c r="AK346" s="300">
        <f t="shared" si="164"/>
        <v>0</v>
      </c>
      <c r="AL346" s="297">
        <f t="shared" si="165"/>
        <v>0</v>
      </c>
      <c r="AM346" s="295"/>
      <c r="AN346" s="295"/>
      <c r="AO346" s="298">
        <f>'Unit Savings Calculations'!P342</f>
        <v>1503.8794358667649</v>
      </c>
      <c r="AP346" s="405" t="s">
        <v>764</v>
      </c>
      <c r="AQ346" s="300">
        <f t="shared" si="166"/>
        <v>0</v>
      </c>
      <c r="AR346" s="297">
        <f t="shared" si="167"/>
        <v>0</v>
      </c>
      <c r="AS346" s="295"/>
      <c r="AT346" s="295"/>
      <c r="AU346" s="298">
        <f>'Unit Savings Calculations'!Q342</f>
        <v>1503.8794358667649</v>
      </c>
      <c r="AV346" s="405" t="str">
        <f t="shared" si="154"/>
        <v>n/a</v>
      </c>
      <c r="AW346" s="300">
        <f t="shared" si="168"/>
        <v>0</v>
      </c>
      <c r="AX346" s="297">
        <f t="shared" si="169"/>
        <v>0</v>
      </c>
      <c r="AY346" s="300">
        <f t="shared" si="155"/>
        <v>0</v>
      </c>
      <c r="AZ346" s="300">
        <f t="shared" si="156"/>
        <v>0</v>
      </c>
      <c r="BA346" s="300">
        <f t="shared" si="157"/>
        <v>0</v>
      </c>
      <c r="BB346" s="300">
        <f t="shared" si="158"/>
        <v>0</v>
      </c>
      <c r="BC346" s="301">
        <f t="shared" si="159"/>
        <v>0</v>
      </c>
      <c r="BD346" s="295" t="s">
        <v>764</v>
      </c>
      <c r="BE346" s="302" t="str">
        <f t="shared" si="160"/>
        <v>Exhibit 1.5A_R North Shore EEPS_Adjustable_Savings_Goal_Template.xlsx, Food Equipment Tab</v>
      </c>
      <c r="BF346" s="304"/>
    </row>
    <row r="347" spans="1:58" ht="15.75" customHeight="1">
      <c r="A347" s="295" t="str">
        <f>'Unit Savings Calculations'!C343</f>
        <v>Bus - Public Rebates</v>
      </c>
      <c r="B347" s="295" t="str">
        <f>'Unit Savings Calculations'!D343</f>
        <v>Heat Recovery Grease Trap Filter</v>
      </c>
      <c r="C347" s="296">
        <f t="shared" si="147"/>
        <v>1</v>
      </c>
      <c r="D347" s="295" t="str">
        <f>'Unit Savings Calculations'!T343</f>
        <v>4.3.9</v>
      </c>
      <c r="E347" s="460">
        <f>INDEX('Unit Savings Calculations'!$H$4:$H$421,MATCH('Measure-Level Adjustments Tab'!$A347&amp;"_"&amp;'Measure-Level Adjustments Tab'!$B347,'Unit Savings Calculations'!$A$4:$A$421,0))</f>
        <v>15</v>
      </c>
      <c r="F347" s="460">
        <f>INDEX('Unit Savings Calculations'!$I$4:$I$421,MATCH('Measure-Level Adjustments Tab'!A347&amp;"_"&amp;'Measure-Level Adjustments Tab'!B347,'Unit Savings Calculations'!$A$4:$A$421,0))</f>
        <v>15</v>
      </c>
      <c r="G347" s="295" t="str">
        <f>'Unit Savings Calculations'!E343</f>
        <v>each</v>
      </c>
      <c r="H347" s="297">
        <f>'Unit Savings Calculations'!$F343*'Unit Savings Calculations'!J343</f>
        <v>0</v>
      </c>
      <c r="I347" s="297">
        <f>'Unit Savings Calculations'!$F343*'Unit Savings Calculations'!K343</f>
        <v>0</v>
      </c>
      <c r="J347" s="297">
        <f>'Unit Savings Calculations'!$F343*'Unit Savings Calculations'!L343</f>
        <v>0</v>
      </c>
      <c r="K347" s="297">
        <f>'Unit Savings Calculations'!$F343*'Unit Savings Calculations'!M343</f>
        <v>0</v>
      </c>
      <c r="L347" s="295" t="str">
        <f>'Unit Savings Calculations'!U343</f>
        <v>CI-HW-GRTF-V01-160601</v>
      </c>
      <c r="M347" s="405" t="str">
        <f>'Unit Savings Calculations'!R343</f>
        <v>Exhibit 1.5A_R North Shore EEPS_Adjustable_Savings_Goal_Template.xlsx, Unit Savings Calculations Tab</v>
      </c>
      <c r="N347" s="298">
        <v>1757.3025600000001</v>
      </c>
      <c r="O347" s="298">
        <v>1757.3025600000001</v>
      </c>
      <c r="P347" s="298">
        <v>1757.3025600000001</v>
      </c>
      <c r="Q347" s="298">
        <v>1757.3025600000001</v>
      </c>
      <c r="R347" s="299">
        <f>'Unit Savings Calculations'!$G343</f>
        <v>0.79</v>
      </c>
      <c r="S347" s="299">
        <f>'Unit Savings Calculations'!$G343</f>
        <v>0.79</v>
      </c>
      <c r="T347" s="299">
        <f>'Unit Savings Calculations'!$G343</f>
        <v>0.79</v>
      </c>
      <c r="U347" s="299">
        <f>'Unit Savings Calculations'!$G343</f>
        <v>0.79</v>
      </c>
      <c r="V347" s="300">
        <f t="shared" si="148"/>
        <v>0</v>
      </c>
      <c r="W347" s="300">
        <f t="shared" si="149"/>
        <v>0</v>
      </c>
      <c r="X347" s="300">
        <f t="shared" si="150"/>
        <v>0</v>
      </c>
      <c r="Y347" s="300">
        <f t="shared" si="151"/>
        <v>0</v>
      </c>
      <c r="Z347" s="300">
        <f t="shared" si="152"/>
        <v>0</v>
      </c>
      <c r="AA347" s="295"/>
      <c r="AB347" s="295"/>
      <c r="AC347" s="298">
        <f>'Unit Savings Calculations'!N343</f>
        <v>1757.3025600000001</v>
      </c>
      <c r="AD347" s="295"/>
      <c r="AE347" s="300">
        <f t="shared" si="161"/>
        <v>0</v>
      </c>
      <c r="AF347" s="297">
        <f t="shared" si="162"/>
        <v>0</v>
      </c>
      <c r="AG347" s="295"/>
      <c r="AH347" s="295">
        <f t="shared" si="163"/>
        <v>0</v>
      </c>
      <c r="AI347" s="298">
        <f>'Unit Savings Calculations'!O343</f>
        <v>1757.3025600000001</v>
      </c>
      <c r="AJ347" s="405" t="s">
        <v>879</v>
      </c>
      <c r="AK347" s="300">
        <f t="shared" si="164"/>
        <v>0</v>
      </c>
      <c r="AL347" s="297">
        <f t="shared" si="165"/>
        <v>0</v>
      </c>
      <c r="AM347" s="295"/>
      <c r="AN347" s="295"/>
      <c r="AO347" s="298">
        <f>'Unit Savings Calculations'!P343</f>
        <v>1757.3025600000001</v>
      </c>
      <c r="AP347" s="405" t="s">
        <v>764</v>
      </c>
      <c r="AQ347" s="300">
        <f t="shared" si="166"/>
        <v>0</v>
      </c>
      <c r="AR347" s="297">
        <f t="shared" si="167"/>
        <v>0</v>
      </c>
      <c r="AS347" s="295"/>
      <c r="AT347" s="295"/>
      <c r="AU347" s="298">
        <f>'Unit Savings Calculations'!Q343</f>
        <v>1757.3025600000001</v>
      </c>
      <c r="AV347" s="405" t="str">
        <f t="shared" si="154"/>
        <v>n/a</v>
      </c>
      <c r="AW347" s="300">
        <f t="shared" si="168"/>
        <v>0</v>
      </c>
      <c r="AX347" s="297">
        <f t="shared" si="169"/>
        <v>0</v>
      </c>
      <c r="AY347" s="300">
        <f t="shared" si="155"/>
        <v>0</v>
      </c>
      <c r="AZ347" s="300">
        <f t="shared" si="156"/>
        <v>0</v>
      </c>
      <c r="BA347" s="300">
        <f t="shared" si="157"/>
        <v>0</v>
      </c>
      <c r="BB347" s="300">
        <f t="shared" si="158"/>
        <v>0</v>
      </c>
      <c r="BC347" s="301">
        <f t="shared" si="159"/>
        <v>0</v>
      </c>
      <c r="BD347" s="295" t="s">
        <v>764</v>
      </c>
      <c r="BE347" s="302" t="str">
        <f t="shared" si="160"/>
        <v>Exhibit 1.5A_R North Shore EEPS_Adjustable_Savings_Goal_Template.xlsx, Unit Savings Calculations Tab</v>
      </c>
      <c r="BF347" s="304"/>
    </row>
    <row r="348" spans="1:58" ht="15.75" customHeight="1">
      <c r="A348" s="295" t="str">
        <f>'Unit Savings Calculations'!C344</f>
        <v>Bus - Public Rebates</v>
      </c>
      <c r="B348" s="295" t="str">
        <f>'Unit Savings Calculations'!D344</f>
        <v>Infrared Charbroiler</v>
      </c>
      <c r="C348" s="296">
        <f t="shared" si="147"/>
        <v>1</v>
      </c>
      <c r="D348" s="295" t="str">
        <f>'Unit Savings Calculations'!T344</f>
        <v>4.2.12</v>
      </c>
      <c r="E348" s="460">
        <f>INDEX('Unit Savings Calculations'!$H$4:$H$421,MATCH('Measure-Level Adjustments Tab'!$A348&amp;"_"&amp;'Measure-Level Adjustments Tab'!$B348,'Unit Savings Calculations'!$A$4:$A$421,0))</f>
        <v>12</v>
      </c>
      <c r="F348" s="460">
        <f>INDEX('Unit Savings Calculations'!$I$4:$I$421,MATCH('Measure-Level Adjustments Tab'!A348&amp;"_"&amp;'Measure-Level Adjustments Tab'!B348,'Unit Savings Calculations'!$A$4:$A$421,0))</f>
        <v>12</v>
      </c>
      <c r="G348" s="295" t="str">
        <f>'Unit Savings Calculations'!E344</f>
        <v>each</v>
      </c>
      <c r="H348" s="297">
        <f>'Unit Savings Calculations'!$F344*'Unit Savings Calculations'!J344</f>
        <v>0</v>
      </c>
      <c r="I348" s="297">
        <f>'Unit Savings Calculations'!$F344*'Unit Savings Calculations'!K344</f>
        <v>0</v>
      </c>
      <c r="J348" s="297">
        <f>'Unit Savings Calculations'!$F344*'Unit Savings Calculations'!L344</f>
        <v>0</v>
      </c>
      <c r="K348" s="297">
        <f>'Unit Savings Calculations'!$F344*'Unit Savings Calculations'!M344</f>
        <v>0</v>
      </c>
      <c r="L348" s="295" t="str">
        <f>'Unit Savings Calculations'!U344</f>
        <v>CI-FSE-IRCB-V02-180101</v>
      </c>
      <c r="M348" s="405" t="str">
        <f>'Unit Savings Calculations'!R344</f>
        <v>Exhibit 1.5A_R North Shore EEPS_Adjustable_Savings_Goal_Template.xlsx, Unit Savings Calculations Tab</v>
      </c>
      <c r="N348" s="298">
        <v>706.68</v>
      </c>
      <c r="O348" s="298">
        <v>706.68</v>
      </c>
      <c r="P348" s="298">
        <v>706.68</v>
      </c>
      <c r="Q348" s="298">
        <v>706.68</v>
      </c>
      <c r="R348" s="299">
        <f>'Unit Savings Calculations'!$G344</f>
        <v>0.79</v>
      </c>
      <c r="S348" s="299">
        <f>'Unit Savings Calculations'!$G344</f>
        <v>0.79</v>
      </c>
      <c r="T348" s="299">
        <f>'Unit Savings Calculations'!$G344</f>
        <v>0.79</v>
      </c>
      <c r="U348" s="299">
        <f>'Unit Savings Calculations'!$G344</f>
        <v>0.79</v>
      </c>
      <c r="V348" s="300">
        <f t="shared" si="148"/>
        <v>0</v>
      </c>
      <c r="W348" s="300">
        <f t="shared" si="149"/>
        <v>0</v>
      </c>
      <c r="X348" s="300">
        <f t="shared" si="150"/>
        <v>0</v>
      </c>
      <c r="Y348" s="300">
        <f t="shared" si="151"/>
        <v>0</v>
      </c>
      <c r="Z348" s="300">
        <f t="shared" si="152"/>
        <v>0</v>
      </c>
      <c r="AA348" s="295"/>
      <c r="AB348" s="295"/>
      <c r="AC348" s="298">
        <f>'Unit Savings Calculations'!N344</f>
        <v>706.68</v>
      </c>
      <c r="AD348" s="295"/>
      <c r="AE348" s="300">
        <f t="shared" si="161"/>
        <v>0</v>
      </c>
      <c r="AF348" s="297">
        <f t="shared" si="162"/>
        <v>0</v>
      </c>
      <c r="AG348" s="295"/>
      <c r="AH348" s="295">
        <f t="shared" si="163"/>
        <v>0</v>
      </c>
      <c r="AI348" s="298">
        <f>'Unit Savings Calculations'!O344</f>
        <v>706.68</v>
      </c>
      <c r="AJ348" s="405" t="s">
        <v>879</v>
      </c>
      <c r="AK348" s="300">
        <f t="shared" si="164"/>
        <v>0</v>
      </c>
      <c r="AL348" s="297">
        <f t="shared" si="165"/>
        <v>0</v>
      </c>
      <c r="AM348" s="295"/>
      <c r="AN348" s="295"/>
      <c r="AO348" s="298">
        <f>'Unit Savings Calculations'!P344</f>
        <v>706.68</v>
      </c>
      <c r="AP348" s="405" t="s">
        <v>764</v>
      </c>
      <c r="AQ348" s="300">
        <f t="shared" si="166"/>
        <v>0</v>
      </c>
      <c r="AR348" s="297">
        <f t="shared" si="167"/>
        <v>0</v>
      </c>
      <c r="AS348" s="295"/>
      <c r="AT348" s="295"/>
      <c r="AU348" s="298">
        <f>'Unit Savings Calculations'!Q344</f>
        <v>706.68</v>
      </c>
      <c r="AV348" s="405" t="str">
        <f t="shared" si="154"/>
        <v>n/a</v>
      </c>
      <c r="AW348" s="300">
        <f t="shared" si="168"/>
        <v>0</v>
      </c>
      <c r="AX348" s="297">
        <f t="shared" si="169"/>
        <v>0</v>
      </c>
      <c r="AY348" s="300">
        <f t="shared" si="155"/>
        <v>0</v>
      </c>
      <c r="AZ348" s="300">
        <f t="shared" si="156"/>
        <v>0</v>
      </c>
      <c r="BA348" s="300">
        <f t="shared" si="157"/>
        <v>0</v>
      </c>
      <c r="BB348" s="300">
        <f t="shared" si="158"/>
        <v>0</v>
      </c>
      <c r="BC348" s="301">
        <f t="shared" si="159"/>
        <v>0</v>
      </c>
      <c r="BD348" s="295" t="s">
        <v>764</v>
      </c>
      <c r="BE348" s="302" t="str">
        <f t="shared" si="160"/>
        <v>Exhibit 1.5A_R North Shore EEPS_Adjustable_Savings_Goal_Template.xlsx, Unit Savings Calculations Tab</v>
      </c>
      <c r="BF348" s="304"/>
    </row>
    <row r="349" spans="1:58" ht="15.75" customHeight="1">
      <c r="A349" s="295" t="str">
        <f>'Unit Savings Calculations'!C345</f>
        <v>Bus - Public Rebates</v>
      </c>
      <c r="B349" s="295" t="str">
        <f>'Unit Savings Calculations'!D345</f>
        <v>Infrared Rotisserie Oven</v>
      </c>
      <c r="C349" s="296">
        <f t="shared" ref="C349:C412" si="170">IF(D349="Custom",0,1)</f>
        <v>1</v>
      </c>
      <c r="D349" s="295" t="str">
        <f>'Unit Savings Calculations'!T345</f>
        <v>4.2.13</v>
      </c>
      <c r="E349" s="460">
        <f>INDEX('Unit Savings Calculations'!$H$4:$H$421,MATCH('Measure-Level Adjustments Tab'!$A349&amp;"_"&amp;'Measure-Level Adjustments Tab'!$B349,'Unit Savings Calculations'!$A$4:$A$421,0))</f>
        <v>12</v>
      </c>
      <c r="F349" s="460">
        <f>INDEX('Unit Savings Calculations'!$I$4:$I$421,MATCH('Measure-Level Adjustments Tab'!A349&amp;"_"&amp;'Measure-Level Adjustments Tab'!B349,'Unit Savings Calculations'!$A$4:$A$421,0))</f>
        <v>12</v>
      </c>
      <c r="G349" s="295" t="str">
        <f>'Unit Savings Calculations'!E345</f>
        <v>each</v>
      </c>
      <c r="H349" s="297">
        <f>'Unit Savings Calculations'!$F345*'Unit Savings Calculations'!J345</f>
        <v>0</v>
      </c>
      <c r="I349" s="297">
        <f>'Unit Savings Calculations'!$F345*'Unit Savings Calculations'!K345</f>
        <v>0</v>
      </c>
      <c r="J349" s="297">
        <f>'Unit Savings Calculations'!$F345*'Unit Savings Calculations'!L345</f>
        <v>0</v>
      </c>
      <c r="K349" s="297">
        <f>'Unit Savings Calculations'!$F345*'Unit Savings Calculations'!M345</f>
        <v>0</v>
      </c>
      <c r="L349" s="295" t="str">
        <f>'Unit Savings Calculations'!U345</f>
        <v>CI-FSE-IROV-V02-180101</v>
      </c>
      <c r="M349" s="405" t="str">
        <f>'Unit Savings Calculations'!R345</f>
        <v>Exhibit 1.5A_R North Shore EEPS_Adjustable_Savings_Goal_Template.xlsx, Unit Savings Calculations Tab</v>
      </c>
      <c r="N349" s="298">
        <v>599.04</v>
      </c>
      <c r="O349" s="298">
        <v>599.04</v>
      </c>
      <c r="P349" s="298">
        <v>599.04</v>
      </c>
      <c r="Q349" s="298">
        <v>599.04</v>
      </c>
      <c r="R349" s="299">
        <f>'Unit Savings Calculations'!$G345</f>
        <v>0.79</v>
      </c>
      <c r="S349" s="299">
        <f>'Unit Savings Calculations'!$G345</f>
        <v>0.79</v>
      </c>
      <c r="T349" s="299">
        <f>'Unit Savings Calculations'!$G345</f>
        <v>0.79</v>
      </c>
      <c r="U349" s="299">
        <f>'Unit Savings Calculations'!$G345</f>
        <v>0.79</v>
      </c>
      <c r="V349" s="300">
        <f t="shared" si="148"/>
        <v>0</v>
      </c>
      <c r="W349" s="300">
        <f t="shared" si="149"/>
        <v>0</v>
      </c>
      <c r="X349" s="300">
        <f t="shared" si="150"/>
        <v>0</v>
      </c>
      <c r="Y349" s="300">
        <f t="shared" si="151"/>
        <v>0</v>
      </c>
      <c r="Z349" s="300">
        <f t="shared" si="152"/>
        <v>0</v>
      </c>
      <c r="AA349" s="295"/>
      <c r="AB349" s="295"/>
      <c r="AC349" s="298">
        <f>'Unit Savings Calculations'!N345</f>
        <v>599.04</v>
      </c>
      <c r="AD349" s="295"/>
      <c r="AE349" s="300">
        <f t="shared" si="161"/>
        <v>0</v>
      </c>
      <c r="AF349" s="297">
        <f t="shared" si="162"/>
        <v>0</v>
      </c>
      <c r="AG349" s="295"/>
      <c r="AH349" s="295">
        <f t="shared" si="163"/>
        <v>0</v>
      </c>
      <c r="AI349" s="298">
        <f>'Unit Savings Calculations'!O345</f>
        <v>599.04</v>
      </c>
      <c r="AJ349" s="405" t="s">
        <v>879</v>
      </c>
      <c r="AK349" s="300">
        <f t="shared" si="164"/>
        <v>0</v>
      </c>
      <c r="AL349" s="297">
        <f t="shared" si="165"/>
        <v>0</v>
      </c>
      <c r="AM349" s="295"/>
      <c r="AN349" s="295"/>
      <c r="AO349" s="298">
        <f>'Unit Savings Calculations'!P345</f>
        <v>599.04</v>
      </c>
      <c r="AP349" s="405" t="s">
        <v>764</v>
      </c>
      <c r="AQ349" s="300">
        <f t="shared" si="166"/>
        <v>0</v>
      </c>
      <c r="AR349" s="297">
        <f t="shared" si="167"/>
        <v>0</v>
      </c>
      <c r="AS349" s="295"/>
      <c r="AT349" s="295"/>
      <c r="AU349" s="298">
        <f>'Unit Savings Calculations'!Q345</f>
        <v>599.04</v>
      </c>
      <c r="AV349" s="405" t="str">
        <f t="shared" si="154"/>
        <v>n/a</v>
      </c>
      <c r="AW349" s="300">
        <f t="shared" si="168"/>
        <v>0</v>
      </c>
      <c r="AX349" s="297">
        <f t="shared" si="169"/>
        <v>0</v>
      </c>
      <c r="AY349" s="300">
        <f t="shared" si="155"/>
        <v>0</v>
      </c>
      <c r="AZ349" s="300">
        <f t="shared" si="156"/>
        <v>0</v>
      </c>
      <c r="BA349" s="300">
        <f t="shared" si="157"/>
        <v>0</v>
      </c>
      <c r="BB349" s="300">
        <f t="shared" si="158"/>
        <v>0</v>
      </c>
      <c r="BC349" s="301">
        <f t="shared" si="159"/>
        <v>0</v>
      </c>
      <c r="BD349" s="295" t="s">
        <v>764</v>
      </c>
      <c r="BE349" s="302" t="str">
        <f t="shared" si="160"/>
        <v>Exhibit 1.5A_R North Shore EEPS_Adjustable_Savings_Goal_Template.xlsx, Unit Savings Calculations Tab</v>
      </c>
      <c r="BF349" s="304"/>
    </row>
    <row r="350" spans="1:58" ht="15.75" customHeight="1">
      <c r="A350" s="295" t="str">
        <f>'Unit Savings Calculations'!C346</f>
        <v>Bus - Public Rebates</v>
      </c>
      <c r="B350" s="295" t="str">
        <f>'Unit Savings Calculations'!D346</f>
        <v>Infrared Salamander Broiler</v>
      </c>
      <c r="C350" s="296">
        <f t="shared" si="170"/>
        <v>1</v>
      </c>
      <c r="D350" s="295" t="str">
        <f>'Unit Savings Calculations'!T346</f>
        <v>4.2.14</v>
      </c>
      <c r="E350" s="460">
        <f>INDEX('Unit Savings Calculations'!$H$4:$H$421,MATCH('Measure-Level Adjustments Tab'!$A350&amp;"_"&amp;'Measure-Level Adjustments Tab'!$B350,'Unit Savings Calculations'!$A$4:$A$421,0))</f>
        <v>12</v>
      </c>
      <c r="F350" s="460">
        <f>INDEX('Unit Savings Calculations'!$I$4:$I$421,MATCH('Measure-Level Adjustments Tab'!A350&amp;"_"&amp;'Measure-Level Adjustments Tab'!B350,'Unit Savings Calculations'!$A$4:$A$421,0))</f>
        <v>12</v>
      </c>
      <c r="G350" s="295" t="str">
        <f>'Unit Savings Calculations'!E346</f>
        <v>each</v>
      </c>
      <c r="H350" s="297">
        <f>'Unit Savings Calculations'!$F346*'Unit Savings Calculations'!J346</f>
        <v>0</v>
      </c>
      <c r="I350" s="297">
        <f>'Unit Savings Calculations'!$F346*'Unit Savings Calculations'!K346</f>
        <v>0</v>
      </c>
      <c r="J350" s="297">
        <f>'Unit Savings Calculations'!$F346*'Unit Savings Calculations'!L346</f>
        <v>0</v>
      </c>
      <c r="K350" s="297">
        <f>'Unit Savings Calculations'!$F346*'Unit Savings Calculations'!M346</f>
        <v>0</v>
      </c>
      <c r="L350" s="295" t="str">
        <f>'Unit Savings Calculations'!U346</f>
        <v>CI-FSE-IRBL-V02-180101</v>
      </c>
      <c r="M350" s="405" t="str">
        <f>'Unit Savings Calculations'!R346</f>
        <v>Exhibit 1.5A_R North Shore EEPS_Adjustable_Savings_Goal_Template.xlsx, Unit Savings Calculations Tab</v>
      </c>
      <c r="N350" s="298">
        <v>240.24</v>
      </c>
      <c r="O350" s="298">
        <v>240.24</v>
      </c>
      <c r="P350" s="298">
        <v>240.24</v>
      </c>
      <c r="Q350" s="298">
        <v>240.24</v>
      </c>
      <c r="R350" s="299">
        <f>'Unit Savings Calculations'!$G346</f>
        <v>0.79</v>
      </c>
      <c r="S350" s="299">
        <f>'Unit Savings Calculations'!$G346</f>
        <v>0.79</v>
      </c>
      <c r="T350" s="299">
        <f>'Unit Savings Calculations'!$G346</f>
        <v>0.79</v>
      </c>
      <c r="U350" s="299">
        <f>'Unit Savings Calculations'!$G346</f>
        <v>0.79</v>
      </c>
      <c r="V350" s="300">
        <f t="shared" ref="V350:V413" si="171">H350*N350*R350</f>
        <v>0</v>
      </c>
      <c r="W350" s="300">
        <f t="shared" ref="W350:W413" si="172">I350*O350*S350</f>
        <v>0</v>
      </c>
      <c r="X350" s="300">
        <f t="shared" ref="X350:X413" si="173">J350*P350*T350</f>
        <v>0</v>
      </c>
      <c r="Y350" s="300">
        <f t="shared" ref="Y350:Y413" si="174">K350*Q350*U350</f>
        <v>0</v>
      </c>
      <c r="Z350" s="300">
        <f t="shared" ref="Z350:Z413" si="175">V350+W350+X350+Y350</f>
        <v>0</v>
      </c>
      <c r="AA350" s="295"/>
      <c r="AB350" s="295"/>
      <c r="AC350" s="298">
        <f>'Unit Savings Calculations'!N346</f>
        <v>240.24</v>
      </c>
      <c r="AD350" s="295"/>
      <c r="AE350" s="300">
        <f t="shared" si="161"/>
        <v>0</v>
      </c>
      <c r="AF350" s="297">
        <f t="shared" si="162"/>
        <v>0</v>
      </c>
      <c r="AG350" s="295"/>
      <c r="AH350" s="295">
        <f t="shared" si="163"/>
        <v>0</v>
      </c>
      <c r="AI350" s="298">
        <f>'Unit Savings Calculations'!O346</f>
        <v>240.24</v>
      </c>
      <c r="AJ350" s="405" t="s">
        <v>879</v>
      </c>
      <c r="AK350" s="300">
        <f t="shared" si="164"/>
        <v>0</v>
      </c>
      <c r="AL350" s="297">
        <f t="shared" si="165"/>
        <v>0</v>
      </c>
      <c r="AM350" s="295"/>
      <c r="AN350" s="295"/>
      <c r="AO350" s="298">
        <f>'Unit Savings Calculations'!P346</f>
        <v>240.24</v>
      </c>
      <c r="AP350" s="405" t="s">
        <v>764</v>
      </c>
      <c r="AQ350" s="300">
        <f t="shared" si="166"/>
        <v>0</v>
      </c>
      <c r="AR350" s="297">
        <f t="shared" si="167"/>
        <v>0</v>
      </c>
      <c r="AS350" s="295"/>
      <c r="AT350" s="295"/>
      <c r="AU350" s="298">
        <f>'Unit Savings Calculations'!Q346</f>
        <v>240.24</v>
      </c>
      <c r="AV350" s="405" t="str">
        <f t="shared" si="154"/>
        <v>n/a</v>
      </c>
      <c r="AW350" s="300">
        <f t="shared" si="168"/>
        <v>0</v>
      </c>
      <c r="AX350" s="297">
        <f t="shared" si="169"/>
        <v>0</v>
      </c>
      <c r="AY350" s="300">
        <f t="shared" si="155"/>
        <v>0</v>
      </c>
      <c r="AZ350" s="300">
        <f t="shared" si="156"/>
        <v>0</v>
      </c>
      <c r="BA350" s="300">
        <f t="shared" si="157"/>
        <v>0</v>
      </c>
      <c r="BB350" s="300">
        <f t="shared" si="158"/>
        <v>0</v>
      </c>
      <c r="BC350" s="301">
        <f t="shared" si="159"/>
        <v>0</v>
      </c>
      <c r="BD350" s="295" t="s">
        <v>764</v>
      </c>
      <c r="BE350" s="302" t="str">
        <f t="shared" si="160"/>
        <v>Exhibit 1.5A_R North Shore EEPS_Adjustable_Savings_Goal_Template.xlsx, Unit Savings Calculations Tab</v>
      </c>
      <c r="BF350" s="304"/>
    </row>
    <row r="351" spans="1:58" ht="15.75" customHeight="1">
      <c r="A351" s="295" t="str">
        <f>'Unit Savings Calculations'!C347</f>
        <v>Bus - Public Rebates</v>
      </c>
      <c r="B351" s="295" t="str">
        <f>'Unit Savings Calculations'!D347</f>
        <v>Infrared Upright Broiler</v>
      </c>
      <c r="C351" s="296">
        <f t="shared" si="170"/>
        <v>1</v>
      </c>
      <c r="D351" s="295" t="str">
        <f>'Unit Savings Calculations'!T347</f>
        <v>4.2.15</v>
      </c>
      <c r="E351" s="460">
        <f>INDEX('Unit Savings Calculations'!$H$4:$H$421,MATCH('Measure-Level Adjustments Tab'!$A351&amp;"_"&amp;'Measure-Level Adjustments Tab'!$B351,'Unit Savings Calculations'!$A$4:$A$421,0))</f>
        <v>12</v>
      </c>
      <c r="F351" s="460">
        <f>INDEX('Unit Savings Calculations'!$I$4:$I$421,MATCH('Measure-Level Adjustments Tab'!A351&amp;"_"&amp;'Measure-Level Adjustments Tab'!B351,'Unit Savings Calculations'!$A$4:$A$421,0))</f>
        <v>12</v>
      </c>
      <c r="G351" s="295" t="str">
        <f>'Unit Savings Calculations'!E347</f>
        <v>each</v>
      </c>
      <c r="H351" s="297">
        <f>'Unit Savings Calculations'!$F347*'Unit Savings Calculations'!J347</f>
        <v>0</v>
      </c>
      <c r="I351" s="297">
        <f>'Unit Savings Calculations'!$F347*'Unit Savings Calculations'!K347</f>
        <v>0</v>
      </c>
      <c r="J351" s="297">
        <f>'Unit Savings Calculations'!$F347*'Unit Savings Calculations'!L347</f>
        <v>0</v>
      </c>
      <c r="K351" s="297">
        <f>'Unit Savings Calculations'!$F347*'Unit Savings Calculations'!M347</f>
        <v>0</v>
      </c>
      <c r="L351" s="295" t="str">
        <f>'Unit Savings Calculations'!U347</f>
        <v>CI-FSE-IRUB-V02-180101</v>
      </c>
      <c r="M351" s="405" t="str">
        <f>'Unit Savings Calculations'!R347</f>
        <v>Exhibit 1.5A_R North Shore EEPS_Adjustable_Savings_Goal_Template.xlsx, Unit Savings Calculations Tab</v>
      </c>
      <c r="N351" s="298">
        <v>943.48800000000006</v>
      </c>
      <c r="O351" s="298">
        <v>943.48800000000006</v>
      </c>
      <c r="P351" s="298">
        <v>943.48800000000006</v>
      </c>
      <c r="Q351" s="298">
        <v>943.48800000000006</v>
      </c>
      <c r="R351" s="299">
        <f>'Unit Savings Calculations'!$G347</f>
        <v>0.79</v>
      </c>
      <c r="S351" s="299">
        <f>'Unit Savings Calculations'!$G347</f>
        <v>0.79</v>
      </c>
      <c r="T351" s="299">
        <f>'Unit Savings Calculations'!$G347</f>
        <v>0.79</v>
      </c>
      <c r="U351" s="299">
        <f>'Unit Savings Calculations'!$G347</f>
        <v>0.79</v>
      </c>
      <c r="V351" s="300">
        <f t="shared" si="171"/>
        <v>0</v>
      </c>
      <c r="W351" s="300">
        <f t="shared" si="172"/>
        <v>0</v>
      </c>
      <c r="X351" s="300">
        <f t="shared" si="173"/>
        <v>0</v>
      </c>
      <c r="Y351" s="300">
        <f t="shared" si="174"/>
        <v>0</v>
      </c>
      <c r="Z351" s="300">
        <f t="shared" si="175"/>
        <v>0</v>
      </c>
      <c r="AA351" s="295"/>
      <c r="AB351" s="295"/>
      <c r="AC351" s="298">
        <f>'Unit Savings Calculations'!N347</f>
        <v>943.48800000000006</v>
      </c>
      <c r="AD351" s="295"/>
      <c r="AE351" s="300">
        <f t="shared" si="161"/>
        <v>0</v>
      </c>
      <c r="AF351" s="297">
        <f t="shared" si="162"/>
        <v>0</v>
      </c>
      <c r="AG351" s="295"/>
      <c r="AH351" s="295">
        <f t="shared" si="163"/>
        <v>0</v>
      </c>
      <c r="AI351" s="298">
        <f>'Unit Savings Calculations'!O347</f>
        <v>943.48800000000006</v>
      </c>
      <c r="AJ351" s="405" t="s">
        <v>879</v>
      </c>
      <c r="AK351" s="300">
        <f t="shared" si="164"/>
        <v>0</v>
      </c>
      <c r="AL351" s="297">
        <f t="shared" si="165"/>
        <v>0</v>
      </c>
      <c r="AM351" s="295"/>
      <c r="AN351" s="295"/>
      <c r="AO351" s="298">
        <f>'Unit Savings Calculations'!P347</f>
        <v>943.48800000000006</v>
      </c>
      <c r="AP351" s="405" t="s">
        <v>764</v>
      </c>
      <c r="AQ351" s="300">
        <f t="shared" si="166"/>
        <v>0</v>
      </c>
      <c r="AR351" s="297">
        <f t="shared" si="167"/>
        <v>0</v>
      </c>
      <c r="AS351" s="295"/>
      <c r="AT351" s="295"/>
      <c r="AU351" s="298">
        <f>'Unit Savings Calculations'!Q347</f>
        <v>943.48800000000006</v>
      </c>
      <c r="AV351" s="405" t="str">
        <f t="shared" si="154"/>
        <v>n/a</v>
      </c>
      <c r="AW351" s="300">
        <f t="shared" si="168"/>
        <v>0</v>
      </c>
      <c r="AX351" s="297">
        <f t="shared" si="169"/>
        <v>0</v>
      </c>
      <c r="AY351" s="300">
        <f t="shared" si="155"/>
        <v>0</v>
      </c>
      <c r="AZ351" s="300">
        <f t="shared" si="156"/>
        <v>0</v>
      </c>
      <c r="BA351" s="300">
        <f t="shared" si="157"/>
        <v>0</v>
      </c>
      <c r="BB351" s="300">
        <f t="shared" si="158"/>
        <v>0</v>
      </c>
      <c r="BC351" s="301">
        <f t="shared" si="159"/>
        <v>0</v>
      </c>
      <c r="BD351" s="295" t="s">
        <v>764</v>
      </c>
      <c r="BE351" s="302" t="str">
        <f t="shared" si="160"/>
        <v>Exhibit 1.5A_R North Shore EEPS_Adjustable_Savings_Goal_Template.xlsx, Unit Savings Calculations Tab</v>
      </c>
      <c r="BF351" s="304"/>
    </row>
    <row r="352" spans="1:58" ht="15.75" customHeight="1">
      <c r="A352" s="295" t="str">
        <f>'Unit Savings Calculations'!C348</f>
        <v>Bus - Public Rebates</v>
      </c>
      <c r="B352" s="295" t="str">
        <f>'Unit Savings Calculations'!D348</f>
        <v>CI Custom</v>
      </c>
      <c r="C352" s="296">
        <f t="shared" si="170"/>
        <v>0</v>
      </c>
      <c r="D352" s="295" t="str">
        <f>'Unit Savings Calculations'!T348</f>
        <v>Custom</v>
      </c>
      <c r="E352" s="460">
        <f>INDEX('Unit Savings Calculations'!$H$4:$H$421,MATCH('Measure-Level Adjustments Tab'!$A352&amp;"_"&amp;'Measure-Level Adjustments Tab'!$B352,'Unit Savings Calculations'!$A$4:$A$421,0))</f>
        <v>15</v>
      </c>
      <c r="F352" s="460">
        <f>INDEX('Unit Savings Calculations'!$I$4:$I$421,MATCH('Measure-Level Adjustments Tab'!A352&amp;"_"&amp;'Measure-Level Adjustments Tab'!B352,'Unit Savings Calculations'!$A$4:$A$421,0))</f>
        <v>15</v>
      </c>
      <c r="G352" s="295" t="str">
        <f>'Unit Savings Calculations'!E348</f>
        <v>each</v>
      </c>
      <c r="H352" s="297">
        <f>'Unit Savings Calculations'!$F348*'Unit Savings Calculations'!J348</f>
        <v>7</v>
      </c>
      <c r="I352" s="297">
        <f>'Unit Savings Calculations'!$F348*'Unit Savings Calculations'!K348</f>
        <v>7</v>
      </c>
      <c r="J352" s="297">
        <f>'Unit Savings Calculations'!$F348*'Unit Savings Calculations'!L348</f>
        <v>7</v>
      </c>
      <c r="K352" s="297">
        <f>'Unit Savings Calculations'!$F348*'Unit Savings Calculations'!M348</f>
        <v>7</v>
      </c>
      <c r="L352" s="295" t="str">
        <f>'Unit Savings Calculations'!U348</f>
        <v>Custom</v>
      </c>
      <c r="M352" s="405" t="str">
        <f>'Unit Savings Calculations'!R348</f>
        <v>Custom</v>
      </c>
      <c r="N352" s="298">
        <v>2100</v>
      </c>
      <c r="O352" s="298">
        <v>2100</v>
      </c>
      <c r="P352" s="298">
        <v>2100</v>
      </c>
      <c r="Q352" s="298">
        <v>2100</v>
      </c>
      <c r="R352" s="299">
        <f>'Unit Savings Calculations'!$G348</f>
        <v>0.69</v>
      </c>
      <c r="S352" s="299">
        <f>'Unit Savings Calculations'!$G348</f>
        <v>0.69</v>
      </c>
      <c r="T352" s="299">
        <f>'Unit Savings Calculations'!$G348</f>
        <v>0.69</v>
      </c>
      <c r="U352" s="299">
        <f>'Unit Savings Calculations'!$G348</f>
        <v>0.69</v>
      </c>
      <c r="V352" s="300">
        <f t="shared" si="171"/>
        <v>10143</v>
      </c>
      <c r="W352" s="300">
        <f t="shared" si="172"/>
        <v>10143</v>
      </c>
      <c r="X352" s="300">
        <f t="shared" si="173"/>
        <v>10143</v>
      </c>
      <c r="Y352" s="300">
        <f t="shared" si="174"/>
        <v>10143</v>
      </c>
      <c r="Z352" s="300">
        <f t="shared" si="175"/>
        <v>40572</v>
      </c>
      <c r="AA352" s="406"/>
      <c r="AB352" s="406"/>
      <c r="AC352" s="409">
        <f>'Unit Savings Calculations'!N348</f>
        <v>2100</v>
      </c>
      <c r="AD352" s="406"/>
      <c r="AE352" s="407">
        <f t="shared" si="161"/>
        <v>10143</v>
      </c>
      <c r="AF352" s="408">
        <f t="shared" si="162"/>
        <v>0</v>
      </c>
      <c r="AG352" s="406"/>
      <c r="AH352" s="406">
        <f t="shared" si="163"/>
        <v>0</v>
      </c>
      <c r="AI352" s="409">
        <f>'Unit Savings Calculations'!O348</f>
        <v>2100</v>
      </c>
      <c r="AJ352" s="457" t="s">
        <v>879</v>
      </c>
      <c r="AK352" s="407">
        <f t="shared" si="164"/>
        <v>10143</v>
      </c>
      <c r="AL352" s="408">
        <f t="shared" si="165"/>
        <v>0</v>
      </c>
      <c r="AM352" s="406"/>
      <c r="AN352" s="406"/>
      <c r="AO352" s="409">
        <f>'Unit Savings Calculations'!P348</f>
        <v>2100</v>
      </c>
      <c r="AP352" s="457" t="s">
        <v>764</v>
      </c>
      <c r="AQ352" s="407">
        <f t="shared" si="166"/>
        <v>10143</v>
      </c>
      <c r="AR352" s="408">
        <f t="shared" si="167"/>
        <v>0</v>
      </c>
      <c r="AS352" s="406"/>
      <c r="AT352" s="406"/>
      <c r="AU352" s="409">
        <f>'Unit Savings Calculations'!Q348</f>
        <v>2100</v>
      </c>
      <c r="AV352" s="457" t="str">
        <f t="shared" si="154"/>
        <v>n/a</v>
      </c>
      <c r="AW352" s="407">
        <f t="shared" si="168"/>
        <v>10143</v>
      </c>
      <c r="AX352" s="408">
        <f t="shared" si="169"/>
        <v>0</v>
      </c>
      <c r="AY352" s="300">
        <f t="shared" si="155"/>
        <v>10143</v>
      </c>
      <c r="AZ352" s="300">
        <f t="shared" si="156"/>
        <v>10143</v>
      </c>
      <c r="BA352" s="300">
        <f t="shared" si="157"/>
        <v>10143</v>
      </c>
      <c r="BB352" s="300">
        <f t="shared" si="158"/>
        <v>10143</v>
      </c>
      <c r="BC352" s="301">
        <f t="shared" si="159"/>
        <v>40572</v>
      </c>
      <c r="BD352" s="295" t="s">
        <v>764</v>
      </c>
      <c r="BE352" s="302" t="str">
        <f t="shared" si="160"/>
        <v>Custom</v>
      </c>
      <c r="BF352" s="304"/>
    </row>
    <row r="353" spans="1:58" ht="15.75" customHeight="1">
      <c r="A353" s="295" t="str">
        <f>'Unit Savings Calculations'!C349</f>
        <v>Bus - Public Rebates</v>
      </c>
      <c r="B353" s="295" t="str">
        <f>'Unit Savings Calculations'!D349</f>
        <v>New Construction</v>
      </c>
      <c r="C353" s="296">
        <f t="shared" si="170"/>
        <v>0</v>
      </c>
      <c r="D353" s="295" t="str">
        <f>'Unit Savings Calculations'!T349</f>
        <v>Custom</v>
      </c>
      <c r="E353" s="460">
        <f>INDEX('Unit Savings Calculations'!$H$4:$H$421,MATCH('Measure-Level Adjustments Tab'!$A353&amp;"_"&amp;'Measure-Level Adjustments Tab'!$B353,'Unit Savings Calculations'!$A$4:$A$421,0))</f>
        <v>15</v>
      </c>
      <c r="F353" s="460">
        <f>INDEX('Unit Savings Calculations'!$I$4:$I$421,MATCH('Measure-Level Adjustments Tab'!A353&amp;"_"&amp;'Measure-Level Adjustments Tab'!B353,'Unit Savings Calculations'!$A$4:$A$421,0))</f>
        <v>15</v>
      </c>
      <c r="G353" s="295" t="str">
        <f>'Unit Savings Calculations'!E349</f>
        <v>each</v>
      </c>
      <c r="H353" s="297">
        <f>'Unit Savings Calculations'!$F349*'Unit Savings Calculations'!J349</f>
        <v>1</v>
      </c>
      <c r="I353" s="297">
        <f>'Unit Savings Calculations'!$F349*'Unit Savings Calculations'!K349</f>
        <v>1</v>
      </c>
      <c r="J353" s="297">
        <f>'Unit Savings Calculations'!$F349*'Unit Savings Calculations'!L349</f>
        <v>1</v>
      </c>
      <c r="K353" s="297">
        <f>'Unit Savings Calculations'!$F349*'Unit Savings Calculations'!M349</f>
        <v>1</v>
      </c>
      <c r="L353" s="295" t="str">
        <f>'Unit Savings Calculations'!U349</f>
        <v>Custom</v>
      </c>
      <c r="M353" s="405" t="str">
        <f>'Unit Savings Calculations'!R349</f>
        <v>Custom</v>
      </c>
      <c r="N353" s="298">
        <v>2500</v>
      </c>
      <c r="O353" s="298">
        <v>2500</v>
      </c>
      <c r="P353" s="298">
        <v>2500</v>
      </c>
      <c r="Q353" s="298">
        <v>2500</v>
      </c>
      <c r="R353" s="299">
        <f>'Unit Savings Calculations'!$G349</f>
        <v>0.77</v>
      </c>
      <c r="S353" s="299">
        <f>'Unit Savings Calculations'!$G349</f>
        <v>0.77</v>
      </c>
      <c r="T353" s="299">
        <f>'Unit Savings Calculations'!$G349</f>
        <v>0.77</v>
      </c>
      <c r="U353" s="299">
        <f>'Unit Savings Calculations'!$G349</f>
        <v>0.77</v>
      </c>
      <c r="V353" s="300">
        <f t="shared" si="171"/>
        <v>1925</v>
      </c>
      <c r="W353" s="300">
        <f t="shared" si="172"/>
        <v>1925</v>
      </c>
      <c r="X353" s="300">
        <f t="shared" si="173"/>
        <v>1925</v>
      </c>
      <c r="Y353" s="300">
        <f t="shared" si="174"/>
        <v>1925</v>
      </c>
      <c r="Z353" s="300">
        <f t="shared" si="175"/>
        <v>7700</v>
      </c>
      <c r="AA353" s="406"/>
      <c r="AB353" s="406"/>
      <c r="AC353" s="409">
        <f>'Unit Savings Calculations'!N349</f>
        <v>2500</v>
      </c>
      <c r="AD353" s="406"/>
      <c r="AE353" s="407">
        <f t="shared" si="161"/>
        <v>1925</v>
      </c>
      <c r="AF353" s="408">
        <f t="shared" si="162"/>
        <v>0</v>
      </c>
      <c r="AG353" s="406"/>
      <c r="AH353" s="406">
        <f t="shared" si="163"/>
        <v>0</v>
      </c>
      <c r="AI353" s="409">
        <f>'Unit Savings Calculations'!O349</f>
        <v>2500</v>
      </c>
      <c r="AJ353" s="457" t="s">
        <v>879</v>
      </c>
      <c r="AK353" s="407">
        <f t="shared" si="164"/>
        <v>1925</v>
      </c>
      <c r="AL353" s="408">
        <f t="shared" si="165"/>
        <v>0</v>
      </c>
      <c r="AM353" s="406"/>
      <c r="AN353" s="406"/>
      <c r="AO353" s="409">
        <f>'Unit Savings Calculations'!P349</f>
        <v>2500</v>
      </c>
      <c r="AP353" s="457" t="s">
        <v>764</v>
      </c>
      <c r="AQ353" s="407">
        <f t="shared" si="166"/>
        <v>1925</v>
      </c>
      <c r="AR353" s="408">
        <f t="shared" si="167"/>
        <v>0</v>
      </c>
      <c r="AS353" s="406"/>
      <c r="AT353" s="406"/>
      <c r="AU353" s="409">
        <f>'Unit Savings Calculations'!Q349</f>
        <v>2500</v>
      </c>
      <c r="AV353" s="457" t="str">
        <f t="shared" si="154"/>
        <v>n/a</v>
      </c>
      <c r="AW353" s="407">
        <f t="shared" si="168"/>
        <v>1925</v>
      </c>
      <c r="AX353" s="408">
        <f t="shared" si="169"/>
        <v>0</v>
      </c>
      <c r="AY353" s="300">
        <f t="shared" si="155"/>
        <v>1925</v>
      </c>
      <c r="AZ353" s="300">
        <f t="shared" si="156"/>
        <v>1925</v>
      </c>
      <c r="BA353" s="300">
        <f t="shared" si="157"/>
        <v>1925</v>
      </c>
      <c r="BB353" s="300">
        <f t="shared" si="158"/>
        <v>1925</v>
      </c>
      <c r="BC353" s="301">
        <f t="shared" si="159"/>
        <v>7700</v>
      </c>
      <c r="BD353" s="295" t="s">
        <v>764</v>
      </c>
      <c r="BE353" s="302" t="str">
        <f t="shared" si="160"/>
        <v>Custom</v>
      </c>
      <c r="BF353" s="304"/>
    </row>
    <row r="354" spans="1:58" ht="15.75" customHeight="1">
      <c r="A354" s="295" t="s">
        <v>713</v>
      </c>
      <c r="B354" s="295" t="str">
        <f>'Unit Savings Calculations'!D350</f>
        <v>Behavior 2018 1st Year</v>
      </c>
      <c r="C354" s="296">
        <f t="shared" si="170"/>
        <v>1</v>
      </c>
      <c r="D354" s="295" t="str">
        <f>'Unit Savings Calculations'!T350</f>
        <v>6.1.1</v>
      </c>
      <c r="E354" s="460">
        <f>INDEX('Unit Savings Calculations'!$H$4:$H$421,MATCH('Measure-Level Adjustments Tab'!$A354&amp;"_"&amp;'Measure-Level Adjustments Tab'!$B354,'Unit Savings Calculations'!$A$4:$A$421,0))</f>
        <v>1</v>
      </c>
      <c r="F354" s="460">
        <f>INDEX('Unit Savings Calculations'!$I$4:$I$421,MATCH('Measure-Level Adjustments Tab'!A354&amp;"_"&amp;'Measure-Level Adjustments Tab'!B354,'Unit Savings Calculations'!$A$4:$A$421,0))</f>
        <v>1</v>
      </c>
      <c r="G354" s="295" t="str">
        <f>'Unit Savings Calculations'!E350</f>
        <v>each</v>
      </c>
      <c r="H354" s="297">
        <f>'Unit Savings Calculations'!$F350*'Unit Savings Calculations'!J350</f>
        <v>0</v>
      </c>
      <c r="I354" s="297">
        <f>'Unit Savings Calculations'!$F350*'Unit Savings Calculations'!K350</f>
        <v>0</v>
      </c>
      <c r="J354" s="297">
        <f>'Unit Savings Calculations'!$F350*'Unit Savings Calculations'!L350</f>
        <v>0</v>
      </c>
      <c r="K354" s="297">
        <f>'Unit Savings Calculations'!$F350*'Unit Savings Calculations'!M350</f>
        <v>0</v>
      </c>
      <c r="L354" s="295" t="str">
        <f>'Unit Savings Calculations'!U350</f>
        <v>CC-BEH-BEHP-V02-16061</v>
      </c>
      <c r="M354" s="405" t="str">
        <f>'Unit Savings Calculations'!R350</f>
        <v>Exhibit 1.5A_R North Shore EEPS_Adjustable_Savings_Goal_Template.xlsx, Behavioral Tab</v>
      </c>
      <c r="N354" s="298">
        <v>0</v>
      </c>
      <c r="O354" s="298">
        <v>0</v>
      </c>
      <c r="P354" s="298">
        <v>0</v>
      </c>
      <c r="Q354" s="298">
        <v>0</v>
      </c>
      <c r="R354" s="299">
        <f>'Unit Savings Calculations'!$G350</f>
        <v>1</v>
      </c>
      <c r="S354" s="299">
        <f>'Unit Savings Calculations'!$G350</f>
        <v>1</v>
      </c>
      <c r="T354" s="299">
        <f>'Unit Savings Calculations'!$G350</f>
        <v>1</v>
      </c>
      <c r="U354" s="299">
        <f>'Unit Savings Calculations'!$G350</f>
        <v>1</v>
      </c>
      <c r="V354" s="300">
        <f t="shared" si="171"/>
        <v>0</v>
      </c>
      <c r="W354" s="300">
        <f t="shared" si="172"/>
        <v>0</v>
      </c>
      <c r="X354" s="300">
        <f t="shared" si="173"/>
        <v>0</v>
      </c>
      <c r="Y354" s="300">
        <f t="shared" si="174"/>
        <v>0</v>
      </c>
      <c r="Z354" s="300">
        <f t="shared" si="175"/>
        <v>0</v>
      </c>
      <c r="AA354" s="295"/>
      <c r="AB354" s="295"/>
      <c r="AC354" s="298">
        <f>'Unit Savings Calculations'!N350</f>
        <v>0</v>
      </c>
      <c r="AD354" s="295"/>
      <c r="AE354" s="300">
        <f t="shared" si="161"/>
        <v>0</v>
      </c>
      <c r="AF354" s="297">
        <f t="shared" si="162"/>
        <v>0</v>
      </c>
      <c r="AG354" s="295"/>
      <c r="AH354" s="295">
        <f t="shared" si="163"/>
        <v>0</v>
      </c>
      <c r="AI354" s="298">
        <f>'Unit Savings Calculations'!O350</f>
        <v>0</v>
      </c>
      <c r="AJ354" s="405" t="s">
        <v>879</v>
      </c>
      <c r="AK354" s="300">
        <f t="shared" si="164"/>
        <v>0</v>
      </c>
      <c r="AL354" s="297">
        <f t="shared" si="165"/>
        <v>0</v>
      </c>
      <c r="AM354" s="295"/>
      <c r="AN354" s="295"/>
      <c r="AO354" s="298">
        <f>'Unit Savings Calculations'!P350</f>
        <v>0</v>
      </c>
      <c r="AP354" s="405" t="s">
        <v>764</v>
      </c>
      <c r="AQ354" s="300">
        <f t="shared" si="166"/>
        <v>0</v>
      </c>
      <c r="AR354" s="297">
        <f t="shared" si="167"/>
        <v>0</v>
      </c>
      <c r="AS354" s="295"/>
      <c r="AT354" s="295"/>
      <c r="AU354" s="298">
        <f>'Unit Savings Calculations'!Q350</f>
        <v>0</v>
      </c>
      <c r="AV354" s="405" t="str">
        <f t="shared" si="154"/>
        <v>n/a</v>
      </c>
      <c r="AW354" s="300">
        <f t="shared" si="168"/>
        <v>0</v>
      </c>
      <c r="AX354" s="297">
        <f t="shared" si="169"/>
        <v>0</v>
      </c>
      <c r="AY354" s="300">
        <f t="shared" si="155"/>
        <v>0</v>
      </c>
      <c r="AZ354" s="300">
        <f t="shared" si="156"/>
        <v>0</v>
      </c>
      <c r="BA354" s="300">
        <f t="shared" si="157"/>
        <v>0</v>
      </c>
      <c r="BB354" s="300">
        <f t="shared" si="158"/>
        <v>0</v>
      </c>
      <c r="BC354" s="301">
        <f t="shared" si="159"/>
        <v>0</v>
      </c>
      <c r="BD354" s="295" t="s">
        <v>764</v>
      </c>
      <c r="BE354" s="302" t="str">
        <f t="shared" si="160"/>
        <v>Exhibit 1.5A_R North Shore EEPS_Adjustable_Savings_Goal_Template.xlsx, Behavioral Tab</v>
      </c>
      <c r="BF354" s="304"/>
    </row>
    <row r="355" spans="1:58" ht="15.75" customHeight="1">
      <c r="A355" s="295" t="s">
        <v>713</v>
      </c>
      <c r="B355" s="295" t="str">
        <f>'Unit Savings Calculations'!D351</f>
        <v>Behavior 2019 1st Year</v>
      </c>
      <c r="C355" s="296">
        <f t="shared" si="170"/>
        <v>1</v>
      </c>
      <c r="D355" s="295" t="str">
        <f>'Unit Savings Calculations'!T351</f>
        <v>6.1.1</v>
      </c>
      <c r="E355" s="460">
        <f>INDEX('Unit Savings Calculations'!$H$4:$H$421,MATCH('Measure-Level Adjustments Tab'!$A355&amp;"_"&amp;'Measure-Level Adjustments Tab'!$B355,'Unit Savings Calculations'!$A$4:$A$421,0))</f>
        <v>1</v>
      </c>
      <c r="F355" s="460">
        <f>INDEX('Unit Savings Calculations'!$I$4:$I$421,MATCH('Measure-Level Adjustments Tab'!A355&amp;"_"&amp;'Measure-Level Adjustments Tab'!B355,'Unit Savings Calculations'!$A$4:$A$421,0))</f>
        <v>1</v>
      </c>
      <c r="G355" s="295" t="str">
        <f>'Unit Savings Calculations'!E351</f>
        <v>each</v>
      </c>
      <c r="H355" s="297">
        <f>'Unit Savings Calculations'!$F351*'Unit Savings Calculations'!J351</f>
        <v>0</v>
      </c>
      <c r="I355" s="297">
        <f>'Unit Savings Calculations'!$F351*'Unit Savings Calculations'!K351</f>
        <v>0</v>
      </c>
      <c r="J355" s="297">
        <f>'Unit Savings Calculations'!$F351*'Unit Savings Calculations'!L351</f>
        <v>0</v>
      </c>
      <c r="K355" s="297">
        <f>'Unit Savings Calculations'!$F351*'Unit Savings Calculations'!M351</f>
        <v>0</v>
      </c>
      <c r="L355" s="295" t="str">
        <f>'Unit Savings Calculations'!U351</f>
        <v>CC-BEH-BEHP-V02-16061</v>
      </c>
      <c r="M355" s="405" t="str">
        <f>'Unit Savings Calculations'!R351</f>
        <v>Exhibit 1.5A_R North Shore EEPS_Adjustable_Savings_Goal_Template.xlsx, Behavioral Tab</v>
      </c>
      <c r="N355" s="298">
        <v>0</v>
      </c>
      <c r="O355" s="298">
        <v>0</v>
      </c>
      <c r="P355" s="298">
        <v>0</v>
      </c>
      <c r="Q355" s="298">
        <v>0</v>
      </c>
      <c r="R355" s="299">
        <f>'Unit Savings Calculations'!$G351</f>
        <v>1</v>
      </c>
      <c r="S355" s="299">
        <f>'Unit Savings Calculations'!$G351</f>
        <v>1</v>
      </c>
      <c r="T355" s="299">
        <f>'Unit Savings Calculations'!$G351</f>
        <v>1</v>
      </c>
      <c r="U355" s="299">
        <f>'Unit Savings Calculations'!$G351</f>
        <v>1</v>
      </c>
      <c r="V355" s="300">
        <f t="shared" si="171"/>
        <v>0</v>
      </c>
      <c r="W355" s="300">
        <f t="shared" si="172"/>
        <v>0</v>
      </c>
      <c r="X355" s="300">
        <f t="shared" si="173"/>
        <v>0</v>
      </c>
      <c r="Y355" s="300">
        <f t="shared" si="174"/>
        <v>0</v>
      </c>
      <c r="Z355" s="300">
        <f t="shared" si="175"/>
        <v>0</v>
      </c>
      <c r="AA355" s="295"/>
      <c r="AB355" s="295"/>
      <c r="AC355" s="298">
        <f>'Unit Savings Calculations'!N351</f>
        <v>0</v>
      </c>
      <c r="AD355" s="295"/>
      <c r="AE355" s="300">
        <f t="shared" si="161"/>
        <v>0</v>
      </c>
      <c r="AF355" s="297">
        <f t="shared" si="162"/>
        <v>0</v>
      </c>
      <c r="AG355" s="295"/>
      <c r="AH355" s="295">
        <f t="shared" si="163"/>
        <v>0</v>
      </c>
      <c r="AI355" s="298">
        <f>'Unit Savings Calculations'!O351</f>
        <v>0</v>
      </c>
      <c r="AJ355" s="405" t="s">
        <v>879</v>
      </c>
      <c r="AK355" s="300">
        <f t="shared" si="164"/>
        <v>0</v>
      </c>
      <c r="AL355" s="297">
        <f t="shared" si="165"/>
        <v>0</v>
      </c>
      <c r="AM355" s="295"/>
      <c r="AN355" s="295"/>
      <c r="AO355" s="298">
        <f>'Unit Savings Calculations'!P351</f>
        <v>0</v>
      </c>
      <c r="AP355" s="405" t="s">
        <v>764</v>
      </c>
      <c r="AQ355" s="300">
        <f t="shared" si="166"/>
        <v>0</v>
      </c>
      <c r="AR355" s="297">
        <f t="shared" si="167"/>
        <v>0</v>
      </c>
      <c r="AS355" s="295"/>
      <c r="AT355" s="295"/>
      <c r="AU355" s="298">
        <f>'Unit Savings Calculations'!Q351</f>
        <v>0</v>
      </c>
      <c r="AV355" s="405" t="str">
        <f t="shared" si="154"/>
        <v>n/a</v>
      </c>
      <c r="AW355" s="300">
        <f t="shared" si="168"/>
        <v>0</v>
      </c>
      <c r="AX355" s="297">
        <f t="shared" si="169"/>
        <v>0</v>
      </c>
      <c r="AY355" s="300">
        <f t="shared" si="155"/>
        <v>0</v>
      </c>
      <c r="AZ355" s="300">
        <f t="shared" si="156"/>
        <v>0</v>
      </c>
      <c r="BA355" s="300">
        <f t="shared" si="157"/>
        <v>0</v>
      </c>
      <c r="BB355" s="300">
        <f t="shared" si="158"/>
        <v>0</v>
      </c>
      <c r="BC355" s="301">
        <f t="shared" si="159"/>
        <v>0</v>
      </c>
      <c r="BD355" s="295" t="s">
        <v>764</v>
      </c>
      <c r="BE355" s="302" t="str">
        <f t="shared" si="160"/>
        <v>Exhibit 1.5A_R North Shore EEPS_Adjustable_Savings_Goal_Template.xlsx, Behavioral Tab</v>
      </c>
      <c r="BF355" s="304"/>
    </row>
    <row r="356" spans="1:58" ht="15.75" customHeight="1">
      <c r="A356" s="295" t="s">
        <v>713</v>
      </c>
      <c r="B356" s="295" t="str">
        <f>'Unit Savings Calculations'!D352</f>
        <v>Behavior 2020 1st Year</v>
      </c>
      <c r="C356" s="296">
        <f t="shared" si="170"/>
        <v>1</v>
      </c>
      <c r="D356" s="295" t="str">
        <f>'Unit Savings Calculations'!T352</f>
        <v>6.1.1</v>
      </c>
      <c r="E356" s="460">
        <f>INDEX('Unit Savings Calculations'!$H$4:$H$421,MATCH('Measure-Level Adjustments Tab'!$A356&amp;"_"&amp;'Measure-Level Adjustments Tab'!$B356,'Unit Savings Calculations'!$A$4:$A$421,0))</f>
        <v>1</v>
      </c>
      <c r="F356" s="460">
        <f>INDEX('Unit Savings Calculations'!$I$4:$I$421,MATCH('Measure-Level Adjustments Tab'!A356&amp;"_"&amp;'Measure-Level Adjustments Tab'!B356,'Unit Savings Calculations'!$A$4:$A$421,0))</f>
        <v>1</v>
      </c>
      <c r="G356" s="295" t="str">
        <f>'Unit Savings Calculations'!E352</f>
        <v>each</v>
      </c>
      <c r="H356" s="297">
        <f>'Unit Savings Calculations'!$F352*'Unit Savings Calculations'!J352</f>
        <v>0</v>
      </c>
      <c r="I356" s="297">
        <f>'Unit Savings Calculations'!$F352*'Unit Savings Calculations'!K352</f>
        <v>0</v>
      </c>
      <c r="J356" s="297">
        <f>'Unit Savings Calculations'!$F352*'Unit Savings Calculations'!L352</f>
        <v>0</v>
      </c>
      <c r="K356" s="297">
        <f>'Unit Savings Calculations'!$F352*'Unit Savings Calculations'!M352</f>
        <v>0</v>
      </c>
      <c r="L356" s="295" t="str">
        <f>'Unit Savings Calculations'!U352</f>
        <v>CC-BEH-BEHP-V02-16061</v>
      </c>
      <c r="M356" s="405" t="str">
        <f>'Unit Savings Calculations'!R352</f>
        <v>Exhibit 1.5A_R North Shore EEPS_Adjustable_Savings_Goal_Template.xlsx, Behavioral Tab</v>
      </c>
      <c r="N356" s="298">
        <v>0</v>
      </c>
      <c r="O356" s="298">
        <v>0</v>
      </c>
      <c r="P356" s="298">
        <v>0</v>
      </c>
      <c r="Q356" s="298">
        <v>0</v>
      </c>
      <c r="R356" s="299">
        <f>'Unit Savings Calculations'!$G352</f>
        <v>1</v>
      </c>
      <c r="S356" s="299">
        <f>'Unit Savings Calculations'!$G352</f>
        <v>1</v>
      </c>
      <c r="T356" s="299">
        <f>'Unit Savings Calculations'!$G352</f>
        <v>1</v>
      </c>
      <c r="U356" s="299">
        <f>'Unit Savings Calculations'!$G352</f>
        <v>1</v>
      </c>
      <c r="V356" s="300">
        <f t="shared" si="171"/>
        <v>0</v>
      </c>
      <c r="W356" s="300">
        <f t="shared" si="172"/>
        <v>0</v>
      </c>
      <c r="X356" s="300">
        <f t="shared" si="173"/>
        <v>0</v>
      </c>
      <c r="Y356" s="300">
        <f t="shared" si="174"/>
        <v>0</v>
      </c>
      <c r="Z356" s="300">
        <f t="shared" si="175"/>
        <v>0</v>
      </c>
      <c r="AA356" s="295"/>
      <c r="AB356" s="295"/>
      <c r="AC356" s="298">
        <f>'Unit Savings Calculations'!N352</f>
        <v>0</v>
      </c>
      <c r="AD356" s="295"/>
      <c r="AE356" s="300">
        <f t="shared" si="161"/>
        <v>0</v>
      </c>
      <c r="AF356" s="297">
        <f t="shared" si="162"/>
        <v>0</v>
      </c>
      <c r="AG356" s="295"/>
      <c r="AH356" s="295">
        <f t="shared" si="163"/>
        <v>0</v>
      </c>
      <c r="AI356" s="298">
        <f>'Unit Savings Calculations'!O352</f>
        <v>0</v>
      </c>
      <c r="AJ356" s="405" t="s">
        <v>879</v>
      </c>
      <c r="AK356" s="300">
        <f t="shared" si="164"/>
        <v>0</v>
      </c>
      <c r="AL356" s="297">
        <f t="shared" si="165"/>
        <v>0</v>
      </c>
      <c r="AM356" s="295"/>
      <c r="AN356" s="295"/>
      <c r="AO356" s="298">
        <f>'Unit Savings Calculations'!P352</f>
        <v>0</v>
      </c>
      <c r="AP356" s="405" t="s">
        <v>764</v>
      </c>
      <c r="AQ356" s="300">
        <f t="shared" si="166"/>
        <v>0</v>
      </c>
      <c r="AR356" s="297">
        <f t="shared" si="167"/>
        <v>0</v>
      </c>
      <c r="AS356" s="295"/>
      <c r="AT356" s="295"/>
      <c r="AU356" s="298">
        <f>'Unit Savings Calculations'!Q352</f>
        <v>0</v>
      </c>
      <c r="AV356" s="405" t="str">
        <f t="shared" si="154"/>
        <v>n/a</v>
      </c>
      <c r="AW356" s="300">
        <f t="shared" si="168"/>
        <v>0</v>
      </c>
      <c r="AX356" s="297">
        <f t="shared" si="169"/>
        <v>0</v>
      </c>
      <c r="AY356" s="300">
        <f t="shared" si="155"/>
        <v>0</v>
      </c>
      <c r="AZ356" s="300">
        <f t="shared" si="156"/>
        <v>0</v>
      </c>
      <c r="BA356" s="300">
        <f t="shared" si="157"/>
        <v>0</v>
      </c>
      <c r="BB356" s="300">
        <f t="shared" si="158"/>
        <v>0</v>
      </c>
      <c r="BC356" s="301">
        <f t="shared" si="159"/>
        <v>0</v>
      </c>
      <c r="BD356" s="295" t="s">
        <v>764</v>
      </c>
      <c r="BE356" s="302" t="str">
        <f t="shared" si="160"/>
        <v>Exhibit 1.5A_R North Shore EEPS_Adjustable_Savings_Goal_Template.xlsx, Behavioral Tab</v>
      </c>
      <c r="BF356" s="304"/>
    </row>
    <row r="357" spans="1:58" ht="15.75" customHeight="1">
      <c r="A357" s="295" t="s">
        <v>713</v>
      </c>
      <c r="B357" s="295" t="str">
        <f>'Unit Savings Calculations'!D353</f>
        <v>Behavior 2021 1st Year</v>
      </c>
      <c r="C357" s="296">
        <f t="shared" si="170"/>
        <v>1</v>
      </c>
      <c r="D357" s="295" t="str">
        <f>'Unit Savings Calculations'!T353</f>
        <v>6.1.1</v>
      </c>
      <c r="E357" s="460">
        <f>INDEX('Unit Savings Calculations'!$H$4:$H$421,MATCH('Measure-Level Adjustments Tab'!$A357&amp;"_"&amp;'Measure-Level Adjustments Tab'!$B357,'Unit Savings Calculations'!$A$4:$A$421,0))</f>
        <v>1</v>
      </c>
      <c r="F357" s="460">
        <f>INDEX('Unit Savings Calculations'!$I$4:$I$421,MATCH('Measure-Level Adjustments Tab'!A357&amp;"_"&amp;'Measure-Level Adjustments Tab'!B357,'Unit Savings Calculations'!$A$4:$A$421,0))</f>
        <v>1</v>
      </c>
      <c r="G357" s="295" t="str">
        <f>'Unit Savings Calculations'!E353</f>
        <v>each</v>
      </c>
      <c r="H357" s="297">
        <f>'Unit Savings Calculations'!$F353*'Unit Savings Calculations'!J353</f>
        <v>0</v>
      </c>
      <c r="I357" s="297">
        <f>'Unit Savings Calculations'!$F353*'Unit Savings Calculations'!K353</f>
        <v>0</v>
      </c>
      <c r="J357" s="297">
        <f>'Unit Savings Calculations'!$F353*'Unit Savings Calculations'!L353</f>
        <v>0</v>
      </c>
      <c r="K357" s="297">
        <f>'Unit Savings Calculations'!$F353*'Unit Savings Calculations'!M353</f>
        <v>0</v>
      </c>
      <c r="L357" s="295" t="str">
        <f>'Unit Savings Calculations'!U353</f>
        <v>CC-BEH-BEHP-V02-16061</v>
      </c>
      <c r="M357" s="405" t="str">
        <f>'Unit Savings Calculations'!R353</f>
        <v>Exhibit 1.5A_R North Shore EEPS_Adjustable_Savings_Goal_Template.xlsx, Behavioral Tab</v>
      </c>
      <c r="N357" s="298">
        <v>0</v>
      </c>
      <c r="O357" s="298">
        <v>0</v>
      </c>
      <c r="P357" s="298">
        <v>0</v>
      </c>
      <c r="Q357" s="298">
        <v>0</v>
      </c>
      <c r="R357" s="299">
        <f>'Unit Savings Calculations'!$G353</f>
        <v>1</v>
      </c>
      <c r="S357" s="299">
        <f>'Unit Savings Calculations'!$G353</f>
        <v>1</v>
      </c>
      <c r="T357" s="299">
        <f>'Unit Savings Calculations'!$G353</f>
        <v>1</v>
      </c>
      <c r="U357" s="299">
        <f>'Unit Savings Calculations'!$G353</f>
        <v>1</v>
      </c>
      <c r="V357" s="300">
        <f t="shared" si="171"/>
        <v>0</v>
      </c>
      <c r="W357" s="300">
        <f t="shared" si="172"/>
        <v>0</v>
      </c>
      <c r="X357" s="300">
        <f t="shared" si="173"/>
        <v>0</v>
      </c>
      <c r="Y357" s="300">
        <f t="shared" si="174"/>
        <v>0</v>
      </c>
      <c r="Z357" s="300">
        <f t="shared" si="175"/>
        <v>0</v>
      </c>
      <c r="AA357" s="295"/>
      <c r="AB357" s="295"/>
      <c r="AC357" s="298">
        <f>'Unit Savings Calculations'!N353</f>
        <v>0</v>
      </c>
      <c r="AD357" s="295"/>
      <c r="AE357" s="300">
        <f t="shared" si="161"/>
        <v>0</v>
      </c>
      <c r="AF357" s="297">
        <f t="shared" si="162"/>
        <v>0</v>
      </c>
      <c r="AG357" s="295"/>
      <c r="AH357" s="295">
        <f t="shared" si="163"/>
        <v>0</v>
      </c>
      <c r="AI357" s="298">
        <f>'Unit Savings Calculations'!O353</f>
        <v>0</v>
      </c>
      <c r="AJ357" s="405" t="s">
        <v>879</v>
      </c>
      <c r="AK357" s="300">
        <f t="shared" si="164"/>
        <v>0</v>
      </c>
      <c r="AL357" s="297">
        <f t="shared" si="165"/>
        <v>0</v>
      </c>
      <c r="AM357" s="295"/>
      <c r="AN357" s="295"/>
      <c r="AO357" s="298">
        <f>'Unit Savings Calculations'!P353</f>
        <v>0</v>
      </c>
      <c r="AP357" s="405" t="s">
        <v>764</v>
      </c>
      <c r="AQ357" s="300">
        <f t="shared" si="166"/>
        <v>0</v>
      </c>
      <c r="AR357" s="297">
        <f t="shared" si="167"/>
        <v>0</v>
      </c>
      <c r="AS357" s="295"/>
      <c r="AT357" s="295"/>
      <c r="AU357" s="298">
        <f>'Unit Savings Calculations'!Q353</f>
        <v>0</v>
      </c>
      <c r="AV357" s="405" t="str">
        <f t="shared" si="154"/>
        <v>n/a</v>
      </c>
      <c r="AW357" s="300">
        <f t="shared" si="168"/>
        <v>0</v>
      </c>
      <c r="AX357" s="297">
        <f t="shared" si="169"/>
        <v>0</v>
      </c>
      <c r="AY357" s="300">
        <f t="shared" si="155"/>
        <v>0</v>
      </c>
      <c r="AZ357" s="300">
        <f t="shared" si="156"/>
        <v>0</v>
      </c>
      <c r="BA357" s="300">
        <f t="shared" si="157"/>
        <v>0</v>
      </c>
      <c r="BB357" s="300">
        <f t="shared" si="158"/>
        <v>0</v>
      </c>
      <c r="BC357" s="301">
        <f t="shared" si="159"/>
        <v>0</v>
      </c>
      <c r="BD357" s="295" t="s">
        <v>764</v>
      </c>
      <c r="BE357" s="302" t="str">
        <f t="shared" si="160"/>
        <v>Exhibit 1.5A_R North Shore EEPS_Adjustable_Savings_Goal_Template.xlsx, Behavioral Tab</v>
      </c>
      <c r="BF357" s="304"/>
    </row>
    <row r="358" spans="1:58" ht="15.75" customHeight="1">
      <c r="A358" s="295" t="s">
        <v>713</v>
      </c>
      <c r="B358" s="295" t="str">
        <f>'Unit Savings Calculations'!D354</f>
        <v>Behavior 2018 Y1 Persistence</v>
      </c>
      <c r="C358" s="296">
        <f t="shared" si="170"/>
        <v>1</v>
      </c>
      <c r="D358" s="295" t="str">
        <f>'Unit Savings Calculations'!T354</f>
        <v>6.1.1</v>
      </c>
      <c r="E358" s="460">
        <f>INDEX('Unit Savings Calculations'!$H$4:$H$421,MATCH('Measure-Level Adjustments Tab'!$A358&amp;"_"&amp;'Measure-Level Adjustments Tab'!$B358,'Unit Savings Calculations'!$A$4:$A$421,0))</f>
        <v>0</v>
      </c>
      <c r="F358" s="460">
        <f>INDEX('Unit Savings Calculations'!$I$4:$I$421,MATCH('Measure-Level Adjustments Tab'!A358&amp;"_"&amp;'Measure-Level Adjustments Tab'!B358,'Unit Savings Calculations'!$A$4:$A$421,0))</f>
        <v>0</v>
      </c>
      <c r="G358" s="295" t="str">
        <f>'Unit Savings Calculations'!E354</f>
        <v>each</v>
      </c>
      <c r="H358" s="297">
        <v>0</v>
      </c>
      <c r="I358" s="297">
        <v>0</v>
      </c>
      <c r="J358" s="297">
        <v>0</v>
      </c>
      <c r="K358" s="297">
        <f>'Unit Savings Calculations'!$F354*'Unit Savings Calculations'!M354</f>
        <v>0</v>
      </c>
      <c r="L358" s="295" t="str">
        <f>'Unit Savings Calculations'!U354</f>
        <v>CC-BEH-BEHP-V02-16061</v>
      </c>
      <c r="M358" s="405" t="str">
        <f>'Unit Savings Calculations'!R354</f>
        <v>Exhibit 1.5A_R North Shore EEPS_Adjustable_Savings_Goal_Template.xlsx, Behavioral Tab</v>
      </c>
      <c r="N358" s="298">
        <v>0</v>
      </c>
      <c r="O358" s="298">
        <v>0</v>
      </c>
      <c r="P358" s="298">
        <v>0</v>
      </c>
      <c r="Q358" s="298">
        <v>0</v>
      </c>
      <c r="R358" s="299">
        <f>'Unit Savings Calculations'!$G354</f>
        <v>1</v>
      </c>
      <c r="S358" s="299">
        <f>'Unit Savings Calculations'!$G354</f>
        <v>1</v>
      </c>
      <c r="T358" s="299">
        <f>'Unit Savings Calculations'!$G354</f>
        <v>1</v>
      </c>
      <c r="U358" s="299">
        <f>'Unit Savings Calculations'!$G354</f>
        <v>1</v>
      </c>
      <c r="V358" s="300">
        <v>0</v>
      </c>
      <c r="W358" s="300">
        <v>0</v>
      </c>
      <c r="X358" s="300">
        <v>0</v>
      </c>
      <c r="Y358" s="300">
        <f t="shared" si="174"/>
        <v>0</v>
      </c>
      <c r="Z358" s="300">
        <f t="shared" si="175"/>
        <v>0</v>
      </c>
      <c r="AA358" s="295"/>
      <c r="AB358" s="295"/>
      <c r="AC358" s="298">
        <f>'Unit Savings Calculations'!N354</f>
        <v>0</v>
      </c>
      <c r="AD358" s="295"/>
      <c r="AE358" s="300">
        <f t="shared" si="161"/>
        <v>0</v>
      </c>
      <c r="AF358" s="297">
        <f t="shared" si="162"/>
        <v>0</v>
      </c>
      <c r="AG358" s="295"/>
      <c r="AH358" s="295">
        <f t="shared" si="163"/>
        <v>0</v>
      </c>
      <c r="AI358" s="298">
        <f>'Unit Savings Calculations'!O354</f>
        <v>0</v>
      </c>
      <c r="AJ358" s="405" t="s">
        <v>879</v>
      </c>
      <c r="AK358" s="300">
        <f t="shared" si="164"/>
        <v>0</v>
      </c>
      <c r="AL358" s="297">
        <f t="shared" si="165"/>
        <v>0</v>
      </c>
      <c r="AM358" s="295"/>
      <c r="AN358" s="295"/>
      <c r="AO358" s="298">
        <f>'Unit Savings Calculations'!P354</f>
        <v>0</v>
      </c>
      <c r="AP358" s="405" t="s">
        <v>764</v>
      </c>
      <c r="AQ358" s="300">
        <f t="shared" si="166"/>
        <v>0</v>
      </c>
      <c r="AR358" s="297">
        <f t="shared" si="167"/>
        <v>0</v>
      </c>
      <c r="AS358" s="295"/>
      <c r="AT358" s="295"/>
      <c r="AU358" s="298">
        <f>'Unit Savings Calculations'!Q354</f>
        <v>0</v>
      </c>
      <c r="AV358" s="405" t="str">
        <f t="shared" si="154"/>
        <v>n/a</v>
      </c>
      <c r="AW358" s="300">
        <f t="shared" si="168"/>
        <v>0</v>
      </c>
      <c r="AX358" s="297">
        <f t="shared" si="169"/>
        <v>0</v>
      </c>
      <c r="AY358" s="300">
        <f t="shared" si="155"/>
        <v>0</v>
      </c>
      <c r="AZ358" s="300">
        <f t="shared" si="156"/>
        <v>0</v>
      </c>
      <c r="BA358" s="300">
        <f t="shared" si="157"/>
        <v>0</v>
      </c>
      <c r="BB358" s="300">
        <f t="shared" si="158"/>
        <v>0</v>
      </c>
      <c r="BC358" s="301">
        <f t="shared" si="159"/>
        <v>0</v>
      </c>
      <c r="BD358" s="295" t="s">
        <v>764</v>
      </c>
      <c r="BE358" s="302" t="str">
        <f t="shared" si="160"/>
        <v>Exhibit 1.5A_R North Shore EEPS_Adjustable_Savings_Goal_Template.xlsx, Behavioral Tab</v>
      </c>
      <c r="BF358" s="304"/>
    </row>
    <row r="359" spans="1:58" ht="15.75" customHeight="1">
      <c r="A359" s="295" t="s">
        <v>713</v>
      </c>
      <c r="B359" s="295" t="str">
        <f>'Unit Savings Calculations'!D355</f>
        <v>Behavior 2018 Y2 Persistence</v>
      </c>
      <c r="C359" s="296">
        <f t="shared" si="170"/>
        <v>1</v>
      </c>
      <c r="D359" s="295" t="str">
        <f>'Unit Savings Calculations'!T355</f>
        <v>6.1.1</v>
      </c>
      <c r="E359" s="460">
        <f>INDEX('Unit Savings Calculations'!$H$4:$H$421,MATCH('Measure-Level Adjustments Tab'!$A359&amp;"_"&amp;'Measure-Level Adjustments Tab'!$B359,'Unit Savings Calculations'!$A$4:$A$421,0))</f>
        <v>0</v>
      </c>
      <c r="F359" s="460">
        <f>INDEX('Unit Savings Calculations'!$I$4:$I$421,MATCH('Measure-Level Adjustments Tab'!A359&amp;"_"&amp;'Measure-Level Adjustments Tab'!B359,'Unit Savings Calculations'!$A$4:$A$421,0))</f>
        <v>0</v>
      </c>
      <c r="G359" s="295" t="str">
        <f>'Unit Savings Calculations'!E355</f>
        <v>each</v>
      </c>
      <c r="H359" s="297">
        <v>0</v>
      </c>
      <c r="I359" s="297">
        <v>0</v>
      </c>
      <c r="J359" s="297">
        <v>0</v>
      </c>
      <c r="K359" s="297">
        <f>'Unit Savings Calculations'!$F355*'Unit Savings Calculations'!M355</f>
        <v>0</v>
      </c>
      <c r="L359" s="295" t="str">
        <f>'Unit Savings Calculations'!U355</f>
        <v>CC-BEH-BEHP-V02-16061</v>
      </c>
      <c r="M359" s="405" t="str">
        <f>'Unit Savings Calculations'!R355</f>
        <v>Exhibit 1.5A_R North Shore EEPS_Adjustable_Savings_Goal_Template.xlsx, Behavioral Tab</v>
      </c>
      <c r="N359" s="298">
        <v>0</v>
      </c>
      <c r="O359" s="298">
        <v>0</v>
      </c>
      <c r="P359" s="298">
        <v>0</v>
      </c>
      <c r="Q359" s="298">
        <v>0</v>
      </c>
      <c r="R359" s="299">
        <f>'Unit Savings Calculations'!$G355</f>
        <v>1</v>
      </c>
      <c r="S359" s="299">
        <f>'Unit Savings Calculations'!$G355</f>
        <v>1</v>
      </c>
      <c r="T359" s="299">
        <f>'Unit Savings Calculations'!$G355</f>
        <v>1</v>
      </c>
      <c r="U359" s="299">
        <f>'Unit Savings Calculations'!$G355</f>
        <v>1</v>
      </c>
      <c r="V359" s="300">
        <v>0</v>
      </c>
      <c r="W359" s="300">
        <v>0</v>
      </c>
      <c r="X359" s="300">
        <v>0</v>
      </c>
      <c r="Y359" s="300">
        <f t="shared" si="174"/>
        <v>0</v>
      </c>
      <c r="Z359" s="300">
        <f t="shared" si="175"/>
        <v>0</v>
      </c>
      <c r="AA359" s="295"/>
      <c r="AB359" s="295"/>
      <c r="AC359" s="298">
        <f>'Unit Savings Calculations'!N355</f>
        <v>0</v>
      </c>
      <c r="AD359" s="295"/>
      <c r="AE359" s="300">
        <f t="shared" si="161"/>
        <v>0</v>
      </c>
      <c r="AF359" s="297">
        <f t="shared" si="162"/>
        <v>0</v>
      </c>
      <c r="AG359" s="295"/>
      <c r="AH359" s="295">
        <f t="shared" si="163"/>
        <v>0</v>
      </c>
      <c r="AI359" s="298">
        <f>'Unit Savings Calculations'!O355</f>
        <v>0</v>
      </c>
      <c r="AJ359" s="405" t="s">
        <v>879</v>
      </c>
      <c r="AK359" s="300">
        <f t="shared" si="164"/>
        <v>0</v>
      </c>
      <c r="AL359" s="297">
        <f t="shared" si="165"/>
        <v>0</v>
      </c>
      <c r="AM359" s="295"/>
      <c r="AN359" s="295"/>
      <c r="AO359" s="298">
        <f>'Unit Savings Calculations'!P355</f>
        <v>0</v>
      </c>
      <c r="AP359" s="405" t="s">
        <v>764</v>
      </c>
      <c r="AQ359" s="300">
        <f t="shared" si="166"/>
        <v>0</v>
      </c>
      <c r="AR359" s="297">
        <f t="shared" si="167"/>
        <v>0</v>
      </c>
      <c r="AS359" s="295"/>
      <c r="AT359" s="295"/>
      <c r="AU359" s="298">
        <f>'Unit Savings Calculations'!Q355</f>
        <v>0</v>
      </c>
      <c r="AV359" s="405" t="str">
        <f t="shared" si="154"/>
        <v>n/a</v>
      </c>
      <c r="AW359" s="300">
        <f t="shared" si="168"/>
        <v>0</v>
      </c>
      <c r="AX359" s="297">
        <f t="shared" si="169"/>
        <v>0</v>
      </c>
      <c r="AY359" s="300">
        <f t="shared" si="155"/>
        <v>0</v>
      </c>
      <c r="AZ359" s="300">
        <f t="shared" si="156"/>
        <v>0</v>
      </c>
      <c r="BA359" s="300">
        <f t="shared" si="157"/>
        <v>0</v>
      </c>
      <c r="BB359" s="300">
        <f t="shared" si="158"/>
        <v>0</v>
      </c>
      <c r="BC359" s="301">
        <f t="shared" si="159"/>
        <v>0</v>
      </c>
      <c r="BD359" s="295" t="s">
        <v>764</v>
      </c>
      <c r="BE359" s="302" t="str">
        <f t="shared" si="160"/>
        <v>Exhibit 1.5A_R North Shore EEPS_Adjustable_Savings_Goal_Template.xlsx, Behavioral Tab</v>
      </c>
      <c r="BF359" s="304"/>
    </row>
    <row r="360" spans="1:58" ht="15.75" customHeight="1">
      <c r="A360" s="295" t="s">
        <v>713</v>
      </c>
      <c r="B360" s="295" t="str">
        <f>'Unit Savings Calculations'!D356</f>
        <v>Behavior 2018 Y3 Persistence</v>
      </c>
      <c r="C360" s="296">
        <f t="shared" si="170"/>
        <v>1</v>
      </c>
      <c r="D360" s="295" t="str">
        <f>'Unit Savings Calculations'!T356</f>
        <v>6.1.1</v>
      </c>
      <c r="E360" s="460">
        <f>INDEX('Unit Savings Calculations'!$H$4:$H$421,MATCH('Measure-Level Adjustments Tab'!$A360&amp;"_"&amp;'Measure-Level Adjustments Tab'!$B360,'Unit Savings Calculations'!$A$4:$A$421,0))</f>
        <v>0</v>
      </c>
      <c r="F360" s="460">
        <f>INDEX('Unit Savings Calculations'!$I$4:$I$421,MATCH('Measure-Level Adjustments Tab'!A360&amp;"_"&amp;'Measure-Level Adjustments Tab'!B360,'Unit Savings Calculations'!$A$4:$A$421,0))</f>
        <v>0</v>
      </c>
      <c r="G360" s="295" t="str">
        <f>'Unit Savings Calculations'!E356</f>
        <v>each</v>
      </c>
      <c r="H360" s="297">
        <v>0</v>
      </c>
      <c r="I360" s="297">
        <v>0</v>
      </c>
      <c r="J360" s="297">
        <v>0</v>
      </c>
      <c r="K360" s="297">
        <f>'Unit Savings Calculations'!$F356*'Unit Savings Calculations'!M356</f>
        <v>0</v>
      </c>
      <c r="L360" s="295" t="str">
        <f>'Unit Savings Calculations'!U356</f>
        <v>CC-BEH-BEHP-V02-16061</v>
      </c>
      <c r="M360" s="405" t="str">
        <f>'Unit Savings Calculations'!R356</f>
        <v>Exhibit 1.5A_R North Shore EEPS_Adjustable_Savings_Goal_Template.xlsx, Behavioral Tab</v>
      </c>
      <c r="N360" s="298">
        <v>0</v>
      </c>
      <c r="O360" s="298">
        <v>0</v>
      </c>
      <c r="P360" s="298">
        <v>0</v>
      </c>
      <c r="Q360" s="298">
        <v>0</v>
      </c>
      <c r="R360" s="299">
        <f>'Unit Savings Calculations'!$G356</f>
        <v>1</v>
      </c>
      <c r="S360" s="299">
        <f>'Unit Savings Calculations'!$G356</f>
        <v>1</v>
      </c>
      <c r="T360" s="299">
        <f>'Unit Savings Calculations'!$G356</f>
        <v>1</v>
      </c>
      <c r="U360" s="299">
        <f>'Unit Savings Calculations'!$G356</f>
        <v>1</v>
      </c>
      <c r="V360" s="300">
        <v>0</v>
      </c>
      <c r="W360" s="300">
        <v>0</v>
      </c>
      <c r="X360" s="300">
        <v>0</v>
      </c>
      <c r="Y360" s="300">
        <f t="shared" si="174"/>
        <v>0</v>
      </c>
      <c r="Z360" s="300">
        <f t="shared" si="175"/>
        <v>0</v>
      </c>
      <c r="AA360" s="295"/>
      <c r="AB360" s="295"/>
      <c r="AC360" s="298">
        <f>'Unit Savings Calculations'!N356</f>
        <v>0</v>
      </c>
      <c r="AD360" s="295"/>
      <c r="AE360" s="300">
        <f t="shared" si="161"/>
        <v>0</v>
      </c>
      <c r="AF360" s="297">
        <f t="shared" si="162"/>
        <v>0</v>
      </c>
      <c r="AG360" s="295"/>
      <c r="AH360" s="295">
        <f t="shared" si="163"/>
        <v>0</v>
      </c>
      <c r="AI360" s="298">
        <f>'Unit Savings Calculations'!O356</f>
        <v>0</v>
      </c>
      <c r="AJ360" s="405" t="s">
        <v>879</v>
      </c>
      <c r="AK360" s="300">
        <f t="shared" si="164"/>
        <v>0</v>
      </c>
      <c r="AL360" s="297">
        <f t="shared" si="165"/>
        <v>0</v>
      </c>
      <c r="AM360" s="295"/>
      <c r="AN360" s="295"/>
      <c r="AO360" s="298">
        <f>'Unit Savings Calculations'!P356</f>
        <v>0</v>
      </c>
      <c r="AP360" s="405" t="s">
        <v>764</v>
      </c>
      <c r="AQ360" s="300">
        <f t="shared" si="166"/>
        <v>0</v>
      </c>
      <c r="AR360" s="297">
        <f t="shared" si="167"/>
        <v>0</v>
      </c>
      <c r="AS360" s="295"/>
      <c r="AT360" s="295"/>
      <c r="AU360" s="298">
        <f>'Unit Savings Calculations'!Q356</f>
        <v>0</v>
      </c>
      <c r="AV360" s="405" t="str">
        <f t="shared" si="154"/>
        <v>n/a</v>
      </c>
      <c r="AW360" s="300">
        <f t="shared" si="168"/>
        <v>0</v>
      </c>
      <c r="AX360" s="297">
        <f t="shared" si="169"/>
        <v>0</v>
      </c>
      <c r="AY360" s="300">
        <f t="shared" si="155"/>
        <v>0</v>
      </c>
      <c r="AZ360" s="300">
        <f t="shared" si="156"/>
        <v>0</v>
      </c>
      <c r="BA360" s="300">
        <f t="shared" si="157"/>
        <v>0</v>
      </c>
      <c r="BB360" s="300">
        <f t="shared" si="158"/>
        <v>0</v>
      </c>
      <c r="BC360" s="301">
        <f t="shared" si="159"/>
        <v>0</v>
      </c>
      <c r="BD360" s="295" t="s">
        <v>764</v>
      </c>
      <c r="BE360" s="302" t="str">
        <f t="shared" si="160"/>
        <v>Exhibit 1.5A_R North Shore EEPS_Adjustable_Savings_Goal_Template.xlsx, Behavioral Tab</v>
      </c>
      <c r="BF360" s="304"/>
    </row>
    <row r="361" spans="1:58" ht="15.75" customHeight="1">
      <c r="A361" s="295" t="s">
        <v>713</v>
      </c>
      <c r="B361" s="295" t="str">
        <f>'Unit Savings Calculations'!D357</f>
        <v>Behavior 2018 Y4 Persistence</v>
      </c>
      <c r="C361" s="296">
        <f t="shared" si="170"/>
        <v>1</v>
      </c>
      <c r="D361" s="295" t="str">
        <f>'Unit Savings Calculations'!T357</f>
        <v>6.1.1</v>
      </c>
      <c r="E361" s="460">
        <f>INDEX('Unit Savings Calculations'!$H$4:$H$421,MATCH('Measure-Level Adjustments Tab'!$A361&amp;"_"&amp;'Measure-Level Adjustments Tab'!$B361,'Unit Savings Calculations'!$A$4:$A$421,0))</f>
        <v>0</v>
      </c>
      <c r="F361" s="460">
        <f>INDEX('Unit Savings Calculations'!$I$4:$I$421,MATCH('Measure-Level Adjustments Tab'!A361&amp;"_"&amp;'Measure-Level Adjustments Tab'!B361,'Unit Savings Calculations'!$A$4:$A$421,0))</f>
        <v>0</v>
      </c>
      <c r="G361" s="295" t="str">
        <f>'Unit Savings Calculations'!E357</f>
        <v>each</v>
      </c>
      <c r="H361" s="297">
        <v>0</v>
      </c>
      <c r="I361" s="297">
        <v>0</v>
      </c>
      <c r="J361" s="297">
        <v>0</v>
      </c>
      <c r="K361" s="297">
        <f>'Unit Savings Calculations'!$F357*'Unit Savings Calculations'!M357</f>
        <v>0</v>
      </c>
      <c r="L361" s="295" t="str">
        <f>'Unit Savings Calculations'!U357</f>
        <v>CC-BEH-BEHP-V02-16061</v>
      </c>
      <c r="M361" s="405" t="str">
        <f>'Unit Savings Calculations'!R357</f>
        <v>Exhibit 1.5A_R North Shore EEPS_Adjustable_Savings_Goal_Template.xlsx, Behavioral Tab</v>
      </c>
      <c r="N361" s="298">
        <v>0</v>
      </c>
      <c r="O361" s="298">
        <v>0</v>
      </c>
      <c r="P361" s="298">
        <v>0</v>
      </c>
      <c r="Q361" s="298">
        <v>0</v>
      </c>
      <c r="R361" s="299">
        <f>'Unit Savings Calculations'!$G357</f>
        <v>1</v>
      </c>
      <c r="S361" s="299">
        <f>'Unit Savings Calculations'!$G357</f>
        <v>1</v>
      </c>
      <c r="T361" s="299">
        <f>'Unit Savings Calculations'!$G357</f>
        <v>1</v>
      </c>
      <c r="U361" s="299">
        <f>'Unit Savings Calculations'!$G357</f>
        <v>1</v>
      </c>
      <c r="V361" s="300">
        <v>0</v>
      </c>
      <c r="W361" s="300">
        <v>0</v>
      </c>
      <c r="X361" s="300">
        <v>0</v>
      </c>
      <c r="Y361" s="300">
        <f t="shared" si="174"/>
        <v>0</v>
      </c>
      <c r="Z361" s="300">
        <f t="shared" si="175"/>
        <v>0</v>
      </c>
      <c r="AA361" s="295"/>
      <c r="AB361" s="295"/>
      <c r="AC361" s="298">
        <f>'Unit Savings Calculations'!N357</f>
        <v>0</v>
      </c>
      <c r="AD361" s="295"/>
      <c r="AE361" s="300">
        <f t="shared" si="161"/>
        <v>0</v>
      </c>
      <c r="AF361" s="297">
        <f t="shared" si="162"/>
        <v>0</v>
      </c>
      <c r="AG361" s="295"/>
      <c r="AH361" s="295">
        <f t="shared" si="163"/>
        <v>0</v>
      </c>
      <c r="AI361" s="298">
        <f>'Unit Savings Calculations'!O357</f>
        <v>0</v>
      </c>
      <c r="AJ361" s="405" t="s">
        <v>879</v>
      </c>
      <c r="AK361" s="300">
        <f t="shared" si="164"/>
        <v>0</v>
      </c>
      <c r="AL361" s="297">
        <f t="shared" si="165"/>
        <v>0</v>
      </c>
      <c r="AM361" s="295"/>
      <c r="AN361" s="295"/>
      <c r="AO361" s="298">
        <f>'Unit Savings Calculations'!P357</f>
        <v>0</v>
      </c>
      <c r="AP361" s="405" t="s">
        <v>764</v>
      </c>
      <c r="AQ361" s="300">
        <f t="shared" si="166"/>
        <v>0</v>
      </c>
      <c r="AR361" s="297">
        <f t="shared" si="167"/>
        <v>0</v>
      </c>
      <c r="AS361" s="295"/>
      <c r="AT361" s="295"/>
      <c r="AU361" s="298">
        <f>'Unit Savings Calculations'!Q357</f>
        <v>0</v>
      </c>
      <c r="AV361" s="405" t="str">
        <f t="shared" si="154"/>
        <v>n/a</v>
      </c>
      <c r="AW361" s="300">
        <f t="shared" si="168"/>
        <v>0</v>
      </c>
      <c r="AX361" s="297">
        <f t="shared" si="169"/>
        <v>0</v>
      </c>
      <c r="AY361" s="300">
        <f t="shared" si="155"/>
        <v>0</v>
      </c>
      <c r="AZ361" s="300">
        <f t="shared" si="156"/>
        <v>0</v>
      </c>
      <c r="BA361" s="300">
        <f t="shared" si="157"/>
        <v>0</v>
      </c>
      <c r="BB361" s="300">
        <f t="shared" si="158"/>
        <v>0</v>
      </c>
      <c r="BC361" s="301">
        <f t="shared" si="159"/>
        <v>0</v>
      </c>
      <c r="BD361" s="295" t="s">
        <v>764</v>
      </c>
      <c r="BE361" s="302" t="str">
        <f t="shared" si="160"/>
        <v>Exhibit 1.5A_R North Shore EEPS_Adjustable_Savings_Goal_Template.xlsx, Behavioral Tab</v>
      </c>
      <c r="BF361" s="304"/>
    </row>
    <row r="362" spans="1:58" ht="15.75" customHeight="1">
      <c r="A362" s="295" t="s">
        <v>713</v>
      </c>
      <c r="B362" s="295" t="str">
        <f>'Unit Savings Calculations'!D358</f>
        <v>Behavior 2019 Y1 Persistence</v>
      </c>
      <c r="C362" s="296">
        <f t="shared" si="170"/>
        <v>1</v>
      </c>
      <c r="D362" s="295" t="str">
        <f>'Unit Savings Calculations'!T358</f>
        <v>6.1.1</v>
      </c>
      <c r="E362" s="460">
        <f>INDEX('Unit Savings Calculations'!$H$4:$H$421,MATCH('Measure-Level Adjustments Tab'!$A362&amp;"_"&amp;'Measure-Level Adjustments Tab'!$B362,'Unit Savings Calculations'!$A$4:$A$421,0))</f>
        <v>0</v>
      </c>
      <c r="F362" s="460">
        <f>INDEX('Unit Savings Calculations'!$I$4:$I$421,MATCH('Measure-Level Adjustments Tab'!A362&amp;"_"&amp;'Measure-Level Adjustments Tab'!B362,'Unit Savings Calculations'!$A$4:$A$421,0))</f>
        <v>0</v>
      </c>
      <c r="G362" s="295" t="str">
        <f>'Unit Savings Calculations'!E358</f>
        <v>each</v>
      </c>
      <c r="H362" s="297">
        <v>0</v>
      </c>
      <c r="I362" s="297">
        <v>0</v>
      </c>
      <c r="J362" s="297">
        <v>0</v>
      </c>
      <c r="K362" s="297">
        <f>'Unit Savings Calculations'!$F358*'Unit Savings Calculations'!M358</f>
        <v>0</v>
      </c>
      <c r="L362" s="295" t="str">
        <f>'Unit Savings Calculations'!U358</f>
        <v>CC-BEH-BEHP-V02-16061</v>
      </c>
      <c r="M362" s="405" t="str">
        <f>'Unit Savings Calculations'!R358</f>
        <v>Exhibit 1.5A_R North Shore EEPS_Adjustable_Savings_Goal_Template.xlsx, Behavioral Tab</v>
      </c>
      <c r="N362" s="298">
        <v>0</v>
      </c>
      <c r="O362" s="298">
        <v>0</v>
      </c>
      <c r="P362" s="298">
        <v>0</v>
      </c>
      <c r="Q362" s="298">
        <v>0</v>
      </c>
      <c r="R362" s="299">
        <f>'Unit Savings Calculations'!$G358</f>
        <v>1</v>
      </c>
      <c r="S362" s="299">
        <f>'Unit Savings Calculations'!$G358</f>
        <v>1</v>
      </c>
      <c r="T362" s="299">
        <f>'Unit Savings Calculations'!$G358</f>
        <v>1</v>
      </c>
      <c r="U362" s="299">
        <f>'Unit Savings Calculations'!$G358</f>
        <v>1</v>
      </c>
      <c r="V362" s="300">
        <v>0</v>
      </c>
      <c r="W362" s="300">
        <v>0</v>
      </c>
      <c r="X362" s="300">
        <v>0</v>
      </c>
      <c r="Y362" s="300">
        <f t="shared" si="174"/>
        <v>0</v>
      </c>
      <c r="Z362" s="300">
        <f t="shared" si="175"/>
        <v>0</v>
      </c>
      <c r="AA362" s="295"/>
      <c r="AB362" s="295"/>
      <c r="AC362" s="298">
        <f>'Unit Savings Calculations'!N358</f>
        <v>0</v>
      </c>
      <c r="AD362" s="295"/>
      <c r="AE362" s="300">
        <f t="shared" si="161"/>
        <v>0</v>
      </c>
      <c r="AF362" s="297">
        <f t="shared" si="162"/>
        <v>0</v>
      </c>
      <c r="AG362" s="295"/>
      <c r="AH362" s="295">
        <f t="shared" si="163"/>
        <v>0</v>
      </c>
      <c r="AI362" s="298">
        <f>'Unit Savings Calculations'!O358</f>
        <v>0</v>
      </c>
      <c r="AJ362" s="405" t="s">
        <v>879</v>
      </c>
      <c r="AK362" s="300">
        <f t="shared" si="164"/>
        <v>0</v>
      </c>
      <c r="AL362" s="297">
        <f t="shared" si="165"/>
        <v>0</v>
      </c>
      <c r="AM362" s="295"/>
      <c r="AN362" s="295"/>
      <c r="AO362" s="298">
        <f>'Unit Savings Calculations'!P358</f>
        <v>0</v>
      </c>
      <c r="AP362" s="405" t="s">
        <v>764</v>
      </c>
      <c r="AQ362" s="300">
        <f t="shared" si="166"/>
        <v>0</v>
      </c>
      <c r="AR362" s="297">
        <f t="shared" si="167"/>
        <v>0</v>
      </c>
      <c r="AS362" s="295"/>
      <c r="AT362" s="295"/>
      <c r="AU362" s="298">
        <f>'Unit Savings Calculations'!Q358</f>
        <v>0</v>
      </c>
      <c r="AV362" s="405" t="str">
        <f t="shared" si="154"/>
        <v>n/a</v>
      </c>
      <c r="AW362" s="300">
        <f t="shared" si="168"/>
        <v>0</v>
      </c>
      <c r="AX362" s="297">
        <f t="shared" si="169"/>
        <v>0</v>
      </c>
      <c r="AY362" s="300">
        <f t="shared" si="155"/>
        <v>0</v>
      </c>
      <c r="AZ362" s="300">
        <f t="shared" si="156"/>
        <v>0</v>
      </c>
      <c r="BA362" s="300">
        <f t="shared" si="157"/>
        <v>0</v>
      </c>
      <c r="BB362" s="300">
        <f t="shared" si="158"/>
        <v>0</v>
      </c>
      <c r="BC362" s="301">
        <f t="shared" si="159"/>
        <v>0</v>
      </c>
      <c r="BD362" s="295" t="s">
        <v>764</v>
      </c>
      <c r="BE362" s="302" t="str">
        <f t="shared" si="160"/>
        <v>Exhibit 1.5A_R North Shore EEPS_Adjustable_Savings_Goal_Template.xlsx, Behavioral Tab</v>
      </c>
      <c r="BF362" s="304"/>
    </row>
    <row r="363" spans="1:58" ht="15.75" customHeight="1">
      <c r="A363" s="295" t="s">
        <v>713</v>
      </c>
      <c r="B363" s="295" t="str">
        <f>'Unit Savings Calculations'!D359</f>
        <v>Behavior 2019 Y2 Persistence</v>
      </c>
      <c r="C363" s="296">
        <f t="shared" si="170"/>
        <v>1</v>
      </c>
      <c r="D363" s="295" t="str">
        <f>'Unit Savings Calculations'!T359</f>
        <v>6.1.1</v>
      </c>
      <c r="E363" s="460">
        <f>INDEX('Unit Savings Calculations'!$H$4:$H$421,MATCH('Measure-Level Adjustments Tab'!$A363&amp;"_"&amp;'Measure-Level Adjustments Tab'!$B363,'Unit Savings Calculations'!$A$4:$A$421,0))</f>
        <v>0</v>
      </c>
      <c r="F363" s="460">
        <f>INDEX('Unit Savings Calculations'!$I$4:$I$421,MATCH('Measure-Level Adjustments Tab'!A363&amp;"_"&amp;'Measure-Level Adjustments Tab'!B363,'Unit Savings Calculations'!$A$4:$A$421,0))</f>
        <v>0</v>
      </c>
      <c r="G363" s="295" t="str">
        <f>'Unit Savings Calculations'!E359</f>
        <v>each</v>
      </c>
      <c r="H363" s="297">
        <v>0</v>
      </c>
      <c r="I363" s="297">
        <v>0</v>
      </c>
      <c r="J363" s="297">
        <v>0</v>
      </c>
      <c r="K363" s="297">
        <f>'Unit Savings Calculations'!$F359*'Unit Savings Calculations'!M359</f>
        <v>0</v>
      </c>
      <c r="L363" s="295" t="str">
        <f>'Unit Savings Calculations'!U359</f>
        <v>CC-BEH-BEHP-V02-16061</v>
      </c>
      <c r="M363" s="405" t="str">
        <f>'Unit Savings Calculations'!R359</f>
        <v>Exhibit 1.5A_R North Shore EEPS_Adjustable_Savings_Goal_Template.xlsx, Behavioral Tab</v>
      </c>
      <c r="N363" s="298">
        <v>0</v>
      </c>
      <c r="O363" s="298">
        <v>0</v>
      </c>
      <c r="P363" s="298">
        <v>0</v>
      </c>
      <c r="Q363" s="298">
        <v>0</v>
      </c>
      <c r="R363" s="299">
        <f>'Unit Savings Calculations'!$G359</f>
        <v>1</v>
      </c>
      <c r="S363" s="299">
        <f>'Unit Savings Calculations'!$G359</f>
        <v>1</v>
      </c>
      <c r="T363" s="299">
        <f>'Unit Savings Calculations'!$G359</f>
        <v>1</v>
      </c>
      <c r="U363" s="299">
        <f>'Unit Savings Calculations'!$G359</f>
        <v>1</v>
      </c>
      <c r="V363" s="300">
        <v>0</v>
      </c>
      <c r="W363" s="300">
        <v>0</v>
      </c>
      <c r="X363" s="300">
        <v>0</v>
      </c>
      <c r="Y363" s="300">
        <f t="shared" si="174"/>
        <v>0</v>
      </c>
      <c r="Z363" s="300">
        <f t="shared" si="175"/>
        <v>0</v>
      </c>
      <c r="AA363" s="295"/>
      <c r="AB363" s="295"/>
      <c r="AC363" s="298">
        <f>'Unit Savings Calculations'!N359</f>
        <v>0</v>
      </c>
      <c r="AD363" s="295"/>
      <c r="AE363" s="300">
        <f t="shared" si="161"/>
        <v>0</v>
      </c>
      <c r="AF363" s="297">
        <f t="shared" si="162"/>
        <v>0</v>
      </c>
      <c r="AG363" s="295"/>
      <c r="AH363" s="295">
        <f t="shared" si="163"/>
        <v>0</v>
      </c>
      <c r="AI363" s="298">
        <f>'Unit Savings Calculations'!O359</f>
        <v>0</v>
      </c>
      <c r="AJ363" s="405" t="s">
        <v>879</v>
      </c>
      <c r="AK363" s="300">
        <f t="shared" si="164"/>
        <v>0</v>
      </c>
      <c r="AL363" s="297">
        <f t="shared" si="165"/>
        <v>0</v>
      </c>
      <c r="AM363" s="295"/>
      <c r="AN363" s="295"/>
      <c r="AO363" s="298">
        <f>'Unit Savings Calculations'!P359</f>
        <v>0</v>
      </c>
      <c r="AP363" s="405" t="s">
        <v>764</v>
      </c>
      <c r="AQ363" s="300">
        <f t="shared" si="166"/>
        <v>0</v>
      </c>
      <c r="AR363" s="297">
        <f t="shared" si="167"/>
        <v>0</v>
      </c>
      <c r="AS363" s="295"/>
      <c r="AT363" s="295"/>
      <c r="AU363" s="298">
        <f>'Unit Savings Calculations'!Q359</f>
        <v>0</v>
      </c>
      <c r="AV363" s="405" t="str">
        <f t="shared" si="154"/>
        <v>n/a</v>
      </c>
      <c r="AW363" s="300">
        <f t="shared" si="168"/>
        <v>0</v>
      </c>
      <c r="AX363" s="297">
        <f t="shared" si="169"/>
        <v>0</v>
      </c>
      <c r="AY363" s="300">
        <f t="shared" si="155"/>
        <v>0</v>
      </c>
      <c r="AZ363" s="300">
        <f t="shared" si="156"/>
        <v>0</v>
      </c>
      <c r="BA363" s="300">
        <f t="shared" si="157"/>
        <v>0</v>
      </c>
      <c r="BB363" s="300">
        <f t="shared" si="158"/>
        <v>0</v>
      </c>
      <c r="BC363" s="301">
        <f t="shared" si="159"/>
        <v>0</v>
      </c>
      <c r="BD363" s="295" t="s">
        <v>764</v>
      </c>
      <c r="BE363" s="302" t="str">
        <f t="shared" si="160"/>
        <v>Exhibit 1.5A_R North Shore EEPS_Adjustable_Savings_Goal_Template.xlsx, Behavioral Tab</v>
      </c>
      <c r="BF363" s="304"/>
    </row>
    <row r="364" spans="1:58" ht="15.75" customHeight="1">
      <c r="A364" s="295" t="s">
        <v>713</v>
      </c>
      <c r="B364" s="295" t="str">
        <f>'Unit Savings Calculations'!D360</f>
        <v>Behavior 2019 Y3 Persistence</v>
      </c>
      <c r="C364" s="296">
        <f t="shared" si="170"/>
        <v>1</v>
      </c>
      <c r="D364" s="295" t="str">
        <f>'Unit Savings Calculations'!T360</f>
        <v>6.1.1</v>
      </c>
      <c r="E364" s="460">
        <f>INDEX('Unit Savings Calculations'!$H$4:$H$421,MATCH('Measure-Level Adjustments Tab'!$A364&amp;"_"&amp;'Measure-Level Adjustments Tab'!$B364,'Unit Savings Calculations'!$A$4:$A$421,0))</f>
        <v>0</v>
      </c>
      <c r="F364" s="460">
        <f>INDEX('Unit Savings Calculations'!$I$4:$I$421,MATCH('Measure-Level Adjustments Tab'!A364&amp;"_"&amp;'Measure-Level Adjustments Tab'!B364,'Unit Savings Calculations'!$A$4:$A$421,0))</f>
        <v>0</v>
      </c>
      <c r="G364" s="295" t="str">
        <f>'Unit Savings Calculations'!E360</f>
        <v>each</v>
      </c>
      <c r="H364" s="297">
        <v>0</v>
      </c>
      <c r="I364" s="297">
        <v>0</v>
      </c>
      <c r="J364" s="297">
        <v>0</v>
      </c>
      <c r="K364" s="297">
        <f>'Unit Savings Calculations'!$F360*'Unit Savings Calculations'!M360</f>
        <v>0</v>
      </c>
      <c r="L364" s="295" t="str">
        <f>'Unit Savings Calculations'!U360</f>
        <v>CC-BEH-BEHP-V02-16061</v>
      </c>
      <c r="M364" s="405" t="str">
        <f>'Unit Savings Calculations'!R360</f>
        <v>Exhibit 1.5A_R North Shore EEPS_Adjustable_Savings_Goal_Template.xlsx, Behavioral Tab</v>
      </c>
      <c r="N364" s="298">
        <v>0</v>
      </c>
      <c r="O364" s="298">
        <v>0</v>
      </c>
      <c r="P364" s="298">
        <v>0</v>
      </c>
      <c r="Q364" s="298">
        <v>0</v>
      </c>
      <c r="R364" s="299">
        <f>'Unit Savings Calculations'!$G360</f>
        <v>1</v>
      </c>
      <c r="S364" s="299">
        <f>'Unit Savings Calculations'!$G360</f>
        <v>1</v>
      </c>
      <c r="T364" s="299">
        <f>'Unit Savings Calculations'!$G360</f>
        <v>1</v>
      </c>
      <c r="U364" s="299">
        <f>'Unit Savings Calculations'!$G360</f>
        <v>1</v>
      </c>
      <c r="V364" s="300">
        <v>0</v>
      </c>
      <c r="W364" s="300">
        <v>0</v>
      </c>
      <c r="X364" s="300">
        <v>0</v>
      </c>
      <c r="Y364" s="300">
        <f t="shared" si="174"/>
        <v>0</v>
      </c>
      <c r="Z364" s="300">
        <f t="shared" si="175"/>
        <v>0</v>
      </c>
      <c r="AA364" s="295"/>
      <c r="AB364" s="295"/>
      <c r="AC364" s="298">
        <f>'Unit Savings Calculations'!N360</f>
        <v>0</v>
      </c>
      <c r="AD364" s="295"/>
      <c r="AE364" s="300">
        <f t="shared" si="161"/>
        <v>0</v>
      </c>
      <c r="AF364" s="297">
        <f t="shared" si="162"/>
        <v>0</v>
      </c>
      <c r="AG364" s="295"/>
      <c r="AH364" s="295">
        <f t="shared" si="163"/>
        <v>0</v>
      </c>
      <c r="AI364" s="298">
        <f>'Unit Savings Calculations'!O360</f>
        <v>0</v>
      </c>
      <c r="AJ364" s="405" t="s">
        <v>879</v>
      </c>
      <c r="AK364" s="300">
        <f t="shared" si="164"/>
        <v>0</v>
      </c>
      <c r="AL364" s="297">
        <f t="shared" si="165"/>
        <v>0</v>
      </c>
      <c r="AM364" s="295"/>
      <c r="AN364" s="295"/>
      <c r="AO364" s="298">
        <f>'Unit Savings Calculations'!P360</f>
        <v>0</v>
      </c>
      <c r="AP364" s="405" t="s">
        <v>764</v>
      </c>
      <c r="AQ364" s="300">
        <f t="shared" si="166"/>
        <v>0</v>
      </c>
      <c r="AR364" s="297">
        <f t="shared" si="167"/>
        <v>0</v>
      </c>
      <c r="AS364" s="295"/>
      <c r="AT364" s="295"/>
      <c r="AU364" s="298">
        <f>'Unit Savings Calculations'!Q360</f>
        <v>0</v>
      </c>
      <c r="AV364" s="405" t="str">
        <f t="shared" si="154"/>
        <v>n/a</v>
      </c>
      <c r="AW364" s="300">
        <f t="shared" si="168"/>
        <v>0</v>
      </c>
      <c r="AX364" s="297">
        <f t="shared" si="169"/>
        <v>0</v>
      </c>
      <c r="AY364" s="300">
        <f t="shared" si="155"/>
        <v>0</v>
      </c>
      <c r="AZ364" s="300">
        <f t="shared" si="156"/>
        <v>0</v>
      </c>
      <c r="BA364" s="300">
        <f t="shared" si="157"/>
        <v>0</v>
      </c>
      <c r="BB364" s="300">
        <f t="shared" si="158"/>
        <v>0</v>
      </c>
      <c r="BC364" s="301">
        <f t="shared" si="159"/>
        <v>0</v>
      </c>
      <c r="BD364" s="295" t="s">
        <v>764</v>
      </c>
      <c r="BE364" s="302" t="str">
        <f t="shared" si="160"/>
        <v>Exhibit 1.5A_R North Shore EEPS_Adjustable_Savings_Goal_Template.xlsx, Behavioral Tab</v>
      </c>
      <c r="BF364" s="304"/>
    </row>
    <row r="365" spans="1:58" ht="15.75" customHeight="1">
      <c r="A365" s="295" t="s">
        <v>713</v>
      </c>
      <c r="B365" s="295" t="str">
        <f>'Unit Savings Calculations'!D361</f>
        <v>Behavior 2019 Y4 Persistence</v>
      </c>
      <c r="C365" s="296">
        <f t="shared" si="170"/>
        <v>1</v>
      </c>
      <c r="D365" s="295" t="str">
        <f>'Unit Savings Calculations'!T361</f>
        <v>6.1.1</v>
      </c>
      <c r="E365" s="460">
        <f>INDEX('Unit Savings Calculations'!$H$4:$H$421,MATCH('Measure-Level Adjustments Tab'!$A365&amp;"_"&amp;'Measure-Level Adjustments Tab'!$B365,'Unit Savings Calculations'!$A$4:$A$421,0))</f>
        <v>0</v>
      </c>
      <c r="F365" s="460">
        <f>INDEX('Unit Savings Calculations'!$I$4:$I$421,MATCH('Measure-Level Adjustments Tab'!A365&amp;"_"&amp;'Measure-Level Adjustments Tab'!B365,'Unit Savings Calculations'!$A$4:$A$421,0))</f>
        <v>0</v>
      </c>
      <c r="G365" s="295" t="str">
        <f>'Unit Savings Calculations'!E361</f>
        <v>each</v>
      </c>
      <c r="H365" s="297">
        <v>0</v>
      </c>
      <c r="I365" s="297">
        <v>0</v>
      </c>
      <c r="J365" s="297">
        <v>0</v>
      </c>
      <c r="K365" s="297">
        <f>'Unit Savings Calculations'!$F361*'Unit Savings Calculations'!M361</f>
        <v>0</v>
      </c>
      <c r="L365" s="295" t="str">
        <f>'Unit Savings Calculations'!U361</f>
        <v>CC-BEH-BEHP-V02-16061</v>
      </c>
      <c r="M365" s="405" t="str">
        <f>'Unit Savings Calculations'!R361</f>
        <v>Exhibit 1.5A_R North Shore EEPS_Adjustable_Savings_Goal_Template.xlsx, Behavioral Tab</v>
      </c>
      <c r="N365" s="298">
        <v>0</v>
      </c>
      <c r="O365" s="298">
        <v>0</v>
      </c>
      <c r="P365" s="298">
        <v>0</v>
      </c>
      <c r="Q365" s="298">
        <v>0</v>
      </c>
      <c r="R365" s="299">
        <f>'Unit Savings Calculations'!$G361</f>
        <v>1</v>
      </c>
      <c r="S365" s="299">
        <f>'Unit Savings Calculations'!$G361</f>
        <v>1</v>
      </c>
      <c r="T365" s="299">
        <f>'Unit Savings Calculations'!$G361</f>
        <v>1</v>
      </c>
      <c r="U365" s="299">
        <f>'Unit Savings Calculations'!$G361</f>
        <v>1</v>
      </c>
      <c r="V365" s="300">
        <v>0</v>
      </c>
      <c r="W365" s="300">
        <v>0</v>
      </c>
      <c r="X365" s="300">
        <v>0</v>
      </c>
      <c r="Y365" s="300">
        <f t="shared" si="174"/>
        <v>0</v>
      </c>
      <c r="Z365" s="300">
        <f t="shared" si="175"/>
        <v>0</v>
      </c>
      <c r="AA365" s="295"/>
      <c r="AB365" s="295"/>
      <c r="AC365" s="298">
        <f>'Unit Savings Calculations'!N361</f>
        <v>0</v>
      </c>
      <c r="AD365" s="295"/>
      <c r="AE365" s="300">
        <f t="shared" si="161"/>
        <v>0</v>
      </c>
      <c r="AF365" s="297">
        <f t="shared" si="162"/>
        <v>0</v>
      </c>
      <c r="AG365" s="295"/>
      <c r="AH365" s="295">
        <f t="shared" si="163"/>
        <v>0</v>
      </c>
      <c r="AI365" s="298">
        <f>'Unit Savings Calculations'!O361</f>
        <v>0</v>
      </c>
      <c r="AJ365" s="405" t="s">
        <v>879</v>
      </c>
      <c r="AK365" s="300">
        <f t="shared" si="164"/>
        <v>0</v>
      </c>
      <c r="AL365" s="297">
        <f t="shared" si="165"/>
        <v>0</v>
      </c>
      <c r="AM365" s="295"/>
      <c r="AN365" s="295"/>
      <c r="AO365" s="298">
        <f>'Unit Savings Calculations'!P361</f>
        <v>0</v>
      </c>
      <c r="AP365" s="405" t="s">
        <v>764</v>
      </c>
      <c r="AQ365" s="300">
        <f t="shared" si="166"/>
        <v>0</v>
      </c>
      <c r="AR365" s="297">
        <f t="shared" si="167"/>
        <v>0</v>
      </c>
      <c r="AS365" s="295"/>
      <c r="AT365" s="295"/>
      <c r="AU365" s="298">
        <f>'Unit Savings Calculations'!Q361</f>
        <v>0</v>
      </c>
      <c r="AV365" s="405" t="str">
        <f t="shared" si="154"/>
        <v>n/a</v>
      </c>
      <c r="AW365" s="300">
        <f t="shared" si="168"/>
        <v>0</v>
      </c>
      <c r="AX365" s="297">
        <f t="shared" si="169"/>
        <v>0</v>
      </c>
      <c r="AY365" s="300">
        <f t="shared" si="155"/>
        <v>0</v>
      </c>
      <c r="AZ365" s="300">
        <f t="shared" si="156"/>
        <v>0</v>
      </c>
      <c r="BA365" s="300">
        <f t="shared" si="157"/>
        <v>0</v>
      </c>
      <c r="BB365" s="300">
        <f t="shared" si="158"/>
        <v>0</v>
      </c>
      <c r="BC365" s="301">
        <f t="shared" si="159"/>
        <v>0</v>
      </c>
      <c r="BD365" s="295" t="s">
        <v>764</v>
      </c>
      <c r="BE365" s="302" t="str">
        <f t="shared" si="160"/>
        <v>Exhibit 1.5A_R North Shore EEPS_Adjustable_Savings_Goal_Template.xlsx, Behavioral Tab</v>
      </c>
      <c r="BF365" s="304"/>
    </row>
    <row r="366" spans="1:58" ht="15.75" customHeight="1">
      <c r="A366" s="295" t="s">
        <v>713</v>
      </c>
      <c r="B366" s="295" t="str">
        <f>'Unit Savings Calculations'!D362</f>
        <v>Behavior 2020 Y1 Persistence</v>
      </c>
      <c r="C366" s="296">
        <f t="shared" si="170"/>
        <v>1</v>
      </c>
      <c r="D366" s="295" t="str">
        <f>'Unit Savings Calculations'!T362</f>
        <v>6.1.1</v>
      </c>
      <c r="E366" s="460">
        <f>INDEX('Unit Savings Calculations'!$H$4:$H$421,MATCH('Measure-Level Adjustments Tab'!$A366&amp;"_"&amp;'Measure-Level Adjustments Tab'!$B366,'Unit Savings Calculations'!$A$4:$A$421,0))</f>
        <v>0</v>
      </c>
      <c r="F366" s="460">
        <f>INDEX('Unit Savings Calculations'!$I$4:$I$421,MATCH('Measure-Level Adjustments Tab'!A366&amp;"_"&amp;'Measure-Level Adjustments Tab'!B366,'Unit Savings Calculations'!$A$4:$A$421,0))</f>
        <v>0</v>
      </c>
      <c r="G366" s="295" t="str">
        <f>'Unit Savings Calculations'!E362</f>
        <v>each</v>
      </c>
      <c r="H366" s="297">
        <v>0</v>
      </c>
      <c r="I366" s="297">
        <v>0</v>
      </c>
      <c r="J366" s="297">
        <v>0</v>
      </c>
      <c r="K366" s="297">
        <f>'Unit Savings Calculations'!$F362*'Unit Savings Calculations'!M362</f>
        <v>0</v>
      </c>
      <c r="L366" s="295" t="str">
        <f>'Unit Savings Calculations'!U362</f>
        <v>CC-BEH-BEHP-V02-16061</v>
      </c>
      <c r="M366" s="405" t="str">
        <f>'Unit Savings Calculations'!R362</f>
        <v>Exhibit 1.5A_R North Shore EEPS_Adjustable_Savings_Goal_Template.xlsx, Behavioral Tab</v>
      </c>
      <c r="N366" s="298">
        <v>0</v>
      </c>
      <c r="O366" s="298">
        <v>0</v>
      </c>
      <c r="P366" s="298">
        <v>0</v>
      </c>
      <c r="Q366" s="298">
        <v>0</v>
      </c>
      <c r="R366" s="299">
        <f>'Unit Savings Calculations'!$G362</f>
        <v>1</v>
      </c>
      <c r="S366" s="299">
        <f>'Unit Savings Calculations'!$G362</f>
        <v>1</v>
      </c>
      <c r="T366" s="299">
        <f>'Unit Savings Calculations'!$G362</f>
        <v>1</v>
      </c>
      <c r="U366" s="299">
        <f>'Unit Savings Calculations'!$G362</f>
        <v>1</v>
      </c>
      <c r="V366" s="300">
        <v>0</v>
      </c>
      <c r="W366" s="300">
        <v>0</v>
      </c>
      <c r="X366" s="300">
        <v>0</v>
      </c>
      <c r="Y366" s="300">
        <f t="shared" si="174"/>
        <v>0</v>
      </c>
      <c r="Z366" s="300">
        <f t="shared" si="175"/>
        <v>0</v>
      </c>
      <c r="AA366" s="295"/>
      <c r="AB366" s="295"/>
      <c r="AC366" s="298">
        <f>'Unit Savings Calculations'!N362</f>
        <v>0</v>
      </c>
      <c r="AD366" s="295"/>
      <c r="AE366" s="300">
        <f t="shared" si="161"/>
        <v>0</v>
      </c>
      <c r="AF366" s="297">
        <f t="shared" si="162"/>
        <v>0</v>
      </c>
      <c r="AG366" s="295"/>
      <c r="AH366" s="295">
        <f t="shared" si="163"/>
        <v>0</v>
      </c>
      <c r="AI366" s="298">
        <f>'Unit Savings Calculations'!O362</f>
        <v>0</v>
      </c>
      <c r="AJ366" s="405" t="s">
        <v>879</v>
      </c>
      <c r="AK366" s="300">
        <f t="shared" si="164"/>
        <v>0</v>
      </c>
      <c r="AL366" s="297">
        <f t="shared" si="165"/>
        <v>0</v>
      </c>
      <c r="AM366" s="295"/>
      <c r="AN366" s="295"/>
      <c r="AO366" s="298">
        <f>'Unit Savings Calculations'!P362</f>
        <v>0</v>
      </c>
      <c r="AP366" s="405" t="s">
        <v>764</v>
      </c>
      <c r="AQ366" s="300">
        <f t="shared" si="166"/>
        <v>0</v>
      </c>
      <c r="AR366" s="297">
        <f t="shared" si="167"/>
        <v>0</v>
      </c>
      <c r="AS366" s="295"/>
      <c r="AT366" s="295"/>
      <c r="AU366" s="298">
        <f>'Unit Savings Calculations'!Q362</f>
        <v>0</v>
      </c>
      <c r="AV366" s="405" t="str">
        <f t="shared" si="154"/>
        <v>n/a</v>
      </c>
      <c r="AW366" s="300">
        <f t="shared" si="168"/>
        <v>0</v>
      </c>
      <c r="AX366" s="297">
        <f t="shared" si="169"/>
        <v>0</v>
      </c>
      <c r="AY366" s="300">
        <f t="shared" si="155"/>
        <v>0</v>
      </c>
      <c r="AZ366" s="300">
        <f t="shared" si="156"/>
        <v>0</v>
      </c>
      <c r="BA366" s="300">
        <f t="shared" si="157"/>
        <v>0</v>
      </c>
      <c r="BB366" s="300">
        <f t="shared" si="158"/>
        <v>0</v>
      </c>
      <c r="BC366" s="301">
        <f t="shared" si="159"/>
        <v>0</v>
      </c>
      <c r="BD366" s="295" t="s">
        <v>764</v>
      </c>
      <c r="BE366" s="302" t="str">
        <f t="shared" si="160"/>
        <v>Exhibit 1.5A_R North Shore EEPS_Adjustable_Savings_Goal_Template.xlsx, Behavioral Tab</v>
      </c>
      <c r="BF366" s="304"/>
    </row>
    <row r="367" spans="1:58" ht="15.75" customHeight="1">
      <c r="A367" s="295" t="s">
        <v>713</v>
      </c>
      <c r="B367" s="295" t="str">
        <f>'Unit Savings Calculations'!D363</f>
        <v>Behavior 2020 Y2 Persistence</v>
      </c>
      <c r="C367" s="296">
        <f t="shared" si="170"/>
        <v>1</v>
      </c>
      <c r="D367" s="295" t="str">
        <f>'Unit Savings Calculations'!T363</f>
        <v>6.1.1</v>
      </c>
      <c r="E367" s="460">
        <f>INDEX('Unit Savings Calculations'!$H$4:$H$421,MATCH('Measure-Level Adjustments Tab'!$A367&amp;"_"&amp;'Measure-Level Adjustments Tab'!$B367,'Unit Savings Calculations'!$A$4:$A$421,0))</f>
        <v>0</v>
      </c>
      <c r="F367" s="460">
        <f>INDEX('Unit Savings Calculations'!$I$4:$I$421,MATCH('Measure-Level Adjustments Tab'!A367&amp;"_"&amp;'Measure-Level Adjustments Tab'!B367,'Unit Savings Calculations'!$A$4:$A$421,0))</f>
        <v>0</v>
      </c>
      <c r="G367" s="295" t="str">
        <f>'Unit Savings Calculations'!E363</f>
        <v>each</v>
      </c>
      <c r="H367" s="297">
        <v>0</v>
      </c>
      <c r="I367" s="297">
        <v>0</v>
      </c>
      <c r="J367" s="297">
        <v>0</v>
      </c>
      <c r="K367" s="297">
        <f>'Unit Savings Calculations'!$F363*'Unit Savings Calculations'!M363</f>
        <v>0</v>
      </c>
      <c r="L367" s="295" t="str">
        <f>'Unit Savings Calculations'!U363</f>
        <v>CC-BEH-BEHP-V02-16061</v>
      </c>
      <c r="M367" s="405" t="str">
        <f>'Unit Savings Calculations'!R363</f>
        <v>Exhibit 1.5A_R North Shore EEPS_Adjustable_Savings_Goal_Template.xlsx, Behavioral Tab</v>
      </c>
      <c r="N367" s="298">
        <v>0</v>
      </c>
      <c r="O367" s="298">
        <v>0</v>
      </c>
      <c r="P367" s="298">
        <v>0</v>
      </c>
      <c r="Q367" s="298">
        <v>0</v>
      </c>
      <c r="R367" s="299">
        <f>'Unit Savings Calculations'!$G363</f>
        <v>1</v>
      </c>
      <c r="S367" s="299">
        <f>'Unit Savings Calculations'!$G363</f>
        <v>1</v>
      </c>
      <c r="T367" s="299">
        <f>'Unit Savings Calculations'!$G363</f>
        <v>1</v>
      </c>
      <c r="U367" s="299">
        <f>'Unit Savings Calculations'!$G363</f>
        <v>1</v>
      </c>
      <c r="V367" s="300">
        <v>0</v>
      </c>
      <c r="W367" s="300">
        <v>0</v>
      </c>
      <c r="X367" s="300">
        <v>0</v>
      </c>
      <c r="Y367" s="300">
        <f t="shared" si="174"/>
        <v>0</v>
      </c>
      <c r="Z367" s="300">
        <f t="shared" si="175"/>
        <v>0</v>
      </c>
      <c r="AA367" s="295"/>
      <c r="AB367" s="295"/>
      <c r="AC367" s="298">
        <f>'Unit Savings Calculations'!N363</f>
        <v>0</v>
      </c>
      <c r="AD367" s="295"/>
      <c r="AE367" s="300">
        <f t="shared" si="161"/>
        <v>0</v>
      </c>
      <c r="AF367" s="297">
        <f t="shared" si="162"/>
        <v>0</v>
      </c>
      <c r="AG367" s="295"/>
      <c r="AH367" s="295">
        <f t="shared" si="163"/>
        <v>0</v>
      </c>
      <c r="AI367" s="298">
        <f>'Unit Savings Calculations'!O363</f>
        <v>0</v>
      </c>
      <c r="AJ367" s="405" t="s">
        <v>879</v>
      </c>
      <c r="AK367" s="300">
        <f t="shared" si="164"/>
        <v>0</v>
      </c>
      <c r="AL367" s="297">
        <f t="shared" si="165"/>
        <v>0</v>
      </c>
      <c r="AM367" s="295"/>
      <c r="AN367" s="295"/>
      <c r="AO367" s="298">
        <f>'Unit Savings Calculations'!P363</f>
        <v>0</v>
      </c>
      <c r="AP367" s="405" t="s">
        <v>764</v>
      </c>
      <c r="AQ367" s="300">
        <f t="shared" si="166"/>
        <v>0</v>
      </c>
      <c r="AR367" s="297">
        <f t="shared" si="167"/>
        <v>0</v>
      </c>
      <c r="AS367" s="295"/>
      <c r="AT367" s="295"/>
      <c r="AU367" s="298">
        <f>'Unit Savings Calculations'!Q363</f>
        <v>0</v>
      </c>
      <c r="AV367" s="405" t="str">
        <f t="shared" si="154"/>
        <v>n/a</v>
      </c>
      <c r="AW367" s="300">
        <f t="shared" si="168"/>
        <v>0</v>
      </c>
      <c r="AX367" s="297">
        <f t="shared" si="169"/>
        <v>0</v>
      </c>
      <c r="AY367" s="300">
        <f t="shared" si="155"/>
        <v>0</v>
      </c>
      <c r="AZ367" s="300">
        <f t="shared" si="156"/>
        <v>0</v>
      </c>
      <c r="BA367" s="300">
        <f t="shared" si="157"/>
        <v>0</v>
      </c>
      <c r="BB367" s="300">
        <f t="shared" si="158"/>
        <v>0</v>
      </c>
      <c r="BC367" s="301">
        <f t="shared" si="159"/>
        <v>0</v>
      </c>
      <c r="BD367" s="295" t="s">
        <v>764</v>
      </c>
      <c r="BE367" s="302" t="str">
        <f t="shared" si="160"/>
        <v>Exhibit 1.5A_R North Shore EEPS_Adjustable_Savings_Goal_Template.xlsx, Behavioral Tab</v>
      </c>
      <c r="BF367" s="304"/>
    </row>
    <row r="368" spans="1:58" ht="15.75" customHeight="1">
      <c r="A368" s="295" t="s">
        <v>713</v>
      </c>
      <c r="B368" s="295" t="str">
        <f>'Unit Savings Calculations'!D364</f>
        <v>Behavior 2020 Y3 Persistence</v>
      </c>
      <c r="C368" s="296">
        <f t="shared" si="170"/>
        <v>1</v>
      </c>
      <c r="D368" s="295" t="str">
        <f>'Unit Savings Calculations'!T364</f>
        <v>6.1.1</v>
      </c>
      <c r="E368" s="460">
        <f>INDEX('Unit Savings Calculations'!$H$4:$H$421,MATCH('Measure-Level Adjustments Tab'!$A368&amp;"_"&amp;'Measure-Level Adjustments Tab'!$B368,'Unit Savings Calculations'!$A$4:$A$421,0))</f>
        <v>0</v>
      </c>
      <c r="F368" s="460">
        <f>INDEX('Unit Savings Calculations'!$I$4:$I$421,MATCH('Measure-Level Adjustments Tab'!A368&amp;"_"&amp;'Measure-Level Adjustments Tab'!B368,'Unit Savings Calculations'!$A$4:$A$421,0))</f>
        <v>0</v>
      </c>
      <c r="G368" s="295" t="str">
        <f>'Unit Savings Calculations'!E364</f>
        <v>each</v>
      </c>
      <c r="H368" s="297">
        <v>0</v>
      </c>
      <c r="I368" s="297">
        <v>0</v>
      </c>
      <c r="J368" s="297">
        <v>0</v>
      </c>
      <c r="K368" s="297">
        <f>'Unit Savings Calculations'!$F364*'Unit Savings Calculations'!M364</f>
        <v>0</v>
      </c>
      <c r="L368" s="295" t="str">
        <f>'Unit Savings Calculations'!U364</f>
        <v>CC-BEH-BEHP-V02-16061</v>
      </c>
      <c r="M368" s="405" t="str">
        <f>'Unit Savings Calculations'!R364</f>
        <v>Exhibit 1.5A_R North Shore EEPS_Adjustable_Savings_Goal_Template.xlsx, Behavioral Tab</v>
      </c>
      <c r="N368" s="298">
        <v>0</v>
      </c>
      <c r="O368" s="298">
        <v>0</v>
      </c>
      <c r="P368" s="298">
        <v>0</v>
      </c>
      <c r="Q368" s="298">
        <v>0</v>
      </c>
      <c r="R368" s="299">
        <f>'Unit Savings Calculations'!$G364</f>
        <v>1</v>
      </c>
      <c r="S368" s="299">
        <f>'Unit Savings Calculations'!$G364</f>
        <v>1</v>
      </c>
      <c r="T368" s="299">
        <f>'Unit Savings Calculations'!$G364</f>
        <v>1</v>
      </c>
      <c r="U368" s="299">
        <f>'Unit Savings Calculations'!$G364</f>
        <v>1</v>
      </c>
      <c r="V368" s="300">
        <v>0</v>
      </c>
      <c r="W368" s="300">
        <v>0</v>
      </c>
      <c r="X368" s="300">
        <v>0</v>
      </c>
      <c r="Y368" s="300">
        <f t="shared" si="174"/>
        <v>0</v>
      </c>
      <c r="Z368" s="300">
        <f t="shared" si="175"/>
        <v>0</v>
      </c>
      <c r="AA368" s="295"/>
      <c r="AB368" s="295"/>
      <c r="AC368" s="298">
        <f>'Unit Savings Calculations'!N364</f>
        <v>0</v>
      </c>
      <c r="AD368" s="295"/>
      <c r="AE368" s="300">
        <f t="shared" si="161"/>
        <v>0</v>
      </c>
      <c r="AF368" s="297">
        <f t="shared" si="162"/>
        <v>0</v>
      </c>
      <c r="AG368" s="295"/>
      <c r="AH368" s="295">
        <f t="shared" si="163"/>
        <v>0</v>
      </c>
      <c r="AI368" s="298">
        <f>'Unit Savings Calculations'!O364</f>
        <v>0</v>
      </c>
      <c r="AJ368" s="405" t="s">
        <v>879</v>
      </c>
      <c r="AK368" s="300">
        <f t="shared" si="164"/>
        <v>0</v>
      </c>
      <c r="AL368" s="297">
        <f t="shared" si="165"/>
        <v>0</v>
      </c>
      <c r="AM368" s="295"/>
      <c r="AN368" s="295"/>
      <c r="AO368" s="298">
        <f>'Unit Savings Calculations'!P364</f>
        <v>0</v>
      </c>
      <c r="AP368" s="405" t="s">
        <v>764</v>
      </c>
      <c r="AQ368" s="300">
        <f t="shared" si="166"/>
        <v>0</v>
      </c>
      <c r="AR368" s="297">
        <f t="shared" si="167"/>
        <v>0</v>
      </c>
      <c r="AS368" s="295"/>
      <c r="AT368" s="295"/>
      <c r="AU368" s="298">
        <f>'Unit Savings Calculations'!Q364</f>
        <v>0</v>
      </c>
      <c r="AV368" s="405" t="str">
        <f t="shared" si="154"/>
        <v>n/a</v>
      </c>
      <c r="AW368" s="300">
        <f t="shared" si="168"/>
        <v>0</v>
      </c>
      <c r="AX368" s="297">
        <f t="shared" si="169"/>
        <v>0</v>
      </c>
      <c r="AY368" s="300">
        <f t="shared" si="155"/>
        <v>0</v>
      </c>
      <c r="AZ368" s="300">
        <f t="shared" si="156"/>
        <v>0</v>
      </c>
      <c r="BA368" s="300">
        <f t="shared" si="157"/>
        <v>0</v>
      </c>
      <c r="BB368" s="300">
        <f t="shared" si="158"/>
        <v>0</v>
      </c>
      <c r="BC368" s="301">
        <f t="shared" si="159"/>
        <v>0</v>
      </c>
      <c r="BD368" s="295" t="s">
        <v>764</v>
      </c>
      <c r="BE368" s="302" t="str">
        <f t="shared" si="160"/>
        <v>Exhibit 1.5A_R North Shore EEPS_Adjustable_Savings_Goal_Template.xlsx, Behavioral Tab</v>
      </c>
      <c r="BF368" s="304"/>
    </row>
    <row r="369" spans="1:58" ht="15.75" customHeight="1">
      <c r="A369" s="295" t="s">
        <v>713</v>
      </c>
      <c r="B369" s="295" t="str">
        <f>'Unit Savings Calculations'!D365</f>
        <v>Behavior 2020 Y4 Persistence</v>
      </c>
      <c r="C369" s="296">
        <f t="shared" si="170"/>
        <v>1</v>
      </c>
      <c r="D369" s="295" t="str">
        <f>'Unit Savings Calculations'!T365</f>
        <v>6.1.1</v>
      </c>
      <c r="E369" s="460">
        <f>INDEX('Unit Savings Calculations'!$H$4:$H$421,MATCH('Measure-Level Adjustments Tab'!$A369&amp;"_"&amp;'Measure-Level Adjustments Tab'!$B369,'Unit Savings Calculations'!$A$4:$A$421,0))</f>
        <v>0</v>
      </c>
      <c r="F369" s="460">
        <f>INDEX('Unit Savings Calculations'!$I$4:$I$421,MATCH('Measure-Level Adjustments Tab'!A369&amp;"_"&amp;'Measure-Level Adjustments Tab'!B369,'Unit Savings Calculations'!$A$4:$A$421,0))</f>
        <v>0</v>
      </c>
      <c r="G369" s="295" t="str">
        <f>'Unit Savings Calculations'!E365</f>
        <v>each</v>
      </c>
      <c r="H369" s="297">
        <v>0</v>
      </c>
      <c r="I369" s="297">
        <v>0</v>
      </c>
      <c r="J369" s="297">
        <v>0</v>
      </c>
      <c r="K369" s="297">
        <f>'Unit Savings Calculations'!$F365*'Unit Savings Calculations'!M365</f>
        <v>0</v>
      </c>
      <c r="L369" s="295" t="str">
        <f>'Unit Savings Calculations'!U365</f>
        <v>CC-BEH-BEHP-V02-16061</v>
      </c>
      <c r="M369" s="405" t="str">
        <f>'Unit Savings Calculations'!R365</f>
        <v>Exhibit 1.5A_R North Shore EEPS_Adjustable_Savings_Goal_Template.xlsx, Behavioral Tab</v>
      </c>
      <c r="N369" s="298">
        <v>0</v>
      </c>
      <c r="O369" s="298">
        <v>0</v>
      </c>
      <c r="P369" s="298">
        <v>0</v>
      </c>
      <c r="Q369" s="298">
        <v>0</v>
      </c>
      <c r="R369" s="299">
        <f>'Unit Savings Calculations'!$G365</f>
        <v>1</v>
      </c>
      <c r="S369" s="299">
        <f>'Unit Savings Calculations'!$G365</f>
        <v>1</v>
      </c>
      <c r="T369" s="299">
        <f>'Unit Savings Calculations'!$G365</f>
        <v>1</v>
      </c>
      <c r="U369" s="299">
        <f>'Unit Savings Calculations'!$G365</f>
        <v>1</v>
      </c>
      <c r="V369" s="300">
        <v>0</v>
      </c>
      <c r="W369" s="300">
        <v>0</v>
      </c>
      <c r="X369" s="300">
        <v>0</v>
      </c>
      <c r="Y369" s="300">
        <f t="shared" si="174"/>
        <v>0</v>
      </c>
      <c r="Z369" s="300">
        <f t="shared" si="175"/>
        <v>0</v>
      </c>
      <c r="AA369" s="295"/>
      <c r="AB369" s="295"/>
      <c r="AC369" s="298">
        <f>'Unit Savings Calculations'!N365</f>
        <v>0</v>
      </c>
      <c r="AD369" s="295"/>
      <c r="AE369" s="300">
        <f t="shared" si="161"/>
        <v>0</v>
      </c>
      <c r="AF369" s="297">
        <f t="shared" si="162"/>
        <v>0</v>
      </c>
      <c r="AG369" s="295"/>
      <c r="AH369" s="295">
        <f t="shared" si="163"/>
        <v>0</v>
      </c>
      <c r="AI369" s="298">
        <f>'Unit Savings Calculations'!O365</f>
        <v>0</v>
      </c>
      <c r="AJ369" s="405" t="s">
        <v>879</v>
      </c>
      <c r="AK369" s="300">
        <f t="shared" si="164"/>
        <v>0</v>
      </c>
      <c r="AL369" s="297">
        <f t="shared" si="165"/>
        <v>0</v>
      </c>
      <c r="AM369" s="295"/>
      <c r="AN369" s="295"/>
      <c r="AO369" s="298">
        <f>'Unit Savings Calculations'!P365</f>
        <v>0</v>
      </c>
      <c r="AP369" s="405" t="s">
        <v>764</v>
      </c>
      <c r="AQ369" s="300">
        <f t="shared" si="166"/>
        <v>0</v>
      </c>
      <c r="AR369" s="297">
        <f t="shared" si="167"/>
        <v>0</v>
      </c>
      <c r="AS369" s="295"/>
      <c r="AT369" s="295"/>
      <c r="AU369" s="298">
        <f>'Unit Savings Calculations'!Q365</f>
        <v>0</v>
      </c>
      <c r="AV369" s="405" t="str">
        <f t="shared" si="154"/>
        <v>n/a</v>
      </c>
      <c r="AW369" s="300">
        <f t="shared" si="168"/>
        <v>0</v>
      </c>
      <c r="AX369" s="297">
        <f t="shared" si="169"/>
        <v>0</v>
      </c>
      <c r="AY369" s="300">
        <f t="shared" si="155"/>
        <v>0</v>
      </c>
      <c r="AZ369" s="300">
        <f t="shared" si="156"/>
        <v>0</v>
      </c>
      <c r="BA369" s="300">
        <f t="shared" si="157"/>
        <v>0</v>
      </c>
      <c r="BB369" s="300">
        <f t="shared" si="158"/>
        <v>0</v>
      </c>
      <c r="BC369" s="301">
        <f t="shared" si="159"/>
        <v>0</v>
      </c>
      <c r="BD369" s="295" t="s">
        <v>764</v>
      </c>
      <c r="BE369" s="302" t="str">
        <f t="shared" si="160"/>
        <v>Exhibit 1.5A_R North Shore EEPS_Adjustable_Savings_Goal_Template.xlsx, Behavioral Tab</v>
      </c>
      <c r="BF369" s="304"/>
    </row>
    <row r="370" spans="1:58" ht="15.75" customHeight="1">
      <c r="A370" s="295" t="s">
        <v>713</v>
      </c>
      <c r="B370" s="295" t="str">
        <f>'Unit Savings Calculations'!D366</f>
        <v>Behavior 2021 Y1 Persistence</v>
      </c>
      <c r="C370" s="296">
        <f t="shared" si="170"/>
        <v>1</v>
      </c>
      <c r="D370" s="295" t="str">
        <f>'Unit Savings Calculations'!T366</f>
        <v>6.1.1</v>
      </c>
      <c r="E370" s="460">
        <f>INDEX('Unit Savings Calculations'!$H$4:$H$421,MATCH('Measure-Level Adjustments Tab'!$A370&amp;"_"&amp;'Measure-Level Adjustments Tab'!$B370,'Unit Savings Calculations'!$A$4:$A$421,0))</f>
        <v>0</v>
      </c>
      <c r="F370" s="460">
        <f>INDEX('Unit Savings Calculations'!$I$4:$I$421,MATCH('Measure-Level Adjustments Tab'!A370&amp;"_"&amp;'Measure-Level Adjustments Tab'!B370,'Unit Savings Calculations'!$A$4:$A$421,0))</f>
        <v>0</v>
      </c>
      <c r="G370" s="295" t="str">
        <f>'Unit Savings Calculations'!E366</f>
        <v>each</v>
      </c>
      <c r="H370" s="297">
        <v>0</v>
      </c>
      <c r="I370" s="297">
        <v>0</v>
      </c>
      <c r="J370" s="297">
        <v>0</v>
      </c>
      <c r="K370" s="297">
        <f>'Unit Savings Calculations'!$F366*'Unit Savings Calculations'!M366</f>
        <v>0</v>
      </c>
      <c r="L370" s="295" t="str">
        <f>'Unit Savings Calculations'!U366</f>
        <v>CC-BEH-BEHP-V02-16061</v>
      </c>
      <c r="M370" s="405" t="str">
        <f>'Unit Savings Calculations'!R366</f>
        <v>Exhibit 1.5A_R North Shore EEPS_Adjustable_Savings_Goal_Template.xlsx, Behavioral Tab</v>
      </c>
      <c r="N370" s="298">
        <v>0</v>
      </c>
      <c r="O370" s="298">
        <v>0</v>
      </c>
      <c r="P370" s="298">
        <v>0</v>
      </c>
      <c r="Q370" s="298">
        <v>0</v>
      </c>
      <c r="R370" s="299">
        <f>'Unit Savings Calculations'!$G366</f>
        <v>1</v>
      </c>
      <c r="S370" s="299">
        <f>'Unit Savings Calculations'!$G366</f>
        <v>1</v>
      </c>
      <c r="T370" s="299">
        <f>'Unit Savings Calculations'!$G366</f>
        <v>1</v>
      </c>
      <c r="U370" s="299">
        <f>'Unit Savings Calculations'!$G366</f>
        <v>1</v>
      </c>
      <c r="V370" s="300">
        <f t="shared" si="171"/>
        <v>0</v>
      </c>
      <c r="W370" s="300">
        <f t="shared" si="172"/>
        <v>0</v>
      </c>
      <c r="X370" s="300">
        <f t="shared" si="173"/>
        <v>0</v>
      </c>
      <c r="Y370" s="300">
        <f t="shared" si="174"/>
        <v>0</v>
      </c>
      <c r="Z370" s="300">
        <f t="shared" si="175"/>
        <v>0</v>
      </c>
      <c r="AA370" s="295"/>
      <c r="AB370" s="295"/>
      <c r="AC370" s="298">
        <f>'Unit Savings Calculations'!N366</f>
        <v>0</v>
      </c>
      <c r="AD370" s="295"/>
      <c r="AE370" s="300">
        <f t="shared" si="161"/>
        <v>0</v>
      </c>
      <c r="AF370" s="297">
        <f t="shared" si="162"/>
        <v>0</v>
      </c>
      <c r="AG370" s="295"/>
      <c r="AH370" s="295">
        <f t="shared" si="163"/>
        <v>0</v>
      </c>
      <c r="AI370" s="298">
        <f>'Unit Savings Calculations'!O366</f>
        <v>0</v>
      </c>
      <c r="AJ370" s="405" t="s">
        <v>879</v>
      </c>
      <c r="AK370" s="300">
        <f t="shared" si="164"/>
        <v>0</v>
      </c>
      <c r="AL370" s="297">
        <f t="shared" si="165"/>
        <v>0</v>
      </c>
      <c r="AM370" s="295"/>
      <c r="AN370" s="295"/>
      <c r="AO370" s="298">
        <f>'Unit Savings Calculations'!P366</f>
        <v>0</v>
      </c>
      <c r="AP370" s="405" t="s">
        <v>764</v>
      </c>
      <c r="AQ370" s="300">
        <f t="shared" si="166"/>
        <v>0</v>
      </c>
      <c r="AR370" s="297">
        <f t="shared" si="167"/>
        <v>0</v>
      </c>
      <c r="AS370" s="295"/>
      <c r="AT370" s="295"/>
      <c r="AU370" s="298">
        <f>'Unit Savings Calculations'!Q366</f>
        <v>0</v>
      </c>
      <c r="AV370" s="405" t="str">
        <f t="shared" si="154"/>
        <v>n/a</v>
      </c>
      <c r="AW370" s="300">
        <f t="shared" si="168"/>
        <v>0</v>
      </c>
      <c r="AX370" s="297">
        <f t="shared" si="169"/>
        <v>0</v>
      </c>
      <c r="AY370" s="300">
        <f t="shared" si="155"/>
        <v>0</v>
      </c>
      <c r="AZ370" s="300">
        <f t="shared" si="156"/>
        <v>0</v>
      </c>
      <c r="BA370" s="300">
        <f t="shared" si="157"/>
        <v>0</v>
      </c>
      <c r="BB370" s="300">
        <f t="shared" si="158"/>
        <v>0</v>
      </c>
      <c r="BC370" s="301">
        <f t="shared" si="159"/>
        <v>0</v>
      </c>
      <c r="BD370" s="295" t="s">
        <v>764</v>
      </c>
      <c r="BE370" s="302" t="str">
        <f t="shared" si="160"/>
        <v>Exhibit 1.5A_R North Shore EEPS_Adjustable_Savings_Goal_Template.xlsx, Behavioral Tab</v>
      </c>
      <c r="BF370" s="304"/>
    </row>
    <row r="371" spans="1:58" ht="15.75" customHeight="1">
      <c r="A371" s="295" t="s">
        <v>713</v>
      </c>
      <c r="B371" s="295" t="str">
        <f>'Unit Savings Calculations'!D367</f>
        <v>Behavior 2021 Y2 Persistence</v>
      </c>
      <c r="C371" s="296">
        <f t="shared" si="170"/>
        <v>1</v>
      </c>
      <c r="D371" s="295" t="str">
        <f>'Unit Savings Calculations'!T367</f>
        <v>6.1.1</v>
      </c>
      <c r="E371" s="460">
        <f>INDEX('Unit Savings Calculations'!$H$4:$H$421,MATCH('Measure-Level Adjustments Tab'!$A371&amp;"_"&amp;'Measure-Level Adjustments Tab'!$B371,'Unit Savings Calculations'!$A$4:$A$421,0))</f>
        <v>0</v>
      </c>
      <c r="F371" s="460">
        <f>INDEX('Unit Savings Calculations'!$I$4:$I$421,MATCH('Measure-Level Adjustments Tab'!A371&amp;"_"&amp;'Measure-Level Adjustments Tab'!B371,'Unit Savings Calculations'!$A$4:$A$421,0))</f>
        <v>0</v>
      </c>
      <c r="G371" s="295" t="str">
        <f>'Unit Savings Calculations'!E367</f>
        <v>each</v>
      </c>
      <c r="H371" s="297">
        <v>0</v>
      </c>
      <c r="I371" s="297">
        <v>0</v>
      </c>
      <c r="J371" s="297">
        <v>0</v>
      </c>
      <c r="K371" s="297">
        <f>'Unit Savings Calculations'!$F367*'Unit Savings Calculations'!M367</f>
        <v>0</v>
      </c>
      <c r="L371" s="295" t="str">
        <f>'Unit Savings Calculations'!U367</f>
        <v>CC-BEH-BEHP-V02-16061</v>
      </c>
      <c r="M371" s="405" t="str">
        <f>'Unit Savings Calculations'!R367</f>
        <v>Exhibit 1.5A_R North Shore EEPS_Adjustable_Savings_Goal_Template.xlsx, Behavioral Tab</v>
      </c>
      <c r="N371" s="298">
        <v>0</v>
      </c>
      <c r="O371" s="298">
        <v>0</v>
      </c>
      <c r="P371" s="298">
        <v>0</v>
      </c>
      <c r="Q371" s="298">
        <v>0</v>
      </c>
      <c r="R371" s="299">
        <f>'Unit Savings Calculations'!$G367</f>
        <v>1</v>
      </c>
      <c r="S371" s="299">
        <f>'Unit Savings Calculations'!$G367</f>
        <v>1</v>
      </c>
      <c r="T371" s="299">
        <f>'Unit Savings Calculations'!$G367</f>
        <v>1</v>
      </c>
      <c r="U371" s="299">
        <f>'Unit Savings Calculations'!$G367</f>
        <v>1</v>
      </c>
      <c r="V371" s="300">
        <f t="shared" si="171"/>
        <v>0</v>
      </c>
      <c r="W371" s="300">
        <f t="shared" si="172"/>
        <v>0</v>
      </c>
      <c r="X371" s="300">
        <f t="shared" si="173"/>
        <v>0</v>
      </c>
      <c r="Y371" s="300">
        <f t="shared" si="174"/>
        <v>0</v>
      </c>
      <c r="Z371" s="300">
        <f t="shared" si="175"/>
        <v>0</v>
      </c>
      <c r="AA371" s="295"/>
      <c r="AB371" s="295"/>
      <c r="AC371" s="298">
        <f>'Unit Savings Calculations'!N367</f>
        <v>0</v>
      </c>
      <c r="AD371" s="295"/>
      <c r="AE371" s="300">
        <f t="shared" si="161"/>
        <v>0</v>
      </c>
      <c r="AF371" s="297">
        <f t="shared" si="162"/>
        <v>0</v>
      </c>
      <c r="AG371" s="295"/>
      <c r="AH371" s="295">
        <f t="shared" si="163"/>
        <v>0</v>
      </c>
      <c r="AI371" s="298">
        <f>'Unit Savings Calculations'!O367</f>
        <v>0</v>
      </c>
      <c r="AJ371" s="405" t="s">
        <v>879</v>
      </c>
      <c r="AK371" s="300">
        <f t="shared" si="164"/>
        <v>0</v>
      </c>
      <c r="AL371" s="297">
        <f t="shared" si="165"/>
        <v>0</v>
      </c>
      <c r="AM371" s="295"/>
      <c r="AN371" s="295"/>
      <c r="AO371" s="298">
        <f>'Unit Savings Calculations'!P367</f>
        <v>0</v>
      </c>
      <c r="AP371" s="405" t="s">
        <v>764</v>
      </c>
      <c r="AQ371" s="300">
        <f t="shared" si="166"/>
        <v>0</v>
      </c>
      <c r="AR371" s="297">
        <f t="shared" si="167"/>
        <v>0</v>
      </c>
      <c r="AS371" s="295"/>
      <c r="AT371" s="295"/>
      <c r="AU371" s="298">
        <f>'Unit Savings Calculations'!Q367</f>
        <v>0</v>
      </c>
      <c r="AV371" s="405" t="str">
        <f t="shared" si="154"/>
        <v>n/a</v>
      </c>
      <c r="AW371" s="300">
        <f t="shared" si="168"/>
        <v>0</v>
      </c>
      <c r="AX371" s="297">
        <f t="shared" si="169"/>
        <v>0</v>
      </c>
      <c r="AY371" s="300">
        <f t="shared" si="155"/>
        <v>0</v>
      </c>
      <c r="AZ371" s="300">
        <f t="shared" si="156"/>
        <v>0</v>
      </c>
      <c r="BA371" s="300">
        <f t="shared" si="157"/>
        <v>0</v>
      </c>
      <c r="BB371" s="300">
        <f t="shared" si="158"/>
        <v>0</v>
      </c>
      <c r="BC371" s="301">
        <f t="shared" si="159"/>
        <v>0</v>
      </c>
      <c r="BD371" s="295" t="s">
        <v>764</v>
      </c>
      <c r="BE371" s="302" t="str">
        <f t="shared" si="160"/>
        <v>Exhibit 1.5A_R North Shore EEPS_Adjustable_Savings_Goal_Template.xlsx, Behavioral Tab</v>
      </c>
      <c r="BF371" s="304"/>
    </row>
    <row r="372" spans="1:58" ht="15.75" customHeight="1">
      <c r="A372" s="295" t="s">
        <v>713</v>
      </c>
      <c r="B372" s="295" t="str">
        <f>'Unit Savings Calculations'!D368</f>
        <v>Behavior 2021 Y3 Persistence</v>
      </c>
      <c r="C372" s="296">
        <f t="shared" si="170"/>
        <v>1</v>
      </c>
      <c r="D372" s="295" t="str">
        <f>'Unit Savings Calculations'!T368</f>
        <v>6.1.1</v>
      </c>
      <c r="E372" s="460">
        <f>INDEX('Unit Savings Calculations'!$H$4:$H$421,MATCH('Measure-Level Adjustments Tab'!$A372&amp;"_"&amp;'Measure-Level Adjustments Tab'!$B372,'Unit Savings Calculations'!$A$4:$A$421,0))</f>
        <v>0</v>
      </c>
      <c r="F372" s="460">
        <f>INDEX('Unit Savings Calculations'!$I$4:$I$421,MATCH('Measure-Level Adjustments Tab'!A372&amp;"_"&amp;'Measure-Level Adjustments Tab'!B372,'Unit Savings Calculations'!$A$4:$A$421,0))</f>
        <v>0</v>
      </c>
      <c r="G372" s="295" t="str">
        <f>'Unit Savings Calculations'!E368</f>
        <v>each</v>
      </c>
      <c r="H372" s="297">
        <v>0</v>
      </c>
      <c r="I372" s="297">
        <v>0</v>
      </c>
      <c r="J372" s="297">
        <v>0</v>
      </c>
      <c r="K372" s="297">
        <f>'Unit Savings Calculations'!$F368*'Unit Savings Calculations'!M368</f>
        <v>0</v>
      </c>
      <c r="L372" s="295" t="str">
        <f>'Unit Savings Calculations'!U368</f>
        <v>CC-BEH-BEHP-V02-16061</v>
      </c>
      <c r="M372" s="405" t="str">
        <f>'Unit Savings Calculations'!R368</f>
        <v>Exhibit 1.5A_R North Shore EEPS_Adjustable_Savings_Goal_Template.xlsx, Behavioral Tab</v>
      </c>
      <c r="N372" s="298">
        <v>0</v>
      </c>
      <c r="O372" s="298">
        <v>0</v>
      </c>
      <c r="P372" s="298">
        <v>0</v>
      </c>
      <c r="Q372" s="298">
        <v>0</v>
      </c>
      <c r="R372" s="299">
        <f>'Unit Savings Calculations'!$G368</f>
        <v>1</v>
      </c>
      <c r="S372" s="299">
        <f>'Unit Savings Calculations'!$G368</f>
        <v>1</v>
      </c>
      <c r="T372" s="299">
        <f>'Unit Savings Calculations'!$G368</f>
        <v>1</v>
      </c>
      <c r="U372" s="299">
        <f>'Unit Savings Calculations'!$G368</f>
        <v>1</v>
      </c>
      <c r="V372" s="300">
        <f t="shared" si="171"/>
        <v>0</v>
      </c>
      <c r="W372" s="300">
        <f t="shared" si="172"/>
        <v>0</v>
      </c>
      <c r="X372" s="300">
        <f t="shared" si="173"/>
        <v>0</v>
      </c>
      <c r="Y372" s="300">
        <f t="shared" si="174"/>
        <v>0</v>
      </c>
      <c r="Z372" s="300">
        <f t="shared" si="175"/>
        <v>0</v>
      </c>
      <c r="AA372" s="295"/>
      <c r="AB372" s="295"/>
      <c r="AC372" s="298">
        <f>'Unit Savings Calculations'!N368</f>
        <v>0</v>
      </c>
      <c r="AD372" s="295"/>
      <c r="AE372" s="300">
        <f t="shared" si="161"/>
        <v>0</v>
      </c>
      <c r="AF372" s="297">
        <f t="shared" si="162"/>
        <v>0</v>
      </c>
      <c r="AG372" s="295"/>
      <c r="AH372" s="295">
        <f t="shared" si="163"/>
        <v>0</v>
      </c>
      <c r="AI372" s="298">
        <f>'Unit Savings Calculations'!O368</f>
        <v>0</v>
      </c>
      <c r="AJ372" s="405" t="s">
        <v>879</v>
      </c>
      <c r="AK372" s="300">
        <f t="shared" si="164"/>
        <v>0</v>
      </c>
      <c r="AL372" s="297">
        <f t="shared" si="165"/>
        <v>0</v>
      </c>
      <c r="AM372" s="295"/>
      <c r="AN372" s="295"/>
      <c r="AO372" s="298">
        <f>'Unit Savings Calculations'!P368</f>
        <v>0</v>
      </c>
      <c r="AP372" s="405" t="s">
        <v>764</v>
      </c>
      <c r="AQ372" s="300">
        <f t="shared" si="166"/>
        <v>0</v>
      </c>
      <c r="AR372" s="297">
        <f t="shared" si="167"/>
        <v>0</v>
      </c>
      <c r="AS372" s="295"/>
      <c r="AT372" s="295"/>
      <c r="AU372" s="298">
        <f>'Unit Savings Calculations'!Q368</f>
        <v>0</v>
      </c>
      <c r="AV372" s="405" t="str">
        <f t="shared" si="154"/>
        <v>n/a</v>
      </c>
      <c r="AW372" s="300">
        <f t="shared" si="168"/>
        <v>0</v>
      </c>
      <c r="AX372" s="297">
        <f t="shared" si="169"/>
        <v>0</v>
      </c>
      <c r="AY372" s="300">
        <f t="shared" si="155"/>
        <v>0</v>
      </c>
      <c r="AZ372" s="300">
        <f t="shared" si="156"/>
        <v>0</v>
      </c>
      <c r="BA372" s="300">
        <f t="shared" si="157"/>
        <v>0</v>
      </c>
      <c r="BB372" s="300">
        <f t="shared" si="158"/>
        <v>0</v>
      </c>
      <c r="BC372" s="301">
        <f t="shared" si="159"/>
        <v>0</v>
      </c>
      <c r="BD372" s="295" t="s">
        <v>764</v>
      </c>
      <c r="BE372" s="302" t="str">
        <f t="shared" si="160"/>
        <v>Exhibit 1.5A_R North Shore EEPS_Adjustable_Savings_Goal_Template.xlsx, Behavioral Tab</v>
      </c>
      <c r="BF372" s="304"/>
    </row>
    <row r="373" spans="1:58" ht="15.75" customHeight="1">
      <c r="A373" s="295" t="s">
        <v>713</v>
      </c>
      <c r="B373" s="295" t="str">
        <f>'Unit Savings Calculations'!D369</f>
        <v>Behavior 2021 Y4 Persistence</v>
      </c>
      <c r="C373" s="296">
        <f t="shared" si="170"/>
        <v>1</v>
      </c>
      <c r="D373" s="295" t="str">
        <f>'Unit Savings Calculations'!T369</f>
        <v>6.1.1</v>
      </c>
      <c r="E373" s="460">
        <f>INDEX('Unit Savings Calculations'!$H$4:$H$421,MATCH('Measure-Level Adjustments Tab'!$A373&amp;"_"&amp;'Measure-Level Adjustments Tab'!$B373,'Unit Savings Calculations'!$A$4:$A$421,0))</f>
        <v>0</v>
      </c>
      <c r="F373" s="460">
        <f>INDEX('Unit Savings Calculations'!$I$4:$I$421,MATCH('Measure-Level Adjustments Tab'!A373&amp;"_"&amp;'Measure-Level Adjustments Tab'!B373,'Unit Savings Calculations'!$A$4:$A$421,0))</f>
        <v>0</v>
      </c>
      <c r="G373" s="295" t="str">
        <f>'Unit Savings Calculations'!E369</f>
        <v>each</v>
      </c>
      <c r="H373" s="297">
        <v>0</v>
      </c>
      <c r="I373" s="297">
        <v>0</v>
      </c>
      <c r="J373" s="297">
        <v>0</v>
      </c>
      <c r="K373" s="297">
        <f>'Unit Savings Calculations'!$F369*'Unit Savings Calculations'!M369</f>
        <v>0</v>
      </c>
      <c r="L373" s="295" t="str">
        <f>'Unit Savings Calculations'!U369</f>
        <v>CC-BEH-BEHP-V02-16061</v>
      </c>
      <c r="M373" s="405" t="str">
        <f>'Unit Savings Calculations'!R369</f>
        <v>Exhibit 1.5A_R North Shore EEPS_Adjustable_Savings_Goal_Template.xlsx, Behavioral Tab</v>
      </c>
      <c r="N373" s="298">
        <v>0</v>
      </c>
      <c r="O373" s="298">
        <v>0</v>
      </c>
      <c r="P373" s="298">
        <v>0</v>
      </c>
      <c r="Q373" s="298">
        <v>0</v>
      </c>
      <c r="R373" s="299">
        <f>'Unit Savings Calculations'!$G369</f>
        <v>1</v>
      </c>
      <c r="S373" s="299">
        <f>'Unit Savings Calculations'!$G369</f>
        <v>1</v>
      </c>
      <c r="T373" s="299">
        <f>'Unit Savings Calculations'!$G369</f>
        <v>1</v>
      </c>
      <c r="U373" s="299">
        <f>'Unit Savings Calculations'!$G369</f>
        <v>1</v>
      </c>
      <c r="V373" s="300">
        <f t="shared" si="171"/>
        <v>0</v>
      </c>
      <c r="W373" s="300">
        <f t="shared" si="172"/>
        <v>0</v>
      </c>
      <c r="X373" s="300">
        <f t="shared" si="173"/>
        <v>0</v>
      </c>
      <c r="Y373" s="300">
        <f t="shared" si="174"/>
        <v>0</v>
      </c>
      <c r="Z373" s="300">
        <f t="shared" si="175"/>
        <v>0</v>
      </c>
      <c r="AA373" s="295"/>
      <c r="AB373" s="295"/>
      <c r="AC373" s="298">
        <f>'Unit Savings Calculations'!N369</f>
        <v>0</v>
      </c>
      <c r="AD373" s="295"/>
      <c r="AE373" s="300">
        <f t="shared" si="161"/>
        <v>0</v>
      </c>
      <c r="AF373" s="297">
        <f t="shared" si="162"/>
        <v>0</v>
      </c>
      <c r="AG373" s="295"/>
      <c r="AH373" s="295">
        <f t="shared" si="163"/>
        <v>0</v>
      </c>
      <c r="AI373" s="298">
        <f>'Unit Savings Calculations'!O369</f>
        <v>0</v>
      </c>
      <c r="AJ373" s="405" t="s">
        <v>879</v>
      </c>
      <c r="AK373" s="300">
        <f t="shared" si="164"/>
        <v>0</v>
      </c>
      <c r="AL373" s="297">
        <f t="shared" si="165"/>
        <v>0</v>
      </c>
      <c r="AM373" s="295"/>
      <c r="AN373" s="295"/>
      <c r="AO373" s="298">
        <f>'Unit Savings Calculations'!P369</f>
        <v>0</v>
      </c>
      <c r="AP373" s="405" t="s">
        <v>764</v>
      </c>
      <c r="AQ373" s="300">
        <f t="shared" si="166"/>
        <v>0</v>
      </c>
      <c r="AR373" s="297">
        <f t="shared" si="167"/>
        <v>0</v>
      </c>
      <c r="AS373" s="295"/>
      <c r="AT373" s="295"/>
      <c r="AU373" s="298">
        <f>'Unit Savings Calculations'!Q369</f>
        <v>0</v>
      </c>
      <c r="AV373" s="405" t="str">
        <f t="shared" si="154"/>
        <v>n/a</v>
      </c>
      <c r="AW373" s="300">
        <f t="shared" si="168"/>
        <v>0</v>
      </c>
      <c r="AX373" s="297">
        <f t="shared" si="169"/>
        <v>0</v>
      </c>
      <c r="AY373" s="300">
        <f t="shared" si="155"/>
        <v>0</v>
      </c>
      <c r="AZ373" s="300">
        <f t="shared" si="156"/>
        <v>0</v>
      </c>
      <c r="BA373" s="300">
        <f t="shared" si="157"/>
        <v>0</v>
      </c>
      <c r="BB373" s="300">
        <f t="shared" si="158"/>
        <v>0</v>
      </c>
      <c r="BC373" s="301">
        <f t="shared" si="159"/>
        <v>0</v>
      </c>
      <c r="BD373" s="295" t="s">
        <v>764</v>
      </c>
      <c r="BE373" s="302" t="str">
        <f t="shared" si="160"/>
        <v>Exhibit 1.5A_R North Shore EEPS_Adjustable_Savings_Goal_Template.xlsx, Behavioral Tab</v>
      </c>
      <c r="BF373" s="304"/>
    </row>
    <row r="374" spans="1:58" ht="15.75" customHeight="1">
      <c r="A374" s="295" t="s">
        <v>713</v>
      </c>
      <c r="B374" s="295" t="str">
        <f>'Unit Savings Calculations'!D370</f>
        <v>Energy Education</v>
      </c>
      <c r="C374" s="296">
        <f t="shared" si="170"/>
        <v>0</v>
      </c>
      <c r="D374" s="295" t="str">
        <f>'Unit Savings Calculations'!T370</f>
        <v>Custom</v>
      </c>
      <c r="E374" s="460">
        <f>INDEX('Unit Savings Calculations'!$H$4:$H$421,MATCH('Measure-Level Adjustments Tab'!$A374&amp;"_"&amp;'Measure-Level Adjustments Tab'!$B374,'Unit Savings Calculations'!$A$4:$A$421,0))</f>
        <v>4</v>
      </c>
      <c r="F374" s="460">
        <f>INDEX('Unit Savings Calculations'!$I$4:$I$421,MATCH('Measure-Level Adjustments Tab'!A374&amp;"_"&amp;'Measure-Level Adjustments Tab'!B374,'Unit Savings Calculations'!$A$4:$A$421,0))</f>
        <v>4</v>
      </c>
      <c r="G374" s="295" t="str">
        <f>'Unit Savings Calculations'!E370</f>
        <v>each</v>
      </c>
      <c r="H374" s="297">
        <f>'Unit Savings Calculations'!$F370*'Unit Savings Calculations'!J370</f>
        <v>0</v>
      </c>
      <c r="I374" s="297">
        <f>'Unit Savings Calculations'!$F370*'Unit Savings Calculations'!K370</f>
        <v>0</v>
      </c>
      <c r="J374" s="297">
        <f>'Unit Savings Calculations'!$F370*'Unit Savings Calculations'!L370</f>
        <v>0</v>
      </c>
      <c r="K374" s="297">
        <f>'Unit Savings Calculations'!$F370*'Unit Savings Calculations'!M370</f>
        <v>0</v>
      </c>
      <c r="L374" s="295" t="str">
        <f>'Unit Savings Calculations'!U370</f>
        <v>Custom</v>
      </c>
      <c r="M374" s="405" t="str">
        <f>'Unit Savings Calculations'!R370</f>
        <v>Custom</v>
      </c>
      <c r="N374" s="298">
        <v>0</v>
      </c>
      <c r="O374" s="298">
        <v>0</v>
      </c>
      <c r="P374" s="298">
        <v>0</v>
      </c>
      <c r="Q374" s="298">
        <v>0</v>
      </c>
      <c r="R374" s="299">
        <f>'Unit Savings Calculations'!$G370</f>
        <v>1</v>
      </c>
      <c r="S374" s="299">
        <f>'Unit Savings Calculations'!$G370</f>
        <v>1</v>
      </c>
      <c r="T374" s="299">
        <f>'Unit Savings Calculations'!$G370</f>
        <v>1</v>
      </c>
      <c r="U374" s="299">
        <f>'Unit Savings Calculations'!$G370</f>
        <v>1</v>
      </c>
      <c r="V374" s="300">
        <f t="shared" si="171"/>
        <v>0</v>
      </c>
      <c r="W374" s="300">
        <f t="shared" si="172"/>
        <v>0</v>
      </c>
      <c r="X374" s="300">
        <f t="shared" si="173"/>
        <v>0</v>
      </c>
      <c r="Y374" s="300">
        <f t="shared" si="174"/>
        <v>0</v>
      </c>
      <c r="Z374" s="300">
        <f t="shared" si="175"/>
        <v>0</v>
      </c>
      <c r="AA374" s="406"/>
      <c r="AB374" s="406"/>
      <c r="AC374" s="409">
        <f>'Unit Savings Calculations'!N370</f>
        <v>0</v>
      </c>
      <c r="AD374" s="406"/>
      <c r="AE374" s="407">
        <f t="shared" si="161"/>
        <v>0</v>
      </c>
      <c r="AF374" s="408">
        <f t="shared" si="162"/>
        <v>0</v>
      </c>
      <c r="AG374" s="406"/>
      <c r="AH374" s="406">
        <f t="shared" si="163"/>
        <v>0</v>
      </c>
      <c r="AI374" s="409">
        <f>'Unit Savings Calculations'!O370</f>
        <v>0</v>
      </c>
      <c r="AJ374" s="457" t="s">
        <v>879</v>
      </c>
      <c r="AK374" s="407">
        <f t="shared" si="164"/>
        <v>0</v>
      </c>
      <c r="AL374" s="408">
        <f t="shared" si="165"/>
        <v>0</v>
      </c>
      <c r="AM374" s="406"/>
      <c r="AN374" s="406"/>
      <c r="AO374" s="409">
        <f>'Unit Savings Calculations'!P370</f>
        <v>0</v>
      </c>
      <c r="AP374" s="457" t="s">
        <v>764</v>
      </c>
      <c r="AQ374" s="407">
        <f t="shared" si="166"/>
        <v>0</v>
      </c>
      <c r="AR374" s="408">
        <f t="shared" si="167"/>
        <v>0</v>
      </c>
      <c r="AS374" s="406"/>
      <c r="AT374" s="406"/>
      <c r="AU374" s="409">
        <f>'Unit Savings Calculations'!Q370</f>
        <v>0</v>
      </c>
      <c r="AV374" s="457" t="str">
        <f t="shared" si="154"/>
        <v>n/a</v>
      </c>
      <c r="AW374" s="407">
        <f t="shared" si="168"/>
        <v>0</v>
      </c>
      <c r="AX374" s="408">
        <f t="shared" si="169"/>
        <v>0</v>
      </c>
      <c r="AY374" s="300">
        <f t="shared" si="155"/>
        <v>0</v>
      </c>
      <c r="AZ374" s="300">
        <f t="shared" si="156"/>
        <v>0</v>
      </c>
      <c r="BA374" s="300">
        <f t="shared" si="157"/>
        <v>0</v>
      </c>
      <c r="BB374" s="300">
        <f t="shared" si="158"/>
        <v>0</v>
      </c>
      <c r="BC374" s="301">
        <f t="shared" si="159"/>
        <v>0</v>
      </c>
      <c r="BD374" s="295" t="s">
        <v>764</v>
      </c>
      <c r="BE374" s="302" t="str">
        <f t="shared" si="160"/>
        <v>Custom</v>
      </c>
      <c r="BF374" s="304"/>
    </row>
    <row r="375" spans="1:58" ht="15.75" customHeight="1">
      <c r="A375" s="295" t="str">
        <f>'Unit Savings Calculations'!C371</f>
        <v>Low Income - SF Retrofit</v>
      </c>
      <c r="B375" s="295" t="str">
        <f>'Unit Savings Calculations'!D371</f>
        <v>Bathroom Aerator</v>
      </c>
      <c r="C375" s="296">
        <f t="shared" si="170"/>
        <v>1</v>
      </c>
      <c r="D375" s="295" t="str">
        <f>'Unit Savings Calculations'!T371</f>
        <v>5.4.4</v>
      </c>
      <c r="E375" s="460">
        <f>INDEX('Unit Savings Calculations'!$H$4:$H$421,MATCH('Measure-Level Adjustments Tab'!$A375&amp;"_"&amp;'Measure-Level Adjustments Tab'!$B375,'Unit Savings Calculations'!$A$4:$A$421,0))</f>
        <v>9</v>
      </c>
      <c r="F375" s="460">
        <f>INDEX('Unit Savings Calculations'!$I$4:$I$421,MATCH('Measure-Level Adjustments Tab'!A375&amp;"_"&amp;'Measure-Level Adjustments Tab'!B375,'Unit Savings Calculations'!$A$4:$A$421,0))</f>
        <v>10</v>
      </c>
      <c r="G375" s="295" t="str">
        <f>'Unit Savings Calculations'!E371</f>
        <v>each</v>
      </c>
      <c r="H375" s="297">
        <f>'Unit Savings Calculations'!$F371*'Unit Savings Calculations'!J371</f>
        <v>84</v>
      </c>
      <c r="I375" s="297">
        <f>'Unit Savings Calculations'!$F371*'Unit Savings Calculations'!K371</f>
        <v>84</v>
      </c>
      <c r="J375" s="297">
        <f>'Unit Savings Calculations'!$F371*'Unit Savings Calculations'!L371</f>
        <v>84</v>
      </c>
      <c r="K375" s="297">
        <f>'Unit Savings Calculations'!$F371*'Unit Savings Calculations'!M371</f>
        <v>84</v>
      </c>
      <c r="L375" s="295" t="str">
        <f>'Unit Savings Calculations'!U371</f>
        <v>RS-HWE-LFFA-V06-180101</v>
      </c>
      <c r="M375" s="405" t="str">
        <f>'Unit Savings Calculations'!R371</f>
        <v>Exhibit 1.5A_R North Shore EEPS_Adjustable_Savings_Goal_Template.xlsx, Unit Savings Calculations Tab</v>
      </c>
      <c r="N375" s="298">
        <v>0.69292055940766484</v>
      </c>
      <c r="O375" s="298">
        <v>0.69292055940766484</v>
      </c>
      <c r="P375" s="298">
        <v>0.69292055940766484</v>
      </c>
      <c r="Q375" s="298">
        <v>0.69292055940766484</v>
      </c>
      <c r="R375" s="299">
        <f>'Unit Savings Calculations'!$G371</f>
        <v>1</v>
      </c>
      <c r="S375" s="299">
        <f>'Unit Savings Calculations'!$G371</f>
        <v>1</v>
      </c>
      <c r="T375" s="299">
        <f>'Unit Savings Calculations'!$G371</f>
        <v>1</v>
      </c>
      <c r="U375" s="299">
        <f>'Unit Savings Calculations'!$G371</f>
        <v>1</v>
      </c>
      <c r="V375" s="300">
        <f t="shared" si="171"/>
        <v>58.205326990243847</v>
      </c>
      <c r="W375" s="300">
        <f t="shared" si="172"/>
        <v>58.205326990243847</v>
      </c>
      <c r="X375" s="300">
        <f t="shared" si="173"/>
        <v>58.205326990243847</v>
      </c>
      <c r="Y375" s="300">
        <f t="shared" si="174"/>
        <v>58.205326990243847</v>
      </c>
      <c r="Z375" s="300">
        <f t="shared" si="175"/>
        <v>232.82130796097539</v>
      </c>
      <c r="AA375" s="295"/>
      <c r="AB375" s="295"/>
      <c r="AC375" s="298">
        <f>'Unit Savings Calculations'!N371</f>
        <v>0.90849584455671673</v>
      </c>
      <c r="AD375" s="295"/>
      <c r="AE375" s="300">
        <f t="shared" si="161"/>
        <v>76.313650942764198</v>
      </c>
      <c r="AF375" s="297">
        <f t="shared" si="162"/>
        <v>18.108323952520351</v>
      </c>
      <c r="AG375" s="295"/>
      <c r="AH375" s="295">
        <f t="shared" si="163"/>
        <v>0</v>
      </c>
      <c r="AI375" s="298">
        <f>'Unit Savings Calculations'!O371</f>
        <v>0.90849584455671673</v>
      </c>
      <c r="AJ375" s="405" t="s">
        <v>1017</v>
      </c>
      <c r="AK375" s="300">
        <f t="shared" si="164"/>
        <v>76.313650942764198</v>
      </c>
      <c r="AL375" s="297">
        <f t="shared" si="165"/>
        <v>18.108323952520351</v>
      </c>
      <c r="AM375" s="295"/>
      <c r="AN375" s="295"/>
      <c r="AO375" s="298">
        <f>'Unit Savings Calculations'!P371</f>
        <v>0.90849584455671673</v>
      </c>
      <c r="AP375" s="405" t="s">
        <v>764</v>
      </c>
      <c r="AQ375" s="300">
        <f t="shared" si="166"/>
        <v>76.313650942764198</v>
      </c>
      <c r="AR375" s="297">
        <f t="shared" si="167"/>
        <v>18.108323952520351</v>
      </c>
      <c r="AS375" s="295"/>
      <c r="AT375" s="295"/>
      <c r="AU375" s="298">
        <f>'Unit Savings Calculations'!Q371</f>
        <v>0.90849584455671673</v>
      </c>
      <c r="AV375" s="405" t="str">
        <f t="shared" si="154"/>
        <v>n/a</v>
      </c>
      <c r="AW375" s="300">
        <f t="shared" si="168"/>
        <v>76.313650942764198</v>
      </c>
      <c r="AX375" s="297">
        <f t="shared" si="169"/>
        <v>18.108323952520351</v>
      </c>
      <c r="AY375" s="300">
        <f t="shared" si="155"/>
        <v>76.313650942764198</v>
      </c>
      <c r="AZ375" s="300">
        <f t="shared" si="156"/>
        <v>76.313650942764198</v>
      </c>
      <c r="BA375" s="300">
        <f t="shared" si="157"/>
        <v>76.313650942764198</v>
      </c>
      <c r="BB375" s="300">
        <f t="shared" si="158"/>
        <v>76.313650942764198</v>
      </c>
      <c r="BC375" s="301">
        <f t="shared" si="159"/>
        <v>305.25460377105679</v>
      </c>
      <c r="BD375" s="295" t="s">
        <v>764</v>
      </c>
      <c r="BE375" s="302" t="str">
        <f t="shared" si="160"/>
        <v>Exhibit 1.5A_R North Shore EEPS_Adjustable_Savings_Goal_Template.xlsx, Unit Savings Calculations Tab</v>
      </c>
      <c r="BF375" s="304"/>
    </row>
    <row r="376" spans="1:58" ht="15.75" customHeight="1">
      <c r="A376" s="295" t="str">
        <f>'Unit Savings Calculations'!C372</f>
        <v>Low Income - SF Retrofit</v>
      </c>
      <c r="B376" s="295" t="str">
        <f>'Unit Savings Calculations'!D372</f>
        <v>Kitchen Aerator</v>
      </c>
      <c r="C376" s="296">
        <f t="shared" si="170"/>
        <v>1</v>
      </c>
      <c r="D376" s="295" t="str">
        <f>'Unit Savings Calculations'!T372</f>
        <v>5.4.4</v>
      </c>
      <c r="E376" s="460">
        <f>INDEX('Unit Savings Calculations'!$H$4:$H$421,MATCH('Measure-Level Adjustments Tab'!$A376&amp;"_"&amp;'Measure-Level Adjustments Tab'!$B376,'Unit Savings Calculations'!$A$4:$A$421,0))</f>
        <v>9</v>
      </c>
      <c r="F376" s="460">
        <f>INDEX('Unit Savings Calculations'!$I$4:$I$421,MATCH('Measure-Level Adjustments Tab'!A376&amp;"_"&amp;'Measure-Level Adjustments Tab'!B376,'Unit Savings Calculations'!$A$4:$A$421,0))</f>
        <v>10</v>
      </c>
      <c r="G376" s="295" t="str">
        <f>'Unit Savings Calculations'!E372</f>
        <v>each</v>
      </c>
      <c r="H376" s="297">
        <f>'Unit Savings Calculations'!$F372*'Unit Savings Calculations'!J372</f>
        <v>42</v>
      </c>
      <c r="I376" s="297">
        <f>'Unit Savings Calculations'!$F372*'Unit Savings Calculations'!K372</f>
        <v>42</v>
      </c>
      <c r="J376" s="297">
        <f>'Unit Savings Calculations'!$F372*'Unit Savings Calculations'!L372</f>
        <v>42</v>
      </c>
      <c r="K376" s="297">
        <f>'Unit Savings Calculations'!$F372*'Unit Savings Calculations'!M372</f>
        <v>42</v>
      </c>
      <c r="L376" s="295" t="str">
        <f>'Unit Savings Calculations'!U372</f>
        <v>RS-HWE-LFFA-V06-180101</v>
      </c>
      <c r="M376" s="405" t="str">
        <f>'Unit Savings Calculations'!R372</f>
        <v>Exhibit 1.5A_R North Shore EEPS_Adjustable_Savings_Goal_Template.xlsx, Unit Savings Calculations Tab</v>
      </c>
      <c r="N376" s="298">
        <v>5.6045414594076925</v>
      </c>
      <c r="O376" s="298">
        <v>5.6045414594076925</v>
      </c>
      <c r="P376" s="298">
        <v>5.6045414594076925</v>
      </c>
      <c r="Q376" s="298">
        <v>5.6045414594076925</v>
      </c>
      <c r="R376" s="299">
        <f>'Unit Savings Calculations'!$G372</f>
        <v>1</v>
      </c>
      <c r="S376" s="299">
        <f>'Unit Savings Calculations'!$G372</f>
        <v>1</v>
      </c>
      <c r="T376" s="299">
        <f>'Unit Savings Calculations'!$G372</f>
        <v>1</v>
      </c>
      <c r="U376" s="299">
        <f>'Unit Savings Calculations'!$G372</f>
        <v>1</v>
      </c>
      <c r="V376" s="300">
        <f t="shared" si="171"/>
        <v>235.39074129512309</v>
      </c>
      <c r="W376" s="300">
        <f t="shared" si="172"/>
        <v>235.39074129512309</v>
      </c>
      <c r="X376" s="300">
        <f t="shared" si="173"/>
        <v>235.39074129512309</v>
      </c>
      <c r="Y376" s="300">
        <f t="shared" si="174"/>
        <v>235.39074129512309</v>
      </c>
      <c r="Z376" s="300">
        <f t="shared" si="175"/>
        <v>941.56296518049237</v>
      </c>
      <c r="AA376" s="295"/>
      <c r="AB376" s="295"/>
      <c r="AC376" s="298">
        <f>'Unit Savings Calculations'!N372</f>
        <v>8.5936302377584592</v>
      </c>
      <c r="AD376" s="295"/>
      <c r="AE376" s="300">
        <f t="shared" si="161"/>
        <v>360.93246998585528</v>
      </c>
      <c r="AF376" s="297">
        <f t="shared" si="162"/>
        <v>125.54172869073219</v>
      </c>
      <c r="AG376" s="295"/>
      <c r="AH376" s="295">
        <f t="shared" si="163"/>
        <v>0</v>
      </c>
      <c r="AI376" s="298">
        <f>'Unit Savings Calculations'!O372</f>
        <v>8.5936302377584592</v>
      </c>
      <c r="AJ376" s="405" t="s">
        <v>1017</v>
      </c>
      <c r="AK376" s="300">
        <f t="shared" si="164"/>
        <v>360.93246998585528</v>
      </c>
      <c r="AL376" s="297">
        <f t="shared" si="165"/>
        <v>125.54172869073219</v>
      </c>
      <c r="AM376" s="295"/>
      <c r="AN376" s="295"/>
      <c r="AO376" s="298">
        <f>'Unit Savings Calculations'!P372</f>
        <v>8.5936302377584592</v>
      </c>
      <c r="AP376" s="405" t="s">
        <v>764</v>
      </c>
      <c r="AQ376" s="300">
        <f t="shared" si="166"/>
        <v>360.93246998585528</v>
      </c>
      <c r="AR376" s="297">
        <f t="shared" si="167"/>
        <v>125.54172869073219</v>
      </c>
      <c r="AS376" s="295"/>
      <c r="AT376" s="295"/>
      <c r="AU376" s="298">
        <f>'Unit Savings Calculations'!Q372</f>
        <v>8.5936302377584592</v>
      </c>
      <c r="AV376" s="405" t="str">
        <f t="shared" si="154"/>
        <v>n/a</v>
      </c>
      <c r="AW376" s="300">
        <f t="shared" si="168"/>
        <v>360.93246998585528</v>
      </c>
      <c r="AX376" s="297">
        <f t="shared" si="169"/>
        <v>125.54172869073219</v>
      </c>
      <c r="AY376" s="300">
        <f t="shared" si="155"/>
        <v>360.93246998585528</v>
      </c>
      <c r="AZ376" s="300">
        <f t="shared" si="156"/>
        <v>360.93246998585528</v>
      </c>
      <c r="BA376" s="300">
        <f t="shared" si="157"/>
        <v>360.93246998585528</v>
      </c>
      <c r="BB376" s="300">
        <f t="shared" si="158"/>
        <v>360.93246998585528</v>
      </c>
      <c r="BC376" s="301">
        <f t="shared" si="159"/>
        <v>1443.7298799434211</v>
      </c>
      <c r="BD376" s="295" t="s">
        <v>764</v>
      </c>
      <c r="BE376" s="302" t="str">
        <f t="shared" si="160"/>
        <v>Exhibit 1.5A_R North Shore EEPS_Adjustable_Savings_Goal_Template.xlsx, Unit Savings Calculations Tab</v>
      </c>
      <c r="BF376" s="304"/>
    </row>
    <row r="377" spans="1:58" ht="15.75" customHeight="1">
      <c r="A377" s="295" t="str">
        <f>'Unit Savings Calculations'!C373</f>
        <v>Low Income - SF Retrofit</v>
      </c>
      <c r="B377" s="295" t="str">
        <f>'Unit Savings Calculations'!D373</f>
        <v>Showerhead</v>
      </c>
      <c r="C377" s="296">
        <f t="shared" si="170"/>
        <v>1</v>
      </c>
      <c r="D377" s="295" t="str">
        <f>'Unit Savings Calculations'!T373</f>
        <v>5.4.5</v>
      </c>
      <c r="E377" s="460">
        <f>INDEX('Unit Savings Calculations'!$H$4:$H$421,MATCH('Measure-Level Adjustments Tab'!$A377&amp;"_"&amp;'Measure-Level Adjustments Tab'!$B377,'Unit Savings Calculations'!$A$4:$A$421,0))</f>
        <v>10</v>
      </c>
      <c r="F377" s="460">
        <f>INDEX('Unit Savings Calculations'!$I$4:$I$421,MATCH('Measure-Level Adjustments Tab'!A377&amp;"_"&amp;'Measure-Level Adjustments Tab'!B377,'Unit Savings Calculations'!$A$4:$A$421,0))</f>
        <v>10</v>
      </c>
      <c r="G377" s="295" t="str">
        <f>'Unit Savings Calculations'!E373</f>
        <v>each</v>
      </c>
      <c r="H377" s="297">
        <f>'Unit Savings Calculations'!$F373*'Unit Savings Calculations'!J373</f>
        <v>50</v>
      </c>
      <c r="I377" s="297">
        <f>'Unit Savings Calculations'!$F373*'Unit Savings Calculations'!K373</f>
        <v>50</v>
      </c>
      <c r="J377" s="297">
        <f>'Unit Savings Calculations'!$F373*'Unit Savings Calculations'!L373</f>
        <v>50</v>
      </c>
      <c r="K377" s="297">
        <f>'Unit Savings Calculations'!$F373*'Unit Savings Calculations'!M373</f>
        <v>50</v>
      </c>
      <c r="L377" s="295" t="str">
        <f>'Unit Savings Calculations'!U373</f>
        <v>RS-HWE-LFSH-V05-180101</v>
      </c>
      <c r="M377" s="405" t="str">
        <f>'Unit Savings Calculations'!R373</f>
        <v>Exhibit 1.5A_R North Shore EEPS_Adjustable_Savings_Goal_Template.xlsx, Unit Savings Calculations Tab</v>
      </c>
      <c r="N377" s="298">
        <v>14.03971173442217</v>
      </c>
      <c r="O377" s="298">
        <v>14.03971173442217</v>
      </c>
      <c r="P377" s="298">
        <v>14.03971173442217</v>
      </c>
      <c r="Q377" s="298">
        <v>14.03971173442217</v>
      </c>
      <c r="R377" s="299">
        <f>'Unit Savings Calculations'!$G373</f>
        <v>1</v>
      </c>
      <c r="S377" s="299">
        <f>'Unit Savings Calculations'!$G373</f>
        <v>1</v>
      </c>
      <c r="T377" s="299">
        <f>'Unit Savings Calculations'!$G373</f>
        <v>1</v>
      </c>
      <c r="U377" s="299">
        <f>'Unit Savings Calculations'!$G373</f>
        <v>1</v>
      </c>
      <c r="V377" s="300">
        <f t="shared" si="171"/>
        <v>701.98558672110846</v>
      </c>
      <c r="W377" s="300">
        <f t="shared" si="172"/>
        <v>701.98558672110846</v>
      </c>
      <c r="X377" s="300">
        <f t="shared" si="173"/>
        <v>701.98558672110846</v>
      </c>
      <c r="Y377" s="300">
        <f t="shared" si="174"/>
        <v>701.98558672110846</v>
      </c>
      <c r="Z377" s="300">
        <f t="shared" si="175"/>
        <v>2807.9423468844338</v>
      </c>
      <c r="AA377" s="295"/>
      <c r="AB377" s="295"/>
      <c r="AC377" s="298">
        <f>'Unit Savings Calculations'!N373</f>
        <v>8.7892072937103034</v>
      </c>
      <c r="AD377" s="295"/>
      <c r="AE377" s="300">
        <f t="shared" si="161"/>
        <v>439.46036468551517</v>
      </c>
      <c r="AF377" s="297">
        <f t="shared" si="162"/>
        <v>-262.52522203559329</v>
      </c>
      <c r="AG377" s="295"/>
      <c r="AH377" s="295">
        <f t="shared" si="163"/>
        <v>0</v>
      </c>
      <c r="AI377" s="298">
        <f>'Unit Savings Calculations'!O373</f>
        <v>8.7892072937103034</v>
      </c>
      <c r="AJ377" s="405" t="s">
        <v>1017</v>
      </c>
      <c r="AK377" s="300">
        <f t="shared" si="164"/>
        <v>439.46036468551517</v>
      </c>
      <c r="AL377" s="297">
        <f t="shared" si="165"/>
        <v>-262.52522203559329</v>
      </c>
      <c r="AM377" s="295"/>
      <c r="AN377" s="295"/>
      <c r="AO377" s="298">
        <f>'Unit Savings Calculations'!P373</f>
        <v>8.7892072937103034</v>
      </c>
      <c r="AP377" s="405" t="s">
        <v>1441</v>
      </c>
      <c r="AQ377" s="300">
        <f t="shared" si="166"/>
        <v>439.46036468551517</v>
      </c>
      <c r="AR377" s="297">
        <f t="shared" si="167"/>
        <v>-262.52522203559329</v>
      </c>
      <c r="AS377" s="295"/>
      <c r="AT377" s="295"/>
      <c r="AU377" s="298">
        <f>'Unit Savings Calculations'!Q373</f>
        <v>8.7892072937103034</v>
      </c>
      <c r="AV377" s="405" t="str">
        <f t="shared" si="154"/>
        <v>Updated SF ISR</v>
      </c>
      <c r="AW377" s="300">
        <f t="shared" si="168"/>
        <v>439.46036468551517</v>
      </c>
      <c r="AX377" s="297">
        <f t="shared" si="169"/>
        <v>-262.52522203559329</v>
      </c>
      <c r="AY377" s="300">
        <f t="shared" si="155"/>
        <v>439.46036468551517</v>
      </c>
      <c r="AZ377" s="300">
        <f t="shared" si="156"/>
        <v>439.46036468551517</v>
      </c>
      <c r="BA377" s="300">
        <f t="shared" si="157"/>
        <v>439.46036468551517</v>
      </c>
      <c r="BB377" s="300">
        <f t="shared" si="158"/>
        <v>439.46036468551517</v>
      </c>
      <c r="BC377" s="301">
        <f t="shared" si="159"/>
        <v>1757.8414587420607</v>
      </c>
      <c r="BD377" s="295" t="s">
        <v>764</v>
      </c>
      <c r="BE377" s="302" t="str">
        <f t="shared" si="160"/>
        <v>Exhibit 1.5A_R North Shore EEPS_Adjustable_Savings_Goal_Template.xlsx, Unit Savings Calculations Tab</v>
      </c>
      <c r="BF377" s="304"/>
    </row>
    <row r="378" spans="1:58" ht="15.75" customHeight="1">
      <c r="A378" s="295" t="str">
        <f>'Unit Savings Calculations'!C374</f>
        <v>Low Income - SF Retrofit</v>
      </c>
      <c r="B378" s="295" t="str">
        <f>'Unit Savings Calculations'!D374</f>
        <v>Pipe Insulation (DHW)</v>
      </c>
      <c r="C378" s="296">
        <f t="shared" si="170"/>
        <v>1</v>
      </c>
      <c r="D378" s="295" t="str">
        <f>'Unit Savings Calculations'!T374</f>
        <v>5.4.1</v>
      </c>
      <c r="E378" s="460">
        <f>INDEX('Unit Savings Calculations'!$H$4:$H$421,MATCH('Measure-Level Adjustments Tab'!$A378&amp;"_"&amp;'Measure-Level Adjustments Tab'!$B378,'Unit Savings Calculations'!$A$4:$A$421,0))</f>
        <v>15</v>
      </c>
      <c r="F378" s="460">
        <f>INDEX('Unit Savings Calculations'!$I$4:$I$421,MATCH('Measure-Level Adjustments Tab'!A378&amp;"_"&amp;'Measure-Level Adjustments Tab'!B378,'Unit Savings Calculations'!$A$4:$A$421,0))</f>
        <v>15</v>
      </c>
      <c r="G378" s="295" t="str">
        <f>'Unit Savings Calculations'!E374</f>
        <v>ft</v>
      </c>
      <c r="H378" s="297">
        <f>'Unit Savings Calculations'!$F374*'Unit Savings Calculations'!J374</f>
        <v>186</v>
      </c>
      <c r="I378" s="297">
        <f>'Unit Savings Calculations'!$F374*'Unit Savings Calculations'!K374</f>
        <v>186</v>
      </c>
      <c r="J378" s="297">
        <f>'Unit Savings Calculations'!$F374*'Unit Savings Calculations'!L374</f>
        <v>186</v>
      </c>
      <c r="K378" s="297">
        <f>'Unit Savings Calculations'!$F374*'Unit Savings Calculations'!M374</f>
        <v>186</v>
      </c>
      <c r="L378" s="295" t="str">
        <f>'Unit Savings Calculations'!U374</f>
        <v>RS-HVC-PINS-V02-150601</v>
      </c>
      <c r="M378" s="405" t="str">
        <f>'Unit Savings Calculations'!R374</f>
        <v>Exhibit 1.5A_R North Shore EEPS_Adjustable_Savings_Goal_Template.xlsx, Unit Savings Calculations Tab</v>
      </c>
      <c r="N378" s="298">
        <v>0.99123230769230763</v>
      </c>
      <c r="O378" s="298">
        <v>0.99123230769230763</v>
      </c>
      <c r="P378" s="298">
        <v>0.99123230769230763</v>
      </c>
      <c r="Q378" s="298">
        <v>0.99123230769230763</v>
      </c>
      <c r="R378" s="299">
        <f>'Unit Savings Calculations'!$G374</f>
        <v>1</v>
      </c>
      <c r="S378" s="299">
        <f>'Unit Savings Calculations'!$G374</f>
        <v>1</v>
      </c>
      <c r="T378" s="299">
        <f>'Unit Savings Calculations'!$G374</f>
        <v>1</v>
      </c>
      <c r="U378" s="299">
        <f>'Unit Savings Calculations'!$G374</f>
        <v>1</v>
      </c>
      <c r="V378" s="300">
        <f t="shared" si="171"/>
        <v>184.36920923076923</v>
      </c>
      <c r="W378" s="300">
        <f t="shared" si="172"/>
        <v>184.36920923076923</v>
      </c>
      <c r="X378" s="300">
        <f t="shared" si="173"/>
        <v>184.36920923076923</v>
      </c>
      <c r="Y378" s="300">
        <f t="shared" si="174"/>
        <v>184.36920923076923</v>
      </c>
      <c r="Z378" s="300">
        <f t="shared" si="175"/>
        <v>737.47683692307692</v>
      </c>
      <c r="AA378" s="295"/>
      <c r="AB378" s="295"/>
      <c r="AC378" s="298">
        <f>'Unit Savings Calculations'!N374</f>
        <v>0.77039653846153844</v>
      </c>
      <c r="AD378" s="295"/>
      <c r="AE378" s="300">
        <f t="shared" si="161"/>
        <v>143.29375615384615</v>
      </c>
      <c r="AF378" s="297">
        <f t="shared" si="162"/>
        <v>-41.075453076923083</v>
      </c>
      <c r="AG378" s="295"/>
      <c r="AH378" s="295">
        <f t="shared" si="163"/>
        <v>0</v>
      </c>
      <c r="AI378" s="298">
        <f>'Unit Savings Calculations'!O374</f>
        <v>0.77039653846153844</v>
      </c>
      <c r="AJ378" s="405" t="s">
        <v>1012</v>
      </c>
      <c r="AK378" s="300">
        <f t="shared" si="164"/>
        <v>143.29375615384615</v>
      </c>
      <c r="AL378" s="297">
        <f t="shared" si="165"/>
        <v>-41.075453076923083</v>
      </c>
      <c r="AM378" s="295"/>
      <c r="AN378" s="295"/>
      <c r="AO378" s="298">
        <f>'Unit Savings Calculations'!P374</f>
        <v>0.77039653846153844</v>
      </c>
      <c r="AP378" s="405" t="s">
        <v>764</v>
      </c>
      <c r="AQ378" s="300">
        <f t="shared" si="166"/>
        <v>143.29375615384615</v>
      </c>
      <c r="AR378" s="297">
        <f t="shared" si="167"/>
        <v>-41.075453076923083</v>
      </c>
      <c r="AS378" s="295"/>
      <c r="AT378" s="295"/>
      <c r="AU378" s="298">
        <f>'Unit Savings Calculations'!Q374</f>
        <v>0.77039653846153844</v>
      </c>
      <c r="AV378" s="405" t="str">
        <f t="shared" si="154"/>
        <v>n/a</v>
      </c>
      <c r="AW378" s="300">
        <f t="shared" si="168"/>
        <v>143.29375615384615</v>
      </c>
      <c r="AX378" s="297">
        <f t="shared" si="169"/>
        <v>-41.075453076923083</v>
      </c>
      <c r="AY378" s="300">
        <f t="shared" si="155"/>
        <v>143.29375615384615</v>
      </c>
      <c r="AZ378" s="300">
        <f t="shared" si="156"/>
        <v>143.29375615384615</v>
      </c>
      <c r="BA378" s="300">
        <f t="shared" si="157"/>
        <v>143.29375615384615</v>
      </c>
      <c r="BB378" s="300">
        <f t="shared" si="158"/>
        <v>143.29375615384615</v>
      </c>
      <c r="BC378" s="301">
        <f t="shared" si="159"/>
        <v>573.17502461538459</v>
      </c>
      <c r="BD378" s="295" t="s">
        <v>764</v>
      </c>
      <c r="BE378" s="302" t="str">
        <f t="shared" si="160"/>
        <v>Exhibit 1.5A_R North Shore EEPS_Adjustable_Savings_Goal_Template.xlsx, Unit Savings Calculations Tab</v>
      </c>
      <c r="BF378" s="304"/>
    </row>
    <row r="379" spans="1:58" ht="15.75" customHeight="1">
      <c r="A379" s="295" t="str">
        <f>'Unit Savings Calculations'!C375</f>
        <v>Low Income - SF Retrofit</v>
      </c>
      <c r="B379" s="295" t="str">
        <f>'Unit Savings Calculations'!D375</f>
        <v>Pipe Insulation (Boiler)</v>
      </c>
      <c r="C379" s="296">
        <f t="shared" si="170"/>
        <v>1</v>
      </c>
      <c r="D379" s="295" t="str">
        <f>'Unit Savings Calculations'!T375</f>
        <v>5.3.2</v>
      </c>
      <c r="E379" s="460">
        <f>INDEX('Unit Savings Calculations'!$H$4:$H$421,MATCH('Measure-Level Adjustments Tab'!$A379&amp;"_"&amp;'Measure-Level Adjustments Tab'!$B379,'Unit Savings Calculations'!$A$4:$A$421,0))</f>
        <v>15</v>
      </c>
      <c r="F379" s="460">
        <f>INDEX('Unit Savings Calculations'!$I$4:$I$421,MATCH('Measure-Level Adjustments Tab'!A379&amp;"_"&amp;'Measure-Level Adjustments Tab'!B379,'Unit Savings Calculations'!$A$4:$A$421,0))</f>
        <v>15</v>
      </c>
      <c r="G379" s="295" t="str">
        <f>'Unit Savings Calculations'!E375</f>
        <v>ft</v>
      </c>
      <c r="H379" s="297">
        <f>'Unit Savings Calculations'!$F375*'Unit Savings Calculations'!J375</f>
        <v>90</v>
      </c>
      <c r="I379" s="297">
        <f>'Unit Savings Calculations'!$F375*'Unit Savings Calculations'!K375</f>
        <v>90</v>
      </c>
      <c r="J379" s="297">
        <f>'Unit Savings Calculations'!$F375*'Unit Savings Calculations'!L375</f>
        <v>90</v>
      </c>
      <c r="K379" s="297">
        <f>'Unit Savings Calculations'!$F375*'Unit Savings Calculations'!M375</f>
        <v>90</v>
      </c>
      <c r="L379" s="295" t="str">
        <f>'Unit Savings Calculations'!U375</f>
        <v>RS-HVC-PINS-V02-160601</v>
      </c>
      <c r="M379" s="405" t="str">
        <f>'Unit Savings Calculations'!R375</f>
        <v>Exhibit 1.5A_R North Shore EEPS_Adjustable_Savings_Goal_Template.xlsx, Unit Savings Calculations Tab</v>
      </c>
      <c r="N379" s="298">
        <v>0.41554055468341189</v>
      </c>
      <c r="O379" s="298">
        <v>0.41554055468341189</v>
      </c>
      <c r="P379" s="298">
        <v>0.41554055468341189</v>
      </c>
      <c r="Q379" s="298">
        <v>0.41554055468341189</v>
      </c>
      <c r="R379" s="299">
        <f>'Unit Savings Calculations'!$G375</f>
        <v>1</v>
      </c>
      <c r="S379" s="299">
        <f>'Unit Savings Calculations'!$G375</f>
        <v>1</v>
      </c>
      <c r="T379" s="299">
        <f>'Unit Savings Calculations'!$G375</f>
        <v>1</v>
      </c>
      <c r="U379" s="299">
        <f>'Unit Savings Calculations'!$G375</f>
        <v>1</v>
      </c>
      <c r="V379" s="300">
        <f t="shared" si="171"/>
        <v>37.398649921507072</v>
      </c>
      <c r="W379" s="300">
        <f t="shared" si="172"/>
        <v>37.398649921507072</v>
      </c>
      <c r="X379" s="300">
        <f t="shared" si="173"/>
        <v>37.398649921507072</v>
      </c>
      <c r="Y379" s="300">
        <f t="shared" si="174"/>
        <v>37.398649921507072</v>
      </c>
      <c r="Z379" s="300">
        <f t="shared" si="175"/>
        <v>149.59459968602829</v>
      </c>
      <c r="AA379" s="295"/>
      <c r="AB379" s="295"/>
      <c r="AC379" s="298">
        <f>'Unit Savings Calculations'!N375</f>
        <v>0.41554055468341189</v>
      </c>
      <c r="AD379" s="295"/>
      <c r="AE379" s="300">
        <f t="shared" si="161"/>
        <v>37.398649921507072</v>
      </c>
      <c r="AF379" s="297">
        <f t="shared" si="162"/>
        <v>0</v>
      </c>
      <c r="AG379" s="295"/>
      <c r="AH379" s="295">
        <f t="shared" si="163"/>
        <v>0</v>
      </c>
      <c r="AI379" s="298">
        <f>'Unit Savings Calculations'!O375</f>
        <v>0.41554055468341189</v>
      </c>
      <c r="AJ379" s="405" t="s">
        <v>879</v>
      </c>
      <c r="AK379" s="300">
        <f t="shared" si="164"/>
        <v>37.398649921507072</v>
      </c>
      <c r="AL379" s="297">
        <f t="shared" si="165"/>
        <v>0</v>
      </c>
      <c r="AM379" s="295"/>
      <c r="AN379" s="295"/>
      <c r="AO379" s="298">
        <f>'Unit Savings Calculations'!P375</f>
        <v>0.41554055468341189</v>
      </c>
      <c r="AP379" s="405" t="s">
        <v>764</v>
      </c>
      <c r="AQ379" s="300">
        <f t="shared" si="166"/>
        <v>37.398649921507072</v>
      </c>
      <c r="AR379" s="297">
        <f t="shared" si="167"/>
        <v>0</v>
      </c>
      <c r="AS379" s="295"/>
      <c r="AT379" s="295"/>
      <c r="AU379" s="298">
        <f>'Unit Savings Calculations'!Q375</f>
        <v>0.41554055468341189</v>
      </c>
      <c r="AV379" s="405" t="str">
        <f t="shared" si="154"/>
        <v>n/a</v>
      </c>
      <c r="AW379" s="300">
        <f t="shared" si="168"/>
        <v>37.398649921507072</v>
      </c>
      <c r="AX379" s="297">
        <f t="shared" si="169"/>
        <v>0</v>
      </c>
      <c r="AY379" s="300">
        <f t="shared" si="155"/>
        <v>37.398649921507072</v>
      </c>
      <c r="AZ379" s="300">
        <f t="shared" si="156"/>
        <v>37.398649921507072</v>
      </c>
      <c r="BA379" s="300">
        <f t="shared" si="157"/>
        <v>37.398649921507072</v>
      </c>
      <c r="BB379" s="300">
        <f t="shared" si="158"/>
        <v>37.398649921507072</v>
      </c>
      <c r="BC379" s="301">
        <f t="shared" si="159"/>
        <v>149.59459968602829</v>
      </c>
      <c r="BD379" s="295" t="s">
        <v>764</v>
      </c>
      <c r="BE379" s="302" t="str">
        <f t="shared" si="160"/>
        <v>Exhibit 1.5A_R North Shore EEPS_Adjustable_Savings_Goal_Template.xlsx, Unit Savings Calculations Tab</v>
      </c>
      <c r="BF379" s="304"/>
    </row>
    <row r="380" spans="1:58" ht="15.75" customHeight="1">
      <c r="A380" s="295" t="str">
        <f>'Unit Savings Calculations'!C376</f>
        <v>Low Income - SF Retrofit</v>
      </c>
      <c r="B380" s="295" t="str">
        <f>'Unit Savings Calculations'!D376</f>
        <v>Programmable Thermostat - Furnace</v>
      </c>
      <c r="C380" s="296">
        <f t="shared" si="170"/>
        <v>1</v>
      </c>
      <c r="D380" s="295" t="str">
        <f>'Unit Savings Calculations'!T376</f>
        <v>5.3.11</v>
      </c>
      <c r="E380" s="460">
        <f>INDEX('Unit Savings Calculations'!$H$4:$H$421,MATCH('Measure-Level Adjustments Tab'!$A380&amp;"_"&amp;'Measure-Level Adjustments Tab'!$B380,'Unit Savings Calculations'!$A$4:$A$421,0))</f>
        <v>5</v>
      </c>
      <c r="F380" s="460">
        <f>INDEX('Unit Savings Calculations'!$I$4:$I$421,MATCH('Measure-Level Adjustments Tab'!A380&amp;"_"&amp;'Measure-Level Adjustments Tab'!B380,'Unit Savings Calculations'!$A$4:$A$421,0))</f>
        <v>8</v>
      </c>
      <c r="G380" s="295" t="str">
        <f>'Unit Savings Calculations'!E376</f>
        <v>each</v>
      </c>
      <c r="H380" s="297">
        <f>'Unit Savings Calculations'!$F376*'Unit Savings Calculations'!J376</f>
        <v>11</v>
      </c>
      <c r="I380" s="297">
        <f>'Unit Savings Calculations'!$F376*'Unit Savings Calculations'!K376</f>
        <v>11</v>
      </c>
      <c r="J380" s="297">
        <f>'Unit Savings Calculations'!$F376*'Unit Savings Calculations'!L376</f>
        <v>11</v>
      </c>
      <c r="K380" s="297">
        <f>'Unit Savings Calculations'!$F376*'Unit Savings Calculations'!M376</f>
        <v>11</v>
      </c>
      <c r="L380" s="295" t="str">
        <f>'Unit Savings Calculations'!U376</f>
        <v>RS-HVC-PROG-V04-180101</v>
      </c>
      <c r="M380" s="405" t="str">
        <f>'Unit Savings Calculations'!R376</f>
        <v>Exhibit 1.5A_R North Shore EEPS_Adjustable_Savings_Goal_Template.xlsx, Unit Savings Calculations Tab</v>
      </c>
      <c r="N380" s="298">
        <v>62.31</v>
      </c>
      <c r="O380" s="298">
        <v>62.31</v>
      </c>
      <c r="P380" s="298">
        <v>62.31</v>
      </c>
      <c r="Q380" s="298">
        <v>62.31</v>
      </c>
      <c r="R380" s="299">
        <f>'Unit Savings Calculations'!$G376</f>
        <v>1</v>
      </c>
      <c r="S380" s="299">
        <f>'Unit Savings Calculations'!$G376</f>
        <v>1</v>
      </c>
      <c r="T380" s="299">
        <f>'Unit Savings Calculations'!$G376</f>
        <v>1</v>
      </c>
      <c r="U380" s="299">
        <f>'Unit Savings Calculations'!$G376</f>
        <v>1</v>
      </c>
      <c r="V380" s="300">
        <f t="shared" si="171"/>
        <v>685.41000000000008</v>
      </c>
      <c r="W380" s="300">
        <f t="shared" si="172"/>
        <v>685.41000000000008</v>
      </c>
      <c r="X380" s="300">
        <f t="shared" si="173"/>
        <v>685.41000000000008</v>
      </c>
      <c r="Y380" s="300">
        <f t="shared" si="174"/>
        <v>685.41000000000008</v>
      </c>
      <c r="Z380" s="300">
        <f t="shared" si="175"/>
        <v>2741.6400000000003</v>
      </c>
      <c r="AA380" s="295"/>
      <c r="AB380" s="295"/>
      <c r="AC380" s="298">
        <f>'Unit Savings Calculations'!N376</f>
        <v>62.31</v>
      </c>
      <c r="AD380" s="295"/>
      <c r="AE380" s="300">
        <f t="shared" si="161"/>
        <v>685.41000000000008</v>
      </c>
      <c r="AF380" s="297">
        <f t="shared" si="162"/>
        <v>0</v>
      </c>
      <c r="AG380" s="295"/>
      <c r="AH380" s="295">
        <f t="shared" si="163"/>
        <v>0</v>
      </c>
      <c r="AI380" s="298">
        <f>'Unit Savings Calculations'!O376</f>
        <v>62.31</v>
      </c>
      <c r="AJ380" s="405" t="s">
        <v>879</v>
      </c>
      <c r="AK380" s="300">
        <f t="shared" si="164"/>
        <v>685.41000000000008</v>
      </c>
      <c r="AL380" s="297">
        <f t="shared" si="165"/>
        <v>0</v>
      </c>
      <c r="AM380" s="295"/>
      <c r="AN380" s="295"/>
      <c r="AO380" s="298">
        <f>'Unit Savings Calculations'!P376</f>
        <v>62.31</v>
      </c>
      <c r="AP380" s="405" t="s">
        <v>764</v>
      </c>
      <c r="AQ380" s="300">
        <f t="shared" si="166"/>
        <v>685.41000000000008</v>
      </c>
      <c r="AR380" s="297">
        <f t="shared" si="167"/>
        <v>0</v>
      </c>
      <c r="AS380" s="295"/>
      <c r="AT380" s="295"/>
      <c r="AU380" s="298">
        <f>'Unit Savings Calculations'!Q376</f>
        <v>62.31</v>
      </c>
      <c r="AV380" s="405" t="str">
        <f t="shared" si="154"/>
        <v>n/a</v>
      </c>
      <c r="AW380" s="300">
        <f t="shared" si="168"/>
        <v>685.41000000000008</v>
      </c>
      <c r="AX380" s="297">
        <f t="shared" si="169"/>
        <v>0</v>
      </c>
      <c r="AY380" s="300">
        <f t="shared" si="155"/>
        <v>685.41000000000008</v>
      </c>
      <c r="AZ380" s="300">
        <f t="shared" si="156"/>
        <v>685.41000000000008</v>
      </c>
      <c r="BA380" s="300">
        <f t="shared" si="157"/>
        <v>685.41000000000008</v>
      </c>
      <c r="BB380" s="300">
        <f t="shared" si="158"/>
        <v>685.41000000000008</v>
      </c>
      <c r="BC380" s="301">
        <f t="shared" si="159"/>
        <v>2741.6400000000003</v>
      </c>
      <c r="BD380" s="295" t="s">
        <v>764</v>
      </c>
      <c r="BE380" s="302" t="str">
        <f t="shared" si="160"/>
        <v>Exhibit 1.5A_R North Shore EEPS_Adjustable_Savings_Goal_Template.xlsx, Unit Savings Calculations Tab</v>
      </c>
      <c r="BF380" s="304"/>
    </row>
    <row r="381" spans="1:58" ht="15.75" customHeight="1">
      <c r="A381" s="295" t="str">
        <f>'Unit Savings Calculations'!C377</f>
        <v>Low Income - SF Retrofit</v>
      </c>
      <c r="B381" s="295" t="str">
        <f>'Unit Savings Calculations'!D377</f>
        <v>Programmable Thermostat - Boiler</v>
      </c>
      <c r="C381" s="296">
        <f t="shared" si="170"/>
        <v>1</v>
      </c>
      <c r="D381" s="295" t="str">
        <f>'Unit Savings Calculations'!T377</f>
        <v>5.3.11</v>
      </c>
      <c r="E381" s="460">
        <f>INDEX('Unit Savings Calculations'!$H$4:$H$421,MATCH('Measure-Level Adjustments Tab'!$A381&amp;"_"&amp;'Measure-Level Adjustments Tab'!$B381,'Unit Savings Calculations'!$A$4:$A$421,0))</f>
        <v>5</v>
      </c>
      <c r="F381" s="460">
        <f>INDEX('Unit Savings Calculations'!$I$4:$I$421,MATCH('Measure-Level Adjustments Tab'!A381&amp;"_"&amp;'Measure-Level Adjustments Tab'!B381,'Unit Savings Calculations'!$A$4:$A$421,0))</f>
        <v>8</v>
      </c>
      <c r="G381" s="295" t="str">
        <f>'Unit Savings Calculations'!E377</f>
        <v>each</v>
      </c>
      <c r="H381" s="297">
        <f>'Unit Savings Calculations'!$F377*'Unit Savings Calculations'!J377</f>
        <v>1</v>
      </c>
      <c r="I381" s="297">
        <f>'Unit Savings Calculations'!$F377*'Unit Savings Calculations'!K377</f>
        <v>1</v>
      </c>
      <c r="J381" s="297">
        <f>'Unit Savings Calculations'!$F377*'Unit Savings Calculations'!L377</f>
        <v>1</v>
      </c>
      <c r="K381" s="297">
        <f>'Unit Savings Calculations'!$F377*'Unit Savings Calculations'!M377</f>
        <v>1</v>
      </c>
      <c r="L381" s="295" t="str">
        <f>'Unit Savings Calculations'!U377</f>
        <v>RS-HVC-PROG-V04-180101</v>
      </c>
      <c r="M381" s="405" t="str">
        <f>'Unit Savings Calculations'!R377</f>
        <v>Exhibit 1.5A_R North Shore EEPS_Adjustable_Savings_Goal_Template.xlsx, Unit Savings Calculations Tab</v>
      </c>
      <c r="N381" s="298">
        <v>75.516000000000005</v>
      </c>
      <c r="O381" s="298">
        <v>75.516000000000005</v>
      </c>
      <c r="P381" s="298">
        <v>75.516000000000005</v>
      </c>
      <c r="Q381" s="298">
        <v>75.516000000000005</v>
      </c>
      <c r="R381" s="299">
        <f>'Unit Savings Calculations'!$G377</f>
        <v>1</v>
      </c>
      <c r="S381" s="299">
        <f>'Unit Savings Calculations'!$G377</f>
        <v>1</v>
      </c>
      <c r="T381" s="299">
        <f>'Unit Savings Calculations'!$G377</f>
        <v>1</v>
      </c>
      <c r="U381" s="299">
        <f>'Unit Savings Calculations'!$G377</f>
        <v>1</v>
      </c>
      <c r="V381" s="300">
        <f t="shared" si="171"/>
        <v>75.516000000000005</v>
      </c>
      <c r="W381" s="300">
        <f t="shared" si="172"/>
        <v>75.516000000000005</v>
      </c>
      <c r="X381" s="300">
        <f t="shared" si="173"/>
        <v>75.516000000000005</v>
      </c>
      <c r="Y381" s="300">
        <f t="shared" si="174"/>
        <v>75.516000000000005</v>
      </c>
      <c r="Z381" s="300">
        <f t="shared" si="175"/>
        <v>302.06400000000002</v>
      </c>
      <c r="AA381" s="295"/>
      <c r="AB381" s="295"/>
      <c r="AC381" s="298">
        <f>'Unit Savings Calculations'!N377</f>
        <v>75.516000000000005</v>
      </c>
      <c r="AD381" s="295"/>
      <c r="AE381" s="300">
        <f t="shared" si="161"/>
        <v>75.516000000000005</v>
      </c>
      <c r="AF381" s="297">
        <f t="shared" si="162"/>
        <v>0</v>
      </c>
      <c r="AG381" s="295"/>
      <c r="AH381" s="295">
        <f t="shared" si="163"/>
        <v>0</v>
      </c>
      <c r="AI381" s="298">
        <f>'Unit Savings Calculations'!O377</f>
        <v>75.516000000000005</v>
      </c>
      <c r="AJ381" s="405" t="s">
        <v>879</v>
      </c>
      <c r="AK381" s="300">
        <f t="shared" si="164"/>
        <v>75.516000000000005</v>
      </c>
      <c r="AL381" s="297">
        <f t="shared" si="165"/>
        <v>0</v>
      </c>
      <c r="AM381" s="295"/>
      <c r="AN381" s="295"/>
      <c r="AO381" s="298">
        <f>'Unit Savings Calculations'!P377</f>
        <v>75.516000000000005</v>
      </c>
      <c r="AP381" s="405" t="s">
        <v>764</v>
      </c>
      <c r="AQ381" s="300">
        <f t="shared" si="166"/>
        <v>75.516000000000005</v>
      </c>
      <c r="AR381" s="297">
        <f t="shared" si="167"/>
        <v>0</v>
      </c>
      <c r="AS381" s="295"/>
      <c r="AT381" s="295"/>
      <c r="AU381" s="298">
        <f>'Unit Savings Calculations'!Q377</f>
        <v>75.516000000000005</v>
      </c>
      <c r="AV381" s="405" t="str">
        <f t="shared" si="154"/>
        <v>n/a</v>
      </c>
      <c r="AW381" s="300">
        <f t="shared" si="168"/>
        <v>75.516000000000005</v>
      </c>
      <c r="AX381" s="297">
        <f t="shared" si="169"/>
        <v>0</v>
      </c>
      <c r="AY381" s="300">
        <f t="shared" si="155"/>
        <v>75.516000000000005</v>
      </c>
      <c r="AZ381" s="300">
        <f t="shared" si="156"/>
        <v>75.516000000000005</v>
      </c>
      <c r="BA381" s="300">
        <f t="shared" si="157"/>
        <v>75.516000000000005</v>
      </c>
      <c r="BB381" s="300">
        <f t="shared" si="158"/>
        <v>75.516000000000005</v>
      </c>
      <c r="BC381" s="301">
        <f t="shared" si="159"/>
        <v>302.06400000000002</v>
      </c>
      <c r="BD381" s="295" t="s">
        <v>764</v>
      </c>
      <c r="BE381" s="302" t="str">
        <f t="shared" si="160"/>
        <v>Exhibit 1.5A_R North Shore EEPS_Adjustable_Savings_Goal_Template.xlsx, Unit Savings Calculations Tab</v>
      </c>
      <c r="BF381" s="304"/>
    </row>
    <row r="382" spans="1:58" ht="15.75" customHeight="1">
      <c r="A382" s="295" t="str">
        <f>'Unit Savings Calculations'!C378</f>
        <v>Low Income - SF Retrofit</v>
      </c>
      <c r="B382" s="295" t="str">
        <f>'Unit Savings Calculations'!D378</f>
        <v>Advanced Thermostat - Furnace (Replace Manual)</v>
      </c>
      <c r="C382" s="296">
        <f t="shared" si="170"/>
        <v>1</v>
      </c>
      <c r="D382" s="295" t="str">
        <f>'Unit Savings Calculations'!T378</f>
        <v>5.3.16</v>
      </c>
      <c r="E382" s="460">
        <f>INDEX('Unit Savings Calculations'!$H$4:$H$421,MATCH('Measure-Level Adjustments Tab'!$A382&amp;"_"&amp;'Measure-Level Adjustments Tab'!$B382,'Unit Savings Calculations'!$A$4:$A$421,0))</f>
        <v>10</v>
      </c>
      <c r="F382" s="460">
        <f>INDEX('Unit Savings Calculations'!$I$4:$I$421,MATCH('Measure-Level Adjustments Tab'!A382&amp;"_"&amp;'Measure-Level Adjustments Tab'!B382,'Unit Savings Calculations'!$A$4:$A$421,0))</f>
        <v>11</v>
      </c>
      <c r="G382" s="295" t="str">
        <f>'Unit Savings Calculations'!E378</f>
        <v>each</v>
      </c>
      <c r="H382" s="297">
        <f>'Unit Savings Calculations'!$F378*'Unit Savings Calculations'!J378</f>
        <v>2</v>
      </c>
      <c r="I382" s="297">
        <f>'Unit Savings Calculations'!$F378*'Unit Savings Calculations'!K378</f>
        <v>2</v>
      </c>
      <c r="J382" s="297">
        <f>'Unit Savings Calculations'!$F378*'Unit Savings Calculations'!L378</f>
        <v>2</v>
      </c>
      <c r="K382" s="297">
        <f>'Unit Savings Calculations'!$F378*'Unit Savings Calculations'!M378</f>
        <v>2</v>
      </c>
      <c r="L382" s="295" t="str">
        <f>'Unit Savings Calculations'!U378</f>
        <v>RS-HVC-ADTH-V02-180101</v>
      </c>
      <c r="M382" s="405" t="str">
        <f>'Unit Savings Calculations'!R378</f>
        <v>Exhibit 1.5A_R North Shore EEPS_Adjustable_Savings_Goal_Template.xlsx, Unit Savings Calculations Tab</v>
      </c>
      <c r="N382" s="298">
        <v>88.44</v>
      </c>
      <c r="O382" s="298">
        <v>88.44</v>
      </c>
      <c r="P382" s="298">
        <v>88.44</v>
      </c>
      <c r="Q382" s="298">
        <v>88.44</v>
      </c>
      <c r="R382" s="299">
        <f>'Unit Savings Calculations'!$G378</f>
        <v>1</v>
      </c>
      <c r="S382" s="299">
        <f>'Unit Savings Calculations'!$G378</f>
        <v>1</v>
      </c>
      <c r="T382" s="299">
        <f>'Unit Savings Calculations'!$G378</f>
        <v>1</v>
      </c>
      <c r="U382" s="299">
        <f>'Unit Savings Calculations'!$G378</f>
        <v>1</v>
      </c>
      <c r="V382" s="300">
        <f t="shared" si="171"/>
        <v>176.88</v>
      </c>
      <c r="W382" s="300">
        <f t="shared" si="172"/>
        <v>176.88</v>
      </c>
      <c r="X382" s="300">
        <f t="shared" si="173"/>
        <v>176.88</v>
      </c>
      <c r="Y382" s="300">
        <f t="shared" si="174"/>
        <v>176.88</v>
      </c>
      <c r="Z382" s="300">
        <f t="shared" si="175"/>
        <v>707.52</v>
      </c>
      <c r="AA382" s="295"/>
      <c r="AB382" s="295"/>
      <c r="AC382" s="298">
        <f>'Unit Savings Calculations'!N378</f>
        <v>88.44</v>
      </c>
      <c r="AD382" s="295"/>
      <c r="AE382" s="300">
        <f t="shared" si="161"/>
        <v>176.88</v>
      </c>
      <c r="AF382" s="297">
        <f t="shared" si="162"/>
        <v>0</v>
      </c>
      <c r="AG382" s="295"/>
      <c r="AH382" s="295">
        <f t="shared" si="163"/>
        <v>0</v>
      </c>
      <c r="AI382" s="298">
        <f>'Unit Savings Calculations'!O378</f>
        <v>88.44</v>
      </c>
      <c r="AJ382" s="405" t="s">
        <v>879</v>
      </c>
      <c r="AK382" s="300">
        <f t="shared" si="164"/>
        <v>176.88</v>
      </c>
      <c r="AL382" s="297">
        <f t="shared" si="165"/>
        <v>0</v>
      </c>
      <c r="AM382" s="295"/>
      <c r="AN382" s="295"/>
      <c r="AO382" s="298">
        <f>'Unit Savings Calculations'!P378</f>
        <v>88.44</v>
      </c>
      <c r="AP382" s="405" t="s">
        <v>764</v>
      </c>
      <c r="AQ382" s="300">
        <f t="shared" si="166"/>
        <v>176.88</v>
      </c>
      <c r="AR382" s="297">
        <f t="shared" si="167"/>
        <v>0</v>
      </c>
      <c r="AS382" s="295"/>
      <c r="AT382" s="295"/>
      <c r="AU382" s="298">
        <f>'Unit Savings Calculations'!Q378</f>
        <v>88.44</v>
      </c>
      <c r="AV382" s="405" t="str">
        <f t="shared" si="154"/>
        <v>n/a</v>
      </c>
      <c r="AW382" s="300">
        <f t="shared" si="168"/>
        <v>176.88</v>
      </c>
      <c r="AX382" s="297">
        <f t="shared" si="169"/>
        <v>0</v>
      </c>
      <c r="AY382" s="300">
        <f t="shared" si="155"/>
        <v>176.88</v>
      </c>
      <c r="AZ382" s="300">
        <f t="shared" si="156"/>
        <v>176.88</v>
      </c>
      <c r="BA382" s="300">
        <f t="shared" si="157"/>
        <v>176.88</v>
      </c>
      <c r="BB382" s="300">
        <f t="shared" si="158"/>
        <v>176.88</v>
      </c>
      <c r="BC382" s="301">
        <f t="shared" si="159"/>
        <v>707.52</v>
      </c>
      <c r="BD382" s="295" t="s">
        <v>764</v>
      </c>
      <c r="BE382" s="302" t="str">
        <f t="shared" si="160"/>
        <v>Exhibit 1.5A_R North Shore EEPS_Adjustable_Savings_Goal_Template.xlsx, Unit Savings Calculations Tab</v>
      </c>
      <c r="BF382" s="304"/>
    </row>
    <row r="383" spans="1:58" ht="15.75" customHeight="1">
      <c r="A383" s="295" t="str">
        <f>'Unit Savings Calculations'!C379</f>
        <v>Low Income - SF Retrofit</v>
      </c>
      <c r="B383" s="295" t="str">
        <f>'Unit Savings Calculations'!D379</f>
        <v>Advanced Thermostat - Boiler (Replace Manual)</v>
      </c>
      <c r="C383" s="296">
        <f t="shared" si="170"/>
        <v>1</v>
      </c>
      <c r="D383" s="295" t="str">
        <f>'Unit Savings Calculations'!T379</f>
        <v>5.3.16</v>
      </c>
      <c r="E383" s="460">
        <f>INDEX('Unit Savings Calculations'!$H$4:$H$421,MATCH('Measure-Level Adjustments Tab'!$A383&amp;"_"&amp;'Measure-Level Adjustments Tab'!$B383,'Unit Savings Calculations'!$A$4:$A$421,0))</f>
        <v>10</v>
      </c>
      <c r="F383" s="460">
        <f>INDEX('Unit Savings Calculations'!$I$4:$I$421,MATCH('Measure-Level Adjustments Tab'!A383&amp;"_"&amp;'Measure-Level Adjustments Tab'!B383,'Unit Savings Calculations'!$A$4:$A$421,0))</f>
        <v>11</v>
      </c>
      <c r="G383" s="295" t="str">
        <f>'Unit Savings Calculations'!E379</f>
        <v>each</v>
      </c>
      <c r="H383" s="297">
        <f>'Unit Savings Calculations'!$F379*'Unit Savings Calculations'!J379</f>
        <v>0</v>
      </c>
      <c r="I383" s="297">
        <f>'Unit Savings Calculations'!$F379*'Unit Savings Calculations'!K379</f>
        <v>0</v>
      </c>
      <c r="J383" s="297">
        <f>'Unit Savings Calculations'!$F379*'Unit Savings Calculations'!L379</f>
        <v>0</v>
      </c>
      <c r="K383" s="297">
        <f>'Unit Savings Calculations'!$F379*'Unit Savings Calculations'!M379</f>
        <v>0</v>
      </c>
      <c r="L383" s="295" t="str">
        <f>'Unit Savings Calculations'!U379</f>
        <v>RS-HVC-ADTH-V02-180101</v>
      </c>
      <c r="M383" s="405" t="str">
        <f>'Unit Savings Calculations'!R379</f>
        <v>Exhibit 1.5A_R North Shore EEPS_Adjustable_Savings_Goal_Template.xlsx, Unit Savings Calculations Tab</v>
      </c>
      <c r="N383" s="298">
        <v>107.184</v>
      </c>
      <c r="O383" s="298">
        <v>107.184</v>
      </c>
      <c r="P383" s="298">
        <v>107.184</v>
      </c>
      <c r="Q383" s="298">
        <v>107.184</v>
      </c>
      <c r="R383" s="299">
        <f>'Unit Savings Calculations'!$G379</f>
        <v>1</v>
      </c>
      <c r="S383" s="299">
        <f>'Unit Savings Calculations'!$G379</f>
        <v>1</v>
      </c>
      <c r="T383" s="299">
        <f>'Unit Savings Calculations'!$G379</f>
        <v>1</v>
      </c>
      <c r="U383" s="299">
        <f>'Unit Savings Calculations'!$G379</f>
        <v>1</v>
      </c>
      <c r="V383" s="300">
        <f t="shared" si="171"/>
        <v>0</v>
      </c>
      <c r="W383" s="300">
        <f t="shared" si="172"/>
        <v>0</v>
      </c>
      <c r="X383" s="300">
        <f t="shared" si="173"/>
        <v>0</v>
      </c>
      <c r="Y383" s="300">
        <f t="shared" si="174"/>
        <v>0</v>
      </c>
      <c r="Z383" s="300">
        <f t="shared" si="175"/>
        <v>0</v>
      </c>
      <c r="AA383" s="295"/>
      <c r="AB383" s="295"/>
      <c r="AC383" s="298">
        <f>'Unit Savings Calculations'!N379</f>
        <v>107.184</v>
      </c>
      <c r="AD383" s="295"/>
      <c r="AE383" s="300">
        <f t="shared" si="161"/>
        <v>0</v>
      </c>
      <c r="AF383" s="297">
        <f t="shared" si="162"/>
        <v>0</v>
      </c>
      <c r="AG383" s="295"/>
      <c r="AH383" s="295">
        <f t="shared" si="163"/>
        <v>0</v>
      </c>
      <c r="AI383" s="298">
        <f>'Unit Savings Calculations'!O379</f>
        <v>107.184</v>
      </c>
      <c r="AJ383" s="405" t="s">
        <v>879</v>
      </c>
      <c r="AK383" s="300">
        <f t="shared" si="164"/>
        <v>0</v>
      </c>
      <c r="AL383" s="297">
        <f t="shared" si="165"/>
        <v>0</v>
      </c>
      <c r="AM383" s="295"/>
      <c r="AN383" s="295"/>
      <c r="AO383" s="298">
        <f>'Unit Savings Calculations'!P379</f>
        <v>107.184</v>
      </c>
      <c r="AP383" s="405" t="s">
        <v>764</v>
      </c>
      <c r="AQ383" s="300">
        <f t="shared" si="166"/>
        <v>0</v>
      </c>
      <c r="AR383" s="297">
        <f t="shared" si="167"/>
        <v>0</v>
      </c>
      <c r="AS383" s="295"/>
      <c r="AT383" s="295"/>
      <c r="AU383" s="298">
        <f>'Unit Savings Calculations'!Q379</f>
        <v>107.184</v>
      </c>
      <c r="AV383" s="405" t="str">
        <f t="shared" si="154"/>
        <v>n/a</v>
      </c>
      <c r="AW383" s="300">
        <f t="shared" si="168"/>
        <v>0</v>
      </c>
      <c r="AX383" s="297">
        <f t="shared" si="169"/>
        <v>0</v>
      </c>
      <c r="AY383" s="300">
        <f t="shared" si="155"/>
        <v>0</v>
      </c>
      <c r="AZ383" s="300">
        <f t="shared" si="156"/>
        <v>0</v>
      </c>
      <c r="BA383" s="300">
        <f t="shared" si="157"/>
        <v>0</v>
      </c>
      <c r="BB383" s="300">
        <f t="shared" si="158"/>
        <v>0</v>
      </c>
      <c r="BC383" s="301">
        <f t="shared" si="159"/>
        <v>0</v>
      </c>
      <c r="BD383" s="295" t="s">
        <v>764</v>
      </c>
      <c r="BE383" s="302" t="str">
        <f t="shared" si="160"/>
        <v>Exhibit 1.5A_R North Shore EEPS_Adjustable_Savings_Goal_Template.xlsx, Unit Savings Calculations Tab</v>
      </c>
      <c r="BF383" s="304"/>
    </row>
    <row r="384" spans="1:58" ht="15.75" customHeight="1">
      <c r="A384" s="295" t="str">
        <f>'Unit Savings Calculations'!C380</f>
        <v>Low Income - SF Retrofit</v>
      </c>
      <c r="B384" s="295" t="str">
        <f>'Unit Savings Calculations'!D380</f>
        <v>Advanced Thermostat - Furnace (Replace Programmable)</v>
      </c>
      <c r="C384" s="296">
        <f t="shared" si="170"/>
        <v>1</v>
      </c>
      <c r="D384" s="295" t="str">
        <f>'Unit Savings Calculations'!T380</f>
        <v>5.3.16</v>
      </c>
      <c r="E384" s="460">
        <f>INDEX('Unit Savings Calculations'!$H$4:$H$421,MATCH('Measure-Level Adjustments Tab'!$A384&amp;"_"&amp;'Measure-Level Adjustments Tab'!$B384,'Unit Savings Calculations'!$A$4:$A$421,0))</f>
        <v>10</v>
      </c>
      <c r="F384" s="460">
        <f>INDEX('Unit Savings Calculations'!$I$4:$I$421,MATCH('Measure-Level Adjustments Tab'!A384&amp;"_"&amp;'Measure-Level Adjustments Tab'!B384,'Unit Savings Calculations'!$A$4:$A$421,0))</f>
        <v>11</v>
      </c>
      <c r="G384" s="295" t="str">
        <f>'Unit Savings Calculations'!E380</f>
        <v>each</v>
      </c>
      <c r="H384" s="297">
        <f>'Unit Savings Calculations'!$F380*'Unit Savings Calculations'!J380</f>
        <v>2</v>
      </c>
      <c r="I384" s="297">
        <f>'Unit Savings Calculations'!$F380*'Unit Savings Calculations'!K380</f>
        <v>2</v>
      </c>
      <c r="J384" s="297">
        <f>'Unit Savings Calculations'!$F380*'Unit Savings Calculations'!L380</f>
        <v>2</v>
      </c>
      <c r="K384" s="297">
        <f>'Unit Savings Calculations'!$F380*'Unit Savings Calculations'!M380</f>
        <v>2</v>
      </c>
      <c r="L384" s="295" t="str">
        <f>'Unit Savings Calculations'!U380</f>
        <v>RS-HVC-ADTH-V02-180101</v>
      </c>
      <c r="M384" s="405" t="str">
        <f>'Unit Savings Calculations'!R380</f>
        <v>Exhibit 1.5A_R North Shore EEPS_Adjustable_Savings_Goal_Template.xlsx, Unit Savings Calculations Tab</v>
      </c>
      <c r="N384" s="298">
        <v>56.28</v>
      </c>
      <c r="O384" s="298">
        <v>56.28</v>
      </c>
      <c r="P384" s="298">
        <v>56.28</v>
      </c>
      <c r="Q384" s="298">
        <v>56.28</v>
      </c>
      <c r="R384" s="299">
        <f>'Unit Savings Calculations'!$G380</f>
        <v>1</v>
      </c>
      <c r="S384" s="299">
        <f>'Unit Savings Calculations'!$G380</f>
        <v>1</v>
      </c>
      <c r="T384" s="299">
        <f>'Unit Savings Calculations'!$G380</f>
        <v>1</v>
      </c>
      <c r="U384" s="299">
        <f>'Unit Savings Calculations'!$G380</f>
        <v>1</v>
      </c>
      <c r="V384" s="300">
        <f t="shared" si="171"/>
        <v>112.56</v>
      </c>
      <c r="W384" s="300">
        <f t="shared" si="172"/>
        <v>112.56</v>
      </c>
      <c r="X384" s="300">
        <f t="shared" si="173"/>
        <v>112.56</v>
      </c>
      <c r="Y384" s="300">
        <f t="shared" si="174"/>
        <v>112.56</v>
      </c>
      <c r="Z384" s="300">
        <f t="shared" si="175"/>
        <v>450.24</v>
      </c>
      <c r="AA384" s="295"/>
      <c r="AB384" s="295"/>
      <c r="AC384" s="298">
        <f>'Unit Savings Calculations'!N380</f>
        <v>56.28</v>
      </c>
      <c r="AD384" s="295"/>
      <c r="AE384" s="300">
        <f t="shared" si="161"/>
        <v>112.56</v>
      </c>
      <c r="AF384" s="297">
        <f t="shared" si="162"/>
        <v>0</v>
      </c>
      <c r="AG384" s="295"/>
      <c r="AH384" s="295">
        <f t="shared" si="163"/>
        <v>0</v>
      </c>
      <c r="AI384" s="298">
        <f>'Unit Savings Calculations'!O380</f>
        <v>56.28</v>
      </c>
      <c r="AJ384" s="405" t="s">
        <v>879</v>
      </c>
      <c r="AK384" s="300">
        <f t="shared" si="164"/>
        <v>112.56</v>
      </c>
      <c r="AL384" s="297">
        <f t="shared" si="165"/>
        <v>0</v>
      </c>
      <c r="AM384" s="295"/>
      <c r="AN384" s="295"/>
      <c r="AO384" s="298">
        <f>'Unit Savings Calculations'!P380</f>
        <v>56.28</v>
      </c>
      <c r="AP384" s="405" t="s">
        <v>764</v>
      </c>
      <c r="AQ384" s="300">
        <f t="shared" si="166"/>
        <v>112.56</v>
      </c>
      <c r="AR384" s="297">
        <f t="shared" si="167"/>
        <v>0</v>
      </c>
      <c r="AS384" s="295"/>
      <c r="AT384" s="295"/>
      <c r="AU384" s="298">
        <f>'Unit Savings Calculations'!Q380</f>
        <v>56.28</v>
      </c>
      <c r="AV384" s="405" t="str">
        <f t="shared" si="154"/>
        <v>n/a</v>
      </c>
      <c r="AW384" s="300">
        <f t="shared" si="168"/>
        <v>112.56</v>
      </c>
      <c r="AX384" s="297">
        <f t="shared" si="169"/>
        <v>0</v>
      </c>
      <c r="AY384" s="300">
        <f t="shared" si="155"/>
        <v>112.56</v>
      </c>
      <c r="AZ384" s="300">
        <f t="shared" si="156"/>
        <v>112.56</v>
      </c>
      <c r="BA384" s="300">
        <f t="shared" si="157"/>
        <v>112.56</v>
      </c>
      <c r="BB384" s="300">
        <f t="shared" si="158"/>
        <v>112.56</v>
      </c>
      <c r="BC384" s="301">
        <f t="shared" si="159"/>
        <v>450.24</v>
      </c>
      <c r="BD384" s="295" t="s">
        <v>764</v>
      </c>
      <c r="BE384" s="302" t="str">
        <f t="shared" si="160"/>
        <v>Exhibit 1.5A_R North Shore EEPS_Adjustable_Savings_Goal_Template.xlsx, Unit Savings Calculations Tab</v>
      </c>
      <c r="BF384" s="304"/>
    </row>
    <row r="385" spans="1:58" ht="15.75" customHeight="1">
      <c r="A385" s="295" t="str">
        <f>'Unit Savings Calculations'!C381</f>
        <v>Low Income - SF Retrofit</v>
      </c>
      <c r="B385" s="295" t="str">
        <f>'Unit Savings Calculations'!D381</f>
        <v>Advanced Thermostat - Boiler (Replace Programmable)</v>
      </c>
      <c r="C385" s="296">
        <f t="shared" si="170"/>
        <v>1</v>
      </c>
      <c r="D385" s="295" t="str">
        <f>'Unit Savings Calculations'!T381</f>
        <v>5.3.16</v>
      </c>
      <c r="E385" s="460">
        <f>INDEX('Unit Savings Calculations'!$H$4:$H$421,MATCH('Measure-Level Adjustments Tab'!$A385&amp;"_"&amp;'Measure-Level Adjustments Tab'!$B385,'Unit Savings Calculations'!$A$4:$A$421,0))</f>
        <v>10</v>
      </c>
      <c r="F385" s="460">
        <f>INDEX('Unit Savings Calculations'!$I$4:$I$421,MATCH('Measure-Level Adjustments Tab'!A385&amp;"_"&amp;'Measure-Level Adjustments Tab'!B385,'Unit Savings Calculations'!$A$4:$A$421,0))</f>
        <v>11</v>
      </c>
      <c r="G385" s="295" t="str">
        <f>'Unit Savings Calculations'!E381</f>
        <v>each</v>
      </c>
      <c r="H385" s="297">
        <f>'Unit Savings Calculations'!$F381*'Unit Savings Calculations'!J381</f>
        <v>0</v>
      </c>
      <c r="I385" s="297">
        <f>'Unit Savings Calculations'!$F381*'Unit Savings Calculations'!K381</f>
        <v>0</v>
      </c>
      <c r="J385" s="297">
        <f>'Unit Savings Calculations'!$F381*'Unit Savings Calculations'!L381</f>
        <v>0</v>
      </c>
      <c r="K385" s="297">
        <f>'Unit Savings Calculations'!$F381*'Unit Savings Calculations'!M381</f>
        <v>0</v>
      </c>
      <c r="L385" s="295" t="str">
        <f>'Unit Savings Calculations'!U381</f>
        <v>RS-HVC-ADTH-V02-180101</v>
      </c>
      <c r="M385" s="405" t="str">
        <f>'Unit Savings Calculations'!R381</f>
        <v>Exhibit 1.5A_R North Shore EEPS_Adjustable_Savings_Goal_Template.xlsx, Unit Savings Calculations Tab</v>
      </c>
      <c r="N385" s="298">
        <v>68.207999999999998</v>
      </c>
      <c r="O385" s="298">
        <v>68.207999999999998</v>
      </c>
      <c r="P385" s="298">
        <v>68.207999999999998</v>
      </c>
      <c r="Q385" s="298">
        <v>68.207999999999998</v>
      </c>
      <c r="R385" s="299">
        <f>'Unit Savings Calculations'!$G381</f>
        <v>1</v>
      </c>
      <c r="S385" s="299">
        <f>'Unit Savings Calculations'!$G381</f>
        <v>1</v>
      </c>
      <c r="T385" s="299">
        <f>'Unit Savings Calculations'!$G381</f>
        <v>1</v>
      </c>
      <c r="U385" s="299">
        <f>'Unit Savings Calculations'!$G381</f>
        <v>1</v>
      </c>
      <c r="V385" s="300">
        <f t="shared" si="171"/>
        <v>0</v>
      </c>
      <c r="W385" s="300">
        <f t="shared" si="172"/>
        <v>0</v>
      </c>
      <c r="X385" s="300">
        <f t="shared" si="173"/>
        <v>0</v>
      </c>
      <c r="Y385" s="300">
        <f t="shared" si="174"/>
        <v>0</v>
      </c>
      <c r="Z385" s="300">
        <f t="shared" si="175"/>
        <v>0</v>
      </c>
      <c r="AA385" s="295"/>
      <c r="AB385" s="295"/>
      <c r="AC385" s="298">
        <f>'Unit Savings Calculations'!N381</f>
        <v>68.207999999999998</v>
      </c>
      <c r="AD385" s="295"/>
      <c r="AE385" s="300">
        <f t="shared" si="161"/>
        <v>0</v>
      </c>
      <c r="AF385" s="297">
        <f t="shared" si="162"/>
        <v>0</v>
      </c>
      <c r="AG385" s="295"/>
      <c r="AH385" s="295">
        <f t="shared" si="163"/>
        <v>0</v>
      </c>
      <c r="AI385" s="298">
        <f>'Unit Savings Calculations'!O381</f>
        <v>68.207999999999998</v>
      </c>
      <c r="AJ385" s="405" t="s">
        <v>879</v>
      </c>
      <c r="AK385" s="300">
        <f t="shared" si="164"/>
        <v>0</v>
      </c>
      <c r="AL385" s="297">
        <f t="shared" si="165"/>
        <v>0</v>
      </c>
      <c r="AM385" s="295"/>
      <c r="AN385" s="295"/>
      <c r="AO385" s="298">
        <f>'Unit Savings Calculations'!P381</f>
        <v>68.207999999999998</v>
      </c>
      <c r="AP385" s="405" t="s">
        <v>764</v>
      </c>
      <c r="AQ385" s="300">
        <f t="shared" si="166"/>
        <v>0</v>
      </c>
      <c r="AR385" s="297">
        <f t="shared" si="167"/>
        <v>0</v>
      </c>
      <c r="AS385" s="295"/>
      <c r="AT385" s="295"/>
      <c r="AU385" s="298">
        <f>'Unit Savings Calculations'!Q381</f>
        <v>68.207999999999998</v>
      </c>
      <c r="AV385" s="405" t="str">
        <f t="shared" si="154"/>
        <v>n/a</v>
      </c>
      <c r="AW385" s="300">
        <f t="shared" si="168"/>
        <v>0</v>
      </c>
      <c r="AX385" s="297">
        <f t="shared" si="169"/>
        <v>0</v>
      </c>
      <c r="AY385" s="300">
        <f t="shared" si="155"/>
        <v>0</v>
      </c>
      <c r="AZ385" s="300">
        <f t="shared" si="156"/>
        <v>0</v>
      </c>
      <c r="BA385" s="300">
        <f t="shared" si="157"/>
        <v>0</v>
      </c>
      <c r="BB385" s="300">
        <f t="shared" si="158"/>
        <v>0</v>
      </c>
      <c r="BC385" s="301">
        <f t="shared" si="159"/>
        <v>0</v>
      </c>
      <c r="BD385" s="295" t="s">
        <v>764</v>
      </c>
      <c r="BE385" s="302" t="str">
        <f t="shared" si="160"/>
        <v>Exhibit 1.5A_R North Shore EEPS_Adjustable_Savings_Goal_Template.xlsx, Unit Savings Calculations Tab</v>
      </c>
      <c r="BF385" s="304"/>
    </row>
    <row r="386" spans="1:58" ht="15.75" customHeight="1">
      <c r="A386" s="295" t="str">
        <f>'Unit Savings Calculations'!C382</f>
        <v>Low Income - SF Retrofit</v>
      </c>
      <c r="B386" s="295" t="str">
        <f>'Unit Savings Calculations'!D382</f>
        <v>Water Heater Setback</v>
      </c>
      <c r="C386" s="296">
        <f t="shared" si="170"/>
        <v>1</v>
      </c>
      <c r="D386" s="295" t="str">
        <f>'Unit Savings Calculations'!T382</f>
        <v>5.4.6</v>
      </c>
      <c r="E386" s="460">
        <f>INDEX('Unit Savings Calculations'!$H$4:$H$421,MATCH('Measure-Level Adjustments Tab'!$A386&amp;"_"&amp;'Measure-Level Adjustments Tab'!$B386,'Unit Savings Calculations'!$A$4:$A$421,0))</f>
        <v>2</v>
      </c>
      <c r="F386" s="460">
        <f>INDEX('Unit Savings Calculations'!$I$4:$I$421,MATCH('Measure-Level Adjustments Tab'!A386&amp;"_"&amp;'Measure-Level Adjustments Tab'!B386,'Unit Savings Calculations'!$A$4:$A$421,0))</f>
        <v>2</v>
      </c>
      <c r="G386" s="295" t="str">
        <f>'Unit Savings Calculations'!E382</f>
        <v>each</v>
      </c>
      <c r="H386" s="297">
        <f>'Unit Savings Calculations'!$F382*'Unit Savings Calculations'!J382</f>
        <v>11</v>
      </c>
      <c r="I386" s="297">
        <f>'Unit Savings Calculations'!$F382*'Unit Savings Calculations'!K382</f>
        <v>11</v>
      </c>
      <c r="J386" s="297">
        <f>'Unit Savings Calculations'!$F382*'Unit Savings Calculations'!L382</f>
        <v>11</v>
      </c>
      <c r="K386" s="297">
        <f>'Unit Savings Calculations'!$F382*'Unit Savings Calculations'!M382</f>
        <v>11</v>
      </c>
      <c r="L386" s="295" t="str">
        <f>'Unit Savings Calculations'!U382</f>
        <v>RS-HWE-TMPS-V05-160601</v>
      </c>
      <c r="M386" s="405" t="str">
        <f>'Unit Savings Calculations'!R382</f>
        <v>Exhibit 1.5A_R North Shore EEPS_Adjustable_Savings_Goal_Template.xlsx, Unit Savings Calculations Tab</v>
      </c>
      <c r="N386" s="298">
        <v>3.4965719653846157</v>
      </c>
      <c r="O386" s="298">
        <v>3.4965719653846157</v>
      </c>
      <c r="P386" s="298">
        <v>3.4965719653846157</v>
      </c>
      <c r="Q386" s="298">
        <v>3.4965719653846157</v>
      </c>
      <c r="R386" s="299">
        <f>'Unit Savings Calculations'!$G382</f>
        <v>1</v>
      </c>
      <c r="S386" s="299">
        <f>'Unit Savings Calculations'!$G382</f>
        <v>1</v>
      </c>
      <c r="T386" s="299">
        <f>'Unit Savings Calculations'!$G382</f>
        <v>1</v>
      </c>
      <c r="U386" s="299">
        <f>'Unit Savings Calculations'!$G382</f>
        <v>1</v>
      </c>
      <c r="V386" s="300">
        <f t="shared" si="171"/>
        <v>38.462291619230776</v>
      </c>
      <c r="W386" s="300">
        <f t="shared" si="172"/>
        <v>38.462291619230776</v>
      </c>
      <c r="X386" s="300">
        <f t="shared" si="173"/>
        <v>38.462291619230776</v>
      </c>
      <c r="Y386" s="300">
        <f t="shared" si="174"/>
        <v>38.462291619230776</v>
      </c>
      <c r="Z386" s="300">
        <f t="shared" si="175"/>
        <v>153.8491664769231</v>
      </c>
      <c r="AA386" s="295"/>
      <c r="AB386" s="295"/>
      <c r="AC386" s="298">
        <f>'Unit Savings Calculations'!N382</f>
        <v>3.4965719653846157</v>
      </c>
      <c r="AD386" s="295"/>
      <c r="AE386" s="300">
        <f t="shared" si="161"/>
        <v>38.462291619230776</v>
      </c>
      <c r="AF386" s="297">
        <f t="shared" si="162"/>
        <v>0</v>
      </c>
      <c r="AG386" s="295"/>
      <c r="AH386" s="295">
        <f t="shared" si="163"/>
        <v>0</v>
      </c>
      <c r="AI386" s="298">
        <f>'Unit Savings Calculations'!O382</f>
        <v>3.4965719653846157</v>
      </c>
      <c r="AJ386" s="405" t="s">
        <v>879</v>
      </c>
      <c r="AK386" s="300">
        <f t="shared" si="164"/>
        <v>38.462291619230776</v>
      </c>
      <c r="AL386" s="297">
        <f t="shared" si="165"/>
        <v>0</v>
      </c>
      <c r="AM386" s="295"/>
      <c r="AN386" s="295"/>
      <c r="AO386" s="298">
        <f>'Unit Savings Calculations'!P382</f>
        <v>3.4965719653846157</v>
      </c>
      <c r="AP386" s="405" t="s">
        <v>764</v>
      </c>
      <c r="AQ386" s="300">
        <f t="shared" si="166"/>
        <v>38.462291619230776</v>
      </c>
      <c r="AR386" s="297">
        <f t="shared" si="167"/>
        <v>0</v>
      </c>
      <c r="AS386" s="295"/>
      <c r="AT386" s="295"/>
      <c r="AU386" s="298">
        <f>'Unit Savings Calculations'!Q382</f>
        <v>3.4965719653846157</v>
      </c>
      <c r="AV386" s="405" t="str">
        <f t="shared" si="154"/>
        <v>n/a</v>
      </c>
      <c r="AW386" s="300">
        <f t="shared" si="168"/>
        <v>38.462291619230776</v>
      </c>
      <c r="AX386" s="297">
        <f t="shared" si="169"/>
        <v>0</v>
      </c>
      <c r="AY386" s="300">
        <f t="shared" si="155"/>
        <v>38.462291619230776</v>
      </c>
      <c r="AZ386" s="300">
        <f t="shared" si="156"/>
        <v>38.462291619230776</v>
      </c>
      <c r="BA386" s="300">
        <f t="shared" si="157"/>
        <v>38.462291619230776</v>
      </c>
      <c r="BB386" s="300">
        <f t="shared" si="158"/>
        <v>38.462291619230776</v>
      </c>
      <c r="BC386" s="301">
        <f t="shared" si="159"/>
        <v>153.8491664769231</v>
      </c>
      <c r="BD386" s="295" t="s">
        <v>764</v>
      </c>
      <c r="BE386" s="302" t="str">
        <f t="shared" si="160"/>
        <v>Exhibit 1.5A_R North Shore EEPS_Adjustable_Savings_Goal_Template.xlsx, Unit Savings Calculations Tab</v>
      </c>
      <c r="BF386" s="304"/>
    </row>
    <row r="387" spans="1:58" ht="15.75" customHeight="1">
      <c r="A387" s="295" t="str">
        <f>'Unit Savings Calculations'!C383</f>
        <v>Low Income - SF Retrofit</v>
      </c>
      <c r="B387" s="295" t="str">
        <f>'Unit Savings Calculations'!D383</f>
        <v>Air Sealing</v>
      </c>
      <c r="C387" s="296">
        <f t="shared" si="170"/>
        <v>1</v>
      </c>
      <c r="D387" s="295" t="str">
        <f>'Unit Savings Calculations'!T383</f>
        <v>5.6.1</v>
      </c>
      <c r="E387" s="460">
        <f>INDEX('Unit Savings Calculations'!$H$4:$H$421,MATCH('Measure-Level Adjustments Tab'!$A387&amp;"_"&amp;'Measure-Level Adjustments Tab'!$B387,'Unit Savings Calculations'!$A$4:$A$421,0))</f>
        <v>15</v>
      </c>
      <c r="F387" s="460">
        <f>INDEX('Unit Savings Calculations'!$I$4:$I$421,MATCH('Measure-Level Adjustments Tab'!A387&amp;"_"&amp;'Measure-Level Adjustments Tab'!B387,'Unit Savings Calculations'!$A$4:$A$421,0))</f>
        <v>20</v>
      </c>
      <c r="G387" s="295" t="str">
        <f>'Unit Savings Calculations'!E383</f>
        <v>CFM_50</v>
      </c>
      <c r="H387" s="297">
        <f>'Unit Savings Calculations'!$F383*'Unit Savings Calculations'!J383</f>
        <v>112000</v>
      </c>
      <c r="I387" s="297">
        <f>'Unit Savings Calculations'!$F383*'Unit Savings Calculations'!K383</f>
        <v>112000</v>
      </c>
      <c r="J387" s="297">
        <f>'Unit Savings Calculations'!$F383*'Unit Savings Calculations'!L383</f>
        <v>112000</v>
      </c>
      <c r="K387" s="297">
        <f>'Unit Savings Calculations'!$F383*'Unit Savings Calculations'!M383</f>
        <v>112000</v>
      </c>
      <c r="L387" s="295" t="str">
        <f>'Unit Savings Calculations'!U383</f>
        <v>RS-SHL-AIRS-V06-180101</v>
      </c>
      <c r="M387" s="405" t="str">
        <f>'Unit Savings Calculations'!R383</f>
        <v>Exhibit 1.5A_R North Shore EEPS_Adjustable_Savings_Goal_Template.xlsx, Unit Savings Calculations Tab</v>
      </c>
      <c r="N387" s="298">
        <v>7.7015899581589969E-2</v>
      </c>
      <c r="O387" s="298">
        <v>7.7015899581589969E-2</v>
      </c>
      <c r="P387" s="298">
        <v>7.7015899581589969E-2</v>
      </c>
      <c r="Q387" s="298">
        <v>7.7015899581589969E-2</v>
      </c>
      <c r="R387" s="299">
        <f>'Unit Savings Calculations'!$G383</f>
        <v>1</v>
      </c>
      <c r="S387" s="299">
        <f>'Unit Savings Calculations'!$G383</f>
        <v>1</v>
      </c>
      <c r="T387" s="299">
        <f>'Unit Savings Calculations'!$G383</f>
        <v>1</v>
      </c>
      <c r="U387" s="299">
        <f>'Unit Savings Calculations'!$G383</f>
        <v>1</v>
      </c>
      <c r="V387" s="300">
        <f t="shared" si="171"/>
        <v>8625.7807531380768</v>
      </c>
      <c r="W387" s="300">
        <f t="shared" si="172"/>
        <v>8625.7807531380768</v>
      </c>
      <c r="X387" s="300">
        <f t="shared" si="173"/>
        <v>8625.7807531380768</v>
      </c>
      <c r="Y387" s="300">
        <f t="shared" si="174"/>
        <v>8625.7807531380768</v>
      </c>
      <c r="Z387" s="300">
        <f t="shared" si="175"/>
        <v>34503.123012552307</v>
      </c>
      <c r="AA387" s="295"/>
      <c r="AB387" s="295"/>
      <c r="AC387" s="298">
        <f>'Unit Savings Calculations'!N383</f>
        <v>6.0996592468619264E-2</v>
      </c>
      <c r="AD387" s="295"/>
      <c r="AE387" s="300">
        <f t="shared" si="161"/>
        <v>6831.6183564853573</v>
      </c>
      <c r="AF387" s="297">
        <f t="shared" si="162"/>
        <v>-1794.1623966527195</v>
      </c>
      <c r="AG387" s="295"/>
      <c r="AH387" s="295">
        <f t="shared" si="163"/>
        <v>0</v>
      </c>
      <c r="AI387" s="298">
        <f>'Unit Savings Calculations'!O383</f>
        <v>6.0996592468619264E-2</v>
      </c>
      <c r="AJ387" s="405" t="s">
        <v>1042</v>
      </c>
      <c r="AK387" s="300">
        <f t="shared" si="164"/>
        <v>6831.6183564853573</v>
      </c>
      <c r="AL387" s="297">
        <f t="shared" si="165"/>
        <v>-1794.1623966527195</v>
      </c>
      <c r="AM387" s="295"/>
      <c r="AN387" s="295"/>
      <c r="AO387" s="298">
        <f>'Unit Savings Calculations'!P383</f>
        <v>6.0996592468619264E-2</v>
      </c>
      <c r="AP387" s="405" t="s">
        <v>1449</v>
      </c>
      <c r="AQ387" s="300">
        <f t="shared" si="166"/>
        <v>6831.6183564853573</v>
      </c>
      <c r="AR387" s="297">
        <f t="shared" si="167"/>
        <v>-1794.1623966527195</v>
      </c>
      <c r="AS387" s="295"/>
      <c r="AT387" s="295"/>
      <c r="AU387" s="298">
        <f>'Unit Savings Calculations'!Q383</f>
        <v>6.0996592468619264E-2</v>
      </c>
      <c r="AV387" s="405" t="str">
        <f t="shared" si="154"/>
        <v>Updated algorithm with new variables</v>
      </c>
      <c r="AW387" s="300">
        <f t="shared" si="168"/>
        <v>6831.6183564853573</v>
      </c>
      <c r="AX387" s="297">
        <f t="shared" si="169"/>
        <v>-1794.1623966527195</v>
      </c>
      <c r="AY387" s="300">
        <f t="shared" si="155"/>
        <v>6831.6183564853573</v>
      </c>
      <c r="AZ387" s="300">
        <f t="shared" si="156"/>
        <v>6831.6183564853573</v>
      </c>
      <c r="BA387" s="300">
        <f t="shared" si="157"/>
        <v>6831.6183564853573</v>
      </c>
      <c r="BB387" s="300">
        <f t="shared" si="158"/>
        <v>6831.6183564853573</v>
      </c>
      <c r="BC387" s="301">
        <f t="shared" si="159"/>
        <v>27326.473425941429</v>
      </c>
      <c r="BD387" s="295" t="s">
        <v>764</v>
      </c>
      <c r="BE387" s="302" t="str">
        <f t="shared" si="160"/>
        <v>Exhibit 1.5A_R North Shore EEPS_Adjustable_Savings_Goal_Template.xlsx, Unit Savings Calculations Tab</v>
      </c>
      <c r="BF387" s="304"/>
    </row>
    <row r="388" spans="1:58" ht="15.75" customHeight="1">
      <c r="A388" s="295" t="str">
        <f>'Unit Savings Calculations'!C384</f>
        <v>Low Income - SF Retrofit</v>
      </c>
      <c r="B388" s="295" t="str">
        <f>'Unit Savings Calculations'!D384</f>
        <v>Attic Insulation</v>
      </c>
      <c r="C388" s="296">
        <f t="shared" si="170"/>
        <v>1</v>
      </c>
      <c r="D388" s="295" t="str">
        <f>'Unit Savings Calculations'!T384</f>
        <v>5.6.5</v>
      </c>
      <c r="E388" s="460">
        <f>INDEX('Unit Savings Calculations'!$H$4:$H$421,MATCH('Measure-Level Adjustments Tab'!$A388&amp;"_"&amp;'Measure-Level Adjustments Tab'!$B388,'Unit Savings Calculations'!$A$4:$A$421,0))</f>
        <v>25</v>
      </c>
      <c r="F388" s="460">
        <f>INDEX('Unit Savings Calculations'!$I$4:$I$421,MATCH('Measure-Level Adjustments Tab'!A388&amp;"_"&amp;'Measure-Level Adjustments Tab'!B388,'Unit Savings Calculations'!$A$4:$A$421,0))</f>
        <v>20</v>
      </c>
      <c r="G388" s="295" t="str">
        <f>'Unit Savings Calculations'!E384</f>
        <v>sq ft</v>
      </c>
      <c r="H388" s="297">
        <f>'Unit Savings Calculations'!$F384*'Unit Savings Calculations'!J384</f>
        <v>61600</v>
      </c>
      <c r="I388" s="297">
        <f>'Unit Savings Calculations'!$F384*'Unit Savings Calculations'!K384</f>
        <v>61600</v>
      </c>
      <c r="J388" s="297">
        <f>'Unit Savings Calculations'!$F384*'Unit Savings Calculations'!L384</f>
        <v>61600</v>
      </c>
      <c r="K388" s="297">
        <f>'Unit Savings Calculations'!$F384*'Unit Savings Calculations'!M384</f>
        <v>61600</v>
      </c>
      <c r="L388" s="295" t="str">
        <f>'Unit Savings Calculations'!U384</f>
        <v>RS-SHL-AINS-V07-180101</v>
      </c>
      <c r="M388" s="405" t="str">
        <f>'Unit Savings Calculations'!R384</f>
        <v>Exhibit 1.5A_R North Shore EEPS_Adjustable_Savings_Goal_Template.xlsx, Unit Savings Calculations Tab</v>
      </c>
      <c r="N388" s="298">
        <v>7.7438471779463322E-2</v>
      </c>
      <c r="O388" s="298">
        <v>7.7438471779463322E-2</v>
      </c>
      <c r="P388" s="298">
        <v>7.7438471779463322E-2</v>
      </c>
      <c r="Q388" s="298">
        <v>7.7438471779463322E-2</v>
      </c>
      <c r="R388" s="299">
        <f>'Unit Savings Calculations'!$G384</f>
        <v>1</v>
      </c>
      <c r="S388" s="299">
        <f>'Unit Savings Calculations'!$G384</f>
        <v>1</v>
      </c>
      <c r="T388" s="299">
        <f>'Unit Savings Calculations'!$G384</f>
        <v>1</v>
      </c>
      <c r="U388" s="299">
        <f>'Unit Savings Calculations'!$G384</f>
        <v>1</v>
      </c>
      <c r="V388" s="300">
        <f t="shared" si="171"/>
        <v>4770.2098616149406</v>
      </c>
      <c r="W388" s="300">
        <f t="shared" si="172"/>
        <v>4770.2098616149406</v>
      </c>
      <c r="X388" s="300">
        <f t="shared" si="173"/>
        <v>4770.2098616149406</v>
      </c>
      <c r="Y388" s="300">
        <f t="shared" si="174"/>
        <v>4770.2098616149406</v>
      </c>
      <c r="Z388" s="300">
        <f t="shared" si="175"/>
        <v>19080.839446459762</v>
      </c>
      <c r="AA388" s="295"/>
      <c r="AB388" s="295"/>
      <c r="AC388" s="298">
        <f>'Unit Savings Calculations'!N384</f>
        <v>0.10228726933333333</v>
      </c>
      <c r="AD388" s="295"/>
      <c r="AE388" s="300">
        <f t="shared" si="161"/>
        <v>6300.895790933333</v>
      </c>
      <c r="AF388" s="297">
        <f t="shared" si="162"/>
        <v>1530.6859293183925</v>
      </c>
      <c r="AG388" s="295"/>
      <c r="AH388" s="295">
        <f t="shared" si="163"/>
        <v>0</v>
      </c>
      <c r="AI388" s="298">
        <f>'Unit Savings Calculations'!O384</f>
        <v>0.10228726933333333</v>
      </c>
      <c r="AJ388" s="405" t="s">
        <v>1046</v>
      </c>
      <c r="AK388" s="300">
        <f t="shared" si="164"/>
        <v>6300.895790933333</v>
      </c>
      <c r="AL388" s="297">
        <f t="shared" si="165"/>
        <v>1530.6859293183925</v>
      </c>
      <c r="AM388" s="295"/>
      <c r="AN388" s="295"/>
      <c r="AO388" s="298">
        <f>'Unit Savings Calculations'!P384</f>
        <v>0.10228726933333333</v>
      </c>
      <c r="AP388" s="405" t="s">
        <v>1449</v>
      </c>
      <c r="AQ388" s="300">
        <f t="shared" si="166"/>
        <v>6300.895790933333</v>
      </c>
      <c r="AR388" s="297">
        <f t="shared" si="167"/>
        <v>1530.6859293183925</v>
      </c>
      <c r="AS388" s="295"/>
      <c r="AT388" s="295"/>
      <c r="AU388" s="298">
        <f>'Unit Savings Calculations'!Q384</f>
        <v>0.10228726933333333</v>
      </c>
      <c r="AV388" s="405" t="str">
        <f t="shared" si="154"/>
        <v>Updated algorithm with new variables</v>
      </c>
      <c r="AW388" s="300">
        <f t="shared" si="168"/>
        <v>6300.895790933333</v>
      </c>
      <c r="AX388" s="297">
        <f t="shared" si="169"/>
        <v>1530.6859293183925</v>
      </c>
      <c r="AY388" s="300">
        <f t="shared" si="155"/>
        <v>6300.895790933333</v>
      </c>
      <c r="AZ388" s="300">
        <f t="shared" si="156"/>
        <v>6300.895790933333</v>
      </c>
      <c r="BA388" s="300">
        <f t="shared" si="157"/>
        <v>6300.895790933333</v>
      </c>
      <c r="BB388" s="300">
        <f t="shared" si="158"/>
        <v>6300.895790933333</v>
      </c>
      <c r="BC388" s="301">
        <f t="shared" si="159"/>
        <v>25203.583163733332</v>
      </c>
      <c r="BD388" s="295" t="s">
        <v>764</v>
      </c>
      <c r="BE388" s="302" t="str">
        <f t="shared" si="160"/>
        <v>Exhibit 1.5A_R North Shore EEPS_Adjustable_Savings_Goal_Template.xlsx, Unit Savings Calculations Tab</v>
      </c>
      <c r="BF388" s="304"/>
    </row>
    <row r="389" spans="1:58" ht="15.75" customHeight="1">
      <c r="A389" s="295" t="str">
        <f>'Unit Savings Calculations'!C385</f>
        <v>Low Income - SF Retrofit</v>
      </c>
      <c r="B389" s="295" t="str">
        <f>'Unit Savings Calculations'!D385</f>
        <v>Wall Insulation</v>
      </c>
      <c r="C389" s="296">
        <f t="shared" si="170"/>
        <v>1</v>
      </c>
      <c r="D389" s="295" t="str">
        <f>'Unit Savings Calculations'!T385</f>
        <v>5.6.4</v>
      </c>
      <c r="E389" s="460">
        <f>INDEX('Unit Savings Calculations'!$H$4:$H$421,MATCH('Measure-Level Adjustments Tab'!$A389&amp;"_"&amp;'Measure-Level Adjustments Tab'!$B389,'Unit Savings Calculations'!$A$4:$A$421,0))</f>
        <v>25</v>
      </c>
      <c r="F389" s="460">
        <f>INDEX('Unit Savings Calculations'!$I$4:$I$421,MATCH('Measure-Level Adjustments Tab'!A389&amp;"_"&amp;'Measure-Level Adjustments Tab'!B389,'Unit Savings Calculations'!$A$4:$A$421,0))</f>
        <v>20</v>
      </c>
      <c r="G389" s="295" t="str">
        <f>'Unit Savings Calculations'!E385</f>
        <v>sq ft</v>
      </c>
      <c r="H389" s="297">
        <f>'Unit Savings Calculations'!$F385*'Unit Savings Calculations'!J385</f>
        <v>8400</v>
      </c>
      <c r="I389" s="297">
        <f>'Unit Savings Calculations'!$F385*'Unit Savings Calculations'!K385</f>
        <v>8400</v>
      </c>
      <c r="J389" s="297">
        <f>'Unit Savings Calculations'!$F385*'Unit Savings Calculations'!L385</f>
        <v>8400</v>
      </c>
      <c r="K389" s="297">
        <f>'Unit Savings Calculations'!$F385*'Unit Savings Calculations'!M385</f>
        <v>8400</v>
      </c>
      <c r="L389" s="295" t="str">
        <f>'Unit Savings Calculations'!U385</f>
        <v>RS-SHL-AINS-V07-180101</v>
      </c>
      <c r="M389" s="405" t="str">
        <f>'Unit Savings Calculations'!R385</f>
        <v>Exhibit 1.5A_R North Shore EEPS_Adjustable_Savings_Goal_Template.xlsx, Unit Savings Calculations Tab</v>
      </c>
      <c r="N389" s="298">
        <v>7.8966183566101619E-2</v>
      </c>
      <c r="O389" s="298">
        <v>7.8966183566101619E-2</v>
      </c>
      <c r="P389" s="298">
        <v>7.8966183566101619E-2</v>
      </c>
      <c r="Q389" s="298">
        <v>7.8966183566101619E-2</v>
      </c>
      <c r="R389" s="299">
        <f>'Unit Savings Calculations'!$G385</f>
        <v>1</v>
      </c>
      <c r="S389" s="299">
        <f>'Unit Savings Calculations'!$G385</f>
        <v>1</v>
      </c>
      <c r="T389" s="299">
        <f>'Unit Savings Calculations'!$G385</f>
        <v>1</v>
      </c>
      <c r="U389" s="299">
        <f>'Unit Savings Calculations'!$G385</f>
        <v>1</v>
      </c>
      <c r="V389" s="300">
        <f t="shared" si="171"/>
        <v>663.31594195525361</v>
      </c>
      <c r="W389" s="300">
        <f t="shared" si="172"/>
        <v>663.31594195525361</v>
      </c>
      <c r="X389" s="300">
        <f t="shared" si="173"/>
        <v>663.31594195525361</v>
      </c>
      <c r="Y389" s="300">
        <f t="shared" si="174"/>
        <v>663.31594195525361</v>
      </c>
      <c r="Z389" s="300">
        <f t="shared" si="175"/>
        <v>2653.2637678210144</v>
      </c>
      <c r="AA389" s="295"/>
      <c r="AB389" s="295"/>
      <c r="AC389" s="298">
        <f>'Unit Savings Calculations'!N385</f>
        <v>7.90190909090909E-2</v>
      </c>
      <c r="AD389" s="295"/>
      <c r="AE389" s="300">
        <f t="shared" si="161"/>
        <v>663.76036363636354</v>
      </c>
      <c r="AF389" s="297">
        <f t="shared" si="162"/>
        <v>0.44442168110992952</v>
      </c>
      <c r="AG389" s="295"/>
      <c r="AH389" s="295">
        <f t="shared" si="163"/>
        <v>0</v>
      </c>
      <c r="AI389" s="298">
        <f>'Unit Savings Calculations'!O385</f>
        <v>7.90190909090909E-2</v>
      </c>
      <c r="AJ389" s="405" t="s">
        <v>1046</v>
      </c>
      <c r="AK389" s="300">
        <f t="shared" si="164"/>
        <v>663.76036363636354</v>
      </c>
      <c r="AL389" s="297">
        <f t="shared" si="165"/>
        <v>0.44442168110992952</v>
      </c>
      <c r="AM389" s="295"/>
      <c r="AN389" s="295"/>
      <c r="AO389" s="298">
        <f>'Unit Savings Calculations'!P385</f>
        <v>7.90190909090909E-2</v>
      </c>
      <c r="AP389" s="405" t="s">
        <v>764</v>
      </c>
      <c r="AQ389" s="300">
        <f t="shared" si="166"/>
        <v>663.76036363636354</v>
      </c>
      <c r="AR389" s="297">
        <f t="shared" si="167"/>
        <v>0.44442168110992952</v>
      </c>
      <c r="AS389" s="295"/>
      <c r="AT389" s="295"/>
      <c r="AU389" s="298">
        <f>'Unit Savings Calculations'!Q385</f>
        <v>7.90190909090909E-2</v>
      </c>
      <c r="AV389" s="405" t="str">
        <f t="shared" si="154"/>
        <v>n/a</v>
      </c>
      <c r="AW389" s="300">
        <f t="shared" si="168"/>
        <v>663.76036363636354</v>
      </c>
      <c r="AX389" s="297">
        <f t="shared" si="169"/>
        <v>0.44442168110992952</v>
      </c>
      <c r="AY389" s="300">
        <f t="shared" si="155"/>
        <v>663.76036363636354</v>
      </c>
      <c r="AZ389" s="300">
        <f t="shared" si="156"/>
        <v>663.76036363636354</v>
      </c>
      <c r="BA389" s="300">
        <f t="shared" si="157"/>
        <v>663.76036363636354</v>
      </c>
      <c r="BB389" s="300">
        <f t="shared" si="158"/>
        <v>663.76036363636354</v>
      </c>
      <c r="BC389" s="301">
        <f t="shared" si="159"/>
        <v>2655.0414545454541</v>
      </c>
      <c r="BD389" s="295" t="s">
        <v>764</v>
      </c>
      <c r="BE389" s="302" t="str">
        <f t="shared" si="160"/>
        <v>Exhibit 1.5A_R North Shore EEPS_Adjustable_Savings_Goal_Template.xlsx, Unit Savings Calculations Tab</v>
      </c>
      <c r="BF389" s="304"/>
    </row>
    <row r="390" spans="1:58" ht="15.75" customHeight="1">
      <c r="A390" s="295" t="str">
        <f>'Unit Savings Calculations'!C386</f>
        <v>Low Income - SF Retrofit</v>
      </c>
      <c r="B390" s="295" t="str">
        <f>'Unit Savings Calculations'!D386</f>
        <v>Foundation Insulation</v>
      </c>
      <c r="C390" s="296">
        <f t="shared" si="170"/>
        <v>1</v>
      </c>
      <c r="D390" s="295" t="str">
        <f>'Unit Savings Calculations'!T386</f>
        <v>5.6.2</v>
      </c>
      <c r="E390" s="460">
        <f>INDEX('Unit Savings Calculations'!$H$4:$H$421,MATCH('Measure-Level Adjustments Tab'!$A390&amp;"_"&amp;'Measure-Level Adjustments Tab'!$B390,'Unit Savings Calculations'!$A$4:$A$421,0))</f>
        <v>25</v>
      </c>
      <c r="F390" s="460">
        <f>INDEX('Unit Savings Calculations'!$I$4:$I$421,MATCH('Measure-Level Adjustments Tab'!A390&amp;"_"&amp;'Measure-Level Adjustments Tab'!B390,'Unit Savings Calculations'!$A$4:$A$421,0))</f>
        <v>25</v>
      </c>
      <c r="G390" s="295" t="str">
        <f>'Unit Savings Calculations'!E386</f>
        <v>sq ft</v>
      </c>
      <c r="H390" s="297">
        <f>'Unit Savings Calculations'!$F386*'Unit Savings Calculations'!J386</f>
        <v>550</v>
      </c>
      <c r="I390" s="297">
        <f>'Unit Savings Calculations'!$F386*'Unit Savings Calculations'!K386</f>
        <v>550</v>
      </c>
      <c r="J390" s="297">
        <f>'Unit Savings Calculations'!$F386*'Unit Savings Calculations'!L386</f>
        <v>550</v>
      </c>
      <c r="K390" s="297">
        <f>'Unit Savings Calculations'!$F386*'Unit Savings Calculations'!M386</f>
        <v>550</v>
      </c>
      <c r="L390" s="295" t="str">
        <f>'Unit Savings Calculations'!U386</f>
        <v>RS-SHL-BINS-V08-180101</v>
      </c>
      <c r="M390" s="405" t="str">
        <f>'Unit Savings Calculations'!R386</f>
        <v>Exhibit 1.5A_R North Shore EEPS_Adjustable_Savings_Goal_Template.xlsx, Unit Savings Calculations Tab</v>
      </c>
      <c r="N390" s="298">
        <v>8.2417994229580488E-2</v>
      </c>
      <c r="O390" s="298">
        <v>8.2417994229580488E-2</v>
      </c>
      <c r="P390" s="298">
        <v>8.2417994229580488E-2</v>
      </c>
      <c r="Q390" s="298">
        <v>8.2417994229580488E-2</v>
      </c>
      <c r="R390" s="299">
        <f>'Unit Savings Calculations'!$G386</f>
        <v>1</v>
      </c>
      <c r="S390" s="299">
        <f>'Unit Savings Calculations'!$G386</f>
        <v>1</v>
      </c>
      <c r="T390" s="299">
        <f>'Unit Savings Calculations'!$G386</f>
        <v>1</v>
      </c>
      <c r="U390" s="299">
        <f>'Unit Savings Calculations'!$G386</f>
        <v>1</v>
      </c>
      <c r="V390" s="300">
        <f t="shared" si="171"/>
        <v>45.32989682626927</v>
      </c>
      <c r="W390" s="300">
        <f t="shared" si="172"/>
        <v>45.32989682626927</v>
      </c>
      <c r="X390" s="300">
        <f t="shared" si="173"/>
        <v>45.32989682626927</v>
      </c>
      <c r="Y390" s="300">
        <f t="shared" si="174"/>
        <v>45.32989682626927</v>
      </c>
      <c r="Z390" s="300">
        <f t="shared" si="175"/>
        <v>181.31958730507708</v>
      </c>
      <c r="AA390" s="295"/>
      <c r="AB390" s="295"/>
      <c r="AC390" s="298">
        <f>'Unit Savings Calculations'!N386</f>
        <v>8.2417994229580488E-2</v>
      </c>
      <c r="AD390" s="295"/>
      <c r="AE390" s="300">
        <f t="shared" si="161"/>
        <v>45.32989682626927</v>
      </c>
      <c r="AF390" s="297">
        <f t="shared" si="162"/>
        <v>0</v>
      </c>
      <c r="AG390" s="295"/>
      <c r="AH390" s="295">
        <f t="shared" si="163"/>
        <v>0</v>
      </c>
      <c r="AI390" s="298">
        <f>'Unit Savings Calculations'!O386</f>
        <v>8.2417994229580488E-2</v>
      </c>
      <c r="AJ390" s="405" t="s">
        <v>879</v>
      </c>
      <c r="AK390" s="300">
        <f t="shared" si="164"/>
        <v>45.32989682626927</v>
      </c>
      <c r="AL390" s="297">
        <f t="shared" si="165"/>
        <v>0</v>
      </c>
      <c r="AM390" s="295"/>
      <c r="AN390" s="295"/>
      <c r="AO390" s="298">
        <f>'Unit Savings Calculations'!P386</f>
        <v>8.2417994229580488E-2</v>
      </c>
      <c r="AP390" s="405" t="s">
        <v>764</v>
      </c>
      <c r="AQ390" s="300">
        <f t="shared" si="166"/>
        <v>45.32989682626927</v>
      </c>
      <c r="AR390" s="297">
        <f t="shared" si="167"/>
        <v>0</v>
      </c>
      <c r="AS390" s="295"/>
      <c r="AT390" s="295"/>
      <c r="AU390" s="298">
        <f>'Unit Savings Calculations'!Q386</f>
        <v>8.2417994229580488E-2</v>
      </c>
      <c r="AV390" s="405" t="str">
        <f t="shared" si="154"/>
        <v>n/a</v>
      </c>
      <c r="AW390" s="300">
        <f t="shared" si="168"/>
        <v>45.32989682626927</v>
      </c>
      <c r="AX390" s="297">
        <f t="shared" si="169"/>
        <v>0</v>
      </c>
      <c r="AY390" s="300">
        <f t="shared" si="155"/>
        <v>45.32989682626927</v>
      </c>
      <c r="AZ390" s="300">
        <f t="shared" si="156"/>
        <v>45.32989682626927</v>
      </c>
      <c r="BA390" s="300">
        <f t="shared" si="157"/>
        <v>45.32989682626927</v>
      </c>
      <c r="BB390" s="300">
        <f t="shared" si="158"/>
        <v>45.32989682626927</v>
      </c>
      <c r="BC390" s="301">
        <f t="shared" si="159"/>
        <v>181.31958730507708</v>
      </c>
      <c r="BD390" s="295" t="s">
        <v>764</v>
      </c>
      <c r="BE390" s="302" t="str">
        <f t="shared" si="160"/>
        <v>Exhibit 1.5A_R North Shore EEPS_Adjustable_Savings_Goal_Template.xlsx, Unit Savings Calculations Tab</v>
      </c>
      <c r="BF390" s="304"/>
    </row>
    <row r="391" spans="1:58" ht="15.75" customHeight="1">
      <c r="A391" s="295" t="str">
        <f>'Unit Savings Calculations'!C387</f>
        <v>Low Income - SF Retrofit</v>
      </c>
      <c r="B391" s="295" t="str">
        <f>'Unit Savings Calculations'!D387</f>
        <v>Rim Joist Insulation</v>
      </c>
      <c r="C391" s="296">
        <f t="shared" si="170"/>
        <v>1</v>
      </c>
      <c r="D391" s="295" t="str">
        <f>'Unit Savings Calculations'!T387</f>
        <v>5.6.4</v>
      </c>
      <c r="E391" s="460">
        <f>INDEX('Unit Savings Calculations'!$H$4:$H$421,MATCH('Measure-Level Adjustments Tab'!$A391&amp;"_"&amp;'Measure-Level Adjustments Tab'!$B391,'Unit Savings Calculations'!$A$4:$A$421,0))</f>
        <v>25</v>
      </c>
      <c r="F391" s="460">
        <f>INDEX('Unit Savings Calculations'!$I$4:$I$421,MATCH('Measure-Level Adjustments Tab'!A391&amp;"_"&amp;'Measure-Level Adjustments Tab'!B391,'Unit Savings Calculations'!$A$4:$A$421,0))</f>
        <v>25</v>
      </c>
      <c r="G391" s="295" t="str">
        <f>'Unit Savings Calculations'!E387</f>
        <v>sq ft</v>
      </c>
      <c r="H391" s="297">
        <f>'Unit Savings Calculations'!$F387*'Unit Savings Calculations'!J387</f>
        <v>550</v>
      </c>
      <c r="I391" s="297">
        <f>'Unit Savings Calculations'!$F387*'Unit Savings Calculations'!K387</f>
        <v>550</v>
      </c>
      <c r="J391" s="297">
        <f>'Unit Savings Calculations'!$F387*'Unit Savings Calculations'!L387</f>
        <v>550</v>
      </c>
      <c r="K391" s="297">
        <f>'Unit Savings Calculations'!$F387*'Unit Savings Calculations'!M387</f>
        <v>550</v>
      </c>
      <c r="L391" s="295" t="str">
        <f>'Unit Savings Calculations'!U387</f>
        <v>RS-SHL-AINS-V07-180101</v>
      </c>
      <c r="M391" s="405" t="str">
        <f>'Unit Savings Calculations'!R387</f>
        <v>Exhibit 1.5A_R North Shore EEPS_Adjustable_Savings_Goal_Template.xlsx, Unit Savings Calculations Tab</v>
      </c>
      <c r="N391" s="298">
        <v>0.51095765836889295</v>
      </c>
      <c r="O391" s="298">
        <v>0.51095765836889295</v>
      </c>
      <c r="P391" s="298">
        <v>0.51095765836889295</v>
      </c>
      <c r="Q391" s="298">
        <v>0.51095765836889295</v>
      </c>
      <c r="R391" s="299">
        <f>'Unit Savings Calculations'!$G387</f>
        <v>1</v>
      </c>
      <c r="S391" s="299">
        <f>'Unit Savings Calculations'!$G387</f>
        <v>1</v>
      </c>
      <c r="T391" s="299">
        <f>'Unit Savings Calculations'!$G387</f>
        <v>1</v>
      </c>
      <c r="U391" s="299">
        <f>'Unit Savings Calculations'!$G387</f>
        <v>1</v>
      </c>
      <c r="V391" s="300">
        <f t="shared" si="171"/>
        <v>281.02671210289111</v>
      </c>
      <c r="W391" s="300">
        <f t="shared" si="172"/>
        <v>281.02671210289111</v>
      </c>
      <c r="X391" s="300">
        <f t="shared" si="173"/>
        <v>281.02671210289111</v>
      </c>
      <c r="Y391" s="300">
        <f t="shared" si="174"/>
        <v>281.02671210289111</v>
      </c>
      <c r="Z391" s="300">
        <f t="shared" si="175"/>
        <v>1124.1068484115644</v>
      </c>
      <c r="AA391" s="295"/>
      <c r="AB391" s="295"/>
      <c r="AC391" s="298">
        <f>'Unit Savings Calculations'!N387</f>
        <v>0.6476466666666667</v>
      </c>
      <c r="AD391" s="295"/>
      <c r="AE391" s="300">
        <f t="shared" si="161"/>
        <v>356.20566666666667</v>
      </c>
      <c r="AF391" s="297">
        <f t="shared" si="162"/>
        <v>75.178954563775562</v>
      </c>
      <c r="AG391" s="295"/>
      <c r="AH391" s="295">
        <f t="shared" si="163"/>
        <v>0</v>
      </c>
      <c r="AI391" s="298">
        <f>'Unit Savings Calculations'!O387</f>
        <v>0.6476466666666667</v>
      </c>
      <c r="AJ391" s="405" t="s">
        <v>1046</v>
      </c>
      <c r="AK391" s="300">
        <f t="shared" si="164"/>
        <v>356.20566666666667</v>
      </c>
      <c r="AL391" s="297">
        <f t="shared" si="165"/>
        <v>75.178954563775562</v>
      </c>
      <c r="AM391" s="295"/>
      <c r="AN391" s="295"/>
      <c r="AO391" s="298">
        <f>'Unit Savings Calculations'!P387</f>
        <v>0.6476466666666667</v>
      </c>
      <c r="AP391" s="405" t="s">
        <v>764</v>
      </c>
      <c r="AQ391" s="300">
        <f t="shared" si="166"/>
        <v>356.20566666666667</v>
      </c>
      <c r="AR391" s="297">
        <f t="shared" si="167"/>
        <v>75.178954563775562</v>
      </c>
      <c r="AS391" s="295"/>
      <c r="AT391" s="295"/>
      <c r="AU391" s="298">
        <f>'Unit Savings Calculations'!Q387</f>
        <v>0.6476466666666667</v>
      </c>
      <c r="AV391" s="405" t="str">
        <f t="shared" si="154"/>
        <v>n/a</v>
      </c>
      <c r="AW391" s="300">
        <f t="shared" si="168"/>
        <v>356.20566666666667</v>
      </c>
      <c r="AX391" s="297">
        <f t="shared" si="169"/>
        <v>75.178954563775562</v>
      </c>
      <c r="AY391" s="300">
        <f t="shared" si="155"/>
        <v>356.20566666666667</v>
      </c>
      <c r="AZ391" s="300">
        <f t="shared" si="156"/>
        <v>356.20566666666667</v>
      </c>
      <c r="BA391" s="300">
        <f t="shared" si="157"/>
        <v>356.20566666666667</v>
      </c>
      <c r="BB391" s="300">
        <f t="shared" si="158"/>
        <v>356.20566666666667</v>
      </c>
      <c r="BC391" s="301">
        <f t="shared" si="159"/>
        <v>1424.8226666666667</v>
      </c>
      <c r="BD391" s="295" t="s">
        <v>764</v>
      </c>
      <c r="BE391" s="302" t="str">
        <f t="shared" si="160"/>
        <v>Exhibit 1.5A_R North Shore EEPS_Adjustable_Savings_Goal_Template.xlsx, Unit Savings Calculations Tab</v>
      </c>
      <c r="BF391" s="304"/>
    </row>
    <row r="392" spans="1:58" ht="15.75" customHeight="1">
      <c r="A392" s="295" t="str">
        <f>'Unit Savings Calculations'!C388</f>
        <v>Low Income - SF Retrofit</v>
      </c>
      <c r="B392" s="295" t="str">
        <f>'Unit Savings Calculations'!D388</f>
        <v>Water Heater - Storage 0.67 EF</v>
      </c>
      <c r="C392" s="296">
        <f t="shared" si="170"/>
        <v>1</v>
      </c>
      <c r="D392" s="295" t="str">
        <f>'Unit Savings Calculations'!T388</f>
        <v>5.4.2</v>
      </c>
      <c r="E392" s="460">
        <f>INDEX('Unit Savings Calculations'!$H$4:$H$421,MATCH('Measure-Level Adjustments Tab'!$A392&amp;"_"&amp;'Measure-Level Adjustments Tab'!$B392,'Unit Savings Calculations'!$A$4:$A$421,0))</f>
        <v>13</v>
      </c>
      <c r="F392" s="460">
        <f>INDEX('Unit Savings Calculations'!$I$4:$I$421,MATCH('Measure-Level Adjustments Tab'!A392&amp;"_"&amp;'Measure-Level Adjustments Tab'!B392,'Unit Savings Calculations'!$A$4:$A$421,0))</f>
        <v>13</v>
      </c>
      <c r="G392" s="295" t="str">
        <f>'Unit Savings Calculations'!E388</f>
        <v>each</v>
      </c>
      <c r="H392" s="297">
        <f>'Unit Savings Calculations'!$F388*'Unit Savings Calculations'!J388</f>
        <v>3</v>
      </c>
      <c r="I392" s="297">
        <f>'Unit Savings Calculations'!$F388*'Unit Savings Calculations'!K388</f>
        <v>3</v>
      </c>
      <c r="J392" s="297">
        <f>'Unit Savings Calculations'!$F388*'Unit Savings Calculations'!L388</f>
        <v>3</v>
      </c>
      <c r="K392" s="297">
        <f>'Unit Savings Calculations'!$F388*'Unit Savings Calculations'!M388</f>
        <v>3</v>
      </c>
      <c r="L392" s="295" t="str">
        <f>'Unit Savings Calculations'!U388</f>
        <v>RS-HWE-GWHT-V07-180101</v>
      </c>
      <c r="M392" s="405" t="str">
        <f>'Unit Savings Calculations'!R388</f>
        <v>Exhibit 1.5A_R North Shore EEPS_Adjustable_Savings_Goal_Template.xlsx, Unit Savings Calculations Tab</v>
      </c>
      <c r="N392" s="298">
        <v>12.991490464011658</v>
      </c>
      <c r="O392" s="298">
        <v>12.991490464011658</v>
      </c>
      <c r="P392" s="298">
        <v>12.991490464011658</v>
      </c>
      <c r="Q392" s="298">
        <v>12.991490464011658</v>
      </c>
      <c r="R392" s="299">
        <f>'Unit Savings Calculations'!$G388</f>
        <v>1</v>
      </c>
      <c r="S392" s="299">
        <f>'Unit Savings Calculations'!$G388</f>
        <v>1</v>
      </c>
      <c r="T392" s="299">
        <f>'Unit Savings Calculations'!$G388</f>
        <v>1</v>
      </c>
      <c r="U392" s="299">
        <f>'Unit Savings Calculations'!$G388</f>
        <v>1</v>
      </c>
      <c r="V392" s="300">
        <f t="shared" si="171"/>
        <v>38.974471392034971</v>
      </c>
      <c r="W392" s="300">
        <f t="shared" si="172"/>
        <v>38.974471392034971</v>
      </c>
      <c r="X392" s="300">
        <f t="shared" si="173"/>
        <v>38.974471392034971</v>
      </c>
      <c r="Y392" s="300">
        <f t="shared" si="174"/>
        <v>38.974471392034971</v>
      </c>
      <c r="Z392" s="300">
        <f t="shared" si="175"/>
        <v>155.89788556813988</v>
      </c>
      <c r="AA392" s="295"/>
      <c r="AB392" s="295"/>
      <c r="AC392" s="298">
        <f>'Unit Savings Calculations'!N388</f>
        <v>15.645447674402874</v>
      </c>
      <c r="AD392" s="295"/>
      <c r="AE392" s="300">
        <f t="shared" si="161"/>
        <v>46.936343023208622</v>
      </c>
      <c r="AF392" s="297">
        <f t="shared" si="162"/>
        <v>7.9618716311736506</v>
      </c>
      <c r="AG392" s="295"/>
      <c r="AH392" s="295">
        <f t="shared" si="163"/>
        <v>0</v>
      </c>
      <c r="AI392" s="298">
        <f>'Unit Savings Calculations'!O388</f>
        <v>15.645447674402874</v>
      </c>
      <c r="AJ392" s="405" t="s">
        <v>1013</v>
      </c>
      <c r="AK392" s="300">
        <f t="shared" si="164"/>
        <v>46.936343023208622</v>
      </c>
      <c r="AL392" s="297">
        <f t="shared" si="165"/>
        <v>7.9618716311736506</v>
      </c>
      <c r="AM392" s="295"/>
      <c r="AN392" s="295"/>
      <c r="AO392" s="298">
        <f>'Unit Savings Calculations'!P388</f>
        <v>15.645447674402874</v>
      </c>
      <c r="AP392" s="405" t="s">
        <v>764</v>
      </c>
      <c r="AQ392" s="300">
        <f t="shared" si="166"/>
        <v>46.936343023208622</v>
      </c>
      <c r="AR392" s="297">
        <f t="shared" si="167"/>
        <v>7.9618716311736506</v>
      </c>
      <c r="AS392" s="295"/>
      <c r="AT392" s="295"/>
      <c r="AU392" s="298">
        <f>'Unit Savings Calculations'!Q388</f>
        <v>15.645447674402874</v>
      </c>
      <c r="AV392" s="405" t="str">
        <f t="shared" si="154"/>
        <v>n/a</v>
      </c>
      <c r="AW392" s="300">
        <f t="shared" si="168"/>
        <v>46.936343023208622</v>
      </c>
      <c r="AX392" s="297">
        <f t="shared" si="169"/>
        <v>7.9618716311736506</v>
      </c>
      <c r="AY392" s="300">
        <f t="shared" si="155"/>
        <v>46.936343023208622</v>
      </c>
      <c r="AZ392" s="300">
        <f t="shared" si="156"/>
        <v>46.936343023208622</v>
      </c>
      <c r="BA392" s="300">
        <f t="shared" si="157"/>
        <v>46.936343023208622</v>
      </c>
      <c r="BB392" s="300">
        <f t="shared" si="158"/>
        <v>46.936343023208622</v>
      </c>
      <c r="BC392" s="301">
        <f t="shared" si="159"/>
        <v>187.74537209283449</v>
      </c>
      <c r="BD392" s="295" t="s">
        <v>764</v>
      </c>
      <c r="BE392" s="302" t="str">
        <f t="shared" si="160"/>
        <v>Exhibit 1.5A_R North Shore EEPS_Adjustable_Savings_Goal_Template.xlsx, Unit Savings Calculations Tab</v>
      </c>
      <c r="BF392" s="304"/>
    </row>
    <row r="393" spans="1:58" ht="15.75" customHeight="1">
      <c r="A393" s="295" t="str">
        <f>'Unit Savings Calculations'!C389</f>
        <v>Low Income - SF Retrofit</v>
      </c>
      <c r="B393" s="295" t="str">
        <f>'Unit Savings Calculations'!D389</f>
        <v>Boiler ≥90% AFUE, &lt;300MBh</v>
      </c>
      <c r="C393" s="296">
        <f t="shared" si="170"/>
        <v>1</v>
      </c>
      <c r="D393" s="295" t="str">
        <f>'Unit Savings Calculations'!T389</f>
        <v>5.3.6</v>
      </c>
      <c r="E393" s="460">
        <f>INDEX('Unit Savings Calculations'!$H$4:$H$421,MATCH('Measure-Level Adjustments Tab'!$A393&amp;"_"&amp;'Measure-Level Adjustments Tab'!$B393,'Unit Savings Calculations'!$A$4:$A$421,0))</f>
        <v>25</v>
      </c>
      <c r="F393" s="460">
        <f>INDEX('Unit Savings Calculations'!$I$4:$I$421,MATCH('Measure-Level Adjustments Tab'!A393&amp;"_"&amp;'Measure-Level Adjustments Tab'!B393,'Unit Savings Calculations'!$A$4:$A$421,0))</f>
        <v>25</v>
      </c>
      <c r="G393" s="295" t="str">
        <f>'Unit Savings Calculations'!E389</f>
        <v>each</v>
      </c>
      <c r="H393" s="297">
        <f>'Unit Savings Calculations'!$F389*'Unit Savings Calculations'!J389</f>
        <v>3</v>
      </c>
      <c r="I393" s="297">
        <f>'Unit Savings Calculations'!$F389*'Unit Savings Calculations'!K389</f>
        <v>3</v>
      </c>
      <c r="J393" s="297">
        <f>'Unit Savings Calculations'!$F389*'Unit Savings Calculations'!L389</f>
        <v>3</v>
      </c>
      <c r="K393" s="297">
        <f>'Unit Savings Calculations'!$F389*'Unit Savings Calculations'!M389</f>
        <v>3</v>
      </c>
      <c r="L393" s="295" t="str">
        <f>'Unit Savings Calculations'!U389</f>
        <v>RS-HVC-GHEB-V06-180101</v>
      </c>
      <c r="M393" s="405" t="str">
        <f>'Unit Savings Calculations'!R389</f>
        <v>Exhibit 1.5A_R North Shore EEPS_Adjustable_Savings_Goal_Template.xlsx, Unit Savings Calculations Tab</v>
      </c>
      <c r="N393" s="298">
        <v>132.03252032520317</v>
      </c>
      <c r="O393" s="298">
        <v>132.03252032520317</v>
      </c>
      <c r="P393" s="298">
        <v>132.03252032520317</v>
      </c>
      <c r="Q393" s="298">
        <v>132.03252032520317</v>
      </c>
      <c r="R393" s="299">
        <f>'Unit Savings Calculations'!$G389</f>
        <v>1</v>
      </c>
      <c r="S393" s="299">
        <f>'Unit Savings Calculations'!$G389</f>
        <v>1</v>
      </c>
      <c r="T393" s="299">
        <f>'Unit Savings Calculations'!$G389</f>
        <v>1</v>
      </c>
      <c r="U393" s="299">
        <f>'Unit Savings Calculations'!$G389</f>
        <v>1</v>
      </c>
      <c r="V393" s="300">
        <f t="shared" si="171"/>
        <v>396.0975609756095</v>
      </c>
      <c r="W393" s="300">
        <f t="shared" si="172"/>
        <v>396.0975609756095</v>
      </c>
      <c r="X393" s="300">
        <f t="shared" si="173"/>
        <v>396.0975609756095</v>
      </c>
      <c r="Y393" s="300">
        <f t="shared" si="174"/>
        <v>396.0975609756095</v>
      </c>
      <c r="Z393" s="300">
        <f t="shared" si="175"/>
        <v>1584.390243902438</v>
      </c>
      <c r="AA393" s="295"/>
      <c r="AB393" s="295"/>
      <c r="AC393" s="298">
        <f>'Unit Savings Calculations'!N389</f>
        <v>95.219512195122036</v>
      </c>
      <c r="AD393" s="295"/>
      <c r="AE393" s="300">
        <f t="shared" si="161"/>
        <v>285.65853658536611</v>
      </c>
      <c r="AF393" s="297">
        <f t="shared" si="162"/>
        <v>-110.43902439024339</v>
      </c>
      <c r="AG393" s="295"/>
      <c r="AH393" s="295">
        <f t="shared" si="163"/>
        <v>0</v>
      </c>
      <c r="AI393" s="298">
        <f>'Unit Savings Calculations'!O389</f>
        <v>95.219512195122036</v>
      </c>
      <c r="AJ393" s="405" t="s">
        <v>1001</v>
      </c>
      <c r="AK393" s="300">
        <f t="shared" si="164"/>
        <v>285.65853658536611</v>
      </c>
      <c r="AL393" s="297">
        <f t="shared" si="165"/>
        <v>-110.43902439024339</v>
      </c>
      <c r="AM393" s="295"/>
      <c r="AN393" s="295"/>
      <c r="AO393" s="298">
        <f>'Unit Savings Calculations'!P389</f>
        <v>95.219512195122036</v>
      </c>
      <c r="AP393" s="405" t="s">
        <v>764</v>
      </c>
      <c r="AQ393" s="300">
        <f t="shared" si="166"/>
        <v>285.65853658536611</v>
      </c>
      <c r="AR393" s="297">
        <f t="shared" si="167"/>
        <v>-110.43902439024339</v>
      </c>
      <c r="AS393" s="295"/>
      <c r="AT393" s="295"/>
      <c r="AU393" s="298">
        <f>'Unit Savings Calculations'!Q389</f>
        <v>95.219512195122036</v>
      </c>
      <c r="AV393" s="405" t="str">
        <f t="shared" ref="AV393:AV425" si="176">AP393</f>
        <v>n/a</v>
      </c>
      <c r="AW393" s="300">
        <f t="shared" si="168"/>
        <v>285.65853658536611</v>
      </c>
      <c r="AX393" s="297">
        <f t="shared" si="169"/>
        <v>-110.43902439024339</v>
      </c>
      <c r="AY393" s="300">
        <f t="shared" ref="AY393:AY425" si="177">IF(C393=1,AE393,V393)</f>
        <v>285.65853658536611</v>
      </c>
      <c r="AZ393" s="300">
        <f t="shared" ref="AZ393:AZ425" si="178">IF(C393=1,AK393,W393)</f>
        <v>285.65853658536611</v>
      </c>
      <c r="BA393" s="300">
        <f t="shared" ref="BA393:BA425" si="179">IF(C393=1,AQ393,X393)</f>
        <v>285.65853658536611</v>
      </c>
      <c r="BB393" s="300">
        <f t="shared" ref="BB393:BB425" si="180">IF(C393=1,AW393,Y393)</f>
        <v>285.65853658536611</v>
      </c>
      <c r="BC393" s="301">
        <f t="shared" ref="BC393:BC425" si="181">AY393+AZ393+BA393+BB393</f>
        <v>1142.6341463414644</v>
      </c>
      <c r="BD393" s="295" t="s">
        <v>764</v>
      </c>
      <c r="BE393" s="302" t="str">
        <f t="shared" ref="BE393:BE425" si="182">M393</f>
        <v>Exhibit 1.5A_R North Shore EEPS_Adjustable_Savings_Goal_Template.xlsx, Unit Savings Calculations Tab</v>
      </c>
      <c r="BF393" s="304"/>
    </row>
    <row r="394" spans="1:58" ht="15.75" customHeight="1">
      <c r="A394" s="295" t="str">
        <f>'Unit Savings Calculations'!C390</f>
        <v>Low Income - SF Retrofit</v>
      </c>
      <c r="B394" s="295" t="str">
        <f>'Unit Savings Calculations'!D390</f>
        <v>Furnace &gt;95% AFUE</v>
      </c>
      <c r="C394" s="296">
        <f t="shared" si="170"/>
        <v>1</v>
      </c>
      <c r="D394" s="295" t="str">
        <f>'Unit Savings Calculations'!T390</f>
        <v>5.3.7</v>
      </c>
      <c r="E394" s="460">
        <f>INDEX('Unit Savings Calculations'!$H$4:$H$421,MATCH('Measure-Level Adjustments Tab'!$A394&amp;"_"&amp;'Measure-Level Adjustments Tab'!$B394,'Unit Savings Calculations'!$A$4:$A$421,0))</f>
        <v>20</v>
      </c>
      <c r="F394" s="460">
        <f>INDEX('Unit Savings Calculations'!$I$4:$I$421,MATCH('Measure-Level Adjustments Tab'!A394&amp;"_"&amp;'Measure-Level Adjustments Tab'!B394,'Unit Savings Calculations'!$A$4:$A$421,0))</f>
        <v>20</v>
      </c>
      <c r="G394" s="295" t="str">
        <f>'Unit Savings Calculations'!E390</f>
        <v>each</v>
      </c>
      <c r="H394" s="297">
        <f>'Unit Savings Calculations'!$F390*'Unit Savings Calculations'!J390</f>
        <v>3</v>
      </c>
      <c r="I394" s="297">
        <f>'Unit Savings Calculations'!$F390*'Unit Savings Calculations'!K390</f>
        <v>3</v>
      </c>
      <c r="J394" s="297">
        <f>'Unit Savings Calculations'!$F390*'Unit Savings Calculations'!L390</f>
        <v>3</v>
      </c>
      <c r="K394" s="297">
        <f>'Unit Savings Calculations'!$F390*'Unit Savings Calculations'!M390</f>
        <v>3</v>
      </c>
      <c r="L394" s="295" t="str">
        <f>'Unit Savings Calculations'!U390</f>
        <v>RS-HVC-GHEF-V07-180101</v>
      </c>
      <c r="M394" s="405" t="str">
        <f>'Unit Savings Calculations'!R390</f>
        <v>Exhibit 1.5A_R North Shore EEPS_Adjustable_Savings_Goal_Template.xlsx, Unit Savings Calculations Tab</v>
      </c>
      <c r="N394" s="298">
        <v>175.86032388663946</v>
      </c>
      <c r="O394" s="298">
        <v>175.86032388663946</v>
      </c>
      <c r="P394" s="298">
        <v>175.86032388663946</v>
      </c>
      <c r="Q394" s="298">
        <v>175.86032388663946</v>
      </c>
      <c r="R394" s="299">
        <f>'Unit Savings Calculations'!$G390</f>
        <v>1</v>
      </c>
      <c r="S394" s="299">
        <f>'Unit Savings Calculations'!$G390</f>
        <v>1</v>
      </c>
      <c r="T394" s="299">
        <f>'Unit Savings Calculations'!$G390</f>
        <v>1</v>
      </c>
      <c r="U394" s="299">
        <f>'Unit Savings Calculations'!$G390</f>
        <v>1</v>
      </c>
      <c r="V394" s="300">
        <f t="shared" si="171"/>
        <v>527.58097165991842</v>
      </c>
      <c r="W394" s="300">
        <f t="shared" si="172"/>
        <v>527.58097165991842</v>
      </c>
      <c r="X394" s="300">
        <f t="shared" si="173"/>
        <v>527.58097165991842</v>
      </c>
      <c r="Y394" s="300">
        <f t="shared" si="174"/>
        <v>527.58097165991842</v>
      </c>
      <c r="Z394" s="300">
        <f t="shared" si="175"/>
        <v>2110.3238866396737</v>
      </c>
      <c r="AA394" s="295"/>
      <c r="AB394" s="295"/>
      <c r="AC394" s="298">
        <f>'Unit Savings Calculations'!N390</f>
        <v>156.41025641025624</v>
      </c>
      <c r="AD394" s="295"/>
      <c r="AE394" s="300">
        <f t="shared" ref="AE394:AE425" si="183">H394*AC394*R394</f>
        <v>469.23076923076871</v>
      </c>
      <c r="AF394" s="297">
        <f t="shared" ref="AF394:AF425" si="184">AE394-V394</f>
        <v>-58.350202429149704</v>
      </c>
      <c r="AG394" s="295"/>
      <c r="AH394" s="295">
        <f t="shared" ref="AH394:AH425" si="185">AB394</f>
        <v>0</v>
      </c>
      <c r="AI394" s="298">
        <f>'Unit Savings Calculations'!O390</f>
        <v>156.41025641025624</v>
      </c>
      <c r="AJ394" s="405" t="s">
        <v>1001</v>
      </c>
      <c r="AK394" s="300">
        <f t="shared" ref="AK394:AK425" si="186">I394*AI394*S394</f>
        <v>469.23076923076871</v>
      </c>
      <c r="AL394" s="297">
        <f t="shared" ref="AL394:AL425" si="187">AK394-W394</f>
        <v>-58.350202429149704</v>
      </c>
      <c r="AM394" s="295"/>
      <c r="AN394" s="295"/>
      <c r="AO394" s="298">
        <f>'Unit Savings Calculations'!P390</f>
        <v>156.41025641025624</v>
      </c>
      <c r="AP394" s="405" t="s">
        <v>764</v>
      </c>
      <c r="AQ394" s="300">
        <f t="shared" ref="AQ394:AQ425" si="188">J394*AO394*T394</f>
        <v>469.23076923076871</v>
      </c>
      <c r="AR394" s="297">
        <f t="shared" ref="AR394:AR425" si="189">AQ394-X394</f>
        <v>-58.350202429149704</v>
      </c>
      <c r="AS394" s="295"/>
      <c r="AT394" s="295"/>
      <c r="AU394" s="298">
        <f>'Unit Savings Calculations'!Q390</f>
        <v>156.41025641025624</v>
      </c>
      <c r="AV394" s="405" t="str">
        <f t="shared" si="176"/>
        <v>n/a</v>
      </c>
      <c r="AW394" s="300">
        <f t="shared" ref="AW394:AW425" si="190">K394*AU394*U394</f>
        <v>469.23076923076871</v>
      </c>
      <c r="AX394" s="297">
        <f t="shared" ref="AX394:AX425" si="191">AW394-Y394</f>
        <v>-58.350202429149704</v>
      </c>
      <c r="AY394" s="300">
        <f t="shared" si="177"/>
        <v>469.23076923076871</v>
      </c>
      <c r="AZ394" s="300">
        <f t="shared" si="178"/>
        <v>469.23076923076871</v>
      </c>
      <c r="BA394" s="300">
        <f t="shared" si="179"/>
        <v>469.23076923076871</v>
      </c>
      <c r="BB394" s="300">
        <f t="shared" si="180"/>
        <v>469.23076923076871</v>
      </c>
      <c r="BC394" s="301">
        <f t="shared" si="181"/>
        <v>1876.9230769230749</v>
      </c>
      <c r="BD394" s="295" t="s">
        <v>764</v>
      </c>
      <c r="BE394" s="302" t="str">
        <f t="shared" si="182"/>
        <v>Exhibit 1.5A_R North Shore EEPS_Adjustable_Savings_Goal_Template.xlsx, Unit Savings Calculations Tab</v>
      </c>
      <c r="BF394" s="304"/>
    </row>
    <row r="395" spans="1:58" ht="15.75" customHeight="1">
      <c r="A395" s="295" t="str">
        <f>'Unit Savings Calculations'!C391</f>
        <v>Low Income - SF Retrofit</v>
      </c>
      <c r="B395" s="295" t="str">
        <f>'Unit Savings Calculations'!D391</f>
        <v>Furnace Clean &amp; Tune</v>
      </c>
      <c r="C395" s="296">
        <f t="shared" si="170"/>
        <v>1</v>
      </c>
      <c r="D395" s="295" t="str">
        <f>'Unit Savings Calculations'!T391</f>
        <v>5.3.13</v>
      </c>
      <c r="E395" s="460">
        <f>INDEX('Unit Savings Calculations'!$H$4:$H$421,MATCH('Measure-Level Adjustments Tab'!$A395&amp;"_"&amp;'Measure-Level Adjustments Tab'!$B395,'Unit Savings Calculations'!$A$4:$A$421,0))</f>
        <v>2</v>
      </c>
      <c r="F395" s="460">
        <f>INDEX('Unit Savings Calculations'!$I$4:$I$421,MATCH('Measure-Level Adjustments Tab'!A395&amp;"_"&amp;'Measure-Level Adjustments Tab'!B395,'Unit Savings Calculations'!$A$4:$A$421,0))</f>
        <v>2</v>
      </c>
      <c r="G395" s="295" t="str">
        <f>'Unit Savings Calculations'!E391</f>
        <v>each</v>
      </c>
      <c r="H395" s="297">
        <f>'Unit Savings Calculations'!$F391*'Unit Savings Calculations'!J391</f>
        <v>56</v>
      </c>
      <c r="I395" s="297">
        <f>'Unit Savings Calculations'!$F391*'Unit Savings Calculations'!K391</f>
        <v>56</v>
      </c>
      <c r="J395" s="297">
        <f>'Unit Savings Calculations'!$F391*'Unit Savings Calculations'!L391</f>
        <v>56</v>
      </c>
      <c r="K395" s="297">
        <f>'Unit Savings Calculations'!$F391*'Unit Savings Calculations'!M391</f>
        <v>56</v>
      </c>
      <c r="L395" s="295" t="str">
        <f>'Unit Savings Calculations'!U391</f>
        <v>RS-HVC-FTUN-V03-180101</v>
      </c>
      <c r="M395" s="405" t="str">
        <f>'Unit Savings Calculations'!R391</f>
        <v>Exhibit 1.5A_R North Shore EEPS_Adjustable_Savings_Goal_Template.xlsx, Unit Savings Calculations Tab</v>
      </c>
      <c r="N395" s="298">
        <v>71.282051282051214</v>
      </c>
      <c r="O395" s="298">
        <v>71.282051282051214</v>
      </c>
      <c r="P395" s="298">
        <v>71.282051282051214</v>
      </c>
      <c r="Q395" s="298">
        <v>71.282051282051214</v>
      </c>
      <c r="R395" s="299">
        <f>'Unit Savings Calculations'!$G391</f>
        <v>1</v>
      </c>
      <c r="S395" s="299">
        <f>'Unit Savings Calculations'!$G391</f>
        <v>1</v>
      </c>
      <c r="T395" s="299">
        <f>'Unit Savings Calculations'!$G391</f>
        <v>1</v>
      </c>
      <c r="U395" s="299">
        <f>'Unit Savings Calculations'!$G391</f>
        <v>1</v>
      </c>
      <c r="V395" s="300">
        <f t="shared" si="171"/>
        <v>3991.794871794868</v>
      </c>
      <c r="W395" s="300">
        <f t="shared" si="172"/>
        <v>3991.794871794868</v>
      </c>
      <c r="X395" s="300">
        <f t="shared" si="173"/>
        <v>3991.794871794868</v>
      </c>
      <c r="Y395" s="300">
        <f t="shared" si="174"/>
        <v>3991.794871794868</v>
      </c>
      <c r="Z395" s="300">
        <f t="shared" si="175"/>
        <v>15967.179487179472</v>
      </c>
      <c r="AA395" s="295"/>
      <c r="AB395" s="295"/>
      <c r="AC395" s="298">
        <f>'Unit Savings Calculations'!N391</f>
        <v>71.282051282051214</v>
      </c>
      <c r="AD395" s="295"/>
      <c r="AE395" s="300">
        <f t="shared" si="183"/>
        <v>3991.794871794868</v>
      </c>
      <c r="AF395" s="297">
        <f t="shared" si="184"/>
        <v>0</v>
      </c>
      <c r="AG395" s="295"/>
      <c r="AH395" s="295">
        <f t="shared" si="185"/>
        <v>0</v>
      </c>
      <c r="AI395" s="298">
        <f>'Unit Savings Calculations'!O391</f>
        <v>71.282051282051214</v>
      </c>
      <c r="AJ395" s="405" t="s">
        <v>879</v>
      </c>
      <c r="AK395" s="300">
        <f t="shared" si="186"/>
        <v>3991.794871794868</v>
      </c>
      <c r="AL395" s="297">
        <f t="shared" si="187"/>
        <v>0</v>
      </c>
      <c r="AM395" s="295"/>
      <c r="AN395" s="295"/>
      <c r="AO395" s="298">
        <f>'Unit Savings Calculations'!P391</f>
        <v>71.282051282051214</v>
      </c>
      <c r="AP395" s="405" t="s">
        <v>764</v>
      </c>
      <c r="AQ395" s="300">
        <f t="shared" si="188"/>
        <v>3991.794871794868</v>
      </c>
      <c r="AR395" s="297">
        <f t="shared" si="189"/>
        <v>0</v>
      </c>
      <c r="AS395" s="295"/>
      <c r="AT395" s="295"/>
      <c r="AU395" s="298">
        <f>'Unit Savings Calculations'!Q391</f>
        <v>71.282051282051214</v>
      </c>
      <c r="AV395" s="405" t="str">
        <f t="shared" si="176"/>
        <v>n/a</v>
      </c>
      <c r="AW395" s="300">
        <f t="shared" si="190"/>
        <v>3991.794871794868</v>
      </c>
      <c r="AX395" s="297">
        <f t="shared" si="191"/>
        <v>0</v>
      </c>
      <c r="AY395" s="300">
        <f t="shared" si="177"/>
        <v>3991.794871794868</v>
      </c>
      <c r="AZ395" s="300">
        <f t="shared" si="178"/>
        <v>3991.794871794868</v>
      </c>
      <c r="BA395" s="300">
        <f t="shared" si="179"/>
        <v>3991.794871794868</v>
      </c>
      <c r="BB395" s="300">
        <f t="shared" si="180"/>
        <v>3991.794871794868</v>
      </c>
      <c r="BC395" s="301">
        <f t="shared" si="181"/>
        <v>15967.179487179472</v>
      </c>
      <c r="BD395" s="295" t="s">
        <v>764</v>
      </c>
      <c r="BE395" s="302" t="str">
        <f t="shared" si="182"/>
        <v>Exhibit 1.5A_R North Shore EEPS_Adjustable_Savings_Goal_Template.xlsx, Unit Savings Calculations Tab</v>
      </c>
      <c r="BF395" s="304"/>
    </row>
    <row r="396" spans="1:58" ht="15.75" customHeight="1">
      <c r="A396" s="295" t="str">
        <f>'Unit Savings Calculations'!C392</f>
        <v>Low Income - SF Retrofit</v>
      </c>
      <c r="B396" s="295" t="str">
        <f>'Unit Savings Calculations'!D392</f>
        <v>Weatherstripping/Door Sweeps</v>
      </c>
      <c r="C396" s="296">
        <f t="shared" si="170"/>
        <v>1</v>
      </c>
      <c r="D396" s="295" t="str">
        <f>'Unit Savings Calculations'!T392</f>
        <v>5.6.1</v>
      </c>
      <c r="E396" s="460">
        <f>INDEX('Unit Savings Calculations'!$H$4:$H$421,MATCH('Measure-Level Adjustments Tab'!$A396&amp;"_"&amp;'Measure-Level Adjustments Tab'!$B396,'Unit Savings Calculations'!$A$4:$A$421,0))</f>
        <v>15</v>
      </c>
      <c r="F396" s="460">
        <f>INDEX('Unit Savings Calculations'!$I$4:$I$421,MATCH('Measure-Level Adjustments Tab'!A396&amp;"_"&amp;'Measure-Level Adjustments Tab'!B396,'Unit Savings Calculations'!$A$4:$A$421,0))</f>
        <v>15</v>
      </c>
      <c r="G396" s="295" t="str">
        <f>'Unit Savings Calculations'!E392</f>
        <v>door</v>
      </c>
      <c r="H396" s="297">
        <f>'Unit Savings Calculations'!$F392*'Unit Savings Calculations'!J392</f>
        <v>168</v>
      </c>
      <c r="I396" s="297">
        <f>'Unit Savings Calculations'!$F392*'Unit Savings Calculations'!K392</f>
        <v>168</v>
      </c>
      <c r="J396" s="297">
        <f>'Unit Savings Calculations'!$F392*'Unit Savings Calculations'!L392</f>
        <v>168</v>
      </c>
      <c r="K396" s="297">
        <f>'Unit Savings Calculations'!$F392*'Unit Savings Calculations'!M392</f>
        <v>168</v>
      </c>
      <c r="L396" s="295" t="str">
        <f>'Unit Savings Calculations'!U392</f>
        <v>RS-SHL-AIRS-V06-180101</v>
      </c>
      <c r="M396" s="405" t="str">
        <f>'Unit Savings Calculations'!R392</f>
        <v>Exhibit 1.5A_R North Shore EEPS_Adjustable_Savings_Goal_Template.xlsx, Unit Savings Calculations Tab</v>
      </c>
      <c r="N396" s="298">
        <v>98</v>
      </c>
      <c r="O396" s="298">
        <v>98</v>
      </c>
      <c r="P396" s="298">
        <v>98</v>
      </c>
      <c r="Q396" s="298">
        <v>98</v>
      </c>
      <c r="R396" s="299">
        <f>'Unit Savings Calculations'!$G392</f>
        <v>1</v>
      </c>
      <c r="S396" s="299">
        <f>'Unit Savings Calculations'!$G392</f>
        <v>1</v>
      </c>
      <c r="T396" s="299">
        <f>'Unit Savings Calculations'!$G392</f>
        <v>1</v>
      </c>
      <c r="U396" s="299">
        <f>'Unit Savings Calculations'!$G392</f>
        <v>1</v>
      </c>
      <c r="V396" s="300">
        <f t="shared" si="171"/>
        <v>16464</v>
      </c>
      <c r="W396" s="300">
        <f t="shared" si="172"/>
        <v>16464</v>
      </c>
      <c r="X396" s="300">
        <f t="shared" si="173"/>
        <v>16464</v>
      </c>
      <c r="Y396" s="300">
        <f t="shared" si="174"/>
        <v>16464</v>
      </c>
      <c r="Z396" s="300">
        <f t="shared" si="175"/>
        <v>65856</v>
      </c>
      <c r="AA396" s="295"/>
      <c r="AB396" s="295"/>
      <c r="AC396" s="298">
        <f>'Unit Savings Calculations'!N392</f>
        <v>98</v>
      </c>
      <c r="AD396" s="295"/>
      <c r="AE396" s="300">
        <f t="shared" si="183"/>
        <v>16464</v>
      </c>
      <c r="AF396" s="297">
        <f t="shared" si="184"/>
        <v>0</v>
      </c>
      <c r="AG396" s="295"/>
      <c r="AH396" s="295">
        <f t="shared" si="185"/>
        <v>0</v>
      </c>
      <c r="AI396" s="298">
        <f>'Unit Savings Calculations'!O392</f>
        <v>98</v>
      </c>
      <c r="AJ396" s="405" t="s">
        <v>1042</v>
      </c>
      <c r="AK396" s="300">
        <f t="shared" si="186"/>
        <v>16464</v>
      </c>
      <c r="AL396" s="297">
        <f t="shared" si="187"/>
        <v>0</v>
      </c>
      <c r="AM396" s="295"/>
      <c r="AN396" s="295"/>
      <c r="AO396" s="298">
        <f>'Unit Savings Calculations'!P392</f>
        <v>98</v>
      </c>
      <c r="AP396" s="405" t="s">
        <v>764</v>
      </c>
      <c r="AQ396" s="300">
        <f t="shared" si="188"/>
        <v>16464</v>
      </c>
      <c r="AR396" s="297">
        <f t="shared" si="189"/>
        <v>0</v>
      </c>
      <c r="AS396" s="295"/>
      <c r="AT396" s="295"/>
      <c r="AU396" s="298">
        <f>'Unit Savings Calculations'!Q392</f>
        <v>98</v>
      </c>
      <c r="AV396" s="405" t="str">
        <f t="shared" si="176"/>
        <v>n/a</v>
      </c>
      <c r="AW396" s="300">
        <f t="shared" si="190"/>
        <v>16464</v>
      </c>
      <c r="AX396" s="297">
        <f t="shared" si="191"/>
        <v>0</v>
      </c>
      <c r="AY396" s="300">
        <f t="shared" si="177"/>
        <v>16464</v>
      </c>
      <c r="AZ396" s="300">
        <f t="shared" si="178"/>
        <v>16464</v>
      </c>
      <c r="BA396" s="300">
        <f t="shared" si="179"/>
        <v>16464</v>
      </c>
      <c r="BB396" s="300">
        <f t="shared" si="180"/>
        <v>16464</v>
      </c>
      <c r="BC396" s="301">
        <f t="shared" si="181"/>
        <v>65856</v>
      </c>
      <c r="BD396" s="295" t="s">
        <v>764</v>
      </c>
      <c r="BE396" s="302" t="str">
        <f t="shared" si="182"/>
        <v>Exhibit 1.5A_R North Shore EEPS_Adjustable_Savings_Goal_Template.xlsx, Unit Savings Calculations Tab</v>
      </c>
      <c r="BF396" s="304"/>
    </row>
    <row r="397" spans="1:58" ht="15.75" customHeight="1">
      <c r="A397" s="295" t="str">
        <f>'Unit Savings Calculations'!C393</f>
        <v>Low Income - MF Retrofit</v>
      </c>
      <c r="B397" s="295" t="str">
        <f>'Unit Savings Calculations'!D393</f>
        <v>Bathroom Aerator</v>
      </c>
      <c r="C397" s="296">
        <f t="shared" si="170"/>
        <v>1</v>
      </c>
      <c r="D397" s="295" t="str">
        <f>'Unit Savings Calculations'!T393</f>
        <v>5.4.4</v>
      </c>
      <c r="E397" s="460">
        <f>INDEX('Unit Savings Calculations'!$H$4:$H$421,MATCH('Measure-Level Adjustments Tab'!$A397&amp;"_"&amp;'Measure-Level Adjustments Tab'!$B397,'Unit Savings Calculations'!$A$4:$A$421,0))</f>
        <v>9</v>
      </c>
      <c r="F397" s="460">
        <f>INDEX('Unit Savings Calculations'!$I$4:$I$421,MATCH('Measure-Level Adjustments Tab'!A397&amp;"_"&amp;'Measure-Level Adjustments Tab'!B397,'Unit Savings Calculations'!$A$4:$A$421,0))</f>
        <v>10</v>
      </c>
      <c r="G397" s="295" t="str">
        <f>'Unit Savings Calculations'!E393</f>
        <v>each</v>
      </c>
      <c r="H397" s="297">
        <f>'Unit Savings Calculations'!$F393*'Unit Savings Calculations'!J393</f>
        <v>188</v>
      </c>
      <c r="I397" s="297">
        <f>'Unit Savings Calculations'!$F393*'Unit Savings Calculations'!K393</f>
        <v>188</v>
      </c>
      <c r="J397" s="297">
        <f>'Unit Savings Calculations'!$F393*'Unit Savings Calculations'!L393</f>
        <v>188</v>
      </c>
      <c r="K397" s="297">
        <f>'Unit Savings Calculations'!$F393*'Unit Savings Calculations'!M393</f>
        <v>188</v>
      </c>
      <c r="L397" s="295" t="str">
        <f>'Unit Savings Calculations'!U393</f>
        <v>RS-HWE-LFFA-V06-180101</v>
      </c>
      <c r="M397" s="405" t="str">
        <f>'Unit Savings Calculations'!R393</f>
        <v>Exhibit 1.5A_R North Shore EEPS_Adjustable_Savings_Goal_Template.xlsx, Unit Savings Calculations Tab</v>
      </c>
      <c r="N397" s="298">
        <v>1.2484689715316413</v>
      </c>
      <c r="O397" s="298">
        <v>1.2484689715316413</v>
      </c>
      <c r="P397" s="298">
        <v>1.2484689715316413</v>
      </c>
      <c r="Q397" s="298">
        <v>1.2484689715316413</v>
      </c>
      <c r="R397" s="299">
        <f>'Unit Savings Calculations'!$G393</f>
        <v>1</v>
      </c>
      <c r="S397" s="299">
        <f>'Unit Savings Calculations'!$G393</f>
        <v>1</v>
      </c>
      <c r="T397" s="299">
        <f>'Unit Savings Calculations'!$G393</f>
        <v>1</v>
      </c>
      <c r="U397" s="299">
        <f>'Unit Savings Calculations'!$G393</f>
        <v>1</v>
      </c>
      <c r="V397" s="300">
        <f t="shared" si="171"/>
        <v>234.71216664794855</v>
      </c>
      <c r="W397" s="300">
        <f t="shared" si="172"/>
        <v>234.71216664794855</v>
      </c>
      <c r="X397" s="300">
        <f t="shared" si="173"/>
        <v>234.71216664794855</v>
      </c>
      <c r="Y397" s="300">
        <f t="shared" si="174"/>
        <v>234.71216664794855</v>
      </c>
      <c r="Z397" s="300">
        <f t="shared" si="175"/>
        <v>938.8486665917942</v>
      </c>
      <c r="AA397" s="295"/>
      <c r="AB397" s="295"/>
      <c r="AC397" s="298">
        <f>'Unit Savings Calculations'!N393</f>
        <v>1.6368815404525978</v>
      </c>
      <c r="AD397" s="295"/>
      <c r="AE397" s="300">
        <f t="shared" si="183"/>
        <v>307.7337296050884</v>
      </c>
      <c r="AF397" s="297">
        <f t="shared" si="184"/>
        <v>73.021562957139849</v>
      </c>
      <c r="AG397" s="295"/>
      <c r="AH397" s="295">
        <f t="shared" si="185"/>
        <v>0</v>
      </c>
      <c r="AI397" s="298">
        <f>'Unit Savings Calculations'!O393</f>
        <v>1.6368815404525978</v>
      </c>
      <c r="AJ397" s="405" t="s">
        <v>1017</v>
      </c>
      <c r="AK397" s="300">
        <f t="shared" si="186"/>
        <v>307.7337296050884</v>
      </c>
      <c r="AL397" s="297">
        <f t="shared" si="187"/>
        <v>73.021562957139849</v>
      </c>
      <c r="AM397" s="295"/>
      <c r="AN397" s="295"/>
      <c r="AO397" s="298">
        <f>'Unit Savings Calculations'!P393</f>
        <v>1.6368815404525978</v>
      </c>
      <c r="AP397" s="405" t="s">
        <v>764</v>
      </c>
      <c r="AQ397" s="300">
        <f t="shared" si="188"/>
        <v>307.7337296050884</v>
      </c>
      <c r="AR397" s="297">
        <f t="shared" si="189"/>
        <v>73.021562957139849</v>
      </c>
      <c r="AS397" s="295"/>
      <c r="AT397" s="295"/>
      <c r="AU397" s="298">
        <f>'Unit Savings Calculations'!Q393</f>
        <v>1.6368815404525978</v>
      </c>
      <c r="AV397" s="405" t="str">
        <f t="shared" si="176"/>
        <v>n/a</v>
      </c>
      <c r="AW397" s="300">
        <f t="shared" si="190"/>
        <v>307.7337296050884</v>
      </c>
      <c r="AX397" s="297">
        <f t="shared" si="191"/>
        <v>73.021562957139849</v>
      </c>
      <c r="AY397" s="300">
        <f t="shared" si="177"/>
        <v>307.7337296050884</v>
      </c>
      <c r="AZ397" s="300">
        <f t="shared" si="178"/>
        <v>307.7337296050884</v>
      </c>
      <c r="BA397" s="300">
        <f t="shared" si="179"/>
        <v>307.7337296050884</v>
      </c>
      <c r="BB397" s="300">
        <f t="shared" si="180"/>
        <v>307.7337296050884</v>
      </c>
      <c r="BC397" s="301">
        <f t="shared" si="181"/>
        <v>1230.9349184203536</v>
      </c>
      <c r="BD397" s="295" t="s">
        <v>764</v>
      </c>
      <c r="BE397" s="302" t="str">
        <f t="shared" si="182"/>
        <v>Exhibit 1.5A_R North Shore EEPS_Adjustable_Savings_Goal_Template.xlsx, Unit Savings Calculations Tab</v>
      </c>
      <c r="BF397" s="304"/>
    </row>
    <row r="398" spans="1:58" ht="15.75" customHeight="1">
      <c r="A398" s="295" t="str">
        <f>'Unit Savings Calculations'!C394</f>
        <v>Low Income - MF Retrofit</v>
      </c>
      <c r="B398" s="295" t="str">
        <f>'Unit Savings Calculations'!D394</f>
        <v>Kitchen Aerator</v>
      </c>
      <c r="C398" s="296">
        <f t="shared" si="170"/>
        <v>1</v>
      </c>
      <c r="D398" s="295" t="str">
        <f>'Unit Savings Calculations'!T394</f>
        <v>5.4.4</v>
      </c>
      <c r="E398" s="460">
        <f>INDEX('Unit Savings Calculations'!$H$4:$H$421,MATCH('Measure-Level Adjustments Tab'!$A398&amp;"_"&amp;'Measure-Level Adjustments Tab'!$B398,'Unit Savings Calculations'!$A$4:$A$421,0))</f>
        <v>9</v>
      </c>
      <c r="F398" s="460">
        <f>INDEX('Unit Savings Calculations'!$I$4:$I$421,MATCH('Measure-Level Adjustments Tab'!A398&amp;"_"&amp;'Measure-Level Adjustments Tab'!B398,'Unit Savings Calculations'!$A$4:$A$421,0))</f>
        <v>10</v>
      </c>
      <c r="G398" s="295" t="str">
        <f>'Unit Savings Calculations'!E394</f>
        <v>each</v>
      </c>
      <c r="H398" s="297">
        <f>'Unit Savings Calculations'!$F394*'Unit Savings Calculations'!J394</f>
        <v>154</v>
      </c>
      <c r="I398" s="297">
        <f>'Unit Savings Calculations'!$F394*'Unit Savings Calculations'!K394</f>
        <v>154</v>
      </c>
      <c r="J398" s="297">
        <f>'Unit Savings Calculations'!$F394*'Unit Savings Calculations'!L394</f>
        <v>154</v>
      </c>
      <c r="K398" s="297">
        <f>'Unit Savings Calculations'!$F394*'Unit Savings Calculations'!M394</f>
        <v>154</v>
      </c>
      <c r="L398" s="295" t="str">
        <f>'Unit Savings Calculations'!U394</f>
        <v>RS-HWE-LFFA-V06-180101</v>
      </c>
      <c r="M398" s="405" t="str">
        <f>'Unit Savings Calculations'!R394</f>
        <v>Exhibit 1.5A_R North Shore EEPS_Adjustable_Savings_Goal_Template.xlsx, Unit Savings Calculations Tab</v>
      </c>
      <c r="N398" s="298">
        <v>5.1269254520350058</v>
      </c>
      <c r="O398" s="298">
        <v>5.1269254520350058</v>
      </c>
      <c r="P398" s="298">
        <v>5.1269254520350058</v>
      </c>
      <c r="Q398" s="298">
        <v>5.1269254520350058</v>
      </c>
      <c r="R398" s="299">
        <f>'Unit Savings Calculations'!$G394</f>
        <v>1</v>
      </c>
      <c r="S398" s="299">
        <f>'Unit Savings Calculations'!$G394</f>
        <v>1</v>
      </c>
      <c r="T398" s="299">
        <f>'Unit Savings Calculations'!$G394</f>
        <v>1</v>
      </c>
      <c r="U398" s="299">
        <f>'Unit Savings Calculations'!$G394</f>
        <v>1</v>
      </c>
      <c r="V398" s="300">
        <f t="shared" si="171"/>
        <v>789.54651961339084</v>
      </c>
      <c r="W398" s="300">
        <f t="shared" si="172"/>
        <v>789.54651961339084</v>
      </c>
      <c r="X398" s="300">
        <f t="shared" si="173"/>
        <v>789.54651961339084</v>
      </c>
      <c r="Y398" s="300">
        <f t="shared" si="174"/>
        <v>789.54651961339084</v>
      </c>
      <c r="Z398" s="300">
        <f t="shared" si="175"/>
        <v>3158.1860784535634</v>
      </c>
      <c r="AA398" s="295"/>
      <c r="AB398" s="295"/>
      <c r="AC398" s="298">
        <f>'Unit Savings Calculations'!N394</f>
        <v>7.8612856931203403</v>
      </c>
      <c r="AD398" s="295"/>
      <c r="AE398" s="300">
        <f t="shared" si="183"/>
        <v>1210.6379967405323</v>
      </c>
      <c r="AF398" s="297">
        <f t="shared" si="184"/>
        <v>421.0914771271415</v>
      </c>
      <c r="AG398" s="295"/>
      <c r="AH398" s="295">
        <f t="shared" si="185"/>
        <v>0</v>
      </c>
      <c r="AI398" s="298">
        <f>'Unit Savings Calculations'!O394</f>
        <v>7.8612856931203403</v>
      </c>
      <c r="AJ398" s="405" t="s">
        <v>1017</v>
      </c>
      <c r="AK398" s="300">
        <f t="shared" si="186"/>
        <v>1210.6379967405323</v>
      </c>
      <c r="AL398" s="297">
        <f t="shared" si="187"/>
        <v>421.0914771271415</v>
      </c>
      <c r="AM398" s="295"/>
      <c r="AN398" s="295"/>
      <c r="AO398" s="298">
        <f>'Unit Savings Calculations'!P394</f>
        <v>7.8612856931203403</v>
      </c>
      <c r="AP398" s="405" t="s">
        <v>764</v>
      </c>
      <c r="AQ398" s="300">
        <f t="shared" si="188"/>
        <v>1210.6379967405323</v>
      </c>
      <c r="AR398" s="297">
        <f t="shared" si="189"/>
        <v>421.0914771271415</v>
      </c>
      <c r="AS398" s="295"/>
      <c r="AT398" s="295"/>
      <c r="AU398" s="298">
        <f>'Unit Savings Calculations'!Q394</f>
        <v>7.8612856931203403</v>
      </c>
      <c r="AV398" s="405" t="str">
        <f t="shared" si="176"/>
        <v>n/a</v>
      </c>
      <c r="AW398" s="300">
        <f t="shared" si="190"/>
        <v>1210.6379967405323</v>
      </c>
      <c r="AX398" s="297">
        <f t="shared" si="191"/>
        <v>421.0914771271415</v>
      </c>
      <c r="AY398" s="300">
        <f t="shared" si="177"/>
        <v>1210.6379967405323</v>
      </c>
      <c r="AZ398" s="300">
        <f t="shared" si="178"/>
        <v>1210.6379967405323</v>
      </c>
      <c r="BA398" s="300">
        <f t="shared" si="179"/>
        <v>1210.6379967405323</v>
      </c>
      <c r="BB398" s="300">
        <f t="shared" si="180"/>
        <v>1210.6379967405323</v>
      </c>
      <c r="BC398" s="301">
        <f t="shared" si="181"/>
        <v>4842.5519869621294</v>
      </c>
      <c r="BD398" s="295" t="s">
        <v>764</v>
      </c>
      <c r="BE398" s="302" t="str">
        <f t="shared" si="182"/>
        <v>Exhibit 1.5A_R North Shore EEPS_Adjustable_Savings_Goal_Template.xlsx, Unit Savings Calculations Tab</v>
      </c>
      <c r="BF398" s="304"/>
    </row>
    <row r="399" spans="1:58" ht="15.75" customHeight="1">
      <c r="A399" s="295" t="str">
        <f>'Unit Savings Calculations'!C395</f>
        <v>Low Income - MF Retrofit</v>
      </c>
      <c r="B399" s="295" t="str">
        <f>'Unit Savings Calculations'!D395</f>
        <v>Showerhead</v>
      </c>
      <c r="C399" s="296">
        <f t="shared" si="170"/>
        <v>1</v>
      </c>
      <c r="D399" s="295" t="str">
        <f>'Unit Savings Calculations'!T395</f>
        <v>5.4.5</v>
      </c>
      <c r="E399" s="460">
        <f>INDEX('Unit Savings Calculations'!$H$4:$H$421,MATCH('Measure-Level Adjustments Tab'!$A399&amp;"_"&amp;'Measure-Level Adjustments Tab'!$B399,'Unit Savings Calculations'!$A$4:$A$421,0))</f>
        <v>10</v>
      </c>
      <c r="F399" s="460">
        <f>INDEX('Unit Savings Calculations'!$I$4:$I$421,MATCH('Measure-Level Adjustments Tab'!A399&amp;"_"&amp;'Measure-Level Adjustments Tab'!B399,'Unit Savings Calculations'!$A$4:$A$421,0))</f>
        <v>10</v>
      </c>
      <c r="G399" s="295" t="str">
        <f>'Unit Savings Calculations'!E395</f>
        <v>each</v>
      </c>
      <c r="H399" s="297">
        <f>'Unit Savings Calculations'!$F395*'Unit Savings Calculations'!J395</f>
        <v>190</v>
      </c>
      <c r="I399" s="297">
        <f>'Unit Savings Calculations'!$F395*'Unit Savings Calculations'!K395</f>
        <v>190</v>
      </c>
      <c r="J399" s="297">
        <f>'Unit Savings Calculations'!$F395*'Unit Savings Calculations'!L395</f>
        <v>190</v>
      </c>
      <c r="K399" s="297">
        <f>'Unit Savings Calculations'!$F395*'Unit Savings Calculations'!M395</f>
        <v>190</v>
      </c>
      <c r="L399" s="295" t="str">
        <f>'Unit Savings Calculations'!U395</f>
        <v>RS-HWE-LFSH-V05-180101</v>
      </c>
      <c r="M399" s="405" t="str">
        <f>'Unit Savings Calculations'!R395</f>
        <v>Exhibit 1.5A_R North Shore EEPS_Adjustable_Savings_Goal_Template.xlsx, Unit Savings Calculations Tab</v>
      </c>
      <c r="N399" s="298">
        <v>17.896352631884998</v>
      </c>
      <c r="O399" s="298">
        <v>17.896352631884998</v>
      </c>
      <c r="P399" s="298">
        <v>17.896352631884998</v>
      </c>
      <c r="Q399" s="298">
        <v>17.896352631884998</v>
      </c>
      <c r="R399" s="299">
        <f>'Unit Savings Calculations'!$G395</f>
        <v>1</v>
      </c>
      <c r="S399" s="299">
        <f>'Unit Savings Calculations'!$G395</f>
        <v>1</v>
      </c>
      <c r="T399" s="299">
        <f>'Unit Savings Calculations'!$G395</f>
        <v>1</v>
      </c>
      <c r="U399" s="299">
        <f>'Unit Savings Calculations'!$G395</f>
        <v>1</v>
      </c>
      <c r="V399" s="300">
        <f t="shared" si="171"/>
        <v>3400.3070000581497</v>
      </c>
      <c r="W399" s="300">
        <f t="shared" si="172"/>
        <v>3400.3070000581497</v>
      </c>
      <c r="X399" s="300">
        <f t="shared" si="173"/>
        <v>3400.3070000581497</v>
      </c>
      <c r="Y399" s="300">
        <f t="shared" si="174"/>
        <v>3400.3070000581497</v>
      </c>
      <c r="Z399" s="300">
        <f t="shared" si="175"/>
        <v>13601.228000232599</v>
      </c>
      <c r="AA399" s="295"/>
      <c r="AB399" s="295"/>
      <c r="AC399" s="298">
        <f>'Unit Savings Calculations'!N395</f>
        <v>11.319060638970004</v>
      </c>
      <c r="AD399" s="295"/>
      <c r="AE399" s="300">
        <f t="shared" si="183"/>
        <v>2150.6215214043009</v>
      </c>
      <c r="AF399" s="297">
        <f t="shared" si="184"/>
        <v>-1249.6854786538488</v>
      </c>
      <c r="AG399" s="295"/>
      <c r="AH399" s="295">
        <f t="shared" si="185"/>
        <v>0</v>
      </c>
      <c r="AI399" s="298">
        <f>'Unit Savings Calculations'!O395</f>
        <v>11.319060638970004</v>
      </c>
      <c r="AJ399" s="405" t="s">
        <v>1017</v>
      </c>
      <c r="AK399" s="300">
        <f t="shared" si="186"/>
        <v>2150.6215214043009</v>
      </c>
      <c r="AL399" s="297">
        <f t="shared" si="187"/>
        <v>-1249.6854786538488</v>
      </c>
      <c r="AM399" s="295"/>
      <c r="AN399" s="295"/>
      <c r="AO399" s="298">
        <f>'Unit Savings Calculations'!P395</f>
        <v>11.319060638970004</v>
      </c>
      <c r="AP399" s="405" t="s">
        <v>764</v>
      </c>
      <c r="AQ399" s="300">
        <f t="shared" si="188"/>
        <v>2150.6215214043009</v>
      </c>
      <c r="AR399" s="297">
        <f t="shared" si="189"/>
        <v>-1249.6854786538488</v>
      </c>
      <c r="AS399" s="295"/>
      <c r="AT399" s="295"/>
      <c r="AU399" s="298">
        <f>'Unit Savings Calculations'!Q395</f>
        <v>11.319060638970004</v>
      </c>
      <c r="AV399" s="405" t="str">
        <f t="shared" si="176"/>
        <v>n/a</v>
      </c>
      <c r="AW399" s="300">
        <f t="shared" si="190"/>
        <v>2150.6215214043009</v>
      </c>
      <c r="AX399" s="297">
        <f t="shared" si="191"/>
        <v>-1249.6854786538488</v>
      </c>
      <c r="AY399" s="300">
        <f t="shared" si="177"/>
        <v>2150.6215214043009</v>
      </c>
      <c r="AZ399" s="300">
        <f t="shared" si="178"/>
        <v>2150.6215214043009</v>
      </c>
      <c r="BA399" s="300">
        <f t="shared" si="179"/>
        <v>2150.6215214043009</v>
      </c>
      <c r="BB399" s="300">
        <f t="shared" si="180"/>
        <v>2150.6215214043009</v>
      </c>
      <c r="BC399" s="301">
        <f t="shared" si="181"/>
        <v>8602.4860856172036</v>
      </c>
      <c r="BD399" s="295" t="s">
        <v>764</v>
      </c>
      <c r="BE399" s="302" t="str">
        <f t="shared" si="182"/>
        <v>Exhibit 1.5A_R North Shore EEPS_Adjustable_Savings_Goal_Template.xlsx, Unit Savings Calculations Tab</v>
      </c>
      <c r="BF399" s="304"/>
    </row>
    <row r="400" spans="1:58" ht="15.75" customHeight="1">
      <c r="A400" s="295" t="str">
        <f>'Unit Savings Calculations'!C396</f>
        <v>Low Income - MF Retrofit</v>
      </c>
      <c r="B400" s="295" t="str">
        <f>'Unit Savings Calculations'!D396</f>
        <v>Pipe Insulation (DHW)</v>
      </c>
      <c r="C400" s="296">
        <f t="shared" si="170"/>
        <v>1</v>
      </c>
      <c r="D400" s="295" t="str">
        <f>'Unit Savings Calculations'!T396</f>
        <v>5.4.1</v>
      </c>
      <c r="E400" s="460">
        <f>INDEX('Unit Savings Calculations'!$H$4:$H$421,MATCH('Measure-Level Adjustments Tab'!$A400&amp;"_"&amp;'Measure-Level Adjustments Tab'!$B400,'Unit Savings Calculations'!$A$4:$A$421,0))</f>
        <v>15</v>
      </c>
      <c r="F400" s="460">
        <f>INDEX('Unit Savings Calculations'!$I$4:$I$421,MATCH('Measure-Level Adjustments Tab'!A400&amp;"_"&amp;'Measure-Level Adjustments Tab'!B400,'Unit Savings Calculations'!$A$4:$A$421,0))</f>
        <v>15</v>
      </c>
      <c r="G400" s="295" t="str">
        <f>'Unit Savings Calculations'!E396</f>
        <v>ft</v>
      </c>
      <c r="H400" s="297">
        <f>'Unit Savings Calculations'!$F396*'Unit Savings Calculations'!J396</f>
        <v>390</v>
      </c>
      <c r="I400" s="297">
        <f>'Unit Savings Calculations'!$F396*'Unit Savings Calculations'!K396</f>
        <v>390</v>
      </c>
      <c r="J400" s="297">
        <f>'Unit Savings Calculations'!$F396*'Unit Savings Calculations'!L396</f>
        <v>390</v>
      </c>
      <c r="K400" s="297">
        <f>'Unit Savings Calculations'!$F396*'Unit Savings Calculations'!M396</f>
        <v>390</v>
      </c>
      <c r="L400" s="295" t="str">
        <f>'Unit Savings Calculations'!U396</f>
        <v>RS-HVC-PINS-V02-150601</v>
      </c>
      <c r="M400" s="405" t="str">
        <f>'Unit Savings Calculations'!R396</f>
        <v>Exhibit 1.5A_R North Shore EEPS_Adjustable_Savings_Goal_Template.xlsx, Unit Savings Calculations Tab</v>
      </c>
      <c r="N400" s="298">
        <v>0.99123230769230763</v>
      </c>
      <c r="O400" s="298">
        <v>0.99123230769230763</v>
      </c>
      <c r="P400" s="298">
        <v>0.99123230769230763</v>
      </c>
      <c r="Q400" s="298">
        <v>0.99123230769230763</v>
      </c>
      <c r="R400" s="299">
        <f>'Unit Savings Calculations'!$G396</f>
        <v>1</v>
      </c>
      <c r="S400" s="299">
        <f>'Unit Savings Calculations'!$G396</f>
        <v>1</v>
      </c>
      <c r="T400" s="299">
        <f>'Unit Savings Calculations'!$G396</f>
        <v>1</v>
      </c>
      <c r="U400" s="299">
        <f>'Unit Savings Calculations'!$G396</f>
        <v>1</v>
      </c>
      <c r="V400" s="300">
        <f t="shared" si="171"/>
        <v>386.5806</v>
      </c>
      <c r="W400" s="300">
        <f t="shared" si="172"/>
        <v>386.5806</v>
      </c>
      <c r="X400" s="300">
        <f t="shared" si="173"/>
        <v>386.5806</v>
      </c>
      <c r="Y400" s="300">
        <f t="shared" si="174"/>
        <v>386.5806</v>
      </c>
      <c r="Z400" s="300">
        <f t="shared" si="175"/>
        <v>1546.3224</v>
      </c>
      <c r="AA400" s="295"/>
      <c r="AB400" s="295"/>
      <c r="AC400" s="298">
        <f>'Unit Savings Calculations'!N396</f>
        <v>0.77039653846153844</v>
      </c>
      <c r="AD400" s="295"/>
      <c r="AE400" s="300">
        <f t="shared" si="183"/>
        <v>300.45465000000002</v>
      </c>
      <c r="AF400" s="297">
        <f t="shared" si="184"/>
        <v>-86.125949999999989</v>
      </c>
      <c r="AG400" s="295"/>
      <c r="AH400" s="295">
        <f t="shared" si="185"/>
        <v>0</v>
      </c>
      <c r="AI400" s="298">
        <f>'Unit Savings Calculations'!O396</f>
        <v>0.77039653846153844</v>
      </c>
      <c r="AJ400" s="405" t="s">
        <v>1012</v>
      </c>
      <c r="AK400" s="300">
        <f t="shared" si="186"/>
        <v>300.45465000000002</v>
      </c>
      <c r="AL400" s="297">
        <f t="shared" si="187"/>
        <v>-86.125949999999989</v>
      </c>
      <c r="AM400" s="295"/>
      <c r="AN400" s="295"/>
      <c r="AO400" s="298">
        <f>'Unit Savings Calculations'!P396</f>
        <v>0.77039653846153844</v>
      </c>
      <c r="AP400" s="405" t="s">
        <v>764</v>
      </c>
      <c r="AQ400" s="300">
        <f t="shared" si="188"/>
        <v>300.45465000000002</v>
      </c>
      <c r="AR400" s="297">
        <f t="shared" si="189"/>
        <v>-86.125949999999989</v>
      </c>
      <c r="AS400" s="295"/>
      <c r="AT400" s="295"/>
      <c r="AU400" s="298">
        <f>'Unit Savings Calculations'!Q396</f>
        <v>0.77039653846153844</v>
      </c>
      <c r="AV400" s="405" t="str">
        <f t="shared" si="176"/>
        <v>n/a</v>
      </c>
      <c r="AW400" s="300">
        <f t="shared" si="190"/>
        <v>300.45465000000002</v>
      </c>
      <c r="AX400" s="297">
        <f t="shared" si="191"/>
        <v>-86.125949999999989</v>
      </c>
      <c r="AY400" s="300">
        <f t="shared" si="177"/>
        <v>300.45465000000002</v>
      </c>
      <c r="AZ400" s="300">
        <f t="shared" si="178"/>
        <v>300.45465000000002</v>
      </c>
      <c r="BA400" s="300">
        <f t="shared" si="179"/>
        <v>300.45465000000002</v>
      </c>
      <c r="BB400" s="300">
        <f t="shared" si="180"/>
        <v>300.45465000000002</v>
      </c>
      <c r="BC400" s="301">
        <f t="shared" si="181"/>
        <v>1201.8186000000001</v>
      </c>
      <c r="BD400" s="295" t="s">
        <v>764</v>
      </c>
      <c r="BE400" s="302" t="str">
        <f t="shared" si="182"/>
        <v>Exhibit 1.5A_R North Shore EEPS_Adjustable_Savings_Goal_Template.xlsx, Unit Savings Calculations Tab</v>
      </c>
      <c r="BF400" s="304"/>
    </row>
    <row r="401" spans="1:58" ht="15.75" customHeight="1">
      <c r="A401" s="295" t="str">
        <f>'Unit Savings Calculations'!C397</f>
        <v>Low Income - MF Retrofit</v>
      </c>
      <c r="B401" s="295" t="str">
        <f>'Unit Savings Calculations'!D397</f>
        <v>Programmable Thermostat - Furnace</v>
      </c>
      <c r="C401" s="296">
        <f t="shared" si="170"/>
        <v>1</v>
      </c>
      <c r="D401" s="295" t="str">
        <f>'Unit Savings Calculations'!T397</f>
        <v>5.3.11</v>
      </c>
      <c r="E401" s="460">
        <f>INDEX('Unit Savings Calculations'!$H$4:$H$421,MATCH('Measure-Level Adjustments Tab'!$A401&amp;"_"&amp;'Measure-Level Adjustments Tab'!$B401,'Unit Savings Calculations'!$A$4:$A$421,0))</f>
        <v>5</v>
      </c>
      <c r="F401" s="460">
        <f>INDEX('Unit Savings Calculations'!$I$4:$I$421,MATCH('Measure-Level Adjustments Tab'!A401&amp;"_"&amp;'Measure-Level Adjustments Tab'!B401,'Unit Savings Calculations'!$A$4:$A$421,0))</f>
        <v>8</v>
      </c>
      <c r="G401" s="295" t="str">
        <f>'Unit Savings Calculations'!E397</f>
        <v>each</v>
      </c>
      <c r="H401" s="297">
        <f>'Unit Savings Calculations'!$F397*'Unit Savings Calculations'!J397</f>
        <v>130</v>
      </c>
      <c r="I401" s="297">
        <f>'Unit Savings Calculations'!$F397*'Unit Savings Calculations'!K397</f>
        <v>130</v>
      </c>
      <c r="J401" s="297">
        <f>'Unit Savings Calculations'!$F397*'Unit Savings Calculations'!L397</f>
        <v>130</v>
      </c>
      <c r="K401" s="297">
        <f>'Unit Savings Calculations'!$F397*'Unit Savings Calculations'!M397</f>
        <v>130</v>
      </c>
      <c r="L401" s="295" t="str">
        <f>'Unit Savings Calculations'!U397</f>
        <v>RS-HVC-PROG-V04-180101</v>
      </c>
      <c r="M401" s="405" t="str">
        <f>'Unit Savings Calculations'!R397</f>
        <v>Exhibit 1.5A_R North Shore EEPS_Adjustable_Savings_Goal_Template.xlsx, Unit Savings Calculations Tab</v>
      </c>
      <c r="N401" s="298">
        <v>40.5015</v>
      </c>
      <c r="O401" s="298">
        <v>40.5015</v>
      </c>
      <c r="P401" s="298">
        <v>40.5015</v>
      </c>
      <c r="Q401" s="298">
        <v>40.5015</v>
      </c>
      <c r="R401" s="299">
        <f>'Unit Savings Calculations'!$G397</f>
        <v>1</v>
      </c>
      <c r="S401" s="299">
        <f>'Unit Savings Calculations'!$G397</f>
        <v>1</v>
      </c>
      <c r="T401" s="299">
        <f>'Unit Savings Calculations'!$G397</f>
        <v>1</v>
      </c>
      <c r="U401" s="299">
        <f>'Unit Savings Calculations'!$G397</f>
        <v>1</v>
      </c>
      <c r="V401" s="300">
        <f t="shared" si="171"/>
        <v>5265.1949999999997</v>
      </c>
      <c r="W401" s="300">
        <f t="shared" si="172"/>
        <v>5265.1949999999997</v>
      </c>
      <c r="X401" s="300">
        <f t="shared" si="173"/>
        <v>5265.1949999999997</v>
      </c>
      <c r="Y401" s="300">
        <f t="shared" si="174"/>
        <v>5265.1949999999997</v>
      </c>
      <c r="Z401" s="300">
        <f t="shared" si="175"/>
        <v>21060.78</v>
      </c>
      <c r="AA401" s="295"/>
      <c r="AB401" s="295"/>
      <c r="AC401" s="298">
        <f>'Unit Savings Calculations'!N397</f>
        <v>40.5015</v>
      </c>
      <c r="AD401" s="295"/>
      <c r="AE401" s="300">
        <f t="shared" si="183"/>
        <v>5265.1949999999997</v>
      </c>
      <c r="AF401" s="297">
        <f t="shared" si="184"/>
        <v>0</v>
      </c>
      <c r="AG401" s="295"/>
      <c r="AH401" s="295">
        <f t="shared" si="185"/>
        <v>0</v>
      </c>
      <c r="AI401" s="298">
        <f>'Unit Savings Calculations'!O397</f>
        <v>40.5015</v>
      </c>
      <c r="AJ401" s="405" t="s">
        <v>879</v>
      </c>
      <c r="AK401" s="300">
        <f t="shared" si="186"/>
        <v>5265.1949999999997</v>
      </c>
      <c r="AL401" s="297">
        <f t="shared" si="187"/>
        <v>0</v>
      </c>
      <c r="AM401" s="295"/>
      <c r="AN401" s="295"/>
      <c r="AO401" s="298">
        <f>'Unit Savings Calculations'!P397</f>
        <v>40.5015</v>
      </c>
      <c r="AP401" s="405" t="s">
        <v>764</v>
      </c>
      <c r="AQ401" s="300">
        <f t="shared" si="188"/>
        <v>5265.1949999999997</v>
      </c>
      <c r="AR401" s="297">
        <f t="shared" si="189"/>
        <v>0</v>
      </c>
      <c r="AS401" s="295"/>
      <c r="AT401" s="295"/>
      <c r="AU401" s="298">
        <f>'Unit Savings Calculations'!Q397</f>
        <v>40.5015</v>
      </c>
      <c r="AV401" s="405" t="str">
        <f t="shared" si="176"/>
        <v>n/a</v>
      </c>
      <c r="AW401" s="300">
        <f t="shared" si="190"/>
        <v>5265.1949999999997</v>
      </c>
      <c r="AX401" s="297">
        <f t="shared" si="191"/>
        <v>0</v>
      </c>
      <c r="AY401" s="300">
        <f t="shared" si="177"/>
        <v>5265.1949999999997</v>
      </c>
      <c r="AZ401" s="300">
        <f t="shared" si="178"/>
        <v>5265.1949999999997</v>
      </c>
      <c r="BA401" s="300">
        <f t="shared" si="179"/>
        <v>5265.1949999999997</v>
      </c>
      <c r="BB401" s="300">
        <f t="shared" si="180"/>
        <v>5265.1949999999997</v>
      </c>
      <c r="BC401" s="301">
        <f t="shared" si="181"/>
        <v>21060.78</v>
      </c>
      <c r="BD401" s="295" t="s">
        <v>764</v>
      </c>
      <c r="BE401" s="302" t="str">
        <f t="shared" si="182"/>
        <v>Exhibit 1.5A_R North Shore EEPS_Adjustable_Savings_Goal_Template.xlsx, Unit Savings Calculations Tab</v>
      </c>
      <c r="BF401" s="304"/>
    </row>
    <row r="402" spans="1:58" ht="15.75" customHeight="1">
      <c r="A402" s="295" t="str">
        <f>'Unit Savings Calculations'!C398</f>
        <v>Low Income - MF Retrofit</v>
      </c>
      <c r="B402" s="295" t="str">
        <f>'Unit Savings Calculations'!D398</f>
        <v>Programmable Thermostat - Boiler</v>
      </c>
      <c r="C402" s="296">
        <f t="shared" si="170"/>
        <v>1</v>
      </c>
      <c r="D402" s="295" t="str">
        <f>'Unit Savings Calculations'!T398</f>
        <v>5.3.11</v>
      </c>
      <c r="E402" s="460">
        <f>INDEX('Unit Savings Calculations'!$H$4:$H$421,MATCH('Measure-Level Adjustments Tab'!$A402&amp;"_"&amp;'Measure-Level Adjustments Tab'!$B402,'Unit Savings Calculations'!$A$4:$A$421,0))</f>
        <v>5</v>
      </c>
      <c r="F402" s="460">
        <f>INDEX('Unit Savings Calculations'!$I$4:$I$421,MATCH('Measure-Level Adjustments Tab'!A402&amp;"_"&amp;'Measure-Level Adjustments Tab'!B402,'Unit Savings Calculations'!$A$4:$A$421,0))</f>
        <v>8</v>
      </c>
      <c r="G402" s="295" t="str">
        <f>'Unit Savings Calculations'!E398</f>
        <v>each</v>
      </c>
      <c r="H402" s="297">
        <f>'Unit Savings Calculations'!$F398*'Unit Savings Calculations'!J398</f>
        <v>10</v>
      </c>
      <c r="I402" s="297">
        <f>'Unit Savings Calculations'!$F398*'Unit Savings Calculations'!K398</f>
        <v>10</v>
      </c>
      <c r="J402" s="297">
        <f>'Unit Savings Calculations'!$F398*'Unit Savings Calculations'!L398</f>
        <v>10</v>
      </c>
      <c r="K402" s="297">
        <f>'Unit Savings Calculations'!$F398*'Unit Savings Calculations'!M398</f>
        <v>10</v>
      </c>
      <c r="L402" s="295" t="str">
        <f>'Unit Savings Calculations'!U398</f>
        <v>RS-HVC-PROG-V04-180101</v>
      </c>
      <c r="M402" s="405" t="str">
        <f>'Unit Savings Calculations'!R398</f>
        <v>Exhibit 1.5A_R North Shore EEPS_Adjustable_Savings_Goal_Template.xlsx, Unit Savings Calculations Tab</v>
      </c>
      <c r="N402" s="298">
        <v>49.085400000000007</v>
      </c>
      <c r="O402" s="298">
        <v>49.085400000000007</v>
      </c>
      <c r="P402" s="298">
        <v>49.085400000000007</v>
      </c>
      <c r="Q402" s="298">
        <v>49.085400000000007</v>
      </c>
      <c r="R402" s="299">
        <f>'Unit Savings Calculations'!$G398</f>
        <v>1</v>
      </c>
      <c r="S402" s="299">
        <f>'Unit Savings Calculations'!$G398</f>
        <v>1</v>
      </c>
      <c r="T402" s="299">
        <f>'Unit Savings Calculations'!$G398</f>
        <v>1</v>
      </c>
      <c r="U402" s="299">
        <f>'Unit Savings Calculations'!$G398</f>
        <v>1</v>
      </c>
      <c r="V402" s="300">
        <f t="shared" si="171"/>
        <v>490.85400000000004</v>
      </c>
      <c r="W402" s="300">
        <f t="shared" si="172"/>
        <v>490.85400000000004</v>
      </c>
      <c r="X402" s="300">
        <f t="shared" si="173"/>
        <v>490.85400000000004</v>
      </c>
      <c r="Y402" s="300">
        <f t="shared" si="174"/>
        <v>490.85400000000004</v>
      </c>
      <c r="Z402" s="300">
        <f t="shared" si="175"/>
        <v>1963.4160000000002</v>
      </c>
      <c r="AA402" s="295"/>
      <c r="AB402" s="295"/>
      <c r="AC402" s="298">
        <f>'Unit Savings Calculations'!N398</f>
        <v>49.085400000000007</v>
      </c>
      <c r="AD402" s="295"/>
      <c r="AE402" s="300">
        <f t="shared" si="183"/>
        <v>490.85400000000004</v>
      </c>
      <c r="AF402" s="297">
        <f t="shared" si="184"/>
        <v>0</v>
      </c>
      <c r="AG402" s="295"/>
      <c r="AH402" s="295">
        <f t="shared" si="185"/>
        <v>0</v>
      </c>
      <c r="AI402" s="298">
        <f>'Unit Savings Calculations'!O398</f>
        <v>49.085400000000007</v>
      </c>
      <c r="AJ402" s="405" t="s">
        <v>879</v>
      </c>
      <c r="AK402" s="300">
        <f t="shared" si="186"/>
        <v>490.85400000000004</v>
      </c>
      <c r="AL402" s="297">
        <f t="shared" si="187"/>
        <v>0</v>
      </c>
      <c r="AM402" s="295"/>
      <c r="AN402" s="295"/>
      <c r="AO402" s="298">
        <f>'Unit Savings Calculations'!P398</f>
        <v>49.085400000000007</v>
      </c>
      <c r="AP402" s="405" t="s">
        <v>764</v>
      </c>
      <c r="AQ402" s="300">
        <f t="shared" si="188"/>
        <v>490.85400000000004</v>
      </c>
      <c r="AR402" s="297">
        <f t="shared" si="189"/>
        <v>0</v>
      </c>
      <c r="AS402" s="295"/>
      <c r="AT402" s="295"/>
      <c r="AU402" s="298">
        <f>'Unit Savings Calculations'!Q398</f>
        <v>49.085400000000007</v>
      </c>
      <c r="AV402" s="405" t="str">
        <f t="shared" si="176"/>
        <v>n/a</v>
      </c>
      <c r="AW402" s="300">
        <f t="shared" si="190"/>
        <v>490.85400000000004</v>
      </c>
      <c r="AX402" s="297">
        <f t="shared" si="191"/>
        <v>0</v>
      </c>
      <c r="AY402" s="300">
        <f t="shared" si="177"/>
        <v>490.85400000000004</v>
      </c>
      <c r="AZ402" s="300">
        <f t="shared" si="178"/>
        <v>490.85400000000004</v>
      </c>
      <c r="BA402" s="300">
        <f t="shared" si="179"/>
        <v>490.85400000000004</v>
      </c>
      <c r="BB402" s="300">
        <f t="shared" si="180"/>
        <v>490.85400000000004</v>
      </c>
      <c r="BC402" s="301">
        <f t="shared" si="181"/>
        <v>1963.4160000000002</v>
      </c>
      <c r="BD402" s="295" t="s">
        <v>764</v>
      </c>
      <c r="BE402" s="302" t="str">
        <f t="shared" si="182"/>
        <v>Exhibit 1.5A_R North Shore EEPS_Adjustable_Savings_Goal_Template.xlsx, Unit Savings Calculations Tab</v>
      </c>
      <c r="BF402" s="304"/>
    </row>
    <row r="403" spans="1:58" ht="15.75" customHeight="1">
      <c r="A403" s="295" t="str">
        <f>'Unit Savings Calculations'!C399</f>
        <v>Low Income - MF Retrofit</v>
      </c>
      <c r="B403" s="295" t="str">
        <f>'Unit Savings Calculations'!D399</f>
        <v>Advanced Thermostat - Furnace (Replace Manual)</v>
      </c>
      <c r="C403" s="296">
        <f t="shared" si="170"/>
        <v>1</v>
      </c>
      <c r="D403" s="295" t="str">
        <f>'Unit Savings Calculations'!T399</f>
        <v>5.3.16</v>
      </c>
      <c r="E403" s="460">
        <f>INDEX('Unit Savings Calculations'!$H$4:$H$421,MATCH('Measure-Level Adjustments Tab'!$A403&amp;"_"&amp;'Measure-Level Adjustments Tab'!$B403,'Unit Savings Calculations'!$A$4:$A$421,0))</f>
        <v>10</v>
      </c>
      <c r="F403" s="460">
        <f>INDEX('Unit Savings Calculations'!$I$4:$I$421,MATCH('Measure-Level Adjustments Tab'!A403&amp;"_"&amp;'Measure-Level Adjustments Tab'!B403,'Unit Savings Calculations'!$A$4:$A$421,0))</f>
        <v>11</v>
      </c>
      <c r="G403" s="295" t="str">
        <f>'Unit Savings Calculations'!E399</f>
        <v>each</v>
      </c>
      <c r="H403" s="297">
        <f>'Unit Savings Calculations'!$F399*'Unit Savings Calculations'!J399</f>
        <v>0</v>
      </c>
      <c r="I403" s="297">
        <f>'Unit Savings Calculations'!$F399*'Unit Savings Calculations'!K399</f>
        <v>0</v>
      </c>
      <c r="J403" s="297">
        <f>'Unit Savings Calculations'!$F399*'Unit Savings Calculations'!L399</f>
        <v>0</v>
      </c>
      <c r="K403" s="297">
        <f>'Unit Savings Calculations'!$F399*'Unit Savings Calculations'!M399</f>
        <v>0</v>
      </c>
      <c r="L403" s="295" t="str">
        <f>'Unit Savings Calculations'!U399</f>
        <v>RS-HVC-ADTH-V02-180101</v>
      </c>
      <c r="M403" s="405" t="str">
        <f>'Unit Savings Calculations'!R399</f>
        <v>Exhibit 1.5A_R North Shore EEPS_Adjustable_Savings_Goal_Template.xlsx, Unit Savings Calculations Tab</v>
      </c>
      <c r="N403" s="298">
        <v>57.485999999999997</v>
      </c>
      <c r="O403" s="298">
        <v>57.485999999999997</v>
      </c>
      <c r="P403" s="298">
        <v>57.485999999999997</v>
      </c>
      <c r="Q403" s="298">
        <v>57.485999999999997</v>
      </c>
      <c r="R403" s="299">
        <f>'Unit Savings Calculations'!$G399</f>
        <v>1</v>
      </c>
      <c r="S403" s="299">
        <f>'Unit Savings Calculations'!$G399</f>
        <v>1</v>
      </c>
      <c r="T403" s="299">
        <f>'Unit Savings Calculations'!$G399</f>
        <v>1</v>
      </c>
      <c r="U403" s="299">
        <f>'Unit Savings Calculations'!$G399</f>
        <v>1</v>
      </c>
      <c r="V403" s="300">
        <f t="shared" si="171"/>
        <v>0</v>
      </c>
      <c r="W403" s="300">
        <f t="shared" si="172"/>
        <v>0</v>
      </c>
      <c r="X403" s="300">
        <f t="shared" si="173"/>
        <v>0</v>
      </c>
      <c r="Y403" s="300">
        <f t="shared" si="174"/>
        <v>0</v>
      </c>
      <c r="Z403" s="300">
        <f t="shared" si="175"/>
        <v>0</v>
      </c>
      <c r="AA403" s="295"/>
      <c r="AB403" s="295"/>
      <c r="AC403" s="298">
        <f>'Unit Savings Calculations'!N399</f>
        <v>57.485999999999997</v>
      </c>
      <c r="AD403" s="295"/>
      <c r="AE403" s="300">
        <f t="shared" si="183"/>
        <v>0</v>
      </c>
      <c r="AF403" s="297">
        <f t="shared" si="184"/>
        <v>0</v>
      </c>
      <c r="AG403" s="295"/>
      <c r="AH403" s="295">
        <f t="shared" si="185"/>
        <v>0</v>
      </c>
      <c r="AI403" s="298">
        <f>'Unit Savings Calculations'!O399</f>
        <v>57.485999999999997</v>
      </c>
      <c r="AJ403" s="405" t="s">
        <v>879</v>
      </c>
      <c r="AK403" s="300">
        <f t="shared" si="186"/>
        <v>0</v>
      </c>
      <c r="AL403" s="297">
        <f t="shared" si="187"/>
        <v>0</v>
      </c>
      <c r="AM403" s="295"/>
      <c r="AN403" s="295"/>
      <c r="AO403" s="298">
        <f>'Unit Savings Calculations'!P399</f>
        <v>57.485999999999997</v>
      </c>
      <c r="AP403" s="405" t="s">
        <v>764</v>
      </c>
      <c r="AQ403" s="300">
        <f t="shared" si="188"/>
        <v>0</v>
      </c>
      <c r="AR403" s="297">
        <f t="shared" si="189"/>
        <v>0</v>
      </c>
      <c r="AS403" s="295"/>
      <c r="AT403" s="295"/>
      <c r="AU403" s="298">
        <f>'Unit Savings Calculations'!Q399</f>
        <v>57.485999999999997</v>
      </c>
      <c r="AV403" s="405" t="str">
        <f t="shared" si="176"/>
        <v>n/a</v>
      </c>
      <c r="AW403" s="300">
        <f t="shared" si="190"/>
        <v>0</v>
      </c>
      <c r="AX403" s="297">
        <f t="shared" si="191"/>
        <v>0</v>
      </c>
      <c r="AY403" s="300">
        <f t="shared" si="177"/>
        <v>0</v>
      </c>
      <c r="AZ403" s="300">
        <f t="shared" si="178"/>
        <v>0</v>
      </c>
      <c r="BA403" s="300">
        <f t="shared" si="179"/>
        <v>0</v>
      </c>
      <c r="BB403" s="300">
        <f t="shared" si="180"/>
        <v>0</v>
      </c>
      <c r="BC403" s="301">
        <f t="shared" si="181"/>
        <v>0</v>
      </c>
      <c r="BD403" s="295" t="s">
        <v>764</v>
      </c>
      <c r="BE403" s="302" t="str">
        <f t="shared" si="182"/>
        <v>Exhibit 1.5A_R North Shore EEPS_Adjustable_Savings_Goal_Template.xlsx, Unit Savings Calculations Tab</v>
      </c>
      <c r="BF403" s="304"/>
    </row>
    <row r="404" spans="1:58" ht="15.75" customHeight="1">
      <c r="A404" s="295" t="str">
        <f>'Unit Savings Calculations'!C400</f>
        <v>Low Income - MF Retrofit</v>
      </c>
      <c r="B404" s="295" t="str">
        <f>'Unit Savings Calculations'!D400</f>
        <v>Advanced Thermostat - Boiler (Replace Manual)</v>
      </c>
      <c r="C404" s="296">
        <f t="shared" si="170"/>
        <v>1</v>
      </c>
      <c r="D404" s="295" t="str">
        <f>'Unit Savings Calculations'!T400</f>
        <v>5.3.16</v>
      </c>
      <c r="E404" s="460">
        <f>INDEX('Unit Savings Calculations'!$H$4:$H$421,MATCH('Measure-Level Adjustments Tab'!$A404&amp;"_"&amp;'Measure-Level Adjustments Tab'!$B404,'Unit Savings Calculations'!$A$4:$A$421,0))</f>
        <v>10</v>
      </c>
      <c r="F404" s="460">
        <f>INDEX('Unit Savings Calculations'!$I$4:$I$421,MATCH('Measure-Level Adjustments Tab'!A404&amp;"_"&amp;'Measure-Level Adjustments Tab'!B404,'Unit Savings Calculations'!$A$4:$A$421,0))</f>
        <v>11</v>
      </c>
      <c r="G404" s="295" t="str">
        <f>'Unit Savings Calculations'!E400</f>
        <v>each</v>
      </c>
      <c r="H404" s="297">
        <f>'Unit Savings Calculations'!$F400*'Unit Savings Calculations'!J400</f>
        <v>4</v>
      </c>
      <c r="I404" s="297">
        <f>'Unit Savings Calculations'!$F400*'Unit Savings Calculations'!K400</f>
        <v>4</v>
      </c>
      <c r="J404" s="297">
        <f>'Unit Savings Calculations'!$F400*'Unit Savings Calculations'!L400</f>
        <v>4</v>
      </c>
      <c r="K404" s="297">
        <f>'Unit Savings Calculations'!$F400*'Unit Savings Calculations'!M400</f>
        <v>4</v>
      </c>
      <c r="L404" s="295" t="str">
        <f>'Unit Savings Calculations'!U400</f>
        <v>RS-HVC-ADTH-V02-180101</v>
      </c>
      <c r="M404" s="405" t="str">
        <f>'Unit Savings Calculations'!R400</f>
        <v>Exhibit 1.5A_R North Shore EEPS_Adjustable_Savings_Goal_Template.xlsx, Unit Savings Calculations Tab</v>
      </c>
      <c r="N404" s="298">
        <v>69.669600000000003</v>
      </c>
      <c r="O404" s="298">
        <v>69.669600000000003</v>
      </c>
      <c r="P404" s="298">
        <v>69.669600000000003</v>
      </c>
      <c r="Q404" s="298">
        <v>69.669600000000003</v>
      </c>
      <c r="R404" s="299">
        <f>'Unit Savings Calculations'!$G400</f>
        <v>1</v>
      </c>
      <c r="S404" s="299">
        <f>'Unit Savings Calculations'!$G400</f>
        <v>1</v>
      </c>
      <c r="T404" s="299">
        <f>'Unit Savings Calculations'!$G400</f>
        <v>1</v>
      </c>
      <c r="U404" s="299">
        <f>'Unit Savings Calculations'!$G400</f>
        <v>1</v>
      </c>
      <c r="V404" s="300">
        <f t="shared" si="171"/>
        <v>278.67840000000001</v>
      </c>
      <c r="W404" s="300">
        <f t="shared" si="172"/>
        <v>278.67840000000001</v>
      </c>
      <c r="X404" s="300">
        <f t="shared" si="173"/>
        <v>278.67840000000001</v>
      </c>
      <c r="Y404" s="300">
        <f t="shared" si="174"/>
        <v>278.67840000000001</v>
      </c>
      <c r="Z404" s="300">
        <f t="shared" si="175"/>
        <v>1114.7136</v>
      </c>
      <c r="AA404" s="295"/>
      <c r="AB404" s="295"/>
      <c r="AC404" s="298">
        <f>'Unit Savings Calculations'!N400</f>
        <v>69.669600000000003</v>
      </c>
      <c r="AD404" s="295"/>
      <c r="AE404" s="300">
        <f t="shared" si="183"/>
        <v>278.67840000000001</v>
      </c>
      <c r="AF404" s="297">
        <f t="shared" si="184"/>
        <v>0</v>
      </c>
      <c r="AG404" s="295"/>
      <c r="AH404" s="295">
        <f t="shared" si="185"/>
        <v>0</v>
      </c>
      <c r="AI404" s="298">
        <f>'Unit Savings Calculations'!O400</f>
        <v>69.669600000000003</v>
      </c>
      <c r="AJ404" s="405" t="s">
        <v>879</v>
      </c>
      <c r="AK404" s="300">
        <f t="shared" si="186"/>
        <v>278.67840000000001</v>
      </c>
      <c r="AL404" s="297">
        <f t="shared" si="187"/>
        <v>0</v>
      </c>
      <c r="AM404" s="295"/>
      <c r="AN404" s="295"/>
      <c r="AO404" s="298">
        <f>'Unit Savings Calculations'!P400</f>
        <v>69.669600000000003</v>
      </c>
      <c r="AP404" s="405" t="s">
        <v>764</v>
      </c>
      <c r="AQ404" s="300">
        <f t="shared" si="188"/>
        <v>278.67840000000001</v>
      </c>
      <c r="AR404" s="297">
        <f t="shared" si="189"/>
        <v>0</v>
      </c>
      <c r="AS404" s="295"/>
      <c r="AT404" s="295"/>
      <c r="AU404" s="298">
        <f>'Unit Savings Calculations'!Q400</f>
        <v>69.669600000000003</v>
      </c>
      <c r="AV404" s="405" t="str">
        <f t="shared" si="176"/>
        <v>n/a</v>
      </c>
      <c r="AW404" s="300">
        <f t="shared" si="190"/>
        <v>278.67840000000001</v>
      </c>
      <c r="AX404" s="297">
        <f t="shared" si="191"/>
        <v>0</v>
      </c>
      <c r="AY404" s="300">
        <f t="shared" si="177"/>
        <v>278.67840000000001</v>
      </c>
      <c r="AZ404" s="300">
        <f t="shared" si="178"/>
        <v>278.67840000000001</v>
      </c>
      <c r="BA404" s="300">
        <f t="shared" si="179"/>
        <v>278.67840000000001</v>
      </c>
      <c r="BB404" s="300">
        <f t="shared" si="180"/>
        <v>278.67840000000001</v>
      </c>
      <c r="BC404" s="301">
        <f t="shared" si="181"/>
        <v>1114.7136</v>
      </c>
      <c r="BD404" s="295" t="s">
        <v>764</v>
      </c>
      <c r="BE404" s="302" t="str">
        <f t="shared" si="182"/>
        <v>Exhibit 1.5A_R North Shore EEPS_Adjustable_Savings_Goal_Template.xlsx, Unit Savings Calculations Tab</v>
      </c>
      <c r="BF404" s="304"/>
    </row>
    <row r="405" spans="1:58" ht="15.75" customHeight="1">
      <c r="A405" s="295" t="str">
        <f>'Unit Savings Calculations'!C401</f>
        <v>Low Income - MF Retrofit</v>
      </c>
      <c r="B405" s="295" t="str">
        <f>'Unit Savings Calculations'!D401</f>
        <v>Advanced Thermostat - Furnace (Replace Programmable)</v>
      </c>
      <c r="C405" s="296">
        <f t="shared" si="170"/>
        <v>1</v>
      </c>
      <c r="D405" s="295" t="str">
        <f>'Unit Savings Calculations'!T401</f>
        <v>5.3.16</v>
      </c>
      <c r="E405" s="460">
        <f>INDEX('Unit Savings Calculations'!$H$4:$H$421,MATCH('Measure-Level Adjustments Tab'!$A405&amp;"_"&amp;'Measure-Level Adjustments Tab'!$B405,'Unit Savings Calculations'!$A$4:$A$421,0))</f>
        <v>10</v>
      </c>
      <c r="F405" s="460">
        <f>INDEX('Unit Savings Calculations'!$I$4:$I$421,MATCH('Measure-Level Adjustments Tab'!A405&amp;"_"&amp;'Measure-Level Adjustments Tab'!B405,'Unit Savings Calculations'!$A$4:$A$421,0))</f>
        <v>11</v>
      </c>
      <c r="G405" s="295" t="str">
        <f>'Unit Savings Calculations'!E401</f>
        <v>each</v>
      </c>
      <c r="H405" s="297">
        <f>'Unit Savings Calculations'!$F401*'Unit Savings Calculations'!J401</f>
        <v>0</v>
      </c>
      <c r="I405" s="297">
        <f>'Unit Savings Calculations'!$F401*'Unit Savings Calculations'!K401</f>
        <v>0</v>
      </c>
      <c r="J405" s="297">
        <f>'Unit Savings Calculations'!$F401*'Unit Savings Calculations'!L401</f>
        <v>0</v>
      </c>
      <c r="K405" s="297">
        <f>'Unit Savings Calculations'!$F401*'Unit Savings Calculations'!M401</f>
        <v>0</v>
      </c>
      <c r="L405" s="295" t="str">
        <f>'Unit Savings Calculations'!U401</f>
        <v>RS-HVC-ADTH-V02-180101</v>
      </c>
      <c r="M405" s="405" t="str">
        <f>'Unit Savings Calculations'!R401</f>
        <v>Exhibit 1.5A_R North Shore EEPS_Adjustable_Savings_Goal_Template.xlsx, Unit Savings Calculations Tab</v>
      </c>
      <c r="N405" s="298">
        <v>36.582000000000001</v>
      </c>
      <c r="O405" s="298">
        <v>36.582000000000001</v>
      </c>
      <c r="P405" s="298">
        <v>36.582000000000001</v>
      </c>
      <c r="Q405" s="298">
        <v>36.582000000000001</v>
      </c>
      <c r="R405" s="299">
        <f>'Unit Savings Calculations'!$G401</f>
        <v>1</v>
      </c>
      <c r="S405" s="299">
        <f>'Unit Savings Calculations'!$G401</f>
        <v>1</v>
      </c>
      <c r="T405" s="299">
        <f>'Unit Savings Calculations'!$G401</f>
        <v>1</v>
      </c>
      <c r="U405" s="299">
        <f>'Unit Savings Calculations'!$G401</f>
        <v>1</v>
      </c>
      <c r="V405" s="300">
        <f t="shared" si="171"/>
        <v>0</v>
      </c>
      <c r="W405" s="300">
        <f t="shared" si="172"/>
        <v>0</v>
      </c>
      <c r="X405" s="300">
        <f t="shared" si="173"/>
        <v>0</v>
      </c>
      <c r="Y405" s="300">
        <f t="shared" si="174"/>
        <v>0</v>
      </c>
      <c r="Z405" s="300">
        <f t="shared" si="175"/>
        <v>0</v>
      </c>
      <c r="AA405" s="295"/>
      <c r="AB405" s="295"/>
      <c r="AC405" s="298">
        <f>'Unit Savings Calculations'!N401</f>
        <v>36.582000000000001</v>
      </c>
      <c r="AD405" s="295"/>
      <c r="AE405" s="300">
        <f t="shared" si="183"/>
        <v>0</v>
      </c>
      <c r="AF405" s="297">
        <f t="shared" si="184"/>
        <v>0</v>
      </c>
      <c r="AG405" s="295"/>
      <c r="AH405" s="295">
        <f t="shared" si="185"/>
        <v>0</v>
      </c>
      <c r="AI405" s="298">
        <f>'Unit Savings Calculations'!O401</f>
        <v>36.582000000000001</v>
      </c>
      <c r="AJ405" s="405" t="s">
        <v>879</v>
      </c>
      <c r="AK405" s="300">
        <f t="shared" si="186"/>
        <v>0</v>
      </c>
      <c r="AL405" s="297">
        <f t="shared" si="187"/>
        <v>0</v>
      </c>
      <c r="AM405" s="295"/>
      <c r="AN405" s="295"/>
      <c r="AO405" s="298">
        <f>'Unit Savings Calculations'!P401</f>
        <v>36.582000000000001</v>
      </c>
      <c r="AP405" s="405" t="s">
        <v>764</v>
      </c>
      <c r="AQ405" s="300">
        <f t="shared" si="188"/>
        <v>0</v>
      </c>
      <c r="AR405" s="297">
        <f t="shared" si="189"/>
        <v>0</v>
      </c>
      <c r="AS405" s="295"/>
      <c r="AT405" s="295"/>
      <c r="AU405" s="298">
        <f>'Unit Savings Calculations'!Q401</f>
        <v>36.582000000000001</v>
      </c>
      <c r="AV405" s="405" t="str">
        <f t="shared" si="176"/>
        <v>n/a</v>
      </c>
      <c r="AW405" s="300">
        <f t="shared" si="190"/>
        <v>0</v>
      </c>
      <c r="AX405" s="297">
        <f t="shared" si="191"/>
        <v>0</v>
      </c>
      <c r="AY405" s="300">
        <f t="shared" si="177"/>
        <v>0</v>
      </c>
      <c r="AZ405" s="300">
        <f t="shared" si="178"/>
        <v>0</v>
      </c>
      <c r="BA405" s="300">
        <f t="shared" si="179"/>
        <v>0</v>
      </c>
      <c r="BB405" s="300">
        <f t="shared" si="180"/>
        <v>0</v>
      </c>
      <c r="BC405" s="301">
        <f t="shared" si="181"/>
        <v>0</v>
      </c>
      <c r="BD405" s="295" t="s">
        <v>764</v>
      </c>
      <c r="BE405" s="302" t="str">
        <f t="shared" si="182"/>
        <v>Exhibit 1.5A_R North Shore EEPS_Adjustable_Savings_Goal_Template.xlsx, Unit Savings Calculations Tab</v>
      </c>
      <c r="BF405" s="304"/>
    </row>
    <row r="406" spans="1:58" ht="15.75" customHeight="1">
      <c r="A406" s="295" t="str">
        <f>'Unit Savings Calculations'!C402</f>
        <v>Low Income - MF Retrofit</v>
      </c>
      <c r="B406" s="295" t="str">
        <f>'Unit Savings Calculations'!D402</f>
        <v>Advanced Thermostat - Boiler (Replace Programmable)</v>
      </c>
      <c r="C406" s="296">
        <f t="shared" si="170"/>
        <v>1</v>
      </c>
      <c r="D406" s="295" t="str">
        <f>'Unit Savings Calculations'!T402</f>
        <v>5.3.16</v>
      </c>
      <c r="E406" s="460">
        <f>INDEX('Unit Savings Calculations'!$H$4:$H$421,MATCH('Measure-Level Adjustments Tab'!$A406&amp;"_"&amp;'Measure-Level Adjustments Tab'!$B406,'Unit Savings Calculations'!$A$4:$A$421,0))</f>
        <v>10</v>
      </c>
      <c r="F406" s="460">
        <f>INDEX('Unit Savings Calculations'!$I$4:$I$421,MATCH('Measure-Level Adjustments Tab'!A406&amp;"_"&amp;'Measure-Level Adjustments Tab'!B406,'Unit Savings Calculations'!$A$4:$A$421,0))</f>
        <v>11</v>
      </c>
      <c r="G406" s="295" t="str">
        <f>'Unit Savings Calculations'!E402</f>
        <v>each</v>
      </c>
      <c r="H406" s="297">
        <f>'Unit Savings Calculations'!$F402*'Unit Savings Calculations'!J402</f>
        <v>4</v>
      </c>
      <c r="I406" s="297">
        <f>'Unit Savings Calculations'!$F402*'Unit Savings Calculations'!K402</f>
        <v>4</v>
      </c>
      <c r="J406" s="297">
        <f>'Unit Savings Calculations'!$F402*'Unit Savings Calculations'!L402</f>
        <v>4</v>
      </c>
      <c r="K406" s="297">
        <f>'Unit Savings Calculations'!$F402*'Unit Savings Calculations'!M402</f>
        <v>4</v>
      </c>
      <c r="L406" s="295" t="str">
        <f>'Unit Savings Calculations'!U402</f>
        <v>RS-HVC-ADTH-V02-180101</v>
      </c>
      <c r="M406" s="405" t="str">
        <f>'Unit Savings Calculations'!R402</f>
        <v>Exhibit 1.5A_R North Shore EEPS_Adjustable_Savings_Goal_Template.xlsx, Unit Savings Calculations Tab</v>
      </c>
      <c r="N406" s="298">
        <v>44.3352</v>
      </c>
      <c r="O406" s="298">
        <v>44.3352</v>
      </c>
      <c r="P406" s="298">
        <v>44.3352</v>
      </c>
      <c r="Q406" s="298">
        <v>44.3352</v>
      </c>
      <c r="R406" s="299">
        <f>'Unit Savings Calculations'!$G402</f>
        <v>1</v>
      </c>
      <c r="S406" s="299">
        <f>'Unit Savings Calculations'!$G402</f>
        <v>1</v>
      </c>
      <c r="T406" s="299">
        <f>'Unit Savings Calculations'!$G402</f>
        <v>1</v>
      </c>
      <c r="U406" s="299">
        <f>'Unit Savings Calculations'!$G402</f>
        <v>1</v>
      </c>
      <c r="V406" s="300">
        <f t="shared" si="171"/>
        <v>177.3408</v>
      </c>
      <c r="W406" s="300">
        <f t="shared" si="172"/>
        <v>177.3408</v>
      </c>
      <c r="X406" s="300">
        <f t="shared" si="173"/>
        <v>177.3408</v>
      </c>
      <c r="Y406" s="300">
        <f t="shared" si="174"/>
        <v>177.3408</v>
      </c>
      <c r="Z406" s="300">
        <f t="shared" si="175"/>
        <v>709.36320000000001</v>
      </c>
      <c r="AA406" s="295"/>
      <c r="AB406" s="295"/>
      <c r="AC406" s="298">
        <f>'Unit Savings Calculations'!N402</f>
        <v>44.3352</v>
      </c>
      <c r="AD406" s="295"/>
      <c r="AE406" s="300">
        <f t="shared" si="183"/>
        <v>177.3408</v>
      </c>
      <c r="AF406" s="297">
        <f t="shared" si="184"/>
        <v>0</v>
      </c>
      <c r="AG406" s="295"/>
      <c r="AH406" s="295">
        <f t="shared" si="185"/>
        <v>0</v>
      </c>
      <c r="AI406" s="298">
        <f>'Unit Savings Calculations'!O402</f>
        <v>44.3352</v>
      </c>
      <c r="AJ406" s="405" t="s">
        <v>879</v>
      </c>
      <c r="AK406" s="300">
        <f t="shared" si="186"/>
        <v>177.3408</v>
      </c>
      <c r="AL406" s="297">
        <f t="shared" si="187"/>
        <v>0</v>
      </c>
      <c r="AM406" s="295"/>
      <c r="AN406" s="295"/>
      <c r="AO406" s="298">
        <f>'Unit Savings Calculations'!P402</f>
        <v>44.3352</v>
      </c>
      <c r="AP406" s="405" t="s">
        <v>764</v>
      </c>
      <c r="AQ406" s="300">
        <f t="shared" si="188"/>
        <v>177.3408</v>
      </c>
      <c r="AR406" s="297">
        <f t="shared" si="189"/>
        <v>0</v>
      </c>
      <c r="AS406" s="295"/>
      <c r="AT406" s="295"/>
      <c r="AU406" s="298">
        <f>'Unit Savings Calculations'!Q402</f>
        <v>44.3352</v>
      </c>
      <c r="AV406" s="405" t="str">
        <f t="shared" si="176"/>
        <v>n/a</v>
      </c>
      <c r="AW406" s="300">
        <f t="shared" si="190"/>
        <v>177.3408</v>
      </c>
      <c r="AX406" s="297">
        <f t="shared" si="191"/>
        <v>0</v>
      </c>
      <c r="AY406" s="300">
        <f t="shared" si="177"/>
        <v>177.3408</v>
      </c>
      <c r="AZ406" s="300">
        <f t="shared" si="178"/>
        <v>177.3408</v>
      </c>
      <c r="BA406" s="300">
        <f t="shared" si="179"/>
        <v>177.3408</v>
      </c>
      <c r="BB406" s="300">
        <f t="shared" si="180"/>
        <v>177.3408</v>
      </c>
      <c r="BC406" s="301">
        <f t="shared" si="181"/>
        <v>709.36320000000001</v>
      </c>
      <c r="BD406" s="295" t="s">
        <v>764</v>
      </c>
      <c r="BE406" s="302" t="str">
        <f t="shared" si="182"/>
        <v>Exhibit 1.5A_R North Shore EEPS_Adjustable_Savings_Goal_Template.xlsx, Unit Savings Calculations Tab</v>
      </c>
      <c r="BF406" s="304"/>
    </row>
    <row r="407" spans="1:58" ht="15.75" customHeight="1">
      <c r="A407" s="295" t="str">
        <f>'Unit Savings Calculations'!C403</f>
        <v>Low Income - MF Retrofit</v>
      </c>
      <c r="B407" s="295" t="str">
        <f>'Unit Savings Calculations'!D403</f>
        <v>Water Heater Setback</v>
      </c>
      <c r="C407" s="296">
        <f t="shared" si="170"/>
        <v>1</v>
      </c>
      <c r="D407" s="295" t="str">
        <f>'Unit Savings Calculations'!T403</f>
        <v>5.4.6</v>
      </c>
      <c r="E407" s="460">
        <f>INDEX('Unit Savings Calculations'!$H$4:$H$421,MATCH('Measure-Level Adjustments Tab'!$A407&amp;"_"&amp;'Measure-Level Adjustments Tab'!$B407,'Unit Savings Calculations'!$A$4:$A$421,0))</f>
        <v>2</v>
      </c>
      <c r="F407" s="460">
        <f>INDEX('Unit Savings Calculations'!$I$4:$I$421,MATCH('Measure-Level Adjustments Tab'!A407&amp;"_"&amp;'Measure-Level Adjustments Tab'!B407,'Unit Savings Calculations'!$A$4:$A$421,0))</f>
        <v>2</v>
      </c>
      <c r="G407" s="295" t="str">
        <f>'Unit Savings Calculations'!E403</f>
        <v>each</v>
      </c>
      <c r="H407" s="297">
        <f>'Unit Savings Calculations'!$F403*'Unit Savings Calculations'!J403</f>
        <v>100</v>
      </c>
      <c r="I407" s="297">
        <f>'Unit Savings Calculations'!$F403*'Unit Savings Calculations'!K403</f>
        <v>100</v>
      </c>
      <c r="J407" s="297">
        <f>'Unit Savings Calculations'!$F403*'Unit Savings Calculations'!L403</f>
        <v>100</v>
      </c>
      <c r="K407" s="297">
        <f>'Unit Savings Calculations'!$F403*'Unit Savings Calculations'!M403</f>
        <v>100</v>
      </c>
      <c r="L407" s="295" t="str">
        <f>'Unit Savings Calculations'!U403</f>
        <v>RS-HWE-TMPS-V05-160601</v>
      </c>
      <c r="M407" s="405" t="str">
        <f>'Unit Savings Calculations'!R403</f>
        <v>Exhibit 1.5A_R North Shore EEPS_Adjustable_Savings_Goal_Template.xlsx, Unit Savings Calculations Tab</v>
      </c>
      <c r="N407" s="298">
        <v>4.0706360194029854</v>
      </c>
      <c r="O407" s="298">
        <v>4.0706360194029854</v>
      </c>
      <c r="P407" s="298">
        <v>4.0706360194029854</v>
      </c>
      <c r="Q407" s="298">
        <v>4.0706360194029854</v>
      </c>
      <c r="R407" s="299">
        <f>'Unit Savings Calculations'!$G403</f>
        <v>1</v>
      </c>
      <c r="S407" s="299">
        <f>'Unit Savings Calculations'!$G403</f>
        <v>1</v>
      </c>
      <c r="T407" s="299">
        <f>'Unit Savings Calculations'!$G403</f>
        <v>1</v>
      </c>
      <c r="U407" s="299">
        <f>'Unit Savings Calculations'!$G403</f>
        <v>1</v>
      </c>
      <c r="V407" s="300">
        <f t="shared" si="171"/>
        <v>407.06360194029855</v>
      </c>
      <c r="W407" s="300">
        <f t="shared" si="172"/>
        <v>407.06360194029855</v>
      </c>
      <c r="X407" s="300">
        <f t="shared" si="173"/>
        <v>407.06360194029855</v>
      </c>
      <c r="Y407" s="300">
        <f t="shared" si="174"/>
        <v>407.06360194029855</v>
      </c>
      <c r="Z407" s="300">
        <f t="shared" si="175"/>
        <v>1628.2544077611942</v>
      </c>
      <c r="AA407" s="295"/>
      <c r="AB407" s="295"/>
      <c r="AC407" s="298">
        <f>'Unit Savings Calculations'!N403</f>
        <v>4.0706360194029854</v>
      </c>
      <c r="AD407" s="295"/>
      <c r="AE407" s="300">
        <f t="shared" si="183"/>
        <v>407.06360194029855</v>
      </c>
      <c r="AF407" s="297">
        <f t="shared" si="184"/>
        <v>0</v>
      </c>
      <c r="AG407" s="295"/>
      <c r="AH407" s="295">
        <f t="shared" si="185"/>
        <v>0</v>
      </c>
      <c r="AI407" s="298">
        <f>'Unit Savings Calculations'!O403</f>
        <v>4.0706360194029854</v>
      </c>
      <c r="AJ407" s="405" t="s">
        <v>879</v>
      </c>
      <c r="AK407" s="300">
        <f t="shared" si="186"/>
        <v>407.06360194029855</v>
      </c>
      <c r="AL407" s="297">
        <f t="shared" si="187"/>
        <v>0</v>
      </c>
      <c r="AM407" s="295"/>
      <c r="AN407" s="295"/>
      <c r="AO407" s="298">
        <f>'Unit Savings Calculations'!P403</f>
        <v>4.0706360194029854</v>
      </c>
      <c r="AP407" s="405" t="s">
        <v>764</v>
      </c>
      <c r="AQ407" s="300">
        <f t="shared" si="188"/>
        <v>407.06360194029855</v>
      </c>
      <c r="AR407" s="297">
        <f t="shared" si="189"/>
        <v>0</v>
      </c>
      <c r="AS407" s="295"/>
      <c r="AT407" s="295"/>
      <c r="AU407" s="298">
        <f>'Unit Savings Calculations'!Q403</f>
        <v>4.0706360194029854</v>
      </c>
      <c r="AV407" s="405" t="str">
        <f t="shared" si="176"/>
        <v>n/a</v>
      </c>
      <c r="AW407" s="300">
        <f t="shared" si="190"/>
        <v>407.06360194029855</v>
      </c>
      <c r="AX407" s="297">
        <f t="shared" si="191"/>
        <v>0</v>
      </c>
      <c r="AY407" s="300">
        <f t="shared" si="177"/>
        <v>407.06360194029855</v>
      </c>
      <c r="AZ407" s="300">
        <f t="shared" si="178"/>
        <v>407.06360194029855</v>
      </c>
      <c r="BA407" s="300">
        <f t="shared" si="179"/>
        <v>407.06360194029855</v>
      </c>
      <c r="BB407" s="300">
        <f t="shared" si="180"/>
        <v>407.06360194029855</v>
      </c>
      <c r="BC407" s="301">
        <f t="shared" si="181"/>
        <v>1628.2544077611942</v>
      </c>
      <c r="BD407" s="295" t="s">
        <v>764</v>
      </c>
      <c r="BE407" s="302" t="str">
        <f t="shared" si="182"/>
        <v>Exhibit 1.5A_R North Shore EEPS_Adjustable_Savings_Goal_Template.xlsx, Unit Savings Calculations Tab</v>
      </c>
      <c r="BF407" s="304"/>
    </row>
    <row r="408" spans="1:58" ht="15.75" customHeight="1">
      <c r="A408" s="295" t="str">
        <f>'Unit Savings Calculations'!C404</f>
        <v>Low Income - MF Retrofit</v>
      </c>
      <c r="B408" s="295" t="str">
        <f>'Unit Savings Calculations'!D404</f>
        <v>Air Sealing</v>
      </c>
      <c r="C408" s="296">
        <f t="shared" si="170"/>
        <v>0</v>
      </c>
      <c r="D408" s="295" t="str">
        <f>'Unit Savings Calculations'!T404</f>
        <v>Custom</v>
      </c>
      <c r="E408" s="460">
        <f>INDEX('Unit Savings Calculations'!$H$4:$H$421,MATCH('Measure-Level Adjustments Tab'!$A408&amp;"_"&amp;'Measure-Level Adjustments Tab'!$B408,'Unit Savings Calculations'!$A$4:$A$421,0))</f>
        <v>15</v>
      </c>
      <c r="F408" s="460">
        <f>INDEX('Unit Savings Calculations'!$I$4:$I$421,MATCH('Measure-Level Adjustments Tab'!A408&amp;"_"&amp;'Measure-Level Adjustments Tab'!B408,'Unit Savings Calculations'!$A$4:$A$421,0))</f>
        <v>20</v>
      </c>
      <c r="G408" s="295" t="str">
        <f>'Unit Savings Calculations'!E404</f>
        <v>each</v>
      </c>
      <c r="H408" s="297">
        <f>'Unit Savings Calculations'!$F404*'Unit Savings Calculations'!J404</f>
        <v>5</v>
      </c>
      <c r="I408" s="297">
        <f>'Unit Savings Calculations'!$F404*'Unit Savings Calculations'!K404</f>
        <v>5</v>
      </c>
      <c r="J408" s="297">
        <f>'Unit Savings Calculations'!$F404*'Unit Savings Calculations'!L404</f>
        <v>5</v>
      </c>
      <c r="K408" s="297">
        <f>'Unit Savings Calculations'!$F404*'Unit Savings Calculations'!M404</f>
        <v>5</v>
      </c>
      <c r="L408" s="295" t="str">
        <f>'Unit Savings Calculations'!U404</f>
        <v>Custom</v>
      </c>
      <c r="M408" s="405" t="str">
        <f>'Unit Savings Calculations'!R404</f>
        <v>Custom</v>
      </c>
      <c r="N408" s="298">
        <v>600</v>
      </c>
      <c r="O408" s="298">
        <v>600</v>
      </c>
      <c r="P408" s="298">
        <v>600</v>
      </c>
      <c r="Q408" s="298">
        <v>600</v>
      </c>
      <c r="R408" s="299">
        <f>'Unit Savings Calculations'!$G404</f>
        <v>1</v>
      </c>
      <c r="S408" s="299">
        <f>'Unit Savings Calculations'!$G404</f>
        <v>1</v>
      </c>
      <c r="T408" s="299">
        <f>'Unit Savings Calculations'!$G404</f>
        <v>1</v>
      </c>
      <c r="U408" s="299">
        <f>'Unit Savings Calculations'!$G404</f>
        <v>1</v>
      </c>
      <c r="V408" s="300">
        <f t="shared" si="171"/>
        <v>3000</v>
      </c>
      <c r="W408" s="300">
        <f t="shared" si="172"/>
        <v>3000</v>
      </c>
      <c r="X408" s="300">
        <f t="shared" si="173"/>
        <v>3000</v>
      </c>
      <c r="Y408" s="300">
        <f t="shared" si="174"/>
        <v>3000</v>
      </c>
      <c r="Z408" s="300">
        <f t="shared" si="175"/>
        <v>12000</v>
      </c>
      <c r="AA408" s="406"/>
      <c r="AB408" s="406"/>
      <c r="AC408" s="409">
        <f>'Unit Savings Calculations'!N404</f>
        <v>600</v>
      </c>
      <c r="AD408" s="406"/>
      <c r="AE408" s="407">
        <f t="shared" si="183"/>
        <v>3000</v>
      </c>
      <c r="AF408" s="408">
        <f t="shared" si="184"/>
        <v>0</v>
      </c>
      <c r="AG408" s="406"/>
      <c r="AH408" s="406">
        <f t="shared" si="185"/>
        <v>0</v>
      </c>
      <c r="AI408" s="409">
        <f>'Unit Savings Calculations'!O404</f>
        <v>600</v>
      </c>
      <c r="AJ408" s="457" t="s">
        <v>879</v>
      </c>
      <c r="AK408" s="407">
        <f t="shared" si="186"/>
        <v>3000</v>
      </c>
      <c r="AL408" s="408">
        <f t="shared" si="187"/>
        <v>0</v>
      </c>
      <c r="AM408" s="406"/>
      <c r="AN408" s="406"/>
      <c r="AO408" s="409">
        <f>'Unit Savings Calculations'!P404</f>
        <v>600</v>
      </c>
      <c r="AP408" s="457" t="s">
        <v>764</v>
      </c>
      <c r="AQ408" s="407">
        <f t="shared" si="188"/>
        <v>3000</v>
      </c>
      <c r="AR408" s="408">
        <f t="shared" si="189"/>
        <v>0</v>
      </c>
      <c r="AS408" s="406"/>
      <c r="AT408" s="406"/>
      <c r="AU408" s="409">
        <f>'Unit Savings Calculations'!Q404</f>
        <v>600</v>
      </c>
      <c r="AV408" s="457" t="str">
        <f t="shared" si="176"/>
        <v>n/a</v>
      </c>
      <c r="AW408" s="407">
        <f t="shared" si="190"/>
        <v>3000</v>
      </c>
      <c r="AX408" s="408">
        <f t="shared" si="191"/>
        <v>0</v>
      </c>
      <c r="AY408" s="300">
        <f t="shared" si="177"/>
        <v>3000</v>
      </c>
      <c r="AZ408" s="300">
        <f t="shared" si="178"/>
        <v>3000</v>
      </c>
      <c r="BA408" s="300">
        <f t="shared" si="179"/>
        <v>3000</v>
      </c>
      <c r="BB408" s="300">
        <f t="shared" si="180"/>
        <v>3000</v>
      </c>
      <c r="BC408" s="301">
        <f t="shared" si="181"/>
        <v>12000</v>
      </c>
      <c r="BD408" s="295" t="s">
        <v>764</v>
      </c>
      <c r="BE408" s="302" t="str">
        <f t="shared" si="182"/>
        <v>Custom</v>
      </c>
      <c r="BF408" s="304"/>
    </row>
    <row r="409" spans="1:58" ht="15.75" customHeight="1">
      <c r="A409" s="295" t="str">
        <f>'Unit Savings Calculations'!C405</f>
        <v>Low Income - MF Retrofit</v>
      </c>
      <c r="B409" s="295" t="str">
        <f>'Unit Savings Calculations'!D405</f>
        <v>Attic Insulation &amp; Air Sealing</v>
      </c>
      <c r="C409" s="296">
        <f t="shared" si="170"/>
        <v>0</v>
      </c>
      <c r="D409" s="295" t="str">
        <f>'Unit Savings Calculations'!T405</f>
        <v>Custom</v>
      </c>
      <c r="E409" s="460">
        <f>INDEX('Unit Savings Calculations'!$H$4:$H$421,MATCH('Measure-Level Adjustments Tab'!$A409&amp;"_"&amp;'Measure-Level Adjustments Tab'!$B409,'Unit Savings Calculations'!$A$4:$A$421,0))</f>
        <v>15</v>
      </c>
      <c r="F409" s="460">
        <f>INDEX('Unit Savings Calculations'!$I$4:$I$421,MATCH('Measure-Level Adjustments Tab'!A409&amp;"_"&amp;'Measure-Level Adjustments Tab'!B409,'Unit Savings Calculations'!$A$4:$A$421,0))</f>
        <v>20</v>
      </c>
      <c r="G409" s="295" t="str">
        <f>'Unit Savings Calculations'!E405</f>
        <v>each</v>
      </c>
      <c r="H409" s="297">
        <f>'Unit Savings Calculations'!$F405*'Unit Savings Calculations'!J405</f>
        <v>5</v>
      </c>
      <c r="I409" s="297">
        <f>'Unit Savings Calculations'!$F405*'Unit Savings Calculations'!K405</f>
        <v>5</v>
      </c>
      <c r="J409" s="297">
        <f>'Unit Savings Calculations'!$F405*'Unit Savings Calculations'!L405</f>
        <v>5</v>
      </c>
      <c r="K409" s="297">
        <f>'Unit Savings Calculations'!$F405*'Unit Savings Calculations'!M405</f>
        <v>5</v>
      </c>
      <c r="L409" s="295" t="str">
        <f>'Unit Savings Calculations'!U405</f>
        <v>Custom</v>
      </c>
      <c r="M409" s="405" t="str">
        <f>'Unit Savings Calculations'!R405</f>
        <v>Custom</v>
      </c>
      <c r="N409" s="298">
        <v>1400</v>
      </c>
      <c r="O409" s="298">
        <v>1400</v>
      </c>
      <c r="P409" s="298">
        <v>1400</v>
      </c>
      <c r="Q409" s="298">
        <v>1400</v>
      </c>
      <c r="R409" s="299">
        <f>'Unit Savings Calculations'!$G405</f>
        <v>1</v>
      </c>
      <c r="S409" s="299">
        <f>'Unit Savings Calculations'!$G405</f>
        <v>1</v>
      </c>
      <c r="T409" s="299">
        <f>'Unit Savings Calculations'!$G405</f>
        <v>1</v>
      </c>
      <c r="U409" s="299">
        <f>'Unit Savings Calculations'!$G405</f>
        <v>1</v>
      </c>
      <c r="V409" s="300">
        <f t="shared" si="171"/>
        <v>7000</v>
      </c>
      <c r="W409" s="300">
        <f t="shared" si="172"/>
        <v>7000</v>
      </c>
      <c r="X409" s="300">
        <f t="shared" si="173"/>
        <v>7000</v>
      </c>
      <c r="Y409" s="300">
        <f t="shared" si="174"/>
        <v>7000</v>
      </c>
      <c r="Z409" s="300">
        <f t="shared" si="175"/>
        <v>28000</v>
      </c>
      <c r="AA409" s="406"/>
      <c r="AB409" s="406"/>
      <c r="AC409" s="409">
        <f>'Unit Savings Calculations'!N405</f>
        <v>1400</v>
      </c>
      <c r="AD409" s="406"/>
      <c r="AE409" s="407">
        <f t="shared" si="183"/>
        <v>7000</v>
      </c>
      <c r="AF409" s="408">
        <f t="shared" si="184"/>
        <v>0</v>
      </c>
      <c r="AG409" s="406"/>
      <c r="AH409" s="406">
        <f t="shared" si="185"/>
        <v>0</v>
      </c>
      <c r="AI409" s="409">
        <f>'Unit Savings Calculations'!O405</f>
        <v>1400</v>
      </c>
      <c r="AJ409" s="457" t="s">
        <v>879</v>
      </c>
      <c r="AK409" s="407">
        <f t="shared" si="186"/>
        <v>7000</v>
      </c>
      <c r="AL409" s="408">
        <f t="shared" si="187"/>
        <v>0</v>
      </c>
      <c r="AM409" s="406"/>
      <c r="AN409" s="406"/>
      <c r="AO409" s="409">
        <f>'Unit Savings Calculations'!P405</f>
        <v>1400</v>
      </c>
      <c r="AP409" s="457" t="s">
        <v>764</v>
      </c>
      <c r="AQ409" s="407">
        <f t="shared" si="188"/>
        <v>7000</v>
      </c>
      <c r="AR409" s="408">
        <f t="shared" si="189"/>
        <v>0</v>
      </c>
      <c r="AS409" s="406"/>
      <c r="AT409" s="406"/>
      <c r="AU409" s="409">
        <f>'Unit Savings Calculations'!Q405</f>
        <v>1400</v>
      </c>
      <c r="AV409" s="457" t="str">
        <f t="shared" si="176"/>
        <v>n/a</v>
      </c>
      <c r="AW409" s="407">
        <f t="shared" si="190"/>
        <v>7000</v>
      </c>
      <c r="AX409" s="408">
        <f t="shared" si="191"/>
        <v>0</v>
      </c>
      <c r="AY409" s="300">
        <f t="shared" si="177"/>
        <v>7000</v>
      </c>
      <c r="AZ409" s="300">
        <f t="shared" si="178"/>
        <v>7000</v>
      </c>
      <c r="BA409" s="300">
        <f t="shared" si="179"/>
        <v>7000</v>
      </c>
      <c r="BB409" s="300">
        <f t="shared" si="180"/>
        <v>7000</v>
      </c>
      <c r="BC409" s="301">
        <f t="shared" si="181"/>
        <v>28000</v>
      </c>
      <c r="BD409" s="295" t="s">
        <v>764</v>
      </c>
      <c r="BE409" s="302" t="str">
        <f t="shared" si="182"/>
        <v>Custom</v>
      </c>
      <c r="BF409" s="304"/>
    </row>
    <row r="410" spans="1:58" ht="15.75" customHeight="1">
      <c r="A410" s="295" t="str">
        <f>'Unit Savings Calculations'!C406</f>
        <v>Low Income - MF Retrofit</v>
      </c>
      <c r="B410" s="295" t="str">
        <f>'Unit Savings Calculations'!D406</f>
        <v>Wall Insulation</v>
      </c>
      <c r="C410" s="296">
        <f t="shared" si="170"/>
        <v>0</v>
      </c>
      <c r="D410" s="295" t="str">
        <f>'Unit Savings Calculations'!T406</f>
        <v>Custom</v>
      </c>
      <c r="E410" s="460">
        <f>INDEX('Unit Savings Calculations'!$H$4:$H$421,MATCH('Measure-Level Adjustments Tab'!$A410&amp;"_"&amp;'Measure-Level Adjustments Tab'!$B410,'Unit Savings Calculations'!$A$4:$A$421,0))</f>
        <v>25</v>
      </c>
      <c r="F410" s="460">
        <f>INDEX('Unit Savings Calculations'!$I$4:$I$421,MATCH('Measure-Level Adjustments Tab'!A410&amp;"_"&amp;'Measure-Level Adjustments Tab'!B410,'Unit Savings Calculations'!$A$4:$A$421,0))</f>
        <v>20</v>
      </c>
      <c r="G410" s="295" t="str">
        <f>'Unit Savings Calculations'!E406</f>
        <v>each</v>
      </c>
      <c r="H410" s="297">
        <f>'Unit Savings Calculations'!$F406*'Unit Savings Calculations'!J406</f>
        <v>1</v>
      </c>
      <c r="I410" s="297">
        <f>'Unit Savings Calculations'!$F406*'Unit Savings Calculations'!K406</f>
        <v>1</v>
      </c>
      <c r="J410" s="297">
        <f>'Unit Savings Calculations'!$F406*'Unit Savings Calculations'!L406</f>
        <v>1</v>
      </c>
      <c r="K410" s="297">
        <f>'Unit Savings Calculations'!$F406*'Unit Savings Calculations'!M406</f>
        <v>1</v>
      </c>
      <c r="L410" s="295" t="str">
        <f>'Unit Savings Calculations'!U406</f>
        <v>Custom</v>
      </c>
      <c r="M410" s="405" t="str">
        <f>'Unit Savings Calculations'!R406</f>
        <v>Custom</v>
      </c>
      <c r="N410" s="298">
        <v>1500</v>
      </c>
      <c r="O410" s="298">
        <v>1500</v>
      </c>
      <c r="P410" s="298">
        <v>1500</v>
      </c>
      <c r="Q410" s="298">
        <v>1500</v>
      </c>
      <c r="R410" s="299">
        <f>'Unit Savings Calculations'!$G406</f>
        <v>1</v>
      </c>
      <c r="S410" s="299">
        <f>'Unit Savings Calculations'!$G406</f>
        <v>1</v>
      </c>
      <c r="T410" s="299">
        <f>'Unit Savings Calculations'!$G406</f>
        <v>1</v>
      </c>
      <c r="U410" s="299">
        <f>'Unit Savings Calculations'!$G406</f>
        <v>1</v>
      </c>
      <c r="V410" s="300">
        <f t="shared" si="171"/>
        <v>1500</v>
      </c>
      <c r="W410" s="300">
        <f t="shared" si="172"/>
        <v>1500</v>
      </c>
      <c r="X410" s="300">
        <f t="shared" si="173"/>
        <v>1500</v>
      </c>
      <c r="Y410" s="300">
        <f t="shared" si="174"/>
        <v>1500</v>
      </c>
      <c r="Z410" s="300">
        <f t="shared" si="175"/>
        <v>6000</v>
      </c>
      <c r="AA410" s="406"/>
      <c r="AB410" s="406"/>
      <c r="AC410" s="409">
        <f>'Unit Savings Calculations'!N406</f>
        <v>1500</v>
      </c>
      <c r="AD410" s="406"/>
      <c r="AE410" s="407">
        <f t="shared" si="183"/>
        <v>1500</v>
      </c>
      <c r="AF410" s="408">
        <f t="shared" si="184"/>
        <v>0</v>
      </c>
      <c r="AG410" s="406"/>
      <c r="AH410" s="406">
        <f t="shared" si="185"/>
        <v>0</v>
      </c>
      <c r="AI410" s="409">
        <f>'Unit Savings Calculations'!O406</f>
        <v>1500</v>
      </c>
      <c r="AJ410" s="457" t="s">
        <v>879</v>
      </c>
      <c r="AK410" s="407">
        <f t="shared" si="186"/>
        <v>1500</v>
      </c>
      <c r="AL410" s="408">
        <f t="shared" si="187"/>
        <v>0</v>
      </c>
      <c r="AM410" s="406"/>
      <c r="AN410" s="406"/>
      <c r="AO410" s="409">
        <f>'Unit Savings Calculations'!P406</f>
        <v>1500</v>
      </c>
      <c r="AP410" s="457" t="s">
        <v>764</v>
      </c>
      <c r="AQ410" s="407">
        <f t="shared" si="188"/>
        <v>1500</v>
      </c>
      <c r="AR410" s="408">
        <f t="shared" si="189"/>
        <v>0</v>
      </c>
      <c r="AS410" s="406"/>
      <c r="AT410" s="406"/>
      <c r="AU410" s="409">
        <f>'Unit Savings Calculations'!Q406</f>
        <v>1500</v>
      </c>
      <c r="AV410" s="457" t="str">
        <f t="shared" si="176"/>
        <v>n/a</v>
      </c>
      <c r="AW410" s="407">
        <f t="shared" si="190"/>
        <v>1500</v>
      </c>
      <c r="AX410" s="408">
        <f t="shared" si="191"/>
        <v>0</v>
      </c>
      <c r="AY410" s="300">
        <f t="shared" si="177"/>
        <v>1500</v>
      </c>
      <c r="AZ410" s="300">
        <f t="shared" si="178"/>
        <v>1500</v>
      </c>
      <c r="BA410" s="300">
        <f t="shared" si="179"/>
        <v>1500</v>
      </c>
      <c r="BB410" s="300">
        <f t="shared" si="180"/>
        <v>1500</v>
      </c>
      <c r="BC410" s="301">
        <f t="shared" si="181"/>
        <v>6000</v>
      </c>
      <c r="BD410" s="295" t="s">
        <v>764</v>
      </c>
      <c r="BE410" s="302" t="str">
        <f t="shared" si="182"/>
        <v>Custom</v>
      </c>
      <c r="BF410" s="304"/>
    </row>
    <row r="411" spans="1:58" ht="15.75" customHeight="1">
      <c r="A411" s="295" t="str">
        <f>'Unit Savings Calculations'!C407</f>
        <v>Low Income - MF Retrofit</v>
      </c>
      <c r="B411" s="295" t="str">
        <f>'Unit Savings Calculations'!D407</f>
        <v>Pipe Insulation - DHW</v>
      </c>
      <c r="C411" s="296">
        <f t="shared" si="170"/>
        <v>0</v>
      </c>
      <c r="D411" s="295" t="str">
        <f>'Unit Savings Calculations'!T407</f>
        <v>Custom</v>
      </c>
      <c r="E411" s="460">
        <f>INDEX('Unit Savings Calculations'!$H$4:$H$421,MATCH('Measure-Level Adjustments Tab'!$A411&amp;"_"&amp;'Measure-Level Adjustments Tab'!$B411,'Unit Savings Calculations'!$A$4:$A$421,0))</f>
        <v>15</v>
      </c>
      <c r="F411" s="460">
        <f>INDEX('Unit Savings Calculations'!$I$4:$I$421,MATCH('Measure-Level Adjustments Tab'!A411&amp;"_"&amp;'Measure-Level Adjustments Tab'!B411,'Unit Savings Calculations'!$A$4:$A$421,0))</f>
        <v>15</v>
      </c>
      <c r="G411" s="295" t="str">
        <f>'Unit Savings Calculations'!E407</f>
        <v>each</v>
      </c>
      <c r="H411" s="297">
        <f>'Unit Savings Calculations'!$F407*'Unit Savings Calculations'!J407</f>
        <v>3</v>
      </c>
      <c r="I411" s="297">
        <f>'Unit Savings Calculations'!$F407*'Unit Savings Calculations'!K407</f>
        <v>3</v>
      </c>
      <c r="J411" s="297">
        <f>'Unit Savings Calculations'!$F407*'Unit Savings Calculations'!L407</f>
        <v>3</v>
      </c>
      <c r="K411" s="297">
        <f>'Unit Savings Calculations'!$F407*'Unit Savings Calculations'!M407</f>
        <v>3</v>
      </c>
      <c r="L411" s="295" t="str">
        <f>'Unit Savings Calculations'!U407</f>
        <v>Custom</v>
      </c>
      <c r="M411" s="405" t="str">
        <f>'Unit Savings Calculations'!R407</f>
        <v>Custom</v>
      </c>
      <c r="N411" s="298">
        <v>700</v>
      </c>
      <c r="O411" s="298">
        <v>700</v>
      </c>
      <c r="P411" s="298">
        <v>700</v>
      </c>
      <c r="Q411" s="298">
        <v>700</v>
      </c>
      <c r="R411" s="299">
        <f>'Unit Savings Calculations'!$G407</f>
        <v>1</v>
      </c>
      <c r="S411" s="299">
        <f>'Unit Savings Calculations'!$G407</f>
        <v>1</v>
      </c>
      <c r="T411" s="299">
        <f>'Unit Savings Calculations'!$G407</f>
        <v>1</v>
      </c>
      <c r="U411" s="299">
        <f>'Unit Savings Calculations'!$G407</f>
        <v>1</v>
      </c>
      <c r="V411" s="300">
        <f t="shared" si="171"/>
        <v>2100</v>
      </c>
      <c r="W411" s="300">
        <f t="shared" si="172"/>
        <v>2100</v>
      </c>
      <c r="X411" s="300">
        <f t="shared" si="173"/>
        <v>2100</v>
      </c>
      <c r="Y411" s="300">
        <f t="shared" si="174"/>
        <v>2100</v>
      </c>
      <c r="Z411" s="300">
        <f t="shared" si="175"/>
        <v>8400</v>
      </c>
      <c r="AA411" s="406"/>
      <c r="AB411" s="406"/>
      <c r="AC411" s="409">
        <f>'Unit Savings Calculations'!N407</f>
        <v>700</v>
      </c>
      <c r="AD411" s="406"/>
      <c r="AE411" s="407">
        <f t="shared" si="183"/>
        <v>2100</v>
      </c>
      <c r="AF411" s="408">
        <f t="shared" si="184"/>
        <v>0</v>
      </c>
      <c r="AG411" s="406"/>
      <c r="AH411" s="406">
        <f t="shared" si="185"/>
        <v>0</v>
      </c>
      <c r="AI411" s="409">
        <f>'Unit Savings Calculations'!O407</f>
        <v>700</v>
      </c>
      <c r="AJ411" s="457" t="s">
        <v>879</v>
      </c>
      <c r="AK411" s="407">
        <f t="shared" si="186"/>
        <v>2100</v>
      </c>
      <c r="AL411" s="408">
        <f t="shared" si="187"/>
        <v>0</v>
      </c>
      <c r="AM411" s="406"/>
      <c r="AN411" s="406"/>
      <c r="AO411" s="409">
        <f>'Unit Savings Calculations'!P407</f>
        <v>700</v>
      </c>
      <c r="AP411" s="457" t="s">
        <v>764</v>
      </c>
      <c r="AQ411" s="407">
        <f t="shared" si="188"/>
        <v>2100</v>
      </c>
      <c r="AR411" s="408">
        <f t="shared" si="189"/>
        <v>0</v>
      </c>
      <c r="AS411" s="406"/>
      <c r="AT411" s="406"/>
      <c r="AU411" s="409">
        <f>'Unit Savings Calculations'!Q407</f>
        <v>700</v>
      </c>
      <c r="AV411" s="457" t="str">
        <f t="shared" si="176"/>
        <v>n/a</v>
      </c>
      <c r="AW411" s="407">
        <f t="shared" si="190"/>
        <v>2100</v>
      </c>
      <c r="AX411" s="408">
        <f t="shared" si="191"/>
        <v>0</v>
      </c>
      <c r="AY411" s="300">
        <f t="shared" si="177"/>
        <v>2100</v>
      </c>
      <c r="AZ411" s="300">
        <f t="shared" si="178"/>
        <v>2100</v>
      </c>
      <c r="BA411" s="300">
        <f t="shared" si="179"/>
        <v>2100</v>
      </c>
      <c r="BB411" s="300">
        <f t="shared" si="180"/>
        <v>2100</v>
      </c>
      <c r="BC411" s="301">
        <f t="shared" si="181"/>
        <v>8400</v>
      </c>
      <c r="BD411" s="295" t="s">
        <v>764</v>
      </c>
      <c r="BE411" s="302" t="str">
        <f t="shared" si="182"/>
        <v>Custom</v>
      </c>
      <c r="BF411" s="304"/>
    </row>
    <row r="412" spans="1:58" ht="15.75" customHeight="1">
      <c r="A412" s="295" t="str">
        <f>'Unit Savings Calculations'!C408</f>
        <v>Low Income - MF Retrofit</v>
      </c>
      <c r="B412" s="295" t="str">
        <f>'Unit Savings Calculations'!D408</f>
        <v>Pipe Insulation - Heating</v>
      </c>
      <c r="C412" s="296">
        <f t="shared" si="170"/>
        <v>0</v>
      </c>
      <c r="D412" s="295" t="str">
        <f>'Unit Savings Calculations'!T408</f>
        <v>Custom</v>
      </c>
      <c r="E412" s="460">
        <f>INDEX('Unit Savings Calculations'!$H$4:$H$421,MATCH('Measure-Level Adjustments Tab'!$A412&amp;"_"&amp;'Measure-Level Adjustments Tab'!$B412,'Unit Savings Calculations'!$A$4:$A$421,0))</f>
        <v>15</v>
      </c>
      <c r="F412" s="460">
        <f>INDEX('Unit Savings Calculations'!$I$4:$I$421,MATCH('Measure-Level Adjustments Tab'!A412&amp;"_"&amp;'Measure-Level Adjustments Tab'!B412,'Unit Savings Calculations'!$A$4:$A$421,0))</f>
        <v>15</v>
      </c>
      <c r="G412" s="295" t="str">
        <f>'Unit Savings Calculations'!E408</f>
        <v>each</v>
      </c>
      <c r="H412" s="297">
        <f>'Unit Savings Calculations'!$F408*'Unit Savings Calculations'!J408</f>
        <v>4</v>
      </c>
      <c r="I412" s="297">
        <f>'Unit Savings Calculations'!$F408*'Unit Savings Calculations'!K408</f>
        <v>4</v>
      </c>
      <c r="J412" s="297">
        <f>'Unit Savings Calculations'!$F408*'Unit Savings Calculations'!L408</f>
        <v>4</v>
      </c>
      <c r="K412" s="297">
        <f>'Unit Savings Calculations'!$F408*'Unit Savings Calculations'!M408</f>
        <v>4</v>
      </c>
      <c r="L412" s="295" t="str">
        <f>'Unit Savings Calculations'!U408</f>
        <v>Custom</v>
      </c>
      <c r="M412" s="405" t="str">
        <f>'Unit Savings Calculations'!R408</f>
        <v>Custom</v>
      </c>
      <c r="N412" s="298">
        <v>1100</v>
      </c>
      <c r="O412" s="298">
        <v>1100</v>
      </c>
      <c r="P412" s="298">
        <v>1100</v>
      </c>
      <c r="Q412" s="298">
        <v>1100</v>
      </c>
      <c r="R412" s="299">
        <f>'Unit Savings Calculations'!$G408</f>
        <v>1</v>
      </c>
      <c r="S412" s="299">
        <f>'Unit Savings Calculations'!$G408</f>
        <v>1</v>
      </c>
      <c r="T412" s="299">
        <f>'Unit Savings Calculations'!$G408</f>
        <v>1</v>
      </c>
      <c r="U412" s="299">
        <f>'Unit Savings Calculations'!$G408</f>
        <v>1</v>
      </c>
      <c r="V412" s="300">
        <f t="shared" si="171"/>
        <v>4400</v>
      </c>
      <c r="W412" s="300">
        <f t="shared" si="172"/>
        <v>4400</v>
      </c>
      <c r="X412" s="300">
        <f t="shared" si="173"/>
        <v>4400</v>
      </c>
      <c r="Y412" s="300">
        <f t="shared" si="174"/>
        <v>4400</v>
      </c>
      <c r="Z412" s="300">
        <f t="shared" si="175"/>
        <v>17600</v>
      </c>
      <c r="AA412" s="406"/>
      <c r="AB412" s="406"/>
      <c r="AC412" s="409">
        <f>'Unit Savings Calculations'!N408</f>
        <v>1100</v>
      </c>
      <c r="AD412" s="406"/>
      <c r="AE412" s="407">
        <f t="shared" si="183"/>
        <v>4400</v>
      </c>
      <c r="AF412" s="408">
        <f t="shared" si="184"/>
        <v>0</v>
      </c>
      <c r="AG412" s="406"/>
      <c r="AH412" s="406">
        <f t="shared" si="185"/>
        <v>0</v>
      </c>
      <c r="AI412" s="409">
        <f>'Unit Savings Calculations'!O408</f>
        <v>1100</v>
      </c>
      <c r="AJ412" s="457" t="s">
        <v>879</v>
      </c>
      <c r="AK412" s="407">
        <f t="shared" si="186"/>
        <v>4400</v>
      </c>
      <c r="AL412" s="408">
        <f t="shared" si="187"/>
        <v>0</v>
      </c>
      <c r="AM412" s="406"/>
      <c r="AN412" s="406"/>
      <c r="AO412" s="409">
        <f>'Unit Savings Calculations'!P408</f>
        <v>1100</v>
      </c>
      <c r="AP412" s="457" t="s">
        <v>764</v>
      </c>
      <c r="AQ412" s="407">
        <f t="shared" si="188"/>
        <v>4400</v>
      </c>
      <c r="AR412" s="408">
        <f t="shared" si="189"/>
        <v>0</v>
      </c>
      <c r="AS412" s="406"/>
      <c r="AT412" s="406"/>
      <c r="AU412" s="409">
        <f>'Unit Savings Calculations'!Q408</f>
        <v>1100</v>
      </c>
      <c r="AV412" s="457" t="str">
        <f t="shared" si="176"/>
        <v>n/a</v>
      </c>
      <c r="AW412" s="407">
        <f t="shared" si="190"/>
        <v>4400</v>
      </c>
      <c r="AX412" s="408">
        <f t="shared" si="191"/>
        <v>0</v>
      </c>
      <c r="AY412" s="300">
        <f t="shared" si="177"/>
        <v>4400</v>
      </c>
      <c r="AZ412" s="300">
        <f t="shared" si="178"/>
        <v>4400</v>
      </c>
      <c r="BA412" s="300">
        <f t="shared" si="179"/>
        <v>4400</v>
      </c>
      <c r="BB412" s="300">
        <f t="shared" si="180"/>
        <v>4400</v>
      </c>
      <c r="BC412" s="301">
        <f t="shared" si="181"/>
        <v>17600</v>
      </c>
      <c r="BD412" s="295" t="s">
        <v>764</v>
      </c>
      <c r="BE412" s="302" t="str">
        <f t="shared" si="182"/>
        <v>Custom</v>
      </c>
      <c r="BF412" s="304"/>
    </row>
    <row r="413" spans="1:58" ht="15.75" customHeight="1">
      <c r="A413" s="295" t="str">
        <f>'Unit Savings Calculations'!C409</f>
        <v>Low Income - MF Retrofit</v>
      </c>
      <c r="B413" s="295" t="str">
        <f>'Unit Savings Calculations'!D409</f>
        <v>Boiler Tune-ups</v>
      </c>
      <c r="C413" s="296">
        <f t="shared" ref="C413:C427" si="192">IF(D413="Custom",0,1)</f>
        <v>0</v>
      </c>
      <c r="D413" s="295" t="str">
        <f>'Unit Savings Calculations'!T409</f>
        <v>Custom</v>
      </c>
      <c r="E413" s="460">
        <f>INDEX('Unit Savings Calculations'!$H$4:$H$421,MATCH('Measure-Level Adjustments Tab'!$A413&amp;"_"&amp;'Measure-Level Adjustments Tab'!$B413,'Unit Savings Calculations'!$A$4:$A$421,0))</f>
        <v>3</v>
      </c>
      <c r="F413" s="460">
        <f>INDEX('Unit Savings Calculations'!$I$4:$I$421,MATCH('Measure-Level Adjustments Tab'!A413&amp;"_"&amp;'Measure-Level Adjustments Tab'!B413,'Unit Savings Calculations'!$A$4:$A$421,0))</f>
        <v>3</v>
      </c>
      <c r="G413" s="295" t="str">
        <f>'Unit Savings Calculations'!E409</f>
        <v>each</v>
      </c>
      <c r="H413" s="297">
        <f>'Unit Savings Calculations'!$F409*'Unit Savings Calculations'!J409</f>
        <v>1</v>
      </c>
      <c r="I413" s="297">
        <f>'Unit Savings Calculations'!$F409*'Unit Savings Calculations'!K409</f>
        <v>1</v>
      </c>
      <c r="J413" s="297">
        <f>'Unit Savings Calculations'!$F409*'Unit Savings Calculations'!L409</f>
        <v>1</v>
      </c>
      <c r="K413" s="297">
        <f>'Unit Savings Calculations'!$F409*'Unit Savings Calculations'!M409</f>
        <v>1</v>
      </c>
      <c r="L413" s="295" t="str">
        <f>'Unit Savings Calculations'!U409</f>
        <v>Custom</v>
      </c>
      <c r="M413" s="405" t="str">
        <f>'Unit Savings Calculations'!R409</f>
        <v>Custom</v>
      </c>
      <c r="N413" s="298">
        <v>130</v>
      </c>
      <c r="O413" s="298">
        <v>130</v>
      </c>
      <c r="P413" s="298">
        <v>130</v>
      </c>
      <c r="Q413" s="298">
        <v>130</v>
      </c>
      <c r="R413" s="299">
        <f>'Unit Savings Calculations'!$G409</f>
        <v>1</v>
      </c>
      <c r="S413" s="299">
        <f>'Unit Savings Calculations'!$G409</f>
        <v>1</v>
      </c>
      <c r="T413" s="299">
        <f>'Unit Savings Calculations'!$G409</f>
        <v>1</v>
      </c>
      <c r="U413" s="299">
        <f>'Unit Savings Calculations'!$G409</f>
        <v>1</v>
      </c>
      <c r="V413" s="300">
        <f t="shared" si="171"/>
        <v>130</v>
      </c>
      <c r="W413" s="300">
        <f t="shared" si="172"/>
        <v>130</v>
      </c>
      <c r="X413" s="300">
        <f t="shared" si="173"/>
        <v>130</v>
      </c>
      <c r="Y413" s="300">
        <f t="shared" si="174"/>
        <v>130</v>
      </c>
      <c r="Z413" s="300">
        <f t="shared" si="175"/>
        <v>520</v>
      </c>
      <c r="AA413" s="406"/>
      <c r="AB413" s="406"/>
      <c r="AC413" s="409">
        <f>'Unit Savings Calculations'!N409</f>
        <v>130</v>
      </c>
      <c r="AD413" s="406"/>
      <c r="AE413" s="407">
        <f t="shared" si="183"/>
        <v>130</v>
      </c>
      <c r="AF413" s="408">
        <f t="shared" si="184"/>
        <v>0</v>
      </c>
      <c r="AG413" s="406"/>
      <c r="AH413" s="406">
        <f t="shared" si="185"/>
        <v>0</v>
      </c>
      <c r="AI413" s="409">
        <f>'Unit Savings Calculations'!O409</f>
        <v>130</v>
      </c>
      <c r="AJ413" s="457" t="s">
        <v>879</v>
      </c>
      <c r="AK413" s="407">
        <f t="shared" si="186"/>
        <v>130</v>
      </c>
      <c r="AL413" s="408">
        <f t="shared" si="187"/>
        <v>0</v>
      </c>
      <c r="AM413" s="406"/>
      <c r="AN413" s="406"/>
      <c r="AO413" s="409">
        <f>'Unit Savings Calculations'!P409</f>
        <v>130</v>
      </c>
      <c r="AP413" s="457" t="s">
        <v>764</v>
      </c>
      <c r="AQ413" s="407">
        <f t="shared" si="188"/>
        <v>130</v>
      </c>
      <c r="AR413" s="408">
        <f t="shared" si="189"/>
        <v>0</v>
      </c>
      <c r="AS413" s="406"/>
      <c r="AT413" s="406"/>
      <c r="AU413" s="409">
        <f>'Unit Savings Calculations'!Q409</f>
        <v>130</v>
      </c>
      <c r="AV413" s="457" t="str">
        <f t="shared" si="176"/>
        <v>n/a</v>
      </c>
      <c r="AW413" s="407">
        <f t="shared" si="190"/>
        <v>130</v>
      </c>
      <c r="AX413" s="408">
        <f t="shared" si="191"/>
        <v>0</v>
      </c>
      <c r="AY413" s="300">
        <f t="shared" si="177"/>
        <v>130</v>
      </c>
      <c r="AZ413" s="300">
        <f t="shared" si="178"/>
        <v>130</v>
      </c>
      <c r="BA413" s="300">
        <f t="shared" si="179"/>
        <v>130</v>
      </c>
      <c r="BB413" s="300">
        <f t="shared" si="180"/>
        <v>130</v>
      </c>
      <c r="BC413" s="301">
        <f t="shared" si="181"/>
        <v>520</v>
      </c>
      <c r="BD413" s="295" t="s">
        <v>764</v>
      </c>
      <c r="BE413" s="302" t="str">
        <f t="shared" si="182"/>
        <v>Custom</v>
      </c>
      <c r="BF413" s="304"/>
    </row>
    <row r="414" spans="1:58" ht="15.75" customHeight="1">
      <c r="A414" s="295" t="str">
        <f>'Unit Savings Calculations'!C410</f>
        <v>Low Income - MF Retrofit</v>
      </c>
      <c r="B414" s="295" t="str">
        <f>'Unit Savings Calculations'!D410</f>
        <v>Outdoor Resets/Cutouts</v>
      </c>
      <c r="C414" s="296">
        <f t="shared" si="192"/>
        <v>0</v>
      </c>
      <c r="D414" s="295" t="str">
        <f>'Unit Savings Calculations'!T410</f>
        <v>Custom</v>
      </c>
      <c r="E414" s="460">
        <f>INDEX('Unit Savings Calculations'!$H$4:$H$421,MATCH('Measure-Level Adjustments Tab'!$A414&amp;"_"&amp;'Measure-Level Adjustments Tab'!$B414,'Unit Savings Calculations'!$A$4:$A$421,0))</f>
        <v>20</v>
      </c>
      <c r="F414" s="460">
        <f>INDEX('Unit Savings Calculations'!$I$4:$I$421,MATCH('Measure-Level Adjustments Tab'!A414&amp;"_"&amp;'Measure-Level Adjustments Tab'!B414,'Unit Savings Calculations'!$A$4:$A$421,0))</f>
        <v>20</v>
      </c>
      <c r="G414" s="295" t="str">
        <f>'Unit Savings Calculations'!E410</f>
        <v>each</v>
      </c>
      <c r="H414" s="297">
        <f>'Unit Savings Calculations'!$F410*'Unit Savings Calculations'!J410</f>
        <v>0</v>
      </c>
      <c r="I414" s="297">
        <f>'Unit Savings Calculations'!$F410*'Unit Savings Calculations'!K410</f>
        <v>0</v>
      </c>
      <c r="J414" s="297">
        <f>'Unit Savings Calculations'!$F410*'Unit Savings Calculations'!L410</f>
        <v>0</v>
      </c>
      <c r="K414" s="297">
        <f>'Unit Savings Calculations'!$F410*'Unit Savings Calculations'!M410</f>
        <v>0</v>
      </c>
      <c r="L414" s="295" t="str">
        <f>'Unit Savings Calculations'!U410</f>
        <v>Custom</v>
      </c>
      <c r="M414" s="405" t="str">
        <f>'Unit Savings Calculations'!R410</f>
        <v>Custom</v>
      </c>
      <c r="N414" s="298">
        <v>1000</v>
      </c>
      <c r="O414" s="298">
        <v>1000</v>
      </c>
      <c r="P414" s="298">
        <v>1000</v>
      </c>
      <c r="Q414" s="298">
        <v>1000</v>
      </c>
      <c r="R414" s="299">
        <f>'Unit Savings Calculations'!$G410</f>
        <v>1</v>
      </c>
      <c r="S414" s="299">
        <f>'Unit Savings Calculations'!$G410</f>
        <v>1</v>
      </c>
      <c r="T414" s="299">
        <f>'Unit Savings Calculations'!$G410</f>
        <v>1</v>
      </c>
      <c r="U414" s="299">
        <f>'Unit Savings Calculations'!$G410</f>
        <v>1</v>
      </c>
      <c r="V414" s="300">
        <f t="shared" ref="V414:V425" si="193">H414*N414*R414</f>
        <v>0</v>
      </c>
      <c r="W414" s="300">
        <f t="shared" ref="W414:W425" si="194">I414*O414*S414</f>
        <v>0</v>
      </c>
      <c r="X414" s="300">
        <f t="shared" ref="X414:X425" si="195">J414*P414*T414</f>
        <v>0</v>
      </c>
      <c r="Y414" s="300">
        <f t="shared" ref="Y414:Y425" si="196">K414*Q414*U414</f>
        <v>0</v>
      </c>
      <c r="Z414" s="300">
        <f t="shared" ref="Z414:Z425" si="197">V414+W414+X414+Y414</f>
        <v>0</v>
      </c>
      <c r="AA414" s="406"/>
      <c r="AB414" s="406"/>
      <c r="AC414" s="409">
        <f>'Unit Savings Calculations'!N410</f>
        <v>1000</v>
      </c>
      <c r="AD414" s="406"/>
      <c r="AE414" s="407">
        <f t="shared" si="183"/>
        <v>0</v>
      </c>
      <c r="AF414" s="408">
        <f t="shared" si="184"/>
        <v>0</v>
      </c>
      <c r="AG414" s="406"/>
      <c r="AH414" s="406">
        <f t="shared" si="185"/>
        <v>0</v>
      </c>
      <c r="AI414" s="409">
        <f>'Unit Savings Calculations'!O410</f>
        <v>1000</v>
      </c>
      <c r="AJ414" s="457" t="s">
        <v>879</v>
      </c>
      <c r="AK414" s="407">
        <f t="shared" si="186"/>
        <v>0</v>
      </c>
      <c r="AL414" s="408">
        <f t="shared" si="187"/>
        <v>0</v>
      </c>
      <c r="AM414" s="406"/>
      <c r="AN414" s="406"/>
      <c r="AO414" s="409">
        <f>'Unit Savings Calculations'!P410</f>
        <v>1000</v>
      </c>
      <c r="AP414" s="457" t="s">
        <v>764</v>
      </c>
      <c r="AQ414" s="407">
        <f t="shared" si="188"/>
        <v>0</v>
      </c>
      <c r="AR414" s="408">
        <f t="shared" si="189"/>
        <v>0</v>
      </c>
      <c r="AS414" s="406"/>
      <c r="AT414" s="406"/>
      <c r="AU414" s="409">
        <f>'Unit Savings Calculations'!Q410</f>
        <v>1000</v>
      </c>
      <c r="AV414" s="457" t="str">
        <f t="shared" si="176"/>
        <v>n/a</v>
      </c>
      <c r="AW414" s="407">
        <f t="shared" si="190"/>
        <v>0</v>
      </c>
      <c r="AX414" s="408">
        <f t="shared" si="191"/>
        <v>0</v>
      </c>
      <c r="AY414" s="300">
        <f t="shared" si="177"/>
        <v>0</v>
      </c>
      <c r="AZ414" s="300">
        <f t="shared" si="178"/>
        <v>0</v>
      </c>
      <c r="BA414" s="300">
        <f t="shared" si="179"/>
        <v>0</v>
      </c>
      <c r="BB414" s="300">
        <f t="shared" si="180"/>
        <v>0</v>
      </c>
      <c r="BC414" s="301">
        <f t="shared" si="181"/>
        <v>0</v>
      </c>
      <c r="BD414" s="295" t="s">
        <v>764</v>
      </c>
      <c r="BE414" s="302" t="str">
        <f t="shared" si="182"/>
        <v>Custom</v>
      </c>
      <c r="BF414" s="304"/>
    </row>
    <row r="415" spans="1:58" ht="15.75" customHeight="1">
      <c r="A415" s="295" t="str">
        <f>'Unit Savings Calculations'!C411</f>
        <v>Low Income - MF Retrofit</v>
      </c>
      <c r="B415" s="295" t="str">
        <f>'Unit Savings Calculations'!D411</f>
        <v>Steam Trap</v>
      </c>
      <c r="C415" s="296">
        <f t="shared" si="192"/>
        <v>0</v>
      </c>
      <c r="D415" s="295" t="str">
        <f>'Unit Savings Calculations'!T411</f>
        <v>Custom</v>
      </c>
      <c r="E415" s="460">
        <f>INDEX('Unit Savings Calculations'!$H$4:$H$421,MATCH('Measure-Level Adjustments Tab'!$A415&amp;"_"&amp;'Measure-Level Adjustments Tab'!$B415,'Unit Savings Calculations'!$A$4:$A$421,0))</f>
        <v>6</v>
      </c>
      <c r="F415" s="460">
        <f>INDEX('Unit Savings Calculations'!$I$4:$I$421,MATCH('Measure-Level Adjustments Tab'!A415&amp;"_"&amp;'Measure-Level Adjustments Tab'!B415,'Unit Savings Calculations'!$A$4:$A$421,0))</f>
        <v>6</v>
      </c>
      <c r="G415" s="295" t="str">
        <f>'Unit Savings Calculations'!E411</f>
        <v>each</v>
      </c>
      <c r="H415" s="297">
        <f>'Unit Savings Calculations'!$F411*'Unit Savings Calculations'!J411</f>
        <v>75</v>
      </c>
      <c r="I415" s="297">
        <f>'Unit Savings Calculations'!$F411*'Unit Savings Calculations'!K411</f>
        <v>75</v>
      </c>
      <c r="J415" s="297">
        <f>'Unit Savings Calculations'!$F411*'Unit Savings Calculations'!L411</f>
        <v>75</v>
      </c>
      <c r="K415" s="297">
        <f>'Unit Savings Calculations'!$F411*'Unit Savings Calculations'!M411</f>
        <v>75</v>
      </c>
      <c r="L415" s="295" t="str">
        <f>'Unit Savings Calculations'!U411</f>
        <v>Custom</v>
      </c>
      <c r="M415" s="405" t="str">
        <f>'Unit Savings Calculations'!R411</f>
        <v>Custom</v>
      </c>
      <c r="N415" s="298">
        <v>110</v>
      </c>
      <c r="O415" s="298">
        <v>110</v>
      </c>
      <c r="P415" s="298">
        <v>110</v>
      </c>
      <c r="Q415" s="298">
        <v>110</v>
      </c>
      <c r="R415" s="299">
        <f>'Unit Savings Calculations'!$G411</f>
        <v>1</v>
      </c>
      <c r="S415" s="299">
        <f>'Unit Savings Calculations'!$G411</f>
        <v>1</v>
      </c>
      <c r="T415" s="299">
        <f>'Unit Savings Calculations'!$G411</f>
        <v>1</v>
      </c>
      <c r="U415" s="299">
        <f>'Unit Savings Calculations'!$G411</f>
        <v>1</v>
      </c>
      <c r="V415" s="300">
        <f t="shared" si="193"/>
        <v>8250</v>
      </c>
      <c r="W415" s="300">
        <f t="shared" si="194"/>
        <v>8250</v>
      </c>
      <c r="X415" s="300">
        <f t="shared" si="195"/>
        <v>8250</v>
      </c>
      <c r="Y415" s="300">
        <f t="shared" si="196"/>
        <v>8250</v>
      </c>
      <c r="Z415" s="300">
        <f t="shared" si="197"/>
        <v>33000</v>
      </c>
      <c r="AA415" s="406"/>
      <c r="AB415" s="406"/>
      <c r="AC415" s="409">
        <f>'Unit Savings Calculations'!N411</f>
        <v>110</v>
      </c>
      <c r="AD415" s="406"/>
      <c r="AE415" s="407">
        <f t="shared" si="183"/>
        <v>8250</v>
      </c>
      <c r="AF415" s="408">
        <f t="shared" si="184"/>
        <v>0</v>
      </c>
      <c r="AG415" s="406"/>
      <c r="AH415" s="406">
        <f t="shared" si="185"/>
        <v>0</v>
      </c>
      <c r="AI415" s="409">
        <f>'Unit Savings Calculations'!O411</f>
        <v>110</v>
      </c>
      <c r="AJ415" s="457" t="s">
        <v>879</v>
      </c>
      <c r="AK415" s="407">
        <f t="shared" si="186"/>
        <v>8250</v>
      </c>
      <c r="AL415" s="408">
        <f t="shared" si="187"/>
        <v>0</v>
      </c>
      <c r="AM415" s="406"/>
      <c r="AN415" s="406"/>
      <c r="AO415" s="409">
        <f>'Unit Savings Calculations'!P411</f>
        <v>110</v>
      </c>
      <c r="AP415" s="457" t="s">
        <v>764</v>
      </c>
      <c r="AQ415" s="407">
        <f t="shared" si="188"/>
        <v>8250</v>
      </c>
      <c r="AR415" s="408">
        <f t="shared" si="189"/>
        <v>0</v>
      </c>
      <c r="AS415" s="406"/>
      <c r="AT415" s="406"/>
      <c r="AU415" s="409">
        <f>'Unit Savings Calculations'!Q411</f>
        <v>110</v>
      </c>
      <c r="AV415" s="457" t="str">
        <f t="shared" si="176"/>
        <v>n/a</v>
      </c>
      <c r="AW415" s="407">
        <f t="shared" si="190"/>
        <v>8250</v>
      </c>
      <c r="AX415" s="408">
        <f t="shared" si="191"/>
        <v>0</v>
      </c>
      <c r="AY415" s="300">
        <f t="shared" si="177"/>
        <v>8250</v>
      </c>
      <c r="AZ415" s="300">
        <f t="shared" si="178"/>
        <v>8250</v>
      </c>
      <c r="BA415" s="300">
        <f t="shared" si="179"/>
        <v>8250</v>
      </c>
      <c r="BB415" s="300">
        <f t="shared" si="180"/>
        <v>8250</v>
      </c>
      <c r="BC415" s="301">
        <f t="shared" si="181"/>
        <v>33000</v>
      </c>
      <c r="BD415" s="295" t="s">
        <v>764</v>
      </c>
      <c r="BE415" s="302" t="str">
        <f t="shared" si="182"/>
        <v>Custom</v>
      </c>
      <c r="BF415" s="304"/>
    </row>
    <row r="416" spans="1:58" ht="15.75" customHeight="1">
      <c r="A416" s="295" t="str">
        <f>'Unit Savings Calculations'!C412</f>
        <v>Low Income - MF Retrofit</v>
      </c>
      <c r="B416" s="295" t="str">
        <f>'Unit Savings Calculations'!D412</f>
        <v>Controls for Central DHW Pumps</v>
      </c>
      <c r="C416" s="296">
        <f t="shared" si="192"/>
        <v>0</v>
      </c>
      <c r="D416" s="295" t="str">
        <f>'Unit Savings Calculations'!T412</f>
        <v>Custom</v>
      </c>
      <c r="E416" s="460">
        <f>INDEX('Unit Savings Calculations'!$H$4:$H$421,MATCH('Measure-Level Adjustments Tab'!$A416&amp;"_"&amp;'Measure-Level Adjustments Tab'!$B416,'Unit Savings Calculations'!$A$4:$A$421,0))</f>
        <v>15</v>
      </c>
      <c r="F416" s="460">
        <f>INDEX('Unit Savings Calculations'!$I$4:$I$421,MATCH('Measure-Level Adjustments Tab'!A416&amp;"_"&amp;'Measure-Level Adjustments Tab'!B416,'Unit Savings Calculations'!$A$4:$A$421,0))</f>
        <v>15</v>
      </c>
      <c r="G416" s="295" t="str">
        <f>'Unit Savings Calculations'!E412</f>
        <v>each</v>
      </c>
      <c r="H416" s="297">
        <f>'Unit Savings Calculations'!$F412*'Unit Savings Calculations'!J412</f>
        <v>1</v>
      </c>
      <c r="I416" s="297">
        <f>'Unit Savings Calculations'!$F412*'Unit Savings Calculations'!K412</f>
        <v>1</v>
      </c>
      <c r="J416" s="297">
        <f>'Unit Savings Calculations'!$F412*'Unit Savings Calculations'!L412</f>
        <v>1</v>
      </c>
      <c r="K416" s="297">
        <f>'Unit Savings Calculations'!$F412*'Unit Savings Calculations'!M412</f>
        <v>1</v>
      </c>
      <c r="L416" s="295" t="str">
        <f>'Unit Savings Calculations'!U412</f>
        <v>Custom</v>
      </c>
      <c r="M416" s="405" t="str">
        <f>'Unit Savings Calculations'!R412</f>
        <v>Custom</v>
      </c>
      <c r="N416" s="298">
        <v>1300</v>
      </c>
      <c r="O416" s="298">
        <v>1300</v>
      </c>
      <c r="P416" s="298">
        <v>1300</v>
      </c>
      <c r="Q416" s="298">
        <v>1300</v>
      </c>
      <c r="R416" s="299">
        <f>'Unit Savings Calculations'!$G412</f>
        <v>1</v>
      </c>
      <c r="S416" s="299">
        <f>'Unit Savings Calculations'!$G412</f>
        <v>1</v>
      </c>
      <c r="T416" s="299">
        <f>'Unit Savings Calculations'!$G412</f>
        <v>1</v>
      </c>
      <c r="U416" s="299">
        <f>'Unit Savings Calculations'!$G412</f>
        <v>1</v>
      </c>
      <c r="V416" s="300">
        <f t="shared" si="193"/>
        <v>1300</v>
      </c>
      <c r="W416" s="300">
        <f t="shared" si="194"/>
        <v>1300</v>
      </c>
      <c r="X416" s="300">
        <f t="shared" si="195"/>
        <v>1300</v>
      </c>
      <c r="Y416" s="300">
        <f t="shared" si="196"/>
        <v>1300</v>
      </c>
      <c r="Z416" s="300">
        <f t="shared" si="197"/>
        <v>5200</v>
      </c>
      <c r="AA416" s="406"/>
      <c r="AB416" s="406"/>
      <c r="AC416" s="409">
        <f>'Unit Savings Calculations'!N412</f>
        <v>1300</v>
      </c>
      <c r="AD416" s="406"/>
      <c r="AE416" s="407">
        <f t="shared" si="183"/>
        <v>1300</v>
      </c>
      <c r="AF416" s="408">
        <f t="shared" si="184"/>
        <v>0</v>
      </c>
      <c r="AG416" s="406"/>
      <c r="AH416" s="406">
        <f t="shared" si="185"/>
        <v>0</v>
      </c>
      <c r="AI416" s="409">
        <f>'Unit Savings Calculations'!O412</f>
        <v>1300</v>
      </c>
      <c r="AJ416" s="457" t="s">
        <v>879</v>
      </c>
      <c r="AK416" s="407">
        <f t="shared" si="186"/>
        <v>1300</v>
      </c>
      <c r="AL416" s="408">
        <f t="shared" si="187"/>
        <v>0</v>
      </c>
      <c r="AM416" s="406"/>
      <c r="AN416" s="406"/>
      <c r="AO416" s="409">
        <f>'Unit Savings Calculations'!P412</f>
        <v>1300</v>
      </c>
      <c r="AP416" s="457" t="s">
        <v>764</v>
      </c>
      <c r="AQ416" s="407">
        <f t="shared" si="188"/>
        <v>1300</v>
      </c>
      <c r="AR416" s="408">
        <f t="shared" si="189"/>
        <v>0</v>
      </c>
      <c r="AS416" s="406"/>
      <c r="AT416" s="406"/>
      <c r="AU416" s="409">
        <f>'Unit Savings Calculations'!Q412</f>
        <v>1300</v>
      </c>
      <c r="AV416" s="457" t="str">
        <f t="shared" si="176"/>
        <v>n/a</v>
      </c>
      <c r="AW416" s="407">
        <f t="shared" si="190"/>
        <v>1300</v>
      </c>
      <c r="AX416" s="408">
        <f t="shared" si="191"/>
        <v>0</v>
      </c>
      <c r="AY416" s="300">
        <f t="shared" si="177"/>
        <v>1300</v>
      </c>
      <c r="AZ416" s="300">
        <f t="shared" si="178"/>
        <v>1300</v>
      </c>
      <c r="BA416" s="300">
        <f t="shared" si="179"/>
        <v>1300</v>
      </c>
      <c r="BB416" s="300">
        <f t="shared" si="180"/>
        <v>1300</v>
      </c>
      <c r="BC416" s="301">
        <f t="shared" si="181"/>
        <v>5200</v>
      </c>
      <c r="BD416" s="295" t="s">
        <v>764</v>
      </c>
      <c r="BE416" s="302" t="str">
        <f t="shared" si="182"/>
        <v>Custom</v>
      </c>
      <c r="BF416" s="304"/>
    </row>
    <row r="417" spans="1:58" ht="15.75" customHeight="1">
      <c r="A417" s="295" t="str">
        <f>'Unit Savings Calculations'!C413</f>
        <v>Low Income - MF Retrofit</v>
      </c>
      <c r="B417" s="295" t="str">
        <f>'Unit Savings Calculations'!D413</f>
        <v>Steam Boiler Averaging Controls</v>
      </c>
      <c r="C417" s="296">
        <f t="shared" si="192"/>
        <v>0</v>
      </c>
      <c r="D417" s="295" t="str">
        <f>'Unit Savings Calculations'!T413</f>
        <v>Custom</v>
      </c>
      <c r="E417" s="460">
        <f>INDEX('Unit Savings Calculations'!$H$4:$H$421,MATCH('Measure-Level Adjustments Tab'!$A417&amp;"_"&amp;'Measure-Level Adjustments Tab'!$B417,'Unit Savings Calculations'!$A$4:$A$421,0))</f>
        <v>15</v>
      </c>
      <c r="F417" s="460">
        <f>INDEX('Unit Savings Calculations'!$I$4:$I$421,MATCH('Measure-Level Adjustments Tab'!A417&amp;"_"&amp;'Measure-Level Adjustments Tab'!B417,'Unit Savings Calculations'!$A$4:$A$421,0))</f>
        <v>15</v>
      </c>
      <c r="G417" s="295" t="str">
        <f>'Unit Savings Calculations'!E413</f>
        <v>each</v>
      </c>
      <c r="H417" s="297">
        <f>'Unit Savings Calculations'!$F413*'Unit Savings Calculations'!J413</f>
        <v>1</v>
      </c>
      <c r="I417" s="297">
        <f>'Unit Savings Calculations'!$F413*'Unit Savings Calculations'!K413</f>
        <v>1</v>
      </c>
      <c r="J417" s="297">
        <f>'Unit Savings Calculations'!$F413*'Unit Savings Calculations'!L413</f>
        <v>1</v>
      </c>
      <c r="K417" s="297">
        <f>'Unit Savings Calculations'!$F413*'Unit Savings Calculations'!M413</f>
        <v>1</v>
      </c>
      <c r="L417" s="295" t="str">
        <f>'Unit Savings Calculations'!U413</f>
        <v>Custom</v>
      </c>
      <c r="M417" s="405" t="str">
        <f>'Unit Savings Calculations'!R413</f>
        <v>Custom</v>
      </c>
      <c r="N417" s="298">
        <v>1200</v>
      </c>
      <c r="O417" s="298">
        <v>1200</v>
      </c>
      <c r="P417" s="298">
        <v>1200</v>
      </c>
      <c r="Q417" s="298">
        <v>1200</v>
      </c>
      <c r="R417" s="299">
        <f>'Unit Savings Calculations'!$G413</f>
        <v>1</v>
      </c>
      <c r="S417" s="299">
        <f>'Unit Savings Calculations'!$G413</f>
        <v>1</v>
      </c>
      <c r="T417" s="299">
        <f>'Unit Savings Calculations'!$G413</f>
        <v>1</v>
      </c>
      <c r="U417" s="299">
        <f>'Unit Savings Calculations'!$G413</f>
        <v>1</v>
      </c>
      <c r="V417" s="300">
        <f t="shared" si="193"/>
        <v>1200</v>
      </c>
      <c r="W417" s="300">
        <f t="shared" si="194"/>
        <v>1200</v>
      </c>
      <c r="X417" s="300">
        <f t="shared" si="195"/>
        <v>1200</v>
      </c>
      <c r="Y417" s="300">
        <f t="shared" si="196"/>
        <v>1200</v>
      </c>
      <c r="Z417" s="300">
        <f t="shared" si="197"/>
        <v>4800</v>
      </c>
      <c r="AA417" s="406"/>
      <c r="AB417" s="406"/>
      <c r="AC417" s="409">
        <f>'Unit Savings Calculations'!N413</f>
        <v>1200</v>
      </c>
      <c r="AD417" s="406"/>
      <c r="AE417" s="407">
        <f t="shared" si="183"/>
        <v>1200</v>
      </c>
      <c r="AF417" s="408">
        <f t="shared" si="184"/>
        <v>0</v>
      </c>
      <c r="AG417" s="406"/>
      <c r="AH417" s="406">
        <f t="shared" si="185"/>
        <v>0</v>
      </c>
      <c r="AI417" s="409">
        <f>'Unit Savings Calculations'!O413</f>
        <v>1200</v>
      </c>
      <c r="AJ417" s="457" t="s">
        <v>879</v>
      </c>
      <c r="AK417" s="407">
        <f t="shared" si="186"/>
        <v>1200</v>
      </c>
      <c r="AL417" s="408">
        <f t="shared" si="187"/>
        <v>0</v>
      </c>
      <c r="AM417" s="406"/>
      <c r="AN417" s="406"/>
      <c r="AO417" s="409">
        <f>'Unit Savings Calculations'!P413</f>
        <v>1200</v>
      </c>
      <c r="AP417" s="457" t="s">
        <v>764</v>
      </c>
      <c r="AQ417" s="407">
        <f t="shared" si="188"/>
        <v>1200</v>
      </c>
      <c r="AR417" s="408">
        <f t="shared" si="189"/>
        <v>0</v>
      </c>
      <c r="AS417" s="406"/>
      <c r="AT417" s="406"/>
      <c r="AU417" s="409">
        <f>'Unit Savings Calculations'!Q413</f>
        <v>1200</v>
      </c>
      <c r="AV417" s="457" t="str">
        <f t="shared" si="176"/>
        <v>n/a</v>
      </c>
      <c r="AW417" s="407">
        <f t="shared" si="190"/>
        <v>1200</v>
      </c>
      <c r="AX417" s="408">
        <f t="shared" si="191"/>
        <v>0</v>
      </c>
      <c r="AY417" s="300">
        <f t="shared" si="177"/>
        <v>1200</v>
      </c>
      <c r="AZ417" s="300">
        <f t="shared" si="178"/>
        <v>1200</v>
      </c>
      <c r="BA417" s="300">
        <f t="shared" si="179"/>
        <v>1200</v>
      </c>
      <c r="BB417" s="300">
        <f t="shared" si="180"/>
        <v>1200</v>
      </c>
      <c r="BC417" s="301">
        <f t="shared" si="181"/>
        <v>4800</v>
      </c>
      <c r="BD417" s="295" t="s">
        <v>764</v>
      </c>
      <c r="BE417" s="302" t="str">
        <f t="shared" si="182"/>
        <v>Custom</v>
      </c>
      <c r="BF417" s="304"/>
    </row>
    <row r="418" spans="1:58" ht="15.75" customHeight="1">
      <c r="A418" s="295" t="str">
        <f>'Unit Savings Calculations'!C414</f>
        <v>Low Income - MF Retrofit</v>
      </c>
      <c r="B418" s="295" t="str">
        <f>'Unit Savings Calculations'!D414</f>
        <v>Boiler Replacement</v>
      </c>
      <c r="C418" s="296">
        <f t="shared" si="192"/>
        <v>0</v>
      </c>
      <c r="D418" s="295" t="str">
        <f>'Unit Savings Calculations'!T414</f>
        <v>Custom</v>
      </c>
      <c r="E418" s="460">
        <f>INDEX('Unit Savings Calculations'!$H$4:$H$421,MATCH('Measure-Level Adjustments Tab'!$A418&amp;"_"&amp;'Measure-Level Adjustments Tab'!$B418,'Unit Savings Calculations'!$A$4:$A$421,0))</f>
        <v>20</v>
      </c>
      <c r="F418" s="460">
        <f>INDEX('Unit Savings Calculations'!$I$4:$I$421,MATCH('Measure-Level Adjustments Tab'!A418&amp;"_"&amp;'Measure-Level Adjustments Tab'!B418,'Unit Savings Calculations'!$A$4:$A$421,0))</f>
        <v>20</v>
      </c>
      <c r="G418" s="295" t="str">
        <f>'Unit Savings Calculations'!E414</f>
        <v>each</v>
      </c>
      <c r="H418" s="297">
        <f>'Unit Savings Calculations'!$F414*'Unit Savings Calculations'!J414</f>
        <v>1</v>
      </c>
      <c r="I418" s="297">
        <f>'Unit Savings Calculations'!$F414*'Unit Savings Calculations'!K414</f>
        <v>1</v>
      </c>
      <c r="J418" s="297">
        <f>'Unit Savings Calculations'!$F414*'Unit Savings Calculations'!L414</f>
        <v>1</v>
      </c>
      <c r="K418" s="297">
        <f>'Unit Savings Calculations'!$F414*'Unit Savings Calculations'!M414</f>
        <v>1</v>
      </c>
      <c r="L418" s="295" t="str">
        <f>'Unit Savings Calculations'!U414</f>
        <v>Custom</v>
      </c>
      <c r="M418" s="405" t="str">
        <f>'Unit Savings Calculations'!R414</f>
        <v>Custom</v>
      </c>
      <c r="N418" s="298">
        <v>1300</v>
      </c>
      <c r="O418" s="298">
        <v>1300</v>
      </c>
      <c r="P418" s="298">
        <v>1300</v>
      </c>
      <c r="Q418" s="298">
        <v>1300</v>
      </c>
      <c r="R418" s="299">
        <f>'Unit Savings Calculations'!$G414</f>
        <v>1</v>
      </c>
      <c r="S418" s="299">
        <f>'Unit Savings Calculations'!$G414</f>
        <v>1</v>
      </c>
      <c r="T418" s="299">
        <f>'Unit Savings Calculations'!$G414</f>
        <v>1</v>
      </c>
      <c r="U418" s="299">
        <f>'Unit Savings Calculations'!$G414</f>
        <v>1</v>
      </c>
      <c r="V418" s="300">
        <f t="shared" si="193"/>
        <v>1300</v>
      </c>
      <c r="W418" s="300">
        <f t="shared" si="194"/>
        <v>1300</v>
      </c>
      <c r="X418" s="300">
        <f t="shared" si="195"/>
        <v>1300</v>
      </c>
      <c r="Y418" s="300">
        <f t="shared" si="196"/>
        <v>1300</v>
      </c>
      <c r="Z418" s="300">
        <f t="shared" si="197"/>
        <v>5200</v>
      </c>
      <c r="AA418" s="406"/>
      <c r="AB418" s="406"/>
      <c r="AC418" s="409">
        <f>'Unit Savings Calculations'!N414</f>
        <v>1300</v>
      </c>
      <c r="AD418" s="406"/>
      <c r="AE418" s="407">
        <f t="shared" si="183"/>
        <v>1300</v>
      </c>
      <c r="AF418" s="408">
        <f t="shared" si="184"/>
        <v>0</v>
      </c>
      <c r="AG418" s="406"/>
      <c r="AH418" s="406">
        <f t="shared" si="185"/>
        <v>0</v>
      </c>
      <c r="AI418" s="409">
        <f>'Unit Savings Calculations'!O414</f>
        <v>1300</v>
      </c>
      <c r="AJ418" s="457" t="s">
        <v>879</v>
      </c>
      <c r="AK418" s="407">
        <f t="shared" si="186"/>
        <v>1300</v>
      </c>
      <c r="AL418" s="408">
        <f t="shared" si="187"/>
        <v>0</v>
      </c>
      <c r="AM418" s="406"/>
      <c r="AN418" s="406"/>
      <c r="AO418" s="409">
        <f>'Unit Savings Calculations'!P414</f>
        <v>1300</v>
      </c>
      <c r="AP418" s="457" t="s">
        <v>764</v>
      </c>
      <c r="AQ418" s="407">
        <f t="shared" si="188"/>
        <v>1300</v>
      </c>
      <c r="AR418" s="408">
        <f t="shared" si="189"/>
        <v>0</v>
      </c>
      <c r="AS418" s="406"/>
      <c r="AT418" s="406"/>
      <c r="AU418" s="409">
        <f>'Unit Savings Calculations'!Q414</f>
        <v>1300</v>
      </c>
      <c r="AV418" s="457" t="str">
        <f t="shared" si="176"/>
        <v>n/a</v>
      </c>
      <c r="AW418" s="407">
        <f t="shared" si="190"/>
        <v>1300</v>
      </c>
      <c r="AX418" s="408">
        <f t="shared" si="191"/>
        <v>0</v>
      </c>
      <c r="AY418" s="300">
        <f t="shared" si="177"/>
        <v>1300</v>
      </c>
      <c r="AZ418" s="300">
        <f t="shared" si="178"/>
        <v>1300</v>
      </c>
      <c r="BA418" s="300">
        <f t="shared" si="179"/>
        <v>1300</v>
      </c>
      <c r="BB418" s="300">
        <f t="shared" si="180"/>
        <v>1300</v>
      </c>
      <c r="BC418" s="301">
        <f t="shared" si="181"/>
        <v>5200</v>
      </c>
      <c r="BD418" s="295" t="s">
        <v>764</v>
      </c>
      <c r="BE418" s="302" t="str">
        <f t="shared" si="182"/>
        <v>Custom</v>
      </c>
      <c r="BF418" s="304"/>
    </row>
    <row r="419" spans="1:58" ht="15.75" customHeight="1">
      <c r="A419" s="295" t="str">
        <f>'Unit Savings Calculations'!C415</f>
        <v>Low Income - MF Retrofit</v>
      </c>
      <c r="B419" s="295" t="str">
        <f>'Unit Savings Calculations'!D415</f>
        <v>DHW Replacement</v>
      </c>
      <c r="C419" s="296">
        <f t="shared" si="192"/>
        <v>0</v>
      </c>
      <c r="D419" s="295" t="str">
        <f>'Unit Savings Calculations'!T415</f>
        <v>Custom</v>
      </c>
      <c r="E419" s="460">
        <f>INDEX('Unit Savings Calculations'!$H$4:$H$421,MATCH('Measure-Level Adjustments Tab'!$A419&amp;"_"&amp;'Measure-Level Adjustments Tab'!$B419,'Unit Savings Calculations'!$A$4:$A$421,0))</f>
        <v>15</v>
      </c>
      <c r="F419" s="460">
        <f>INDEX('Unit Savings Calculations'!$I$4:$I$421,MATCH('Measure-Level Adjustments Tab'!A419&amp;"_"&amp;'Measure-Level Adjustments Tab'!B419,'Unit Savings Calculations'!$A$4:$A$421,0))</f>
        <v>15</v>
      </c>
      <c r="G419" s="295" t="str">
        <f>'Unit Savings Calculations'!E415</f>
        <v>each</v>
      </c>
      <c r="H419" s="297">
        <f>'Unit Savings Calculations'!$F415*'Unit Savings Calculations'!J415</f>
        <v>1</v>
      </c>
      <c r="I419" s="297">
        <f>'Unit Savings Calculations'!$F415*'Unit Savings Calculations'!K415</f>
        <v>1</v>
      </c>
      <c r="J419" s="297">
        <f>'Unit Savings Calculations'!$F415*'Unit Savings Calculations'!L415</f>
        <v>1</v>
      </c>
      <c r="K419" s="297">
        <f>'Unit Savings Calculations'!$F415*'Unit Savings Calculations'!M415</f>
        <v>1</v>
      </c>
      <c r="L419" s="295" t="str">
        <f>'Unit Savings Calculations'!U415</f>
        <v>Custom</v>
      </c>
      <c r="M419" s="405" t="str">
        <f>'Unit Savings Calculations'!R415</f>
        <v>Custom</v>
      </c>
      <c r="N419" s="298">
        <v>800</v>
      </c>
      <c r="O419" s="298">
        <v>800</v>
      </c>
      <c r="P419" s="298">
        <v>800</v>
      </c>
      <c r="Q419" s="298">
        <v>800</v>
      </c>
      <c r="R419" s="299">
        <f>'Unit Savings Calculations'!$G415</f>
        <v>1</v>
      </c>
      <c r="S419" s="299">
        <f>'Unit Savings Calculations'!$G415</f>
        <v>1</v>
      </c>
      <c r="T419" s="299">
        <f>'Unit Savings Calculations'!$G415</f>
        <v>1</v>
      </c>
      <c r="U419" s="299">
        <f>'Unit Savings Calculations'!$G415</f>
        <v>1</v>
      </c>
      <c r="V419" s="300">
        <f t="shared" si="193"/>
        <v>800</v>
      </c>
      <c r="W419" s="300">
        <f t="shared" si="194"/>
        <v>800</v>
      </c>
      <c r="X419" s="300">
        <f t="shared" si="195"/>
        <v>800</v>
      </c>
      <c r="Y419" s="300">
        <f t="shared" si="196"/>
        <v>800</v>
      </c>
      <c r="Z419" s="300">
        <f t="shared" si="197"/>
        <v>3200</v>
      </c>
      <c r="AA419" s="406"/>
      <c r="AB419" s="406"/>
      <c r="AC419" s="409">
        <f>'Unit Savings Calculations'!N415</f>
        <v>800</v>
      </c>
      <c r="AD419" s="406"/>
      <c r="AE419" s="407">
        <f t="shared" si="183"/>
        <v>800</v>
      </c>
      <c r="AF419" s="408">
        <f t="shared" si="184"/>
        <v>0</v>
      </c>
      <c r="AG419" s="406"/>
      <c r="AH419" s="406">
        <f t="shared" si="185"/>
        <v>0</v>
      </c>
      <c r="AI419" s="409">
        <f>'Unit Savings Calculations'!O415</f>
        <v>800</v>
      </c>
      <c r="AJ419" s="457" t="s">
        <v>879</v>
      </c>
      <c r="AK419" s="407">
        <f t="shared" si="186"/>
        <v>800</v>
      </c>
      <c r="AL419" s="408">
        <f t="shared" si="187"/>
        <v>0</v>
      </c>
      <c r="AM419" s="406"/>
      <c r="AN419" s="406"/>
      <c r="AO419" s="409">
        <f>'Unit Savings Calculations'!P415</f>
        <v>800</v>
      </c>
      <c r="AP419" s="457" t="s">
        <v>764</v>
      </c>
      <c r="AQ419" s="407">
        <f t="shared" si="188"/>
        <v>800</v>
      </c>
      <c r="AR419" s="408">
        <f t="shared" si="189"/>
        <v>0</v>
      </c>
      <c r="AS419" s="406"/>
      <c r="AT419" s="406"/>
      <c r="AU419" s="409">
        <f>'Unit Savings Calculations'!Q415</f>
        <v>800</v>
      </c>
      <c r="AV419" s="457" t="str">
        <f t="shared" si="176"/>
        <v>n/a</v>
      </c>
      <c r="AW419" s="407">
        <f t="shared" si="190"/>
        <v>800</v>
      </c>
      <c r="AX419" s="408">
        <f t="shared" si="191"/>
        <v>0</v>
      </c>
      <c r="AY419" s="300">
        <f t="shared" si="177"/>
        <v>800</v>
      </c>
      <c r="AZ419" s="300">
        <f t="shared" si="178"/>
        <v>800</v>
      </c>
      <c r="BA419" s="300">
        <f t="shared" si="179"/>
        <v>800</v>
      </c>
      <c r="BB419" s="300">
        <f t="shared" si="180"/>
        <v>800</v>
      </c>
      <c r="BC419" s="301">
        <f t="shared" si="181"/>
        <v>3200</v>
      </c>
      <c r="BD419" s="295" t="s">
        <v>764</v>
      </c>
      <c r="BE419" s="302" t="str">
        <f t="shared" si="182"/>
        <v>Custom</v>
      </c>
      <c r="BF419" s="304"/>
    </row>
    <row r="420" spans="1:58" ht="15.75" customHeight="1">
      <c r="A420" s="295" t="str">
        <f>'Unit Savings Calculations'!C416</f>
        <v>Low Income - MF Retrofit</v>
      </c>
      <c r="B420" s="295" t="str">
        <f>'Unit Savings Calculations'!D416</f>
        <v>HVAC Balancing/Optimizing</v>
      </c>
      <c r="C420" s="296">
        <f t="shared" si="192"/>
        <v>0</v>
      </c>
      <c r="D420" s="295" t="str">
        <f>'Unit Savings Calculations'!T416</f>
        <v>Custom</v>
      </c>
      <c r="E420" s="460">
        <f>INDEX('Unit Savings Calculations'!$H$4:$H$421,MATCH('Measure-Level Adjustments Tab'!$A420&amp;"_"&amp;'Measure-Level Adjustments Tab'!$B420,'Unit Savings Calculations'!$A$4:$A$421,0))</f>
        <v>15</v>
      </c>
      <c r="F420" s="460">
        <f>INDEX('Unit Savings Calculations'!$I$4:$I$421,MATCH('Measure-Level Adjustments Tab'!A420&amp;"_"&amp;'Measure-Level Adjustments Tab'!B420,'Unit Savings Calculations'!$A$4:$A$421,0))</f>
        <v>15</v>
      </c>
      <c r="G420" s="295" t="str">
        <f>'Unit Savings Calculations'!E416</f>
        <v>each</v>
      </c>
      <c r="H420" s="297">
        <f>'Unit Savings Calculations'!$F416*'Unit Savings Calculations'!J416</f>
        <v>1</v>
      </c>
      <c r="I420" s="297">
        <f>'Unit Savings Calculations'!$F416*'Unit Savings Calculations'!K416</f>
        <v>1</v>
      </c>
      <c r="J420" s="297">
        <f>'Unit Savings Calculations'!$F416*'Unit Savings Calculations'!L416</f>
        <v>1</v>
      </c>
      <c r="K420" s="297">
        <f>'Unit Savings Calculations'!$F416*'Unit Savings Calculations'!M416</f>
        <v>1</v>
      </c>
      <c r="L420" s="295" t="str">
        <f>'Unit Savings Calculations'!U416</f>
        <v>Custom</v>
      </c>
      <c r="M420" s="405" t="str">
        <f>'Unit Savings Calculations'!R416</f>
        <v>Custom</v>
      </c>
      <c r="N420" s="298">
        <v>680</v>
      </c>
      <c r="O420" s="298">
        <v>680</v>
      </c>
      <c r="P420" s="298">
        <v>680</v>
      </c>
      <c r="Q420" s="298">
        <v>680</v>
      </c>
      <c r="R420" s="299">
        <f>'Unit Savings Calculations'!$G416</f>
        <v>1</v>
      </c>
      <c r="S420" s="299">
        <f>'Unit Savings Calculations'!$G416</f>
        <v>1</v>
      </c>
      <c r="T420" s="299">
        <f>'Unit Savings Calculations'!$G416</f>
        <v>1</v>
      </c>
      <c r="U420" s="299">
        <f>'Unit Savings Calculations'!$G416</f>
        <v>1</v>
      </c>
      <c r="V420" s="300">
        <f t="shared" si="193"/>
        <v>680</v>
      </c>
      <c r="W420" s="300">
        <f t="shared" si="194"/>
        <v>680</v>
      </c>
      <c r="X420" s="300">
        <f t="shared" si="195"/>
        <v>680</v>
      </c>
      <c r="Y420" s="300">
        <f t="shared" si="196"/>
        <v>680</v>
      </c>
      <c r="Z420" s="300">
        <f t="shared" si="197"/>
        <v>2720</v>
      </c>
      <c r="AA420" s="406"/>
      <c r="AB420" s="406"/>
      <c r="AC420" s="409">
        <f>'Unit Savings Calculations'!N416</f>
        <v>680</v>
      </c>
      <c r="AD420" s="406"/>
      <c r="AE420" s="407">
        <f t="shared" si="183"/>
        <v>680</v>
      </c>
      <c r="AF420" s="408">
        <f t="shared" si="184"/>
        <v>0</v>
      </c>
      <c r="AG420" s="406"/>
      <c r="AH420" s="406">
        <f t="shared" si="185"/>
        <v>0</v>
      </c>
      <c r="AI420" s="409">
        <f>'Unit Savings Calculations'!O416</f>
        <v>680</v>
      </c>
      <c r="AJ420" s="457" t="s">
        <v>879</v>
      </c>
      <c r="AK420" s="407">
        <f t="shared" si="186"/>
        <v>680</v>
      </c>
      <c r="AL420" s="408">
        <f t="shared" si="187"/>
        <v>0</v>
      </c>
      <c r="AM420" s="406"/>
      <c r="AN420" s="406"/>
      <c r="AO420" s="409">
        <f>'Unit Savings Calculations'!P416</f>
        <v>680</v>
      </c>
      <c r="AP420" s="457" t="s">
        <v>764</v>
      </c>
      <c r="AQ420" s="407">
        <f t="shared" si="188"/>
        <v>680</v>
      </c>
      <c r="AR420" s="408">
        <f t="shared" si="189"/>
        <v>0</v>
      </c>
      <c r="AS420" s="406"/>
      <c r="AT420" s="406"/>
      <c r="AU420" s="409">
        <f>'Unit Savings Calculations'!Q416</f>
        <v>680</v>
      </c>
      <c r="AV420" s="457" t="str">
        <f t="shared" si="176"/>
        <v>n/a</v>
      </c>
      <c r="AW420" s="407">
        <f t="shared" si="190"/>
        <v>680</v>
      </c>
      <c r="AX420" s="408">
        <f t="shared" si="191"/>
        <v>0</v>
      </c>
      <c r="AY420" s="300">
        <f t="shared" si="177"/>
        <v>680</v>
      </c>
      <c r="AZ420" s="300">
        <f t="shared" si="178"/>
        <v>680</v>
      </c>
      <c r="BA420" s="300">
        <f t="shared" si="179"/>
        <v>680</v>
      </c>
      <c r="BB420" s="300">
        <f t="shared" si="180"/>
        <v>680</v>
      </c>
      <c r="BC420" s="301">
        <f t="shared" si="181"/>
        <v>2720</v>
      </c>
      <c r="BD420" s="295" t="s">
        <v>764</v>
      </c>
      <c r="BE420" s="302" t="str">
        <f t="shared" si="182"/>
        <v>Custom</v>
      </c>
      <c r="BF420" s="304"/>
    </row>
    <row r="421" spans="1:58" ht="15.75" customHeight="1">
      <c r="A421" s="295" t="str">
        <f>'Unit Savings Calculations'!C417</f>
        <v>Low Income - SF New Construction</v>
      </c>
      <c r="B421" s="295" t="str">
        <f>'Unit Savings Calculations'!D417</f>
        <v>Furnace &gt;95% AFUE</v>
      </c>
      <c r="C421" s="296">
        <f t="shared" si="192"/>
        <v>1</v>
      </c>
      <c r="D421" s="295" t="str">
        <f>'Unit Savings Calculations'!T417</f>
        <v>5.3.7</v>
      </c>
      <c r="E421" s="460">
        <f>INDEX('Unit Savings Calculations'!$H$4:$H$421,MATCH('Measure-Level Adjustments Tab'!$A421&amp;"_"&amp;'Measure-Level Adjustments Tab'!$B421,'Unit Savings Calculations'!$A$4:$A$421,0))</f>
        <v>20</v>
      </c>
      <c r="F421" s="460">
        <f>INDEX('Unit Savings Calculations'!$I$4:$I$421,MATCH('Measure-Level Adjustments Tab'!A421&amp;"_"&amp;'Measure-Level Adjustments Tab'!B421,'Unit Savings Calculations'!$A$4:$A$421,0))</f>
        <v>20</v>
      </c>
      <c r="G421" s="295" t="str">
        <f>'Unit Savings Calculations'!E417</f>
        <v>each</v>
      </c>
      <c r="H421" s="297">
        <f>'Unit Savings Calculations'!$F417*'Unit Savings Calculations'!J417</f>
        <v>0</v>
      </c>
      <c r="I421" s="297">
        <f>'Unit Savings Calculations'!$F417*'Unit Savings Calculations'!K417</f>
        <v>0</v>
      </c>
      <c r="J421" s="297">
        <f>'Unit Savings Calculations'!$F417*'Unit Savings Calculations'!L417</f>
        <v>0</v>
      </c>
      <c r="K421" s="297">
        <f>'Unit Savings Calculations'!$F417*'Unit Savings Calculations'!M417</f>
        <v>0</v>
      </c>
      <c r="L421" s="295" t="str">
        <f>'Unit Savings Calculations'!U417</f>
        <v>RS-HVC-GHEF-V07-180101</v>
      </c>
      <c r="M421" s="405" t="str">
        <f>'Unit Savings Calculations'!R417</f>
        <v>Exhibit 1.5A_R North Shore EEPS_Adjustable_Savings_Goal_Template.xlsx, Unit Savings Calculations Tab</v>
      </c>
      <c r="N421" s="298">
        <v>175.86032388663946</v>
      </c>
      <c r="O421" s="298">
        <v>175.86032388663946</v>
      </c>
      <c r="P421" s="298">
        <v>175.86032388663946</v>
      </c>
      <c r="Q421" s="298">
        <v>175.86032388663946</v>
      </c>
      <c r="R421" s="299">
        <f>'Unit Savings Calculations'!$G417</f>
        <v>1</v>
      </c>
      <c r="S421" s="299">
        <f>'Unit Savings Calculations'!$G417</f>
        <v>1</v>
      </c>
      <c r="T421" s="299">
        <f>'Unit Savings Calculations'!$G417</f>
        <v>1</v>
      </c>
      <c r="U421" s="299">
        <f>'Unit Savings Calculations'!$G417</f>
        <v>1</v>
      </c>
      <c r="V421" s="300">
        <f t="shared" si="193"/>
        <v>0</v>
      </c>
      <c r="W421" s="300">
        <f t="shared" si="194"/>
        <v>0</v>
      </c>
      <c r="X421" s="300">
        <f t="shared" si="195"/>
        <v>0</v>
      </c>
      <c r="Y421" s="300">
        <f t="shared" si="196"/>
        <v>0</v>
      </c>
      <c r="Z421" s="300">
        <f t="shared" si="197"/>
        <v>0</v>
      </c>
      <c r="AA421" s="295"/>
      <c r="AB421" s="295"/>
      <c r="AC421" s="298">
        <f>'Unit Savings Calculations'!N417</f>
        <v>156.41025641025624</v>
      </c>
      <c r="AD421" s="295"/>
      <c r="AE421" s="300">
        <f t="shared" si="183"/>
        <v>0</v>
      </c>
      <c r="AF421" s="297">
        <f t="shared" si="184"/>
        <v>0</v>
      </c>
      <c r="AG421" s="295"/>
      <c r="AH421" s="295">
        <f t="shared" si="185"/>
        <v>0</v>
      </c>
      <c r="AI421" s="298">
        <f>'Unit Savings Calculations'!O417</f>
        <v>156.41025641025624</v>
      </c>
      <c r="AJ421" s="405" t="s">
        <v>1001</v>
      </c>
      <c r="AK421" s="300">
        <f t="shared" si="186"/>
        <v>0</v>
      </c>
      <c r="AL421" s="297">
        <f t="shared" si="187"/>
        <v>0</v>
      </c>
      <c r="AM421" s="295"/>
      <c r="AN421" s="295"/>
      <c r="AO421" s="298">
        <f>'Unit Savings Calculations'!P417</f>
        <v>156.41025641025624</v>
      </c>
      <c r="AP421" s="405" t="s">
        <v>764</v>
      </c>
      <c r="AQ421" s="300">
        <f t="shared" si="188"/>
        <v>0</v>
      </c>
      <c r="AR421" s="297">
        <f t="shared" si="189"/>
        <v>0</v>
      </c>
      <c r="AS421" s="295"/>
      <c r="AT421" s="295"/>
      <c r="AU421" s="298">
        <f>'Unit Savings Calculations'!Q417</f>
        <v>156.41025641025624</v>
      </c>
      <c r="AV421" s="405" t="str">
        <f t="shared" si="176"/>
        <v>n/a</v>
      </c>
      <c r="AW421" s="300">
        <f t="shared" si="190"/>
        <v>0</v>
      </c>
      <c r="AX421" s="297">
        <f t="shared" si="191"/>
        <v>0</v>
      </c>
      <c r="AY421" s="300">
        <f t="shared" si="177"/>
        <v>0</v>
      </c>
      <c r="AZ421" s="300">
        <f t="shared" si="178"/>
        <v>0</v>
      </c>
      <c r="BA421" s="300">
        <f t="shared" si="179"/>
        <v>0</v>
      </c>
      <c r="BB421" s="300">
        <f t="shared" si="180"/>
        <v>0</v>
      </c>
      <c r="BC421" s="301">
        <f t="shared" si="181"/>
        <v>0</v>
      </c>
      <c r="BD421" s="295" t="s">
        <v>764</v>
      </c>
      <c r="BE421" s="302" t="str">
        <f t="shared" si="182"/>
        <v>Exhibit 1.5A_R North Shore EEPS_Adjustable_Savings_Goal_Template.xlsx, Unit Savings Calculations Tab</v>
      </c>
      <c r="BF421" s="304"/>
    </row>
    <row r="422" spans="1:58" ht="15.75" customHeight="1">
      <c r="A422" s="295" t="str">
        <f>'Unit Savings Calculations'!C418</f>
        <v>Low Income - SF New Construction</v>
      </c>
      <c r="B422" s="295" t="str">
        <f>'Unit Savings Calculations'!D418</f>
        <v>Water Heater - Storage 0.67 EF</v>
      </c>
      <c r="C422" s="296">
        <f t="shared" si="192"/>
        <v>1</v>
      </c>
      <c r="D422" s="295" t="str">
        <f>'Unit Savings Calculations'!T418</f>
        <v>5.4.2</v>
      </c>
      <c r="E422" s="460">
        <f>INDEX('Unit Savings Calculations'!$H$4:$H$421,MATCH('Measure-Level Adjustments Tab'!$A422&amp;"_"&amp;'Measure-Level Adjustments Tab'!$B422,'Unit Savings Calculations'!$A$4:$A$421,0))</f>
        <v>13</v>
      </c>
      <c r="F422" s="460">
        <f>INDEX('Unit Savings Calculations'!$I$4:$I$421,MATCH('Measure-Level Adjustments Tab'!A422&amp;"_"&amp;'Measure-Level Adjustments Tab'!B422,'Unit Savings Calculations'!$A$4:$A$421,0))</f>
        <v>13</v>
      </c>
      <c r="G422" s="295" t="str">
        <f>'Unit Savings Calculations'!E418</f>
        <v>each</v>
      </c>
      <c r="H422" s="297">
        <f>'Unit Savings Calculations'!$F418*'Unit Savings Calculations'!J418</f>
        <v>0</v>
      </c>
      <c r="I422" s="297">
        <f>'Unit Savings Calculations'!$F418*'Unit Savings Calculations'!K418</f>
        <v>0</v>
      </c>
      <c r="J422" s="297">
        <f>'Unit Savings Calculations'!$F418*'Unit Savings Calculations'!L418</f>
        <v>0</v>
      </c>
      <c r="K422" s="297">
        <f>'Unit Savings Calculations'!$F418*'Unit Savings Calculations'!M418</f>
        <v>0</v>
      </c>
      <c r="L422" s="295" t="str">
        <f>'Unit Savings Calculations'!U418</f>
        <v>RS-HWE-GWHT-V07-180101</v>
      </c>
      <c r="M422" s="405" t="str">
        <f>'Unit Savings Calculations'!R418</f>
        <v>Exhibit 1.5A_R North Shore EEPS_Adjustable_Savings_Goal_Template.xlsx, Unit Savings Calculations Tab</v>
      </c>
      <c r="N422" s="298">
        <v>12.991490464011658</v>
      </c>
      <c r="O422" s="298">
        <v>12.991490464011658</v>
      </c>
      <c r="P422" s="298">
        <v>12.991490464011658</v>
      </c>
      <c r="Q422" s="298">
        <v>12.991490464011658</v>
      </c>
      <c r="R422" s="299">
        <f>'Unit Savings Calculations'!$G418</f>
        <v>1</v>
      </c>
      <c r="S422" s="299">
        <f>'Unit Savings Calculations'!$G418</f>
        <v>1</v>
      </c>
      <c r="T422" s="299">
        <f>'Unit Savings Calculations'!$G418</f>
        <v>1</v>
      </c>
      <c r="U422" s="299">
        <f>'Unit Savings Calculations'!$G418</f>
        <v>1</v>
      </c>
      <c r="V422" s="300">
        <f t="shared" si="193"/>
        <v>0</v>
      </c>
      <c r="W422" s="300">
        <f t="shared" si="194"/>
        <v>0</v>
      </c>
      <c r="X422" s="300">
        <f t="shared" si="195"/>
        <v>0</v>
      </c>
      <c r="Y422" s="300">
        <f t="shared" si="196"/>
        <v>0</v>
      </c>
      <c r="Z422" s="300">
        <f t="shared" si="197"/>
        <v>0</v>
      </c>
      <c r="AA422" s="295"/>
      <c r="AB422" s="295"/>
      <c r="AC422" s="298">
        <f>'Unit Savings Calculations'!N418</f>
        <v>15.645447674402874</v>
      </c>
      <c r="AD422" s="295"/>
      <c r="AE422" s="300">
        <f t="shared" si="183"/>
        <v>0</v>
      </c>
      <c r="AF422" s="297">
        <f t="shared" si="184"/>
        <v>0</v>
      </c>
      <c r="AG422" s="295"/>
      <c r="AH422" s="295">
        <f t="shared" si="185"/>
        <v>0</v>
      </c>
      <c r="AI422" s="298">
        <f>'Unit Savings Calculations'!O418</f>
        <v>15.645447674402874</v>
      </c>
      <c r="AJ422" s="405" t="s">
        <v>1013</v>
      </c>
      <c r="AK422" s="300">
        <f t="shared" si="186"/>
        <v>0</v>
      </c>
      <c r="AL422" s="297">
        <f t="shared" si="187"/>
        <v>0</v>
      </c>
      <c r="AM422" s="295"/>
      <c r="AN422" s="295"/>
      <c r="AO422" s="298">
        <f>'Unit Savings Calculations'!P418</f>
        <v>15.645447674402874</v>
      </c>
      <c r="AP422" s="405" t="s">
        <v>764</v>
      </c>
      <c r="AQ422" s="300">
        <f t="shared" si="188"/>
        <v>0</v>
      </c>
      <c r="AR422" s="297">
        <f t="shared" si="189"/>
        <v>0</v>
      </c>
      <c r="AS422" s="295"/>
      <c r="AT422" s="295"/>
      <c r="AU422" s="298">
        <f>'Unit Savings Calculations'!Q418</f>
        <v>15.645447674402874</v>
      </c>
      <c r="AV422" s="405" t="str">
        <f t="shared" si="176"/>
        <v>n/a</v>
      </c>
      <c r="AW422" s="300">
        <f t="shared" si="190"/>
        <v>0</v>
      </c>
      <c r="AX422" s="297">
        <f t="shared" si="191"/>
        <v>0</v>
      </c>
      <c r="AY422" s="300">
        <f t="shared" si="177"/>
        <v>0</v>
      </c>
      <c r="AZ422" s="300">
        <f t="shared" si="178"/>
        <v>0</v>
      </c>
      <c r="BA422" s="300">
        <f t="shared" si="179"/>
        <v>0</v>
      </c>
      <c r="BB422" s="300">
        <f t="shared" si="180"/>
        <v>0</v>
      </c>
      <c r="BC422" s="301">
        <f t="shared" si="181"/>
        <v>0</v>
      </c>
      <c r="BD422" s="295" t="s">
        <v>764</v>
      </c>
      <c r="BE422" s="302" t="str">
        <f t="shared" si="182"/>
        <v>Exhibit 1.5A_R North Shore EEPS_Adjustable_Savings_Goal_Template.xlsx, Unit Savings Calculations Tab</v>
      </c>
      <c r="BF422" s="304"/>
    </row>
    <row r="423" spans="1:58" ht="15.75" customHeight="1">
      <c r="A423" s="295" t="str">
        <f>'Unit Savings Calculations'!C419</f>
        <v>Low Income - SF New Construction</v>
      </c>
      <c r="B423" s="295" t="str">
        <f>'Unit Savings Calculations'!D419</f>
        <v>Programmable Thermostat - Furnace</v>
      </c>
      <c r="C423" s="296">
        <f t="shared" si="192"/>
        <v>1</v>
      </c>
      <c r="D423" s="295" t="str">
        <f>'Unit Savings Calculations'!T419</f>
        <v>5.3.11</v>
      </c>
      <c r="E423" s="460">
        <f>INDEX('Unit Savings Calculations'!$H$4:$H$421,MATCH('Measure-Level Adjustments Tab'!$A423&amp;"_"&amp;'Measure-Level Adjustments Tab'!$B423,'Unit Savings Calculations'!$A$4:$A$421,0))</f>
        <v>5</v>
      </c>
      <c r="F423" s="460">
        <f>INDEX('Unit Savings Calculations'!$I$4:$I$421,MATCH('Measure-Level Adjustments Tab'!A423&amp;"_"&amp;'Measure-Level Adjustments Tab'!B423,'Unit Savings Calculations'!$A$4:$A$421,0))</f>
        <v>8</v>
      </c>
      <c r="G423" s="295" t="str">
        <f>'Unit Savings Calculations'!E419</f>
        <v>each</v>
      </c>
      <c r="H423" s="297">
        <f>'Unit Savings Calculations'!$F419*'Unit Savings Calculations'!J419</f>
        <v>0</v>
      </c>
      <c r="I423" s="297">
        <f>'Unit Savings Calculations'!$F419*'Unit Savings Calculations'!K419</f>
        <v>0</v>
      </c>
      <c r="J423" s="297">
        <f>'Unit Savings Calculations'!$F419*'Unit Savings Calculations'!L419</f>
        <v>0</v>
      </c>
      <c r="K423" s="297">
        <f>'Unit Savings Calculations'!$F419*'Unit Savings Calculations'!M419</f>
        <v>0</v>
      </c>
      <c r="L423" s="295" t="str">
        <f>'Unit Savings Calculations'!U419</f>
        <v>RS-HVC-PROG-V04-180101</v>
      </c>
      <c r="M423" s="405" t="str">
        <f>'Unit Savings Calculations'!R419</f>
        <v>Exhibit 1.5A_R North Shore EEPS_Adjustable_Savings_Goal_Template.xlsx, Unit Savings Calculations Tab</v>
      </c>
      <c r="N423" s="298">
        <v>34.893600000000006</v>
      </c>
      <c r="O423" s="298">
        <v>34.893600000000006</v>
      </c>
      <c r="P423" s="298">
        <v>34.893600000000006</v>
      </c>
      <c r="Q423" s="298">
        <v>34.893600000000006</v>
      </c>
      <c r="R423" s="299">
        <f>'Unit Savings Calculations'!$G419</f>
        <v>1</v>
      </c>
      <c r="S423" s="299">
        <f>'Unit Savings Calculations'!$G419</f>
        <v>1</v>
      </c>
      <c r="T423" s="299">
        <f>'Unit Savings Calculations'!$G419</f>
        <v>1</v>
      </c>
      <c r="U423" s="299">
        <f>'Unit Savings Calculations'!$G419</f>
        <v>1</v>
      </c>
      <c r="V423" s="300">
        <f t="shared" si="193"/>
        <v>0</v>
      </c>
      <c r="W423" s="300">
        <f t="shared" si="194"/>
        <v>0</v>
      </c>
      <c r="X423" s="300">
        <f t="shared" si="195"/>
        <v>0</v>
      </c>
      <c r="Y423" s="300">
        <f t="shared" si="196"/>
        <v>0</v>
      </c>
      <c r="Z423" s="300">
        <f t="shared" si="197"/>
        <v>0</v>
      </c>
      <c r="AA423" s="295"/>
      <c r="AB423" s="295"/>
      <c r="AC423" s="298">
        <f>'Unit Savings Calculations'!N419</f>
        <v>34.893600000000006</v>
      </c>
      <c r="AD423" s="295"/>
      <c r="AE423" s="300">
        <f t="shared" si="183"/>
        <v>0</v>
      </c>
      <c r="AF423" s="297">
        <f t="shared" si="184"/>
        <v>0</v>
      </c>
      <c r="AG423" s="295"/>
      <c r="AH423" s="295">
        <f t="shared" si="185"/>
        <v>0</v>
      </c>
      <c r="AI423" s="298">
        <f>'Unit Savings Calculations'!O419</f>
        <v>34.893600000000006</v>
      </c>
      <c r="AJ423" s="405" t="s">
        <v>879</v>
      </c>
      <c r="AK423" s="300">
        <f t="shared" si="186"/>
        <v>0</v>
      </c>
      <c r="AL423" s="297">
        <f t="shared" si="187"/>
        <v>0</v>
      </c>
      <c r="AM423" s="295"/>
      <c r="AN423" s="295"/>
      <c r="AO423" s="298">
        <f>'Unit Savings Calculations'!P419</f>
        <v>34.893600000000006</v>
      </c>
      <c r="AP423" s="405" t="s">
        <v>764</v>
      </c>
      <c r="AQ423" s="300">
        <f t="shared" si="188"/>
        <v>0</v>
      </c>
      <c r="AR423" s="297">
        <f t="shared" si="189"/>
        <v>0</v>
      </c>
      <c r="AS423" s="295"/>
      <c r="AT423" s="295"/>
      <c r="AU423" s="298">
        <f>'Unit Savings Calculations'!Q419</f>
        <v>34.893600000000006</v>
      </c>
      <c r="AV423" s="405" t="str">
        <f t="shared" si="176"/>
        <v>n/a</v>
      </c>
      <c r="AW423" s="300">
        <f t="shared" si="190"/>
        <v>0</v>
      </c>
      <c r="AX423" s="297">
        <f t="shared" si="191"/>
        <v>0</v>
      </c>
      <c r="AY423" s="300">
        <f t="shared" si="177"/>
        <v>0</v>
      </c>
      <c r="AZ423" s="300">
        <f t="shared" si="178"/>
        <v>0</v>
      </c>
      <c r="BA423" s="300">
        <f t="shared" si="179"/>
        <v>0</v>
      </c>
      <c r="BB423" s="300">
        <f t="shared" si="180"/>
        <v>0</v>
      </c>
      <c r="BC423" s="301">
        <f t="shared" si="181"/>
        <v>0</v>
      </c>
      <c r="BD423" s="295" t="s">
        <v>764</v>
      </c>
      <c r="BE423" s="302" t="str">
        <f t="shared" si="182"/>
        <v>Exhibit 1.5A_R North Shore EEPS_Adjustable_Savings_Goal_Template.xlsx, Unit Savings Calculations Tab</v>
      </c>
      <c r="BF423" s="304"/>
    </row>
    <row r="424" spans="1:58" ht="15.75" customHeight="1">
      <c r="A424" s="295" t="str">
        <f>'Unit Savings Calculations'!C420</f>
        <v>Low Income - SF New Construction</v>
      </c>
      <c r="B424" s="295" t="str">
        <f>'Unit Savings Calculations'!D420</f>
        <v>Duct Sealing</v>
      </c>
      <c r="C424" s="296">
        <f t="shared" si="192"/>
        <v>1</v>
      </c>
      <c r="D424" s="295" t="str">
        <f>'Unit Savings Calculations'!T420</f>
        <v>5.3.4</v>
      </c>
      <c r="E424" s="460">
        <f>INDEX('Unit Savings Calculations'!$H$4:$H$421,MATCH('Measure-Level Adjustments Tab'!$A424&amp;"_"&amp;'Measure-Level Adjustments Tab'!$B424,'Unit Savings Calculations'!$A$4:$A$421,0))</f>
        <v>20</v>
      </c>
      <c r="F424" s="460">
        <f>INDEX('Unit Savings Calculations'!$I$4:$I$421,MATCH('Measure-Level Adjustments Tab'!A424&amp;"_"&amp;'Measure-Level Adjustments Tab'!B424,'Unit Savings Calculations'!$A$4:$A$421,0))</f>
        <v>20</v>
      </c>
      <c r="G424" s="295" t="str">
        <f>'Unit Savings Calculations'!E420</f>
        <v>CFM_25</v>
      </c>
      <c r="H424" s="297">
        <f>'Unit Savings Calculations'!$F420*'Unit Savings Calculations'!J420</f>
        <v>0</v>
      </c>
      <c r="I424" s="297">
        <f>'Unit Savings Calculations'!$F420*'Unit Savings Calculations'!K420</f>
        <v>0</v>
      </c>
      <c r="J424" s="297">
        <f>'Unit Savings Calculations'!$F420*'Unit Savings Calculations'!L420</f>
        <v>0</v>
      </c>
      <c r="K424" s="297">
        <f>'Unit Savings Calculations'!$F420*'Unit Savings Calculations'!M420</f>
        <v>0</v>
      </c>
      <c r="L424" s="295" t="str">
        <f>'Unit Savings Calculations'!U420</f>
        <v>RS-HVC-DINS-V06-160601</v>
      </c>
      <c r="M424" s="405" t="str">
        <f>'Unit Savings Calculations'!R420</f>
        <v>Exhibit 1.5A_R North Shore EEPS_Adjustable_Savings_Goal_Template.xlsx, Unit Savings Calculations Tab</v>
      </c>
      <c r="N424" s="298">
        <v>0.70950058072009281</v>
      </c>
      <c r="O424" s="298">
        <v>0.70950058072009281</v>
      </c>
      <c r="P424" s="298">
        <v>0.70950058072009281</v>
      </c>
      <c r="Q424" s="298">
        <v>0.70950058072009281</v>
      </c>
      <c r="R424" s="299">
        <f>'Unit Savings Calculations'!$G420</f>
        <v>1</v>
      </c>
      <c r="S424" s="299">
        <f>'Unit Savings Calculations'!$G420</f>
        <v>1</v>
      </c>
      <c r="T424" s="299">
        <f>'Unit Savings Calculations'!$G420</f>
        <v>1</v>
      </c>
      <c r="U424" s="299">
        <f>'Unit Savings Calculations'!$G420</f>
        <v>1</v>
      </c>
      <c r="V424" s="300">
        <f t="shared" si="193"/>
        <v>0</v>
      </c>
      <c r="W424" s="300">
        <f t="shared" si="194"/>
        <v>0</v>
      </c>
      <c r="X424" s="300">
        <f t="shared" si="195"/>
        <v>0</v>
      </c>
      <c r="Y424" s="300">
        <f t="shared" si="196"/>
        <v>0</v>
      </c>
      <c r="Z424" s="300">
        <f t="shared" si="197"/>
        <v>0</v>
      </c>
      <c r="AA424" s="295"/>
      <c r="AB424" s="295"/>
      <c r="AC424" s="298">
        <f>'Unit Savings Calculations'!N420</f>
        <v>0.70950058072009281</v>
      </c>
      <c r="AD424" s="295"/>
      <c r="AE424" s="300">
        <f t="shared" si="183"/>
        <v>0</v>
      </c>
      <c r="AF424" s="297">
        <f t="shared" si="184"/>
        <v>0</v>
      </c>
      <c r="AG424" s="295"/>
      <c r="AH424" s="295">
        <f t="shared" si="185"/>
        <v>0</v>
      </c>
      <c r="AI424" s="298">
        <f>'Unit Savings Calculations'!O420</f>
        <v>0.70950058072009281</v>
      </c>
      <c r="AJ424" s="405" t="s">
        <v>879</v>
      </c>
      <c r="AK424" s="300">
        <f t="shared" si="186"/>
        <v>0</v>
      </c>
      <c r="AL424" s="297">
        <f t="shared" si="187"/>
        <v>0</v>
      </c>
      <c r="AM424" s="295"/>
      <c r="AN424" s="295"/>
      <c r="AO424" s="298">
        <f>'Unit Savings Calculations'!P420</f>
        <v>0.70950058072009281</v>
      </c>
      <c r="AP424" s="405" t="s">
        <v>764</v>
      </c>
      <c r="AQ424" s="300">
        <f t="shared" si="188"/>
        <v>0</v>
      </c>
      <c r="AR424" s="297">
        <f t="shared" si="189"/>
        <v>0</v>
      </c>
      <c r="AS424" s="295"/>
      <c r="AT424" s="295"/>
      <c r="AU424" s="298">
        <f>'Unit Savings Calculations'!Q420</f>
        <v>0.70950058072009281</v>
      </c>
      <c r="AV424" s="405" t="str">
        <f t="shared" si="176"/>
        <v>n/a</v>
      </c>
      <c r="AW424" s="300">
        <f t="shared" si="190"/>
        <v>0</v>
      </c>
      <c r="AX424" s="297">
        <f t="shared" si="191"/>
        <v>0</v>
      </c>
      <c r="AY424" s="300">
        <f t="shared" si="177"/>
        <v>0</v>
      </c>
      <c r="AZ424" s="300">
        <f t="shared" si="178"/>
        <v>0</v>
      </c>
      <c r="BA424" s="300">
        <f t="shared" si="179"/>
        <v>0</v>
      </c>
      <c r="BB424" s="300">
        <f t="shared" si="180"/>
        <v>0</v>
      </c>
      <c r="BC424" s="301">
        <f t="shared" si="181"/>
        <v>0</v>
      </c>
      <c r="BD424" s="295" t="s">
        <v>764</v>
      </c>
      <c r="BE424" s="302" t="str">
        <f t="shared" si="182"/>
        <v>Exhibit 1.5A_R North Shore EEPS_Adjustable_Savings_Goal_Template.xlsx, Unit Savings Calculations Tab</v>
      </c>
      <c r="BF424" s="304"/>
    </row>
    <row r="425" spans="1:58" ht="15.75" customHeight="1">
      <c r="A425" s="295" t="str">
        <f>'Unit Savings Calculations'!C421</f>
        <v>Low Income - MF New Construction</v>
      </c>
      <c r="B425" s="295" t="str">
        <f>'Unit Savings Calculations'!D421</f>
        <v>New Construction</v>
      </c>
      <c r="C425" s="296">
        <f t="shared" si="192"/>
        <v>0</v>
      </c>
      <c r="D425" s="295" t="str">
        <f>'Unit Savings Calculations'!T421</f>
        <v>Custom</v>
      </c>
      <c r="E425" s="460">
        <f>INDEX('Unit Savings Calculations'!$H$4:$H$421,MATCH('Measure-Level Adjustments Tab'!$A425&amp;"_"&amp;'Measure-Level Adjustments Tab'!$B425,'Unit Savings Calculations'!$A$4:$A$421,0))</f>
        <v>15</v>
      </c>
      <c r="F425" s="460">
        <f>INDEX('Unit Savings Calculations'!$I$4:$I$421,MATCH('Measure-Level Adjustments Tab'!A425&amp;"_"&amp;'Measure-Level Adjustments Tab'!B425,'Unit Savings Calculations'!$A$4:$A$421,0))</f>
        <v>15</v>
      </c>
      <c r="G425" s="295" t="str">
        <f>'Unit Savings Calculations'!E421</f>
        <v>each</v>
      </c>
      <c r="H425" s="297">
        <f>'Unit Savings Calculations'!$F421*'Unit Savings Calculations'!J421</f>
        <v>0</v>
      </c>
      <c r="I425" s="297">
        <f>'Unit Savings Calculations'!$F421*'Unit Savings Calculations'!K421</f>
        <v>0</v>
      </c>
      <c r="J425" s="297">
        <f>'Unit Savings Calculations'!$F421*'Unit Savings Calculations'!L421</f>
        <v>0</v>
      </c>
      <c r="K425" s="297">
        <f>'Unit Savings Calculations'!$F421*'Unit Savings Calculations'!M421</f>
        <v>0</v>
      </c>
      <c r="L425" s="295" t="str">
        <f>'Unit Savings Calculations'!U421</f>
        <v>Custom</v>
      </c>
      <c r="M425" s="405" t="str">
        <f>'Unit Savings Calculations'!R421</f>
        <v>Custom</v>
      </c>
      <c r="N425" s="298">
        <v>6100</v>
      </c>
      <c r="O425" s="298">
        <v>6100</v>
      </c>
      <c r="P425" s="298">
        <v>6100</v>
      </c>
      <c r="Q425" s="298">
        <v>6100</v>
      </c>
      <c r="R425" s="299">
        <f>'Unit Savings Calculations'!$G421</f>
        <v>1</v>
      </c>
      <c r="S425" s="299">
        <f>'Unit Savings Calculations'!$G421</f>
        <v>1</v>
      </c>
      <c r="T425" s="299">
        <f>'Unit Savings Calculations'!$G421</f>
        <v>1</v>
      </c>
      <c r="U425" s="299">
        <f>'Unit Savings Calculations'!$G421</f>
        <v>1</v>
      </c>
      <c r="V425" s="300">
        <f t="shared" si="193"/>
        <v>0</v>
      </c>
      <c r="W425" s="300">
        <f t="shared" si="194"/>
        <v>0</v>
      </c>
      <c r="X425" s="300">
        <f t="shared" si="195"/>
        <v>0</v>
      </c>
      <c r="Y425" s="300">
        <f t="shared" si="196"/>
        <v>0</v>
      </c>
      <c r="Z425" s="300">
        <f t="shared" si="197"/>
        <v>0</v>
      </c>
      <c r="AA425" s="406"/>
      <c r="AB425" s="406"/>
      <c r="AC425" s="409">
        <f>'Unit Savings Calculations'!N421</f>
        <v>6100</v>
      </c>
      <c r="AD425" s="406"/>
      <c r="AE425" s="407">
        <f t="shared" si="183"/>
        <v>0</v>
      </c>
      <c r="AF425" s="408">
        <f t="shared" si="184"/>
        <v>0</v>
      </c>
      <c r="AG425" s="406"/>
      <c r="AH425" s="406">
        <f t="shared" si="185"/>
        <v>0</v>
      </c>
      <c r="AI425" s="409">
        <f>'Unit Savings Calculations'!O421</f>
        <v>6100</v>
      </c>
      <c r="AJ425" s="457" t="s">
        <v>879</v>
      </c>
      <c r="AK425" s="407">
        <f t="shared" si="186"/>
        <v>0</v>
      </c>
      <c r="AL425" s="408">
        <f t="shared" si="187"/>
        <v>0</v>
      </c>
      <c r="AM425" s="406"/>
      <c r="AN425" s="406"/>
      <c r="AO425" s="409">
        <f>'Unit Savings Calculations'!P421</f>
        <v>6100</v>
      </c>
      <c r="AP425" s="457" t="s">
        <v>764</v>
      </c>
      <c r="AQ425" s="407">
        <f t="shared" si="188"/>
        <v>0</v>
      </c>
      <c r="AR425" s="408">
        <f t="shared" si="189"/>
        <v>0</v>
      </c>
      <c r="AS425" s="406"/>
      <c r="AT425" s="406"/>
      <c r="AU425" s="409">
        <f>'Unit Savings Calculations'!Q421</f>
        <v>6100</v>
      </c>
      <c r="AV425" s="457" t="str">
        <f t="shared" si="176"/>
        <v>n/a</v>
      </c>
      <c r="AW425" s="407">
        <f t="shared" si="190"/>
        <v>0</v>
      </c>
      <c r="AX425" s="408">
        <f t="shared" si="191"/>
        <v>0</v>
      </c>
      <c r="AY425" s="300">
        <f t="shared" si="177"/>
        <v>0</v>
      </c>
      <c r="AZ425" s="300">
        <f t="shared" si="178"/>
        <v>0</v>
      </c>
      <c r="BA425" s="300">
        <f t="shared" si="179"/>
        <v>0</v>
      </c>
      <c r="BB425" s="300">
        <f t="shared" si="180"/>
        <v>0</v>
      </c>
      <c r="BC425" s="301">
        <f t="shared" si="181"/>
        <v>0</v>
      </c>
      <c r="BD425" s="295" t="s">
        <v>764</v>
      </c>
      <c r="BE425" s="302" t="str">
        <f t="shared" si="182"/>
        <v>Custom</v>
      </c>
      <c r="BF425" s="304"/>
    </row>
    <row r="426" spans="1:58" ht="14.5" thickBot="1">
      <c r="A426" s="295"/>
      <c r="B426" s="295"/>
      <c r="C426" s="296">
        <f t="shared" si="192"/>
        <v>1</v>
      </c>
      <c r="D426" s="355"/>
      <c r="E426" s="460"/>
      <c r="F426" s="460"/>
      <c r="G426" s="355"/>
      <c r="H426" s="356"/>
      <c r="I426" s="356"/>
      <c r="J426" s="356"/>
      <c r="K426" s="356"/>
      <c r="L426" s="355"/>
      <c r="M426" s="355"/>
      <c r="N426" s="357"/>
      <c r="O426" s="357"/>
      <c r="P426" s="357"/>
      <c r="Q426" s="357"/>
      <c r="R426" s="354"/>
      <c r="S426" s="354"/>
      <c r="T426" s="354"/>
      <c r="U426" s="354"/>
      <c r="V426" s="358"/>
      <c r="W426" s="358"/>
      <c r="X426" s="358"/>
      <c r="Y426" s="358"/>
      <c r="Z426" s="354"/>
      <c r="AA426" s="355"/>
      <c r="AB426" s="355"/>
      <c r="AC426" s="359"/>
      <c r="AD426" s="360"/>
      <c r="AE426" s="358"/>
      <c r="AF426" s="355"/>
      <c r="AG426" s="355"/>
      <c r="AH426" s="355"/>
      <c r="AI426" s="357"/>
      <c r="AJ426" s="360"/>
      <c r="AK426" s="358"/>
      <c r="AL426" s="355"/>
      <c r="AM426" s="355"/>
      <c r="AN426" s="355"/>
      <c r="AO426" s="357"/>
      <c r="AP426" s="360"/>
      <c r="AQ426" s="358"/>
      <c r="AR426" s="355"/>
      <c r="AS426" s="355"/>
      <c r="AT426" s="355"/>
      <c r="AU426" s="357"/>
      <c r="AV426" s="360"/>
      <c r="AW426" s="358"/>
      <c r="AX426" s="355"/>
      <c r="AY426" s="300"/>
      <c r="AZ426" s="300"/>
      <c r="BA426" s="300"/>
      <c r="BB426" s="300"/>
      <c r="BC426" s="301"/>
      <c r="BD426" s="295"/>
      <c r="BE426" s="302"/>
      <c r="BF426" s="304"/>
    </row>
    <row r="427" spans="1:58" ht="15" thickTop="1" thickBot="1">
      <c r="A427" s="313" t="s">
        <v>41</v>
      </c>
      <c r="B427" s="314"/>
      <c r="C427" s="296">
        <f t="shared" si="192"/>
        <v>1</v>
      </c>
      <c r="D427" s="305"/>
      <c r="E427" s="460"/>
      <c r="F427" s="460"/>
      <c r="G427" s="305"/>
      <c r="H427" s="307"/>
      <c r="I427" s="307"/>
      <c r="J427" s="307"/>
      <c r="K427" s="307"/>
      <c r="L427" s="305"/>
      <c r="M427" s="305"/>
      <c r="N427" s="308"/>
      <c r="O427" s="308"/>
      <c r="P427" s="308"/>
      <c r="Q427" s="308"/>
      <c r="R427" s="306"/>
      <c r="S427" s="306"/>
      <c r="T427" s="306"/>
      <c r="U427" s="306"/>
      <c r="V427" s="309"/>
      <c r="W427" s="309"/>
      <c r="X427" s="309"/>
      <c r="Y427" s="309"/>
      <c r="Z427" s="306"/>
      <c r="AA427" s="305"/>
      <c r="AB427" s="305"/>
      <c r="AC427" s="310"/>
      <c r="AD427" s="311"/>
      <c r="AE427" s="309"/>
      <c r="AF427" s="305"/>
      <c r="AG427" s="305"/>
      <c r="AH427" s="305"/>
      <c r="AI427" s="308"/>
      <c r="AJ427" s="311"/>
      <c r="AK427" s="309"/>
      <c r="AL427" s="305"/>
      <c r="AM427" s="305"/>
      <c r="AN427" s="305"/>
      <c r="AO427" s="308"/>
      <c r="AP427" s="311"/>
      <c r="AQ427" s="309"/>
      <c r="AR427" s="305"/>
      <c r="AS427" s="305"/>
      <c r="AT427" s="305"/>
      <c r="AU427" s="308"/>
      <c r="AV427" s="311"/>
      <c r="AW427" s="309"/>
      <c r="AX427" s="305"/>
      <c r="AY427" s="309"/>
      <c r="AZ427" s="309"/>
      <c r="BA427" s="309"/>
      <c r="BB427" s="309"/>
      <c r="BC427" s="309"/>
      <c r="BD427" s="305"/>
      <c r="BE427" s="312"/>
      <c r="BF427" s="304"/>
    </row>
    <row r="428" spans="1:58" ht="14.5" thickTop="1">
      <c r="C428" s="315"/>
      <c r="D428" s="316"/>
      <c r="E428" s="316"/>
      <c r="F428" s="316"/>
      <c r="G428" s="316"/>
      <c r="H428" s="316"/>
      <c r="I428" s="316"/>
      <c r="J428" s="316"/>
      <c r="K428" s="316"/>
      <c r="L428" s="316"/>
      <c r="M428" s="316"/>
      <c r="N428" s="316"/>
      <c r="O428" s="316"/>
      <c r="P428" s="316"/>
      <c r="Q428" s="316"/>
      <c r="R428" s="316"/>
      <c r="S428" s="316"/>
      <c r="T428" s="317"/>
      <c r="U428" s="317"/>
      <c r="V428" s="318">
        <f>SUM(V8:V425)</f>
        <v>2196540.0407004463</v>
      </c>
      <c r="W428" s="318">
        <f>SUM(W8:W425)</f>
        <v>1941718.0737004799</v>
      </c>
      <c r="X428" s="318">
        <f>SUM(X8:X425)</f>
        <v>1790399.0887795179</v>
      </c>
      <c r="Y428" s="318">
        <f>SUM(Y8:Y425)</f>
        <v>1931439.4754877191</v>
      </c>
      <c r="Z428" s="319">
        <f>SUM(Z8:Z425)</f>
        <v>7860096.6786681628</v>
      </c>
      <c r="AA428" s="320"/>
      <c r="AB428" s="321"/>
      <c r="AC428" s="321"/>
      <c r="AD428" s="321"/>
      <c r="AE428" s="322"/>
      <c r="AF428" s="323">
        <f>SUM(AF8:AF425)</f>
        <v>-19170.870294069075</v>
      </c>
      <c r="AG428" s="320"/>
      <c r="AH428" s="321"/>
      <c r="AI428" s="321"/>
      <c r="AJ428" s="321"/>
      <c r="AK428" s="322"/>
      <c r="AL428" s="323">
        <f>SUM(AL8:AL425)</f>
        <v>-19170.870294069075</v>
      </c>
      <c r="AM428" s="320"/>
      <c r="AN428" s="321"/>
      <c r="AO428" s="321"/>
      <c r="AP428" s="321"/>
      <c r="AQ428" s="322"/>
      <c r="AR428" s="323">
        <f>SUM(AR8:AR425)</f>
        <v>-18795.625201473627</v>
      </c>
      <c r="AS428" s="320"/>
      <c r="AT428" s="321"/>
      <c r="AU428" s="321"/>
      <c r="AV428" s="321"/>
      <c r="AW428" s="322"/>
      <c r="AX428" s="323">
        <f t="shared" ref="AX428:BC428" si="198">SUM(AX8:AX425)</f>
        <v>-19170.870294069075</v>
      </c>
      <c r="AY428" s="324">
        <f t="shared" si="198"/>
        <v>2177369.1704063774</v>
      </c>
      <c r="AZ428" s="325">
        <f t="shared" si="198"/>
        <v>1922547.203406411</v>
      </c>
      <c r="BA428" s="326">
        <f t="shared" si="198"/>
        <v>1771603.4635780444</v>
      </c>
      <c r="BB428" s="327">
        <f t="shared" si="198"/>
        <v>1912268.6051936499</v>
      </c>
      <c r="BC428" s="328">
        <f t="shared" si="198"/>
        <v>7783788.442584483</v>
      </c>
      <c r="BD428" s="320"/>
      <c r="BE428" s="329"/>
      <c r="BF428" s="304"/>
    </row>
    <row r="429" spans="1:58">
      <c r="Z429" s="330"/>
    </row>
  </sheetData>
  <autoFilter ref="A6:BF428" xr:uid="{9AE816C8-FE12-4AD0-BA89-B353185F58E5}"/>
  <mergeCells count="17">
    <mergeCell ref="V5:Z5"/>
    <mergeCell ref="AS4:AX4"/>
    <mergeCell ref="AS5:AV5"/>
    <mergeCell ref="BD4:BE4"/>
    <mergeCell ref="AY4:BC5"/>
    <mergeCell ref="G4:K4"/>
    <mergeCell ref="G5:K5"/>
    <mergeCell ref="AG4:AL4"/>
    <mergeCell ref="AG5:AJ5"/>
    <mergeCell ref="AM4:AR4"/>
    <mergeCell ref="AM5:AP5"/>
    <mergeCell ref="AA4:AF4"/>
    <mergeCell ref="AA5:AD5"/>
    <mergeCell ref="L5:Q5"/>
    <mergeCell ref="L4:Q4"/>
    <mergeCell ref="R4:Z4"/>
    <mergeCell ref="R5:U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CD79-12C5-4424-B4AC-8E81B147B0B1}">
  <dimension ref="C6:I19"/>
  <sheetViews>
    <sheetView zoomScale="70" zoomScaleNormal="70" workbookViewId="0"/>
  </sheetViews>
  <sheetFormatPr defaultColWidth="9.1796875" defaultRowHeight="14.5"/>
  <cols>
    <col min="1" max="2" width="9.1796875" style="464"/>
    <col min="3" max="3" width="21.54296875" style="464" customWidth="1"/>
    <col min="4" max="7" width="14.26953125" style="464" bestFit="1" customWidth="1"/>
    <col min="8" max="8" width="18" style="464" customWidth="1"/>
    <col min="9" max="9" width="5.7265625" style="464" customWidth="1"/>
    <col min="10" max="16384" width="9.1796875" style="464"/>
  </cols>
  <sheetData>
    <row r="6" spans="3:9" ht="15" customHeight="1">
      <c r="C6" s="18" t="s">
        <v>806</v>
      </c>
      <c r="D6" s="528" t="s">
        <v>1063</v>
      </c>
      <c r="E6" s="528"/>
      <c r="F6" s="528"/>
      <c r="G6" s="528"/>
      <c r="H6" s="528"/>
    </row>
    <row r="7" spans="3:9">
      <c r="C7" s="18"/>
      <c r="D7" s="471" t="s">
        <v>695</v>
      </c>
      <c r="E7" s="471" t="s">
        <v>694</v>
      </c>
      <c r="F7" s="471" t="s">
        <v>693</v>
      </c>
      <c r="G7" s="471" t="s">
        <v>692</v>
      </c>
      <c r="H7" s="471" t="s">
        <v>1064</v>
      </c>
    </row>
    <row r="8" spans="3:9">
      <c r="C8" s="18" t="s">
        <v>1068</v>
      </c>
      <c r="D8" s="472">
        <v>8.1570827949835536</v>
      </c>
      <c r="E8" s="472">
        <v>9.7082365120917764</v>
      </c>
      <c r="F8" s="472">
        <v>9.3727925871321265</v>
      </c>
      <c r="G8" s="472">
        <v>9.784224831932125</v>
      </c>
      <c r="H8" s="472">
        <v>9.198061288219737</v>
      </c>
    </row>
    <row r="9" spans="3:9">
      <c r="C9" s="18" t="s">
        <v>1069</v>
      </c>
      <c r="D9" s="475">
        <f>SUMPRODUCT('Measure-Level Adjustments Tab'!$F$8:$F$425,'Measure-Level Adjustments Tab'!V$8:V$425)/SUM('Measure-Level Adjustments Tab'!V$8:V$425)</f>
        <v>9.9158249151818438</v>
      </c>
      <c r="E9" s="475">
        <f>SUMPRODUCT('Measure-Level Adjustments Tab'!$F$8:$F$425,'Measure-Level Adjustments Tab'!W$8:W$425)/SUM('Measure-Level Adjustments Tab'!W$8:W$425)</f>
        <v>11.085895932744204</v>
      </c>
      <c r="F9" s="475">
        <f>SUMPRODUCT('Measure-Level Adjustments Tab'!$F$8:$F$425,'Measure-Level Adjustments Tab'!X$8:X$425)/SUM('Measure-Level Adjustments Tab'!X$8:X$425)</f>
        <v>10.802034548050516</v>
      </c>
      <c r="G9" s="475">
        <f>SUMPRODUCT('Measure-Level Adjustments Tab'!$F$8:$F$425,'Measure-Level Adjustments Tab'!Y$8:Y$425)/SUM('Measure-Level Adjustments Tab'!Y$8:Y$425)</f>
        <v>11.139570341507243</v>
      </c>
      <c r="H9" s="475">
        <f>SUMPRODUCT('Measure-Level Adjustments Tab'!$F$8:$F$425,'Measure-Level Adjustments Tab'!Z$8:Z$425)/SUM('Measure-Level Adjustments Tab'!Z$8:Z$425)</f>
        <v>10.707444591146999</v>
      </c>
    </row>
    <row r="10" spans="3:9">
      <c r="C10" s="18" t="s">
        <v>1070</v>
      </c>
      <c r="D10" s="474">
        <f>SUMPRODUCT('Measure-Level Adjustments Tab'!$F$8:$F$425,'Measure-Level Adjustments Tab'!AY$8:AY$425)/SUM('Measure-Level Adjustments Tab'!AY$8:AY$425)</f>
        <v>9.8940772760783879</v>
      </c>
      <c r="E10" s="474">
        <f>SUMPRODUCT('Measure-Level Adjustments Tab'!$F$8:$F$425,'Measure-Level Adjustments Tab'!AZ$8:AZ$425)/SUM('Measure-Level Adjustments Tab'!AZ$8:AZ$425)</f>
        <v>11.072933255335663</v>
      </c>
      <c r="F10" s="474">
        <f>SUMPRODUCT('Measure-Level Adjustments Tab'!$F$8:$F$425,'Measure-Level Adjustments Tab'!BA$8:BA$425)/SUM('Measure-Level Adjustments Tab'!BA$8:BA$425)</f>
        <v>10.78482217850212</v>
      </c>
      <c r="G10" s="474">
        <f>SUMPRODUCT('Measure-Level Adjustments Tab'!$F$8:$F$425,'Measure-Level Adjustments Tab'!BB$8:BB$425)/SUM('Measure-Level Adjustments Tab'!BB$8:BB$425)</f>
        <v>11.127076085205042</v>
      </c>
      <c r="H10" s="474">
        <f>SUMPRODUCT('Measure-Level Adjustments Tab'!$F$8:$F$425,'Measure-Level Adjustments Tab'!BC$8:BC$425)/SUM('Measure-Level Adjustments Tab'!BC$8:BC$425)</f>
        <v>10.690897228100754</v>
      </c>
    </row>
    <row r="11" spans="3:9">
      <c r="C11" s="473"/>
      <c r="D11" s="473"/>
      <c r="E11" s="473"/>
      <c r="F11" s="473"/>
      <c r="G11" s="473"/>
      <c r="H11" s="473"/>
    </row>
    <row r="12" spans="3:9">
      <c r="C12" s="529" t="s">
        <v>1072</v>
      </c>
      <c r="D12" s="529"/>
      <c r="E12" s="529"/>
      <c r="F12" s="529"/>
      <c r="G12" s="529"/>
      <c r="H12" s="529"/>
    </row>
    <row r="13" spans="3:9">
      <c r="C13" s="529" t="s">
        <v>1071</v>
      </c>
      <c r="D13" s="529"/>
      <c r="E13" s="529"/>
      <c r="F13" s="529"/>
      <c r="G13" s="529"/>
      <c r="H13" s="529"/>
    </row>
    <row r="14" spans="3:9">
      <c r="I14" s="464" t="s">
        <v>1067</v>
      </c>
    </row>
    <row r="17" spans="4:7">
      <c r="D17" s="470"/>
      <c r="E17" s="470"/>
      <c r="F17" s="470"/>
      <c r="G17" s="470"/>
    </row>
    <row r="18" spans="4:7">
      <c r="D18" s="470"/>
      <c r="E18" s="470"/>
      <c r="F18" s="470"/>
      <c r="G18" s="470"/>
    </row>
    <row r="19" spans="4:7">
      <c r="D19" s="470"/>
      <c r="E19" s="470"/>
      <c r="F19" s="470"/>
      <c r="G19" s="470"/>
    </row>
  </sheetData>
  <mergeCells count="3">
    <mergeCell ref="D6:H6"/>
    <mergeCell ref="C12:H12"/>
    <mergeCell ref="C13:H13"/>
  </mergeCells>
  <pageMargins left="0.7" right="0.7" top="0.75" bottom="0.75" header="0.3" footer="0.3"/>
  <pageSetup scale="76" orientation="portrait" verticalDpi="0" r:id="rId1"/>
  <headerFooter>
    <oddHeader>&amp;CNS-PG (NS) Adjustable Savings Goal Template - WAML</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B426"/>
  <sheetViews>
    <sheetView showRuler="0" zoomScale="70" zoomScaleNormal="70" zoomScaleSheetLayoutView="70" zoomScalePageLayoutView="70" workbookViewId="0">
      <pane ySplit="3" topLeftCell="A4" activePane="bottomLeft" state="frozen"/>
      <selection pane="bottomLeft"/>
    </sheetView>
  </sheetViews>
  <sheetFormatPr defaultColWidth="9.1796875" defaultRowHeight="13"/>
  <cols>
    <col min="1" max="1" width="3.1796875" style="2" customWidth="1"/>
    <col min="2" max="2" width="10.26953125" style="2" bestFit="1" customWidth="1"/>
    <col min="3" max="3" width="24.54296875" style="2" bestFit="1" customWidth="1"/>
    <col min="4" max="4" width="47" style="2" bestFit="1" customWidth="1"/>
    <col min="5" max="7" width="13.1796875" style="2" bestFit="1" customWidth="1"/>
    <col min="8" max="8" width="9" style="2" customWidth="1"/>
    <col min="9" max="9" width="8.453125" style="2" customWidth="1"/>
    <col min="10" max="13" width="9.453125" style="2" customWidth="1"/>
    <col min="14" max="17" width="10.7265625" style="463" customWidth="1"/>
    <col min="18" max="18" width="28.1796875" style="2" hidden="1" customWidth="1"/>
    <col min="19" max="19" width="19.54296875" style="2" customWidth="1"/>
    <col min="20" max="20" width="9.453125" style="2" customWidth="1"/>
    <col min="21" max="21" width="13" style="9" customWidth="1"/>
    <col min="22" max="22" width="88.7265625" style="109" customWidth="1"/>
    <col min="23" max="23" width="22.54296875" style="10" customWidth="1"/>
    <col min="24" max="24" width="8.54296875" style="10" customWidth="1"/>
    <col min="25" max="25" width="18.1796875" style="9" customWidth="1"/>
    <col min="26" max="26" width="13.7265625" style="8" customWidth="1"/>
    <col min="27" max="27" width="17.7265625" style="7" customWidth="1"/>
    <col min="28" max="28" width="11.1796875" style="2" customWidth="1"/>
    <col min="29" max="29" width="17.26953125" style="6" customWidth="1"/>
    <col min="30" max="30" width="9.54296875" style="2" customWidth="1"/>
    <col min="31" max="31" width="12.26953125" style="6" customWidth="1"/>
    <col min="32" max="32" width="10.1796875" style="2" customWidth="1"/>
    <col min="33" max="33" width="11" style="2" customWidth="1"/>
    <col min="34" max="34" width="9.26953125" style="2" customWidth="1"/>
    <col min="35" max="35" width="9.81640625" style="2" customWidth="1"/>
    <col min="36" max="36" width="9.54296875" style="2" customWidth="1"/>
    <col min="37" max="37" width="12" style="2" customWidth="1"/>
    <col min="38" max="38" width="8.54296875" style="2" customWidth="1"/>
    <col min="39" max="39" width="6.7265625" style="2" customWidth="1"/>
    <col min="40" max="40" width="7.81640625" style="2" customWidth="1"/>
    <col min="41" max="41" width="11.453125" style="2" customWidth="1"/>
    <col min="42" max="44" width="6.26953125" style="2" customWidth="1"/>
    <col min="45" max="45" width="11" style="2" customWidth="1"/>
    <col min="46" max="46" width="6.26953125" style="2" customWidth="1"/>
    <col min="47" max="47" width="32.26953125" style="2" customWidth="1"/>
    <col min="48" max="48" width="24.54296875" style="2" customWidth="1"/>
    <col min="49" max="49" width="33.1796875" style="2" customWidth="1"/>
    <col min="50" max="50" width="14.7265625" style="2" customWidth="1"/>
    <col min="51" max="16384" width="9.1796875" style="2"/>
  </cols>
  <sheetData>
    <row r="1" spans="1:53">
      <c r="B1" s="70"/>
      <c r="C1" s="70" t="s">
        <v>667</v>
      </c>
      <c r="D1" s="25"/>
      <c r="J1" s="12"/>
      <c r="K1" s="12"/>
      <c r="L1" s="12"/>
      <c r="M1" s="12"/>
      <c r="N1" s="461"/>
      <c r="O1" s="461"/>
      <c r="P1" s="461"/>
      <c r="Q1" s="461"/>
      <c r="R1" s="4"/>
      <c r="S1" s="4"/>
      <c r="T1" s="3"/>
      <c r="U1" s="4"/>
      <c r="W1" s="2"/>
      <c r="X1" s="2"/>
      <c r="Y1" s="2"/>
      <c r="Z1" s="2"/>
      <c r="AA1" s="2"/>
      <c r="AC1" s="2"/>
      <c r="AE1" s="2"/>
    </row>
    <row r="2" spans="1:53" ht="15" customHeight="1">
      <c r="B2" s="4"/>
      <c r="C2" s="4"/>
      <c r="D2" s="4"/>
      <c r="E2" s="153"/>
      <c r="F2" s="153"/>
      <c r="J2" s="530" t="s">
        <v>697</v>
      </c>
      <c r="K2" s="531"/>
      <c r="L2" s="531"/>
      <c r="M2" s="532"/>
      <c r="N2" s="533" t="s">
        <v>785</v>
      </c>
      <c r="O2" s="534"/>
      <c r="P2" s="534"/>
      <c r="Q2" s="535"/>
      <c r="R2" s="11"/>
      <c r="S2" s="11"/>
      <c r="T2" s="11"/>
      <c r="U2" s="11"/>
      <c r="W2" s="2"/>
      <c r="X2" s="2"/>
      <c r="Y2" s="2"/>
      <c r="Z2" s="2"/>
      <c r="AA2" s="6"/>
    </row>
    <row r="3" spans="1:53" s="5" customFormat="1">
      <c r="B3" s="449" t="s">
        <v>870</v>
      </c>
      <c r="C3" s="449"/>
      <c r="D3" s="449" t="s">
        <v>1</v>
      </c>
      <c r="E3" s="450" t="s">
        <v>499</v>
      </c>
      <c r="F3" s="450" t="s">
        <v>499</v>
      </c>
      <c r="G3" s="451" t="s">
        <v>696</v>
      </c>
      <c r="H3" s="451" t="s">
        <v>1065</v>
      </c>
      <c r="I3" s="451" t="s">
        <v>1066</v>
      </c>
      <c r="J3" s="452" t="s">
        <v>695</v>
      </c>
      <c r="K3" s="452" t="s">
        <v>694</v>
      </c>
      <c r="L3" s="452" t="s">
        <v>693</v>
      </c>
      <c r="M3" s="452" t="s">
        <v>692</v>
      </c>
      <c r="N3" s="462" t="s">
        <v>695</v>
      </c>
      <c r="O3" s="462" t="s">
        <v>694</v>
      </c>
      <c r="P3" s="462" t="s">
        <v>693</v>
      </c>
      <c r="Q3" s="462" t="s">
        <v>692</v>
      </c>
      <c r="R3" s="156" t="s">
        <v>833</v>
      </c>
      <c r="S3" s="410" t="s">
        <v>498</v>
      </c>
      <c r="T3" s="410" t="s">
        <v>497</v>
      </c>
      <c r="U3" s="410" t="s">
        <v>496</v>
      </c>
      <c r="V3" s="453" t="s">
        <v>471</v>
      </c>
      <c r="W3" s="453" t="s">
        <v>495</v>
      </c>
      <c r="X3" s="453" t="s">
        <v>494</v>
      </c>
      <c r="Y3" s="453" t="s">
        <v>493</v>
      </c>
      <c r="Z3" s="453" t="s">
        <v>492</v>
      </c>
      <c r="AA3" s="454" t="s">
        <v>491</v>
      </c>
      <c r="AB3" s="453" t="s">
        <v>490</v>
      </c>
      <c r="AC3" s="454" t="s">
        <v>489</v>
      </c>
      <c r="AD3" s="453" t="s">
        <v>488</v>
      </c>
      <c r="AE3" s="454" t="s">
        <v>487</v>
      </c>
      <c r="AF3" s="453" t="s">
        <v>486</v>
      </c>
      <c r="AG3" s="453" t="s">
        <v>485</v>
      </c>
      <c r="AH3" s="453" t="s">
        <v>484</v>
      </c>
      <c r="AI3" s="453" t="s">
        <v>483</v>
      </c>
      <c r="AJ3" s="453" t="s">
        <v>482</v>
      </c>
      <c r="AK3" s="453" t="s">
        <v>481</v>
      </c>
      <c r="AL3" s="453" t="s">
        <v>480</v>
      </c>
      <c r="AM3" s="453" t="s">
        <v>479</v>
      </c>
      <c r="AN3" s="453" t="s">
        <v>478</v>
      </c>
      <c r="AO3" s="453" t="s">
        <v>477</v>
      </c>
      <c r="AP3" s="453" t="s">
        <v>476</v>
      </c>
      <c r="AQ3" s="453" t="s">
        <v>475</v>
      </c>
      <c r="AR3" s="453" t="s">
        <v>474</v>
      </c>
      <c r="AS3" s="453" t="s">
        <v>473</v>
      </c>
      <c r="AT3" s="453" t="s">
        <v>472</v>
      </c>
    </row>
    <row r="4" spans="1:53">
      <c r="A4" s="2" t="str">
        <f>C4&amp;"_"&amp;D4</f>
        <v>Res - Outreach &amp; Education_Behavior 2018 1st Year</v>
      </c>
      <c r="B4" s="18">
        <v>1</v>
      </c>
      <c r="C4" s="18" t="s">
        <v>698</v>
      </c>
      <c r="D4" s="18" t="s">
        <v>781</v>
      </c>
      <c r="E4" s="23" t="s">
        <v>150</v>
      </c>
      <c r="F4" s="23">
        <v>1</v>
      </c>
      <c r="G4" s="154">
        <v>1</v>
      </c>
      <c r="H4" s="469">
        <v>1</v>
      </c>
      <c r="I4" s="458">
        <v>1</v>
      </c>
      <c r="J4" s="23">
        <v>54000</v>
      </c>
      <c r="K4" s="23">
        <v>0</v>
      </c>
      <c r="L4" s="23">
        <v>0</v>
      </c>
      <c r="M4" s="23">
        <v>0</v>
      </c>
      <c r="N4" s="215">
        <v>10.648148148148149</v>
      </c>
      <c r="O4" s="215">
        <v>0</v>
      </c>
      <c r="P4" s="215">
        <v>0</v>
      </c>
      <c r="Q4" s="215">
        <v>0</v>
      </c>
      <c r="R4" s="15" t="s">
        <v>835</v>
      </c>
      <c r="S4" s="15" t="s">
        <v>841</v>
      </c>
      <c r="T4" s="18" t="s">
        <v>759</v>
      </c>
      <c r="U4" s="18" t="s">
        <v>760</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363"/>
      <c r="AV4" s="363"/>
      <c r="AW4" s="363"/>
      <c r="AX4" s="363"/>
      <c r="AY4" s="364"/>
      <c r="AZ4" s="365"/>
      <c r="BA4" s="366"/>
    </row>
    <row r="5" spans="1:53">
      <c r="A5" s="2" t="str">
        <f t="shared" ref="A5:A68" si="0">C5&amp;"_"&amp;D5</f>
        <v>Res - Outreach &amp; Education_Behavior 2019 1st Year</v>
      </c>
      <c r="B5" s="18">
        <v>2</v>
      </c>
      <c r="C5" s="18" t="s">
        <v>698</v>
      </c>
      <c r="D5" s="18" t="s">
        <v>782</v>
      </c>
      <c r="E5" s="23" t="s">
        <v>150</v>
      </c>
      <c r="F5" s="23">
        <v>1</v>
      </c>
      <c r="G5" s="154">
        <v>1</v>
      </c>
      <c r="H5" s="469">
        <v>1</v>
      </c>
      <c r="I5" s="458">
        <v>1</v>
      </c>
      <c r="J5" s="23"/>
      <c r="K5" s="23">
        <v>52800</v>
      </c>
      <c r="L5" s="23"/>
      <c r="M5" s="23"/>
      <c r="N5" s="215">
        <v>0</v>
      </c>
      <c r="O5" s="215">
        <v>6.0639778977279111</v>
      </c>
      <c r="P5" s="215">
        <v>0</v>
      </c>
      <c r="Q5" s="215">
        <v>0</v>
      </c>
      <c r="R5" s="15" t="s">
        <v>835</v>
      </c>
      <c r="S5" s="15" t="s">
        <v>841</v>
      </c>
      <c r="T5" s="18" t="s">
        <v>759</v>
      </c>
      <c r="U5" s="18" t="s">
        <v>760</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363"/>
      <c r="AV5" s="363"/>
      <c r="AW5" s="363"/>
      <c r="AX5" s="363"/>
      <c r="AY5" s="364"/>
      <c r="AZ5" s="365"/>
      <c r="BA5" s="366"/>
    </row>
    <row r="6" spans="1:53">
      <c r="A6" s="2" t="str">
        <f t="shared" si="0"/>
        <v>Res - Outreach &amp; Education_Behavior 2020 1st Year</v>
      </c>
      <c r="B6" s="18">
        <v>3</v>
      </c>
      <c r="C6" s="18" t="s">
        <v>698</v>
      </c>
      <c r="D6" s="18" t="s">
        <v>783</v>
      </c>
      <c r="E6" s="23" t="s">
        <v>150</v>
      </c>
      <c r="F6" s="23">
        <v>1</v>
      </c>
      <c r="G6" s="154">
        <v>1</v>
      </c>
      <c r="H6" s="469">
        <v>1</v>
      </c>
      <c r="I6" s="458">
        <v>1</v>
      </c>
      <c r="J6" s="23"/>
      <c r="K6" s="23"/>
      <c r="L6" s="23">
        <v>51600</v>
      </c>
      <c r="M6" s="23"/>
      <c r="N6" s="215">
        <v>0</v>
      </c>
      <c r="O6" s="215">
        <v>0</v>
      </c>
      <c r="P6" s="215">
        <v>6.1129806441341552</v>
      </c>
      <c r="Q6" s="215">
        <v>0</v>
      </c>
      <c r="R6" s="15" t="s">
        <v>835</v>
      </c>
      <c r="S6" s="15" t="s">
        <v>841</v>
      </c>
      <c r="T6" s="18" t="s">
        <v>759</v>
      </c>
      <c r="U6" s="18" t="s">
        <v>760</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363"/>
      <c r="AV6" s="363"/>
      <c r="AW6" s="363"/>
      <c r="AX6" s="363"/>
      <c r="AY6" s="364"/>
      <c r="AZ6" s="365"/>
      <c r="BA6" s="366"/>
    </row>
    <row r="7" spans="1:53">
      <c r="A7" s="2" t="str">
        <f t="shared" si="0"/>
        <v>Res - Outreach &amp; Education_Behavior 2021 1st Year</v>
      </c>
      <c r="B7" s="18">
        <v>4</v>
      </c>
      <c r="C7" s="18" t="s">
        <v>698</v>
      </c>
      <c r="D7" s="18" t="s">
        <v>784</v>
      </c>
      <c r="E7" s="23" t="s">
        <v>150</v>
      </c>
      <c r="F7" s="23">
        <v>1</v>
      </c>
      <c r="G7" s="154">
        <v>1</v>
      </c>
      <c r="H7" s="469">
        <v>1</v>
      </c>
      <c r="I7" s="458">
        <v>1</v>
      </c>
      <c r="J7" s="23"/>
      <c r="K7" s="23"/>
      <c r="L7" s="23"/>
      <c r="M7" s="23">
        <v>50400</v>
      </c>
      <c r="N7" s="215">
        <v>0</v>
      </c>
      <c r="O7" s="215">
        <v>0</v>
      </c>
      <c r="P7" s="215">
        <v>0</v>
      </c>
      <c r="Q7" s="215">
        <v>6.1487983092712835</v>
      </c>
      <c r="R7" s="15" t="s">
        <v>835</v>
      </c>
      <c r="S7" s="15" t="s">
        <v>841</v>
      </c>
      <c r="T7" s="18" t="s">
        <v>759</v>
      </c>
      <c r="U7" s="18" t="s">
        <v>760</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363"/>
      <c r="AV7" s="363"/>
      <c r="AW7" s="363"/>
      <c r="AX7" s="363"/>
      <c r="AY7" s="364"/>
      <c r="AZ7" s="365"/>
      <c r="BA7" s="366"/>
    </row>
    <row r="8" spans="1:53">
      <c r="A8" s="2" t="str">
        <f t="shared" si="0"/>
        <v>Res - Outreach &amp; Education_Behavior 2018 Y1 Persistence</v>
      </c>
      <c r="B8" s="18">
        <v>5</v>
      </c>
      <c r="C8" s="18" t="s">
        <v>698</v>
      </c>
      <c r="D8" s="18" t="s">
        <v>765</v>
      </c>
      <c r="E8" s="23" t="s">
        <v>150</v>
      </c>
      <c r="F8" s="23">
        <v>1</v>
      </c>
      <c r="G8" s="154">
        <v>1</v>
      </c>
      <c r="H8" s="469">
        <v>0</v>
      </c>
      <c r="I8" s="458">
        <v>0</v>
      </c>
      <c r="J8" s="23">
        <v>54000</v>
      </c>
      <c r="K8" s="23"/>
      <c r="L8" s="23"/>
      <c r="M8" s="23"/>
      <c r="N8" s="215">
        <v>4.681888277777154</v>
      </c>
      <c r="O8" s="215">
        <v>0</v>
      </c>
      <c r="P8" s="215">
        <v>0</v>
      </c>
      <c r="Q8" s="215">
        <v>0</v>
      </c>
      <c r="R8" s="15" t="s">
        <v>835</v>
      </c>
      <c r="S8" s="15" t="s">
        <v>841</v>
      </c>
      <c r="T8" s="18" t="s">
        <v>759</v>
      </c>
      <c r="U8" s="18" t="s">
        <v>760</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363"/>
      <c r="AV8" s="363"/>
      <c r="AW8" s="363"/>
      <c r="AX8" s="363"/>
      <c r="AY8" s="364"/>
      <c r="AZ8" s="365"/>
      <c r="BA8" s="366"/>
    </row>
    <row r="9" spans="1:53">
      <c r="A9" s="2" t="str">
        <f t="shared" si="0"/>
        <v>Res - Outreach &amp; Education_Behavior 2018 Y2 Persistence</v>
      </c>
      <c r="B9" s="18">
        <v>6</v>
      </c>
      <c r="C9" s="18" t="s">
        <v>698</v>
      </c>
      <c r="D9" s="18" t="s">
        <v>766</v>
      </c>
      <c r="E9" s="23" t="s">
        <v>150</v>
      </c>
      <c r="F9" s="23">
        <v>1</v>
      </c>
      <c r="G9" s="154">
        <v>1</v>
      </c>
      <c r="H9" s="469">
        <v>0</v>
      </c>
      <c r="I9" s="458">
        <v>0</v>
      </c>
      <c r="J9" s="23">
        <v>54000</v>
      </c>
      <c r="K9" s="23"/>
      <c r="L9" s="23"/>
      <c r="M9" s="23"/>
      <c r="N9" s="215">
        <v>2.0331666407501103</v>
      </c>
      <c r="O9" s="215">
        <v>0</v>
      </c>
      <c r="P9" s="215">
        <v>0</v>
      </c>
      <c r="Q9" s="215">
        <v>0</v>
      </c>
      <c r="R9" s="15" t="s">
        <v>835</v>
      </c>
      <c r="S9" s="15" t="s">
        <v>841</v>
      </c>
      <c r="T9" s="18" t="s">
        <v>759</v>
      </c>
      <c r="U9" s="18" t="s">
        <v>760</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363"/>
      <c r="AV9" s="363"/>
      <c r="AW9" s="363"/>
      <c r="AX9" s="363"/>
      <c r="AY9" s="364"/>
      <c r="AZ9" s="365"/>
      <c r="BA9" s="366"/>
    </row>
    <row r="10" spans="1:53">
      <c r="A10" s="2" t="str">
        <f t="shared" si="0"/>
        <v>Res - Outreach &amp; Education_Behavior 2018 Y3 Persistence</v>
      </c>
      <c r="B10" s="18">
        <v>7</v>
      </c>
      <c r="C10" s="18" t="s">
        <v>698</v>
      </c>
      <c r="D10" s="18" t="s">
        <v>767</v>
      </c>
      <c r="E10" s="23" t="s">
        <v>150</v>
      </c>
      <c r="F10" s="23">
        <v>1</v>
      </c>
      <c r="G10" s="154">
        <v>1</v>
      </c>
      <c r="H10" s="469">
        <v>0</v>
      </c>
      <c r="I10" s="458">
        <v>0</v>
      </c>
      <c r="J10" s="23">
        <v>54000</v>
      </c>
      <c r="K10" s="23"/>
      <c r="L10" s="23"/>
      <c r="M10" s="23"/>
      <c r="N10" s="215">
        <v>0.89396380757070759</v>
      </c>
      <c r="O10" s="215">
        <v>0</v>
      </c>
      <c r="P10" s="215">
        <v>0</v>
      </c>
      <c r="Q10" s="215">
        <v>0</v>
      </c>
      <c r="R10" s="15" t="s">
        <v>835</v>
      </c>
      <c r="S10" s="15" t="s">
        <v>841</v>
      </c>
      <c r="T10" s="18" t="s">
        <v>759</v>
      </c>
      <c r="U10" s="18" t="s">
        <v>760</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363"/>
      <c r="AV10" s="363"/>
      <c r="AW10" s="363"/>
      <c r="AX10" s="363"/>
      <c r="AY10" s="364"/>
      <c r="AZ10" s="365"/>
      <c r="BA10" s="366"/>
    </row>
    <row r="11" spans="1:53">
      <c r="A11" s="2" t="str">
        <f t="shared" si="0"/>
        <v>Res - Outreach &amp; Education_Behavior 2018 Y4 Persistence</v>
      </c>
      <c r="B11" s="18">
        <v>8</v>
      </c>
      <c r="C11" s="18" t="s">
        <v>698</v>
      </c>
      <c r="D11" s="18" t="s">
        <v>768</v>
      </c>
      <c r="E11" s="23" t="s">
        <v>150</v>
      </c>
      <c r="F11" s="23">
        <v>1</v>
      </c>
      <c r="G11" s="154">
        <v>1</v>
      </c>
      <c r="H11" s="469">
        <v>0</v>
      </c>
      <c r="I11" s="458">
        <v>0</v>
      </c>
      <c r="J11" s="23">
        <v>54000</v>
      </c>
      <c r="K11" s="23"/>
      <c r="L11" s="23"/>
      <c r="M11" s="23"/>
      <c r="N11" s="215">
        <v>0.38821460140728836</v>
      </c>
      <c r="O11" s="215">
        <v>0</v>
      </c>
      <c r="P11" s="215">
        <v>0</v>
      </c>
      <c r="Q11" s="215">
        <v>0</v>
      </c>
      <c r="R11" s="15" t="s">
        <v>835</v>
      </c>
      <c r="S11" s="15" t="s">
        <v>841</v>
      </c>
      <c r="T11" s="18" t="s">
        <v>759</v>
      </c>
      <c r="U11" s="18" t="s">
        <v>760</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363"/>
      <c r="AV11" s="363"/>
      <c r="AW11" s="363"/>
      <c r="AX11" s="363"/>
      <c r="AY11" s="364"/>
      <c r="AZ11" s="365"/>
      <c r="BA11" s="366"/>
    </row>
    <row r="12" spans="1:53">
      <c r="A12" s="2" t="str">
        <f t="shared" si="0"/>
        <v>Res - Outreach &amp; Education_Behavior 2019 Y1 Persistence</v>
      </c>
      <c r="B12" s="18">
        <v>9</v>
      </c>
      <c r="C12" s="18" t="s">
        <v>698</v>
      </c>
      <c r="D12" s="18" t="s">
        <v>769</v>
      </c>
      <c r="E12" s="23" t="s">
        <v>150</v>
      </c>
      <c r="F12" s="23">
        <v>1</v>
      </c>
      <c r="G12" s="154">
        <v>1</v>
      </c>
      <c r="H12" s="469">
        <v>0</v>
      </c>
      <c r="I12" s="458">
        <v>0</v>
      </c>
      <c r="J12" s="23"/>
      <c r="K12" s="23">
        <v>52800</v>
      </c>
      <c r="L12" s="23"/>
      <c r="M12" s="23"/>
      <c r="N12" s="215">
        <v>0</v>
      </c>
      <c r="O12" s="215">
        <v>2.6662727303441587</v>
      </c>
      <c r="P12" s="215">
        <v>0</v>
      </c>
      <c r="Q12" s="215">
        <v>0</v>
      </c>
      <c r="R12" s="15" t="s">
        <v>835</v>
      </c>
      <c r="S12" s="15" t="s">
        <v>841</v>
      </c>
      <c r="T12" s="18" t="s">
        <v>759</v>
      </c>
      <c r="U12" s="18" t="s">
        <v>760</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363"/>
      <c r="AV12" s="363"/>
      <c r="AW12" s="363"/>
      <c r="AX12" s="363"/>
      <c r="AY12" s="364"/>
      <c r="AZ12" s="365"/>
      <c r="BA12" s="366"/>
    </row>
    <row r="13" spans="1:53">
      <c r="A13" s="2" t="str">
        <f t="shared" si="0"/>
        <v>Res - Outreach &amp; Education_Behavior 2019 Y2 Persistence</v>
      </c>
      <c r="B13" s="18">
        <v>10</v>
      </c>
      <c r="C13" s="18" t="s">
        <v>698</v>
      </c>
      <c r="D13" s="18" t="s">
        <v>770</v>
      </c>
      <c r="E13" s="23" t="s">
        <v>150</v>
      </c>
      <c r="F13" s="23">
        <v>1</v>
      </c>
      <c r="G13" s="154">
        <v>1</v>
      </c>
      <c r="H13" s="469">
        <v>0</v>
      </c>
      <c r="I13" s="458">
        <v>0</v>
      </c>
      <c r="J13" s="23"/>
      <c r="K13" s="23">
        <v>52800</v>
      </c>
      <c r="L13" s="23"/>
      <c r="M13" s="23"/>
      <c r="N13" s="215">
        <v>0</v>
      </c>
      <c r="O13" s="215">
        <v>1.1578611980572944</v>
      </c>
      <c r="P13" s="215">
        <v>0</v>
      </c>
      <c r="Q13" s="215">
        <v>0</v>
      </c>
      <c r="R13" s="15" t="s">
        <v>835</v>
      </c>
      <c r="S13" s="15" t="s">
        <v>841</v>
      </c>
      <c r="T13" s="18" t="s">
        <v>759</v>
      </c>
      <c r="U13" s="18" t="s">
        <v>760</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363"/>
      <c r="AV13" s="363"/>
      <c r="AW13" s="363"/>
      <c r="AX13" s="363"/>
      <c r="AY13" s="364"/>
      <c r="AZ13" s="365"/>
      <c r="BA13" s="366"/>
    </row>
    <row r="14" spans="1:53">
      <c r="A14" s="2" t="str">
        <f t="shared" si="0"/>
        <v>Res - Outreach &amp; Education_Behavior 2019 Y3 Persistence</v>
      </c>
      <c r="B14" s="18">
        <v>11</v>
      </c>
      <c r="C14" s="18" t="s">
        <v>698</v>
      </c>
      <c r="D14" s="18" t="s">
        <v>771</v>
      </c>
      <c r="E14" s="23" t="s">
        <v>150</v>
      </c>
      <c r="F14" s="23">
        <v>1</v>
      </c>
      <c r="G14" s="154">
        <v>1</v>
      </c>
      <c r="H14" s="469">
        <v>0</v>
      </c>
      <c r="I14" s="458">
        <v>0</v>
      </c>
      <c r="J14" s="23"/>
      <c r="K14" s="23">
        <v>52800</v>
      </c>
      <c r="L14" s="23"/>
      <c r="M14" s="23"/>
      <c r="N14" s="215">
        <v>0</v>
      </c>
      <c r="O14" s="215">
        <v>0.50910042714049175</v>
      </c>
      <c r="P14" s="215">
        <v>0</v>
      </c>
      <c r="Q14" s="215">
        <v>0</v>
      </c>
      <c r="R14" s="15" t="s">
        <v>835</v>
      </c>
      <c r="S14" s="15" t="s">
        <v>841</v>
      </c>
      <c r="T14" s="18" t="s">
        <v>759</v>
      </c>
      <c r="U14" s="18" t="s">
        <v>760</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363"/>
      <c r="AV14" s="363"/>
      <c r="AW14" s="363"/>
      <c r="AX14" s="363"/>
      <c r="AY14" s="364"/>
      <c r="AZ14" s="365"/>
      <c r="BA14" s="366"/>
    </row>
    <row r="15" spans="1:53">
      <c r="A15" s="2" t="str">
        <f t="shared" si="0"/>
        <v>Res - Outreach &amp; Education_Behavior 2019 Y4 Persistence</v>
      </c>
      <c r="B15" s="18">
        <v>12</v>
      </c>
      <c r="C15" s="18" t="s">
        <v>698</v>
      </c>
      <c r="D15" s="18" t="s">
        <v>772</v>
      </c>
      <c r="E15" s="23" t="s">
        <v>150</v>
      </c>
      <c r="F15" s="23">
        <v>1</v>
      </c>
      <c r="G15" s="154">
        <v>1</v>
      </c>
      <c r="H15" s="469">
        <v>0</v>
      </c>
      <c r="I15" s="458">
        <v>0</v>
      </c>
      <c r="J15" s="23"/>
      <c r="K15" s="23">
        <v>52800</v>
      </c>
      <c r="L15" s="23"/>
      <c r="M15" s="23"/>
      <c r="N15" s="215">
        <v>0</v>
      </c>
      <c r="O15" s="215">
        <v>0.22108302117476269</v>
      </c>
      <c r="P15" s="215">
        <v>0</v>
      </c>
      <c r="Q15" s="215">
        <v>0</v>
      </c>
      <c r="R15" s="15" t="s">
        <v>835</v>
      </c>
      <c r="S15" s="15" t="s">
        <v>841</v>
      </c>
      <c r="T15" s="18" t="s">
        <v>759</v>
      </c>
      <c r="U15" s="18" t="s">
        <v>760</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363"/>
      <c r="AV15" s="363"/>
      <c r="AW15" s="363"/>
      <c r="AX15" s="363"/>
      <c r="AY15" s="364"/>
      <c r="AZ15" s="365"/>
      <c r="BA15" s="366"/>
    </row>
    <row r="16" spans="1:53">
      <c r="A16" s="2" t="str">
        <f t="shared" si="0"/>
        <v>Res - Outreach &amp; Education_Behavior 2020 Y1 Persistence</v>
      </c>
      <c r="B16" s="18">
        <v>13</v>
      </c>
      <c r="C16" s="18" t="s">
        <v>698</v>
      </c>
      <c r="D16" s="18" t="s">
        <v>773</v>
      </c>
      <c r="E16" s="23" t="s">
        <v>150</v>
      </c>
      <c r="F16" s="23">
        <v>1</v>
      </c>
      <c r="G16" s="154">
        <v>1</v>
      </c>
      <c r="H16" s="469">
        <v>0</v>
      </c>
      <c r="I16" s="458">
        <v>0</v>
      </c>
      <c r="J16" s="23"/>
      <c r="K16" s="23"/>
      <c r="L16" s="23">
        <v>51600</v>
      </c>
      <c r="M16" s="23"/>
      <c r="N16" s="215">
        <v>0</v>
      </c>
      <c r="O16" s="215">
        <v>0</v>
      </c>
      <c r="P16" s="215">
        <v>2.6878187664047273</v>
      </c>
      <c r="Q16" s="215">
        <v>0</v>
      </c>
      <c r="R16" s="15" t="s">
        <v>835</v>
      </c>
      <c r="S16" s="15" t="s">
        <v>841</v>
      </c>
      <c r="T16" s="18" t="s">
        <v>759</v>
      </c>
      <c r="U16" s="18" t="s">
        <v>760</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363"/>
      <c r="AV16" s="363"/>
      <c r="AW16" s="363"/>
      <c r="AX16" s="363"/>
      <c r="AY16" s="364"/>
      <c r="AZ16" s="365"/>
      <c r="BA16" s="366"/>
    </row>
    <row r="17" spans="1:53">
      <c r="A17" s="2" t="str">
        <f t="shared" si="0"/>
        <v>Res - Outreach &amp; Education_Behavior 2020 Y2 Persistence</v>
      </c>
      <c r="B17" s="18">
        <v>14</v>
      </c>
      <c r="C17" s="18" t="s">
        <v>698</v>
      </c>
      <c r="D17" s="18" t="s">
        <v>774</v>
      </c>
      <c r="E17" s="23" t="s">
        <v>150</v>
      </c>
      <c r="F17" s="23">
        <v>1</v>
      </c>
      <c r="G17" s="154">
        <v>1</v>
      </c>
      <c r="H17" s="469">
        <v>0</v>
      </c>
      <c r="I17" s="458">
        <v>0</v>
      </c>
      <c r="J17" s="23"/>
      <c r="K17" s="23"/>
      <c r="L17" s="23">
        <v>51600</v>
      </c>
      <c r="M17" s="23"/>
      <c r="N17" s="215">
        <v>0</v>
      </c>
      <c r="O17" s="215">
        <v>0</v>
      </c>
      <c r="P17" s="215">
        <v>1.1672178249479184</v>
      </c>
      <c r="Q17" s="215">
        <v>0</v>
      </c>
      <c r="R17" s="15" t="s">
        <v>835</v>
      </c>
      <c r="S17" s="15" t="s">
        <v>841</v>
      </c>
      <c r="T17" s="18" t="s">
        <v>759</v>
      </c>
      <c r="U17" s="18" t="s">
        <v>760</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363"/>
      <c r="AV17" s="363"/>
      <c r="AW17" s="363"/>
      <c r="AX17" s="363"/>
      <c r="AY17" s="364"/>
      <c r="AZ17" s="365"/>
      <c r="BA17" s="366"/>
    </row>
    <row r="18" spans="1:53">
      <c r="A18" s="2" t="str">
        <f t="shared" si="0"/>
        <v>Res - Outreach &amp; Education_Behavior 2020 Y3 Persistence</v>
      </c>
      <c r="B18" s="18">
        <v>15</v>
      </c>
      <c r="C18" s="18" t="s">
        <v>698</v>
      </c>
      <c r="D18" s="18" t="s">
        <v>775</v>
      </c>
      <c r="E18" s="23" t="s">
        <v>150</v>
      </c>
      <c r="F18" s="23">
        <v>1</v>
      </c>
      <c r="G18" s="154">
        <v>1</v>
      </c>
      <c r="H18" s="469">
        <v>0</v>
      </c>
      <c r="I18" s="458">
        <v>0</v>
      </c>
      <c r="J18" s="23"/>
      <c r="K18" s="23"/>
      <c r="L18" s="23">
        <v>51600</v>
      </c>
      <c r="M18" s="23"/>
      <c r="N18" s="215">
        <v>0</v>
      </c>
      <c r="O18" s="215">
        <v>0</v>
      </c>
      <c r="P18" s="215">
        <v>0.51321444594913934</v>
      </c>
      <c r="Q18" s="215">
        <v>0</v>
      </c>
      <c r="R18" s="15" t="s">
        <v>835</v>
      </c>
      <c r="S18" s="15" t="s">
        <v>841</v>
      </c>
      <c r="T18" s="18" t="s">
        <v>759</v>
      </c>
      <c r="U18" s="18" t="s">
        <v>760</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363"/>
      <c r="AV18" s="363"/>
      <c r="AW18" s="363"/>
      <c r="AX18" s="363"/>
      <c r="AY18" s="364"/>
      <c r="AZ18" s="365"/>
      <c r="BA18" s="366"/>
    </row>
    <row r="19" spans="1:53">
      <c r="A19" s="2" t="str">
        <f t="shared" si="0"/>
        <v>Res - Outreach &amp; Education_Behavior 2020 Y4 Persistence</v>
      </c>
      <c r="B19" s="18">
        <v>16</v>
      </c>
      <c r="C19" s="18" t="s">
        <v>698</v>
      </c>
      <c r="D19" s="18" t="s">
        <v>776</v>
      </c>
      <c r="E19" s="23" t="s">
        <v>150</v>
      </c>
      <c r="F19" s="23">
        <v>1</v>
      </c>
      <c r="G19" s="154">
        <v>1</v>
      </c>
      <c r="H19" s="469">
        <v>0</v>
      </c>
      <c r="I19" s="458">
        <v>0</v>
      </c>
      <c r="J19" s="23"/>
      <c r="K19" s="23"/>
      <c r="L19" s="23">
        <v>51600</v>
      </c>
      <c r="M19" s="23"/>
      <c r="N19" s="215">
        <v>0</v>
      </c>
      <c r="O19" s="215">
        <v>0</v>
      </c>
      <c r="P19" s="215">
        <v>0.22286958362668266</v>
      </c>
      <c r="Q19" s="215">
        <v>0</v>
      </c>
      <c r="R19" s="15" t="s">
        <v>835</v>
      </c>
      <c r="S19" s="15" t="s">
        <v>841</v>
      </c>
      <c r="T19" s="18" t="s">
        <v>759</v>
      </c>
      <c r="U19" s="18" t="s">
        <v>760</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363"/>
      <c r="AV19" s="363"/>
      <c r="AW19" s="363"/>
      <c r="AX19" s="363"/>
      <c r="AY19" s="364"/>
      <c r="AZ19" s="365"/>
      <c r="BA19" s="366"/>
    </row>
    <row r="20" spans="1:53">
      <c r="A20" s="2" t="str">
        <f t="shared" si="0"/>
        <v>Res - Outreach &amp; Education_Behavior 2021 Y1 Persistence</v>
      </c>
      <c r="B20" s="18">
        <v>17</v>
      </c>
      <c r="C20" s="18" t="s">
        <v>698</v>
      </c>
      <c r="D20" s="18" t="s">
        <v>777</v>
      </c>
      <c r="E20" s="23" t="s">
        <v>150</v>
      </c>
      <c r="F20" s="23">
        <v>1</v>
      </c>
      <c r="G20" s="154">
        <v>1</v>
      </c>
      <c r="H20" s="469">
        <v>0</v>
      </c>
      <c r="I20" s="458">
        <v>0</v>
      </c>
      <c r="J20" s="23"/>
      <c r="K20" s="23"/>
      <c r="L20" s="23"/>
      <c r="M20" s="23">
        <v>50400</v>
      </c>
      <c r="N20" s="215">
        <v>0</v>
      </c>
      <c r="O20" s="215">
        <v>0</v>
      </c>
      <c r="P20" s="215">
        <v>0</v>
      </c>
      <c r="Q20" s="215">
        <v>2.7035674491061457</v>
      </c>
      <c r="R20" s="15" t="s">
        <v>835</v>
      </c>
      <c r="S20" s="15" t="s">
        <v>841</v>
      </c>
      <c r="T20" s="18" t="s">
        <v>759</v>
      </c>
      <c r="U20" s="18" t="s">
        <v>760</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363"/>
      <c r="AV20" s="363"/>
      <c r="AW20" s="363"/>
      <c r="AX20" s="363"/>
      <c r="AY20" s="364"/>
      <c r="AZ20" s="365"/>
      <c r="BA20" s="366"/>
    </row>
    <row r="21" spans="1:53">
      <c r="A21" s="2" t="str">
        <f t="shared" si="0"/>
        <v>Res - Outreach &amp; Education_Behavior 2021 Y2 Persistence</v>
      </c>
      <c r="B21" s="18">
        <v>18</v>
      </c>
      <c r="C21" s="18" t="s">
        <v>698</v>
      </c>
      <c r="D21" s="18" t="s">
        <v>778</v>
      </c>
      <c r="E21" s="23" t="s">
        <v>150</v>
      </c>
      <c r="F21" s="23">
        <v>1</v>
      </c>
      <c r="G21" s="154">
        <v>1</v>
      </c>
      <c r="H21" s="469">
        <v>0</v>
      </c>
      <c r="I21" s="458">
        <v>0</v>
      </c>
      <c r="J21" s="23"/>
      <c r="K21" s="23"/>
      <c r="L21" s="23"/>
      <c r="M21" s="23">
        <v>50400</v>
      </c>
      <c r="N21" s="215">
        <v>0</v>
      </c>
      <c r="O21" s="215">
        <v>0</v>
      </c>
      <c r="P21" s="215">
        <v>0</v>
      </c>
      <c r="Q21" s="215">
        <v>1.1740568809878209</v>
      </c>
      <c r="R21" s="15" t="s">
        <v>835</v>
      </c>
      <c r="S21" s="15" t="s">
        <v>841</v>
      </c>
      <c r="T21" s="18" t="s">
        <v>759</v>
      </c>
      <c r="U21" s="18" t="s">
        <v>760</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363"/>
      <c r="AV21" s="363"/>
      <c r="AW21" s="363"/>
      <c r="AX21" s="363"/>
      <c r="AY21" s="364"/>
      <c r="AZ21" s="365"/>
      <c r="BA21" s="366"/>
    </row>
    <row r="22" spans="1:53">
      <c r="A22" s="2" t="str">
        <f t="shared" si="0"/>
        <v>Res - Outreach &amp; Education_Behavior 2021 Y3 Persistence</v>
      </c>
      <c r="B22" s="18">
        <v>19</v>
      </c>
      <c r="C22" s="18" t="s">
        <v>698</v>
      </c>
      <c r="D22" s="18" t="s">
        <v>779</v>
      </c>
      <c r="E22" s="23" t="s">
        <v>150</v>
      </c>
      <c r="F22" s="23">
        <v>1</v>
      </c>
      <c r="G22" s="154">
        <v>1</v>
      </c>
      <c r="H22" s="469">
        <v>0</v>
      </c>
      <c r="I22" s="458">
        <v>0</v>
      </c>
      <c r="J22" s="23"/>
      <c r="K22" s="23"/>
      <c r="L22" s="23"/>
      <c r="M22" s="23">
        <v>50400</v>
      </c>
      <c r="N22" s="215">
        <v>0</v>
      </c>
      <c r="O22" s="215">
        <v>0</v>
      </c>
      <c r="P22" s="215">
        <v>0</v>
      </c>
      <c r="Q22" s="215">
        <v>0.51622151308032393</v>
      </c>
      <c r="R22" s="15" t="s">
        <v>835</v>
      </c>
      <c r="S22" s="15" t="s">
        <v>841</v>
      </c>
      <c r="T22" s="18" t="s">
        <v>759</v>
      </c>
      <c r="U22" s="18" t="s">
        <v>760</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363"/>
      <c r="AV22" s="363"/>
      <c r="AW22" s="363"/>
      <c r="AX22" s="363"/>
      <c r="AY22" s="364"/>
      <c r="AZ22" s="365"/>
      <c r="BA22" s="366"/>
    </row>
    <row r="23" spans="1:53">
      <c r="A23" s="2" t="str">
        <f t="shared" si="0"/>
        <v>Res - Outreach &amp; Education_Behavior 2021 Y4 Persistence</v>
      </c>
      <c r="B23" s="18">
        <v>20</v>
      </c>
      <c r="C23" s="18" t="s">
        <v>698</v>
      </c>
      <c r="D23" s="18" t="s">
        <v>780</v>
      </c>
      <c r="E23" s="23" t="s">
        <v>150</v>
      </c>
      <c r="F23" s="23">
        <v>1</v>
      </c>
      <c r="G23" s="154">
        <v>1</v>
      </c>
      <c r="H23" s="469">
        <v>0</v>
      </c>
      <c r="I23" s="458">
        <v>0</v>
      </c>
      <c r="J23" s="23"/>
      <c r="K23" s="23"/>
      <c r="L23" s="23"/>
      <c r="M23" s="23">
        <v>50400</v>
      </c>
      <c r="N23" s="215">
        <v>0</v>
      </c>
      <c r="O23" s="215">
        <v>0</v>
      </c>
      <c r="P23" s="215">
        <v>0</v>
      </c>
      <c r="Q23" s="215">
        <v>0.22417543891730132</v>
      </c>
      <c r="R23" s="15" t="s">
        <v>835</v>
      </c>
      <c r="S23" s="15" t="s">
        <v>841</v>
      </c>
      <c r="T23" s="18" t="s">
        <v>759</v>
      </c>
      <c r="U23" s="18" t="s">
        <v>760</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363"/>
      <c r="AV23" s="363"/>
      <c r="AW23" s="363"/>
      <c r="AX23" s="363"/>
      <c r="AY23" s="364"/>
      <c r="AZ23" s="365"/>
      <c r="BA23" s="366"/>
    </row>
    <row r="24" spans="1:53">
      <c r="A24" s="2" t="str">
        <f t="shared" si="0"/>
        <v>Res - Outreach &amp; Education_Energy Education</v>
      </c>
      <c r="B24" s="18">
        <v>21</v>
      </c>
      <c r="C24" s="18" t="s">
        <v>698</v>
      </c>
      <c r="D24" s="18" t="s">
        <v>668</v>
      </c>
      <c r="E24" s="23" t="s">
        <v>150</v>
      </c>
      <c r="F24" s="23">
        <v>1</v>
      </c>
      <c r="G24" s="154">
        <v>1</v>
      </c>
      <c r="H24" s="469">
        <v>4</v>
      </c>
      <c r="I24" s="458">
        <v>4</v>
      </c>
      <c r="J24" s="23">
        <v>1375</v>
      </c>
      <c r="K24" s="23">
        <v>1375</v>
      </c>
      <c r="L24" s="23">
        <v>1375</v>
      </c>
      <c r="M24" s="23">
        <v>1375</v>
      </c>
      <c r="N24" s="215">
        <v>10</v>
      </c>
      <c r="O24" s="215">
        <v>10</v>
      </c>
      <c r="P24" s="215">
        <v>10</v>
      </c>
      <c r="Q24" s="215">
        <v>10</v>
      </c>
      <c r="R24" s="18" t="s">
        <v>140</v>
      </c>
      <c r="S24" s="18" t="s">
        <v>140</v>
      </c>
      <c r="T24" s="18" t="s">
        <v>140</v>
      </c>
      <c r="U24" s="18" t="s">
        <v>140</v>
      </c>
      <c r="V24" s="412" t="s">
        <v>140</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363"/>
      <c r="AV24" s="363"/>
      <c r="AW24" s="363"/>
      <c r="AX24" s="363"/>
      <c r="AY24" s="364"/>
      <c r="AZ24" s="365"/>
      <c r="BA24" s="366"/>
    </row>
    <row r="25" spans="1:53">
      <c r="A25" s="2" t="str">
        <f t="shared" si="0"/>
        <v>Res - SF Assessments_Bathroom Aerator</v>
      </c>
      <c r="B25" s="18">
        <v>22</v>
      </c>
      <c r="C25" s="18" t="s">
        <v>690</v>
      </c>
      <c r="D25" s="18" t="s">
        <v>733</v>
      </c>
      <c r="E25" s="23" t="s">
        <v>150</v>
      </c>
      <c r="F25" s="23">
        <v>1</v>
      </c>
      <c r="G25" s="154">
        <v>0.96</v>
      </c>
      <c r="H25" s="469">
        <v>9</v>
      </c>
      <c r="I25" s="465">
        <v>10</v>
      </c>
      <c r="J25" s="23">
        <v>3920</v>
      </c>
      <c r="K25" s="23">
        <v>3920</v>
      </c>
      <c r="L25" s="23">
        <v>3864</v>
      </c>
      <c r="M25" s="23">
        <v>3920</v>
      </c>
      <c r="N25" s="215">
        <f>100%*(((X25*AB25)-(Z25*AB25))*AL25*365.25*AD25/AF25)*AH25*AJ25</f>
        <v>0.90849584455671673</v>
      </c>
      <c r="O25" s="215">
        <f t="shared" ref="O25:Q44" si="1">N25</f>
        <v>0.90849584455671673</v>
      </c>
      <c r="P25" s="215">
        <f t="shared" si="1"/>
        <v>0.90849584455671673</v>
      </c>
      <c r="Q25" s="215">
        <f t="shared" si="1"/>
        <v>0.90849584455671673</v>
      </c>
      <c r="R25" s="15" t="s">
        <v>839</v>
      </c>
      <c r="S25" s="15" t="s">
        <v>841</v>
      </c>
      <c r="T25" s="15" t="s">
        <v>470</v>
      </c>
      <c r="U25" s="15" t="s">
        <v>469</v>
      </c>
      <c r="V25" s="412" t="s">
        <v>467</v>
      </c>
      <c r="W25" s="413" t="s">
        <v>359</v>
      </c>
      <c r="X25" s="413">
        <v>1.53</v>
      </c>
      <c r="Y25" s="412" t="s">
        <v>358</v>
      </c>
      <c r="Z25" s="412">
        <v>0.94</v>
      </c>
      <c r="AA25" s="157" t="s">
        <v>357</v>
      </c>
      <c r="AB25" s="412">
        <v>1.6</v>
      </c>
      <c r="AC25" s="157" t="s">
        <v>468</v>
      </c>
      <c r="AD25" s="414">
        <v>0.9</v>
      </c>
      <c r="AE25" s="157" t="s">
        <v>364</v>
      </c>
      <c r="AF25" s="412">
        <v>2.83</v>
      </c>
      <c r="AG25" s="412" t="s">
        <v>355</v>
      </c>
      <c r="AH25" s="415">
        <f>8.33*1*(86-54.1)/(AN25*100000)</f>
        <v>3.4067564102564099E-3</v>
      </c>
      <c r="AI25" s="412" t="s">
        <v>354</v>
      </c>
      <c r="AJ25" s="412">
        <v>0.95</v>
      </c>
      <c r="AK25" s="412" t="s">
        <v>462</v>
      </c>
      <c r="AL25" s="412">
        <v>2.56</v>
      </c>
      <c r="AM25" s="412" t="s">
        <v>461</v>
      </c>
      <c r="AN25" s="414">
        <v>0.78</v>
      </c>
      <c r="AO25" s="166"/>
      <c r="AP25" s="166"/>
      <c r="AQ25" s="166"/>
      <c r="AR25" s="166"/>
      <c r="AS25" s="166"/>
      <c r="AT25" s="166"/>
      <c r="AU25" s="363"/>
      <c r="AV25" s="363"/>
      <c r="AW25" s="363"/>
      <c r="AX25" s="363"/>
      <c r="AY25" s="364"/>
      <c r="AZ25" s="365"/>
      <c r="BA25" s="366"/>
    </row>
    <row r="26" spans="1:53">
      <c r="A26" s="2" t="str">
        <f t="shared" si="0"/>
        <v>Res - SF Assessments_Kitchen Aerator</v>
      </c>
      <c r="B26" s="18">
        <v>23</v>
      </c>
      <c r="C26" s="18" t="s">
        <v>690</v>
      </c>
      <c r="D26" s="18" t="s">
        <v>732</v>
      </c>
      <c r="E26" s="23" t="s">
        <v>150</v>
      </c>
      <c r="F26" s="23">
        <v>1</v>
      </c>
      <c r="G26" s="154">
        <v>0.96</v>
      </c>
      <c r="H26" s="469">
        <v>9</v>
      </c>
      <c r="I26" s="465">
        <v>10</v>
      </c>
      <c r="J26" s="23">
        <v>823</v>
      </c>
      <c r="K26" s="23">
        <v>823</v>
      </c>
      <c r="L26" s="23">
        <v>811</v>
      </c>
      <c r="M26" s="23">
        <v>823</v>
      </c>
      <c r="N26" s="215">
        <f>100%*(((X26*AB26)-(Z26*AB26))*AL26*365.25*AD26/AF26)*AH26*AJ26</f>
        <v>8.5936302377584592</v>
      </c>
      <c r="O26" s="215">
        <f t="shared" si="1"/>
        <v>8.5936302377584592</v>
      </c>
      <c r="P26" s="215">
        <f t="shared" si="1"/>
        <v>8.5936302377584592</v>
      </c>
      <c r="Q26" s="215">
        <f t="shared" si="1"/>
        <v>8.5936302377584592</v>
      </c>
      <c r="R26" s="15" t="s">
        <v>839</v>
      </c>
      <c r="S26" s="15" t="s">
        <v>841</v>
      </c>
      <c r="T26" s="15" t="s">
        <v>470</v>
      </c>
      <c r="U26" s="15" t="s">
        <v>469</v>
      </c>
      <c r="V26" s="412" t="s">
        <v>467</v>
      </c>
      <c r="W26" s="413" t="s">
        <v>359</v>
      </c>
      <c r="X26" s="413">
        <v>1.63</v>
      </c>
      <c r="Y26" s="412" t="s">
        <v>358</v>
      </c>
      <c r="Z26" s="412">
        <v>0.94</v>
      </c>
      <c r="AA26" s="157" t="s">
        <v>357</v>
      </c>
      <c r="AB26" s="412">
        <v>4.5</v>
      </c>
      <c r="AC26" s="157" t="s">
        <v>468</v>
      </c>
      <c r="AD26" s="414">
        <v>0.75</v>
      </c>
      <c r="AE26" s="157" t="s">
        <v>364</v>
      </c>
      <c r="AF26" s="412">
        <v>1</v>
      </c>
      <c r="AG26" s="412" t="s">
        <v>355</v>
      </c>
      <c r="AH26" s="415">
        <f>8.33*1*(93-54.1)/(AN26*100000)</f>
        <v>4.1543205128205122E-3</v>
      </c>
      <c r="AI26" s="412" t="s">
        <v>354</v>
      </c>
      <c r="AJ26" s="412">
        <v>0.95</v>
      </c>
      <c r="AK26" s="412" t="s">
        <v>462</v>
      </c>
      <c r="AL26" s="412">
        <v>2.56</v>
      </c>
      <c r="AM26" s="412" t="s">
        <v>461</v>
      </c>
      <c r="AN26" s="414">
        <v>0.78</v>
      </c>
      <c r="AO26" s="166"/>
      <c r="AP26" s="166"/>
      <c r="AQ26" s="166"/>
      <c r="AR26" s="166"/>
      <c r="AS26" s="166"/>
      <c r="AT26" s="166"/>
      <c r="AU26" s="363"/>
      <c r="AV26" s="363"/>
      <c r="AW26" s="363"/>
      <c r="AX26" s="363"/>
      <c r="AY26" s="364"/>
      <c r="AZ26" s="367"/>
      <c r="BA26" s="366"/>
    </row>
    <row r="27" spans="1:53">
      <c r="A27" s="2" t="str">
        <f t="shared" si="0"/>
        <v>Res - SF Assessments_Showerhead</v>
      </c>
      <c r="B27" s="18">
        <v>24</v>
      </c>
      <c r="C27" s="18" t="s">
        <v>690</v>
      </c>
      <c r="D27" s="18" t="s">
        <v>731</v>
      </c>
      <c r="E27" s="23" t="s">
        <v>150</v>
      </c>
      <c r="F27" s="23">
        <v>1</v>
      </c>
      <c r="G27" s="154">
        <v>0.96</v>
      </c>
      <c r="H27" s="469">
        <v>10</v>
      </c>
      <c r="I27" s="458">
        <v>10</v>
      </c>
      <c r="J27" s="23">
        <v>3315</v>
      </c>
      <c r="K27" s="23">
        <v>3315</v>
      </c>
      <c r="L27" s="23">
        <v>3267</v>
      </c>
      <c r="M27" s="23">
        <v>3315</v>
      </c>
      <c r="N27" s="215">
        <f>100%*((X27*AB27-Z27*AB27)*AL27*AF27*365.25/AH27)*AD27*AJ27</f>
        <v>8.7892072937103034</v>
      </c>
      <c r="O27" s="215">
        <f t="shared" si="1"/>
        <v>8.7892072937103034</v>
      </c>
      <c r="P27" s="215">
        <f t="shared" si="1"/>
        <v>8.7892072937103034</v>
      </c>
      <c r="Q27" s="215">
        <f t="shared" si="1"/>
        <v>8.7892072937103034</v>
      </c>
      <c r="R27" s="15" t="s">
        <v>839</v>
      </c>
      <c r="S27" s="15" t="s">
        <v>841</v>
      </c>
      <c r="T27" s="15" t="s">
        <v>466</v>
      </c>
      <c r="U27" s="15" t="s">
        <v>465</v>
      </c>
      <c r="V27" s="412" t="s">
        <v>460</v>
      </c>
      <c r="W27" s="413" t="s">
        <v>359</v>
      </c>
      <c r="X27" s="413">
        <v>2.2400000000000002</v>
      </c>
      <c r="Y27" s="412" t="s">
        <v>358</v>
      </c>
      <c r="Z27" s="412">
        <v>1.5</v>
      </c>
      <c r="AA27" s="157" t="s">
        <v>357</v>
      </c>
      <c r="AB27" s="412">
        <v>7.8</v>
      </c>
      <c r="AC27" s="157" t="s">
        <v>355</v>
      </c>
      <c r="AD27" s="415">
        <f>8.33*1*(101-54.1)/(AN27*100000)</f>
        <v>5.0086794871794871E-3</v>
      </c>
      <c r="AE27" s="157" t="s">
        <v>464</v>
      </c>
      <c r="AF27" s="412">
        <v>0.6</v>
      </c>
      <c r="AG27" s="412" t="s">
        <v>463</v>
      </c>
      <c r="AH27" s="412">
        <v>1.79</v>
      </c>
      <c r="AI27" s="485" t="s">
        <v>354</v>
      </c>
      <c r="AJ27" s="485">
        <v>0.97</v>
      </c>
      <c r="AK27" s="412" t="s">
        <v>462</v>
      </c>
      <c r="AL27" s="412">
        <v>2.56</v>
      </c>
      <c r="AM27" s="412" t="s">
        <v>461</v>
      </c>
      <c r="AN27" s="414">
        <v>0.78</v>
      </c>
      <c r="AO27" s="166"/>
      <c r="AP27" s="166"/>
      <c r="AQ27" s="166"/>
      <c r="AR27" s="166"/>
      <c r="AS27" s="166"/>
      <c r="AT27" s="166"/>
      <c r="AU27" s="363"/>
      <c r="AV27" s="363"/>
      <c r="AW27" s="363"/>
      <c r="AX27" s="363"/>
      <c r="AY27" s="364"/>
      <c r="AZ27" s="365"/>
      <c r="BA27" s="366"/>
    </row>
    <row r="28" spans="1:53">
      <c r="A28" s="2" t="str">
        <f t="shared" si="0"/>
        <v>Res - SF Assessments_Pipe Insulation (DHW)</v>
      </c>
      <c r="B28" s="18">
        <v>25</v>
      </c>
      <c r="C28" s="18" t="s">
        <v>690</v>
      </c>
      <c r="D28" s="18" t="s">
        <v>1053</v>
      </c>
      <c r="E28" s="23" t="s">
        <v>210</v>
      </c>
      <c r="F28" s="23">
        <v>3</v>
      </c>
      <c r="G28" s="154">
        <v>0.96</v>
      </c>
      <c r="H28" s="469">
        <v>15</v>
      </c>
      <c r="I28" s="458">
        <v>15</v>
      </c>
      <c r="J28" s="23">
        <v>1905</v>
      </c>
      <c r="K28" s="23">
        <v>1905</v>
      </c>
      <c r="L28" s="23">
        <v>1877</v>
      </c>
      <c r="M28" s="23">
        <v>1905</v>
      </c>
      <c r="N28" s="411">
        <f xml:space="preserve"> ((X28 / Z28 - AB28 / AD28) * AF28 * AH28 * 8766) / AJ28 / 100000</f>
        <v>0.77039653846153844</v>
      </c>
      <c r="O28" s="215">
        <f t="shared" si="1"/>
        <v>0.77039653846153844</v>
      </c>
      <c r="P28" s="215">
        <f t="shared" si="1"/>
        <v>0.77039653846153844</v>
      </c>
      <c r="Q28" s="215">
        <f t="shared" si="1"/>
        <v>0.77039653846153844</v>
      </c>
      <c r="R28" s="15" t="s">
        <v>839</v>
      </c>
      <c r="S28" s="15" t="s">
        <v>841</v>
      </c>
      <c r="T28" s="15" t="s">
        <v>459</v>
      </c>
      <c r="U28" s="15" t="s">
        <v>458</v>
      </c>
      <c r="V28" s="416" t="s">
        <v>842</v>
      </c>
      <c r="W28" s="158" t="s">
        <v>451</v>
      </c>
      <c r="X28" s="166">
        <v>0.19600000000000001</v>
      </c>
      <c r="Y28" s="166" t="s">
        <v>454</v>
      </c>
      <c r="Z28" s="166">
        <v>1</v>
      </c>
      <c r="AA28" s="417" t="s">
        <v>843</v>
      </c>
      <c r="AB28" s="416">
        <v>0.32700000000000001</v>
      </c>
      <c r="AC28" s="166" t="s">
        <v>453</v>
      </c>
      <c r="AD28" s="166">
        <f>(1+3)</f>
        <v>4</v>
      </c>
      <c r="AE28" s="158" t="s">
        <v>260</v>
      </c>
      <c r="AF28" s="166">
        <v>1</v>
      </c>
      <c r="AG28" s="158" t="s">
        <v>304</v>
      </c>
      <c r="AH28" s="166">
        <v>60</v>
      </c>
      <c r="AI28" s="166" t="s">
        <v>457</v>
      </c>
      <c r="AJ28" s="166">
        <v>0.78</v>
      </c>
      <c r="AK28" s="166"/>
      <c r="AL28" s="166"/>
      <c r="AM28" s="166"/>
      <c r="AN28" s="166"/>
      <c r="AO28" s="166"/>
      <c r="AP28" s="166"/>
      <c r="AQ28" s="166"/>
      <c r="AR28" s="166"/>
      <c r="AS28" s="166"/>
      <c r="AT28" s="166"/>
      <c r="AU28" s="363"/>
      <c r="AV28" s="363"/>
      <c r="AW28" s="363"/>
      <c r="AX28" s="363"/>
      <c r="AY28" s="364"/>
      <c r="AZ28" s="365"/>
      <c r="BA28" s="366"/>
    </row>
    <row r="29" spans="1:53">
      <c r="A29" s="2" t="str">
        <f t="shared" si="0"/>
        <v>Res - SF Assessments_Pipe Insulation (Boiler)</v>
      </c>
      <c r="B29" s="18">
        <v>26</v>
      </c>
      <c r="C29" s="18" t="s">
        <v>690</v>
      </c>
      <c r="D29" s="18" t="s">
        <v>701</v>
      </c>
      <c r="E29" s="23" t="s">
        <v>210</v>
      </c>
      <c r="F29" s="23">
        <v>3</v>
      </c>
      <c r="G29" s="154">
        <v>0.96</v>
      </c>
      <c r="H29" s="469">
        <v>15</v>
      </c>
      <c r="I29" s="458">
        <v>15</v>
      </c>
      <c r="J29" s="23">
        <v>24</v>
      </c>
      <c r="K29" s="23">
        <v>24</v>
      </c>
      <c r="L29" s="23">
        <v>24</v>
      </c>
      <c r="M29" s="23">
        <v>24</v>
      </c>
      <c r="N29" s="362">
        <f>((1/X29*AD29-1/Z29*AF29)*AB29*AH29*AJ29/AL29/100000)</f>
        <v>0.41554055468341189</v>
      </c>
      <c r="O29" s="215">
        <f t="shared" si="1"/>
        <v>0.41554055468341189</v>
      </c>
      <c r="P29" s="215">
        <f t="shared" si="1"/>
        <v>0.41554055468341189</v>
      </c>
      <c r="Q29" s="215">
        <f t="shared" si="1"/>
        <v>0.41554055468341189</v>
      </c>
      <c r="R29" s="15" t="s">
        <v>839</v>
      </c>
      <c r="S29" s="15" t="s">
        <v>841</v>
      </c>
      <c r="T29" s="15" t="s">
        <v>456</v>
      </c>
      <c r="U29" s="15" t="s">
        <v>455</v>
      </c>
      <c r="V29" s="166" t="s">
        <v>448</v>
      </c>
      <c r="W29" s="166" t="s">
        <v>454</v>
      </c>
      <c r="X29" s="166">
        <v>0.5</v>
      </c>
      <c r="Y29" s="166" t="s">
        <v>453</v>
      </c>
      <c r="Z29" s="166">
        <f>3+0.5</f>
        <v>3.5</v>
      </c>
      <c r="AA29" s="158" t="s">
        <v>452</v>
      </c>
      <c r="AB29" s="166">
        <v>1840</v>
      </c>
      <c r="AC29" s="158" t="s">
        <v>451</v>
      </c>
      <c r="AD29" s="166">
        <f>(0.131+0.196)/2</f>
        <v>0.16350000000000001</v>
      </c>
      <c r="AE29" s="158" t="s">
        <v>450</v>
      </c>
      <c r="AF29" s="418">
        <f>(((0.5+1)+(0.75+1))/2)*3.14/12</f>
        <v>0.42520833333333335</v>
      </c>
      <c r="AG29" s="166" t="s">
        <v>260</v>
      </c>
      <c r="AH29" s="166">
        <v>1</v>
      </c>
      <c r="AI29" s="166" t="s">
        <v>304</v>
      </c>
      <c r="AJ29" s="166">
        <f>(110+70)/2</f>
        <v>90</v>
      </c>
      <c r="AK29" s="166" t="s">
        <v>449</v>
      </c>
      <c r="AL29" s="166">
        <v>0.81899999999999995</v>
      </c>
      <c r="AM29" s="166"/>
      <c r="AN29" s="166"/>
      <c r="AO29" s="166"/>
      <c r="AP29" s="166"/>
      <c r="AQ29" s="166"/>
      <c r="AR29" s="166"/>
      <c r="AS29" s="166"/>
      <c r="AT29" s="166"/>
      <c r="AU29" s="363"/>
      <c r="AV29" s="363"/>
      <c r="AW29" s="363"/>
      <c r="AX29" s="363"/>
      <c r="AY29" s="364"/>
      <c r="AZ29" s="365"/>
      <c r="BA29" s="366"/>
    </row>
    <row r="30" spans="1:53">
      <c r="A30" s="2" t="str">
        <f t="shared" si="0"/>
        <v>Res - SF Assessments_Programmable Thermostat - Furnace</v>
      </c>
      <c r="B30" s="18">
        <v>27</v>
      </c>
      <c r="C30" s="18" t="s">
        <v>690</v>
      </c>
      <c r="D30" s="18" t="s">
        <v>702</v>
      </c>
      <c r="E30" s="23" t="s">
        <v>150</v>
      </c>
      <c r="F30" s="23">
        <v>1</v>
      </c>
      <c r="G30" s="154">
        <v>0.96</v>
      </c>
      <c r="H30" s="469">
        <v>5</v>
      </c>
      <c r="I30" s="465">
        <v>8</v>
      </c>
      <c r="J30" s="23">
        <v>484</v>
      </c>
      <c r="K30" s="23">
        <v>484</v>
      </c>
      <c r="L30" s="23">
        <v>477</v>
      </c>
      <c r="M30" s="23">
        <v>484</v>
      </c>
      <c r="N30" s="374">
        <f t="shared" ref="N30:N36" si="2">X30*Z30*AB30*AD30</f>
        <v>62.31</v>
      </c>
      <c r="O30" s="215">
        <f t="shared" si="1"/>
        <v>62.31</v>
      </c>
      <c r="P30" s="215">
        <f t="shared" si="1"/>
        <v>62.31</v>
      </c>
      <c r="Q30" s="215">
        <f t="shared" si="1"/>
        <v>62.31</v>
      </c>
      <c r="R30" s="15" t="s">
        <v>839</v>
      </c>
      <c r="S30" s="15" t="s">
        <v>841</v>
      </c>
      <c r="T30" s="15" t="s">
        <v>447</v>
      </c>
      <c r="U30" s="15" t="s">
        <v>446</v>
      </c>
      <c r="V30" s="412" t="s">
        <v>734</v>
      </c>
      <c r="W30" s="159" t="s">
        <v>445</v>
      </c>
      <c r="X30" s="160">
        <v>1005</v>
      </c>
      <c r="Y30" s="161" t="s">
        <v>444</v>
      </c>
      <c r="Z30" s="162">
        <v>6.2E-2</v>
      </c>
      <c r="AA30" s="157" t="s">
        <v>392</v>
      </c>
      <c r="AB30" s="163">
        <v>1</v>
      </c>
      <c r="AC30" s="157" t="s">
        <v>443</v>
      </c>
      <c r="AD30" s="163">
        <v>1</v>
      </c>
      <c r="AE30" s="157" t="s">
        <v>442</v>
      </c>
      <c r="AF30" s="164">
        <v>3.1399999999999997E-2</v>
      </c>
      <c r="AG30" s="166"/>
      <c r="AH30" s="166"/>
      <c r="AI30" s="166"/>
      <c r="AJ30" s="166"/>
      <c r="AK30" s="166"/>
      <c r="AL30" s="166"/>
      <c r="AM30" s="166"/>
      <c r="AN30" s="166"/>
      <c r="AO30" s="166"/>
      <c r="AP30" s="166"/>
      <c r="AQ30" s="166"/>
      <c r="AR30" s="166"/>
      <c r="AS30" s="166"/>
      <c r="AT30" s="166"/>
      <c r="AU30" s="363"/>
      <c r="AV30" s="363"/>
      <c r="AW30" s="363"/>
      <c r="AX30" s="363"/>
      <c r="AY30" s="364"/>
      <c r="AZ30" s="365"/>
      <c r="BA30" s="366"/>
    </row>
    <row r="31" spans="1:53">
      <c r="A31" s="2" t="str">
        <f t="shared" si="0"/>
        <v>Res - SF Assessments_Programmable Thermostat - Boiler</v>
      </c>
      <c r="B31" s="18">
        <v>28</v>
      </c>
      <c r="C31" s="18" t="s">
        <v>690</v>
      </c>
      <c r="D31" s="18" t="s">
        <v>1054</v>
      </c>
      <c r="E31" s="23" t="s">
        <v>150</v>
      </c>
      <c r="F31" s="23">
        <v>1</v>
      </c>
      <c r="G31" s="154">
        <v>0.96</v>
      </c>
      <c r="H31" s="469">
        <v>5</v>
      </c>
      <c r="I31" s="465">
        <v>8</v>
      </c>
      <c r="J31" s="23">
        <v>0</v>
      </c>
      <c r="K31" s="23">
        <v>0</v>
      </c>
      <c r="L31" s="23">
        <v>0</v>
      </c>
      <c r="M31" s="23">
        <v>0</v>
      </c>
      <c r="N31" s="374">
        <f t="shared" si="2"/>
        <v>75.516000000000005</v>
      </c>
      <c r="O31" s="215">
        <f t="shared" si="1"/>
        <v>75.516000000000005</v>
      </c>
      <c r="P31" s="215">
        <f t="shared" si="1"/>
        <v>75.516000000000005</v>
      </c>
      <c r="Q31" s="215">
        <f t="shared" si="1"/>
        <v>75.516000000000005</v>
      </c>
      <c r="R31" s="15" t="s">
        <v>839</v>
      </c>
      <c r="S31" s="15" t="s">
        <v>841</v>
      </c>
      <c r="T31" s="15" t="s">
        <v>447</v>
      </c>
      <c r="U31" s="15" t="s">
        <v>446</v>
      </c>
      <c r="V31" s="412" t="s">
        <v>734</v>
      </c>
      <c r="W31" s="159" t="s">
        <v>445</v>
      </c>
      <c r="X31" s="160">
        <v>1218</v>
      </c>
      <c r="Y31" s="161" t="s">
        <v>444</v>
      </c>
      <c r="Z31" s="162">
        <v>6.2E-2</v>
      </c>
      <c r="AA31" s="157" t="s">
        <v>392</v>
      </c>
      <c r="AB31" s="163">
        <v>1</v>
      </c>
      <c r="AC31" s="157" t="s">
        <v>443</v>
      </c>
      <c r="AD31" s="163">
        <v>1</v>
      </c>
      <c r="AE31" s="157" t="s">
        <v>442</v>
      </c>
      <c r="AF31" s="164">
        <v>3.1399999999999997E-2</v>
      </c>
      <c r="AG31" s="166"/>
      <c r="AH31" s="166"/>
      <c r="AI31" s="166"/>
      <c r="AJ31" s="166"/>
      <c r="AK31" s="166"/>
      <c r="AL31" s="166"/>
      <c r="AM31" s="166"/>
      <c r="AN31" s="166"/>
      <c r="AO31" s="166"/>
      <c r="AP31" s="166"/>
      <c r="AQ31" s="166"/>
      <c r="AR31" s="166"/>
      <c r="AS31" s="166"/>
      <c r="AT31" s="166"/>
      <c r="AU31" s="363"/>
      <c r="AV31" s="363"/>
      <c r="AW31" s="363"/>
      <c r="AX31" s="363"/>
      <c r="AY31" s="364"/>
      <c r="AZ31" s="365"/>
      <c r="BA31" s="366"/>
    </row>
    <row r="32" spans="1:53">
      <c r="A32" s="2" t="str">
        <f t="shared" si="0"/>
        <v>Res - SF Assessments_Advanced Thermostat - Furnace (Replace Manual)</v>
      </c>
      <c r="B32" s="18">
        <v>29</v>
      </c>
      <c r="C32" s="18" t="s">
        <v>690</v>
      </c>
      <c r="D32" s="18" t="s">
        <v>699</v>
      </c>
      <c r="E32" s="23" t="s">
        <v>150</v>
      </c>
      <c r="F32" s="23">
        <v>1</v>
      </c>
      <c r="G32" s="154">
        <v>1</v>
      </c>
      <c r="H32" s="469">
        <v>10</v>
      </c>
      <c r="I32" s="465">
        <v>11</v>
      </c>
      <c r="J32" s="23">
        <v>12</v>
      </c>
      <c r="K32" s="23">
        <v>12</v>
      </c>
      <c r="L32" s="23">
        <v>12</v>
      </c>
      <c r="M32" s="23">
        <v>12</v>
      </c>
      <c r="N32" s="217">
        <f t="shared" si="2"/>
        <v>88.44</v>
      </c>
      <c r="O32" s="215">
        <f t="shared" si="1"/>
        <v>88.44</v>
      </c>
      <c r="P32" s="215">
        <f t="shared" si="1"/>
        <v>88.44</v>
      </c>
      <c r="Q32" s="215">
        <f t="shared" si="1"/>
        <v>88.44</v>
      </c>
      <c r="R32" s="15" t="s">
        <v>839</v>
      </c>
      <c r="S32" s="15" t="s">
        <v>841</v>
      </c>
      <c r="T32" s="15" t="s">
        <v>49</v>
      </c>
      <c r="U32" s="15" t="s">
        <v>60</v>
      </c>
      <c r="V32" s="412" t="s">
        <v>734</v>
      </c>
      <c r="W32" s="159" t="s">
        <v>445</v>
      </c>
      <c r="X32" s="160">
        <v>1005</v>
      </c>
      <c r="Y32" s="161" t="s">
        <v>444</v>
      </c>
      <c r="Z32" s="162">
        <v>8.7999999999999995E-2</v>
      </c>
      <c r="AA32" s="157" t="s">
        <v>392</v>
      </c>
      <c r="AB32" s="163">
        <v>1</v>
      </c>
      <c r="AC32" s="157" t="s">
        <v>443</v>
      </c>
      <c r="AD32" s="163">
        <v>1</v>
      </c>
      <c r="AE32" s="157" t="s">
        <v>442</v>
      </c>
      <c r="AF32" s="164">
        <v>3.1399999999999997E-2</v>
      </c>
      <c r="AG32" s="166"/>
      <c r="AH32" s="166"/>
      <c r="AI32" s="166"/>
      <c r="AJ32" s="166"/>
      <c r="AK32" s="166"/>
      <c r="AL32" s="166"/>
      <c r="AM32" s="166"/>
      <c r="AN32" s="166"/>
      <c r="AO32" s="166"/>
      <c r="AP32" s="166"/>
      <c r="AQ32" s="166"/>
      <c r="AR32" s="166"/>
      <c r="AS32" s="166"/>
      <c r="AT32" s="166"/>
      <c r="AU32" s="363"/>
      <c r="AV32" s="363"/>
      <c r="AW32" s="363"/>
      <c r="AX32" s="363"/>
      <c r="AY32" s="364"/>
      <c r="AZ32" s="365"/>
      <c r="BA32" s="366"/>
    </row>
    <row r="33" spans="1:53">
      <c r="A33" s="2" t="str">
        <f t="shared" si="0"/>
        <v>Res - SF Assessments_Advanced Thermostat - Boiler (Replace Manual)</v>
      </c>
      <c r="B33" s="18">
        <v>30</v>
      </c>
      <c r="C33" s="18" t="s">
        <v>690</v>
      </c>
      <c r="D33" s="18" t="s">
        <v>1055</v>
      </c>
      <c r="E33" s="23" t="s">
        <v>150</v>
      </c>
      <c r="F33" s="23">
        <v>1</v>
      </c>
      <c r="G33" s="154">
        <v>1</v>
      </c>
      <c r="H33" s="469">
        <v>10</v>
      </c>
      <c r="I33" s="465">
        <v>11</v>
      </c>
      <c r="J33" s="23">
        <v>0</v>
      </c>
      <c r="K33" s="23">
        <v>0</v>
      </c>
      <c r="L33" s="23">
        <v>0</v>
      </c>
      <c r="M33" s="23">
        <v>0</v>
      </c>
      <c r="N33" s="217">
        <f t="shared" si="2"/>
        <v>107.184</v>
      </c>
      <c r="O33" s="215">
        <f t="shared" si="1"/>
        <v>107.184</v>
      </c>
      <c r="P33" s="215">
        <f t="shared" si="1"/>
        <v>107.184</v>
      </c>
      <c r="Q33" s="215">
        <f t="shared" si="1"/>
        <v>107.184</v>
      </c>
      <c r="R33" s="15" t="s">
        <v>839</v>
      </c>
      <c r="S33" s="15" t="s">
        <v>841</v>
      </c>
      <c r="T33" s="15" t="s">
        <v>49</v>
      </c>
      <c r="U33" s="15" t="s">
        <v>60</v>
      </c>
      <c r="V33" s="412" t="s">
        <v>734</v>
      </c>
      <c r="W33" s="159" t="s">
        <v>445</v>
      </c>
      <c r="X33" s="160">
        <v>1218</v>
      </c>
      <c r="Y33" s="161" t="s">
        <v>444</v>
      </c>
      <c r="Z33" s="162">
        <v>8.7999999999999995E-2</v>
      </c>
      <c r="AA33" s="157" t="s">
        <v>392</v>
      </c>
      <c r="AB33" s="163">
        <v>1</v>
      </c>
      <c r="AC33" s="157" t="s">
        <v>443</v>
      </c>
      <c r="AD33" s="163">
        <v>1</v>
      </c>
      <c r="AE33" s="157" t="s">
        <v>442</v>
      </c>
      <c r="AF33" s="164">
        <v>3.1399999999999997E-2</v>
      </c>
      <c r="AG33" s="166"/>
      <c r="AH33" s="166"/>
      <c r="AI33" s="166"/>
      <c r="AJ33" s="166"/>
      <c r="AK33" s="166"/>
      <c r="AL33" s="166"/>
      <c r="AM33" s="166"/>
      <c r="AN33" s="166"/>
      <c r="AO33" s="166"/>
      <c r="AP33" s="166"/>
      <c r="AQ33" s="166"/>
      <c r="AR33" s="166"/>
      <c r="AS33" s="166"/>
      <c r="AT33" s="166"/>
      <c r="AU33" s="363"/>
      <c r="AV33" s="363"/>
      <c r="AW33" s="363"/>
      <c r="AX33" s="363"/>
      <c r="AY33" s="364"/>
      <c r="AZ33" s="365"/>
      <c r="BA33" s="366"/>
    </row>
    <row r="34" spans="1:53">
      <c r="A34" s="2" t="str">
        <f t="shared" si="0"/>
        <v>Res - SF Assessments_Advanced Thermostat - Furnace (Replace Programmable)</v>
      </c>
      <c r="B34" s="18">
        <v>31</v>
      </c>
      <c r="C34" s="18" t="s">
        <v>690</v>
      </c>
      <c r="D34" s="18" t="s">
        <v>1056</v>
      </c>
      <c r="E34" s="23" t="s">
        <v>150</v>
      </c>
      <c r="F34" s="23">
        <v>1</v>
      </c>
      <c r="G34" s="154">
        <v>1</v>
      </c>
      <c r="H34" s="469">
        <v>10</v>
      </c>
      <c r="I34" s="465">
        <v>11</v>
      </c>
      <c r="J34" s="23">
        <v>218</v>
      </c>
      <c r="K34" s="23">
        <v>218</v>
      </c>
      <c r="L34" s="23">
        <v>215</v>
      </c>
      <c r="M34" s="23">
        <v>218</v>
      </c>
      <c r="N34" s="217">
        <f t="shared" si="2"/>
        <v>56.28</v>
      </c>
      <c r="O34" s="215">
        <f t="shared" si="1"/>
        <v>56.28</v>
      </c>
      <c r="P34" s="215">
        <f t="shared" si="1"/>
        <v>56.28</v>
      </c>
      <c r="Q34" s="215">
        <f t="shared" si="1"/>
        <v>56.28</v>
      </c>
      <c r="R34" s="15" t="s">
        <v>839</v>
      </c>
      <c r="S34" s="15" t="s">
        <v>841</v>
      </c>
      <c r="T34" s="15" t="s">
        <v>49</v>
      </c>
      <c r="U34" s="15" t="s">
        <v>60</v>
      </c>
      <c r="V34" s="412" t="s">
        <v>734</v>
      </c>
      <c r="W34" s="159" t="s">
        <v>445</v>
      </c>
      <c r="X34" s="160">
        <v>1005</v>
      </c>
      <c r="Y34" s="161" t="s">
        <v>444</v>
      </c>
      <c r="Z34" s="162">
        <v>5.6000000000000001E-2</v>
      </c>
      <c r="AA34" s="157" t="s">
        <v>392</v>
      </c>
      <c r="AB34" s="163">
        <v>1</v>
      </c>
      <c r="AC34" s="157" t="s">
        <v>443</v>
      </c>
      <c r="AD34" s="163">
        <v>1</v>
      </c>
      <c r="AE34" s="157" t="s">
        <v>442</v>
      </c>
      <c r="AF34" s="164">
        <v>3.1399999999999997E-2</v>
      </c>
      <c r="AG34" s="166"/>
      <c r="AH34" s="166"/>
      <c r="AI34" s="166"/>
      <c r="AJ34" s="166"/>
      <c r="AK34" s="166"/>
      <c r="AL34" s="166"/>
      <c r="AM34" s="166"/>
      <c r="AN34" s="166"/>
      <c r="AO34" s="166"/>
      <c r="AP34" s="166"/>
      <c r="AQ34" s="166"/>
      <c r="AR34" s="166"/>
      <c r="AS34" s="166"/>
      <c r="AT34" s="166"/>
      <c r="AU34" s="363"/>
      <c r="AV34" s="363"/>
      <c r="AW34" s="363"/>
      <c r="AX34" s="363"/>
      <c r="AY34" s="364"/>
      <c r="AZ34" s="365"/>
      <c r="BA34" s="366"/>
    </row>
    <row r="35" spans="1:53">
      <c r="A35" s="2" t="str">
        <f t="shared" si="0"/>
        <v>Res - SF Assessments_Advanced Thermostat - Boiler (Replace Programmable)</v>
      </c>
      <c r="B35" s="18">
        <v>32</v>
      </c>
      <c r="C35" s="18" t="s">
        <v>690</v>
      </c>
      <c r="D35" s="18" t="s">
        <v>704</v>
      </c>
      <c r="E35" s="23" t="s">
        <v>150</v>
      </c>
      <c r="F35" s="23">
        <v>1</v>
      </c>
      <c r="G35" s="154">
        <v>1</v>
      </c>
      <c r="H35" s="469">
        <v>10</v>
      </c>
      <c r="I35" s="465">
        <v>11</v>
      </c>
      <c r="J35" s="23">
        <v>0</v>
      </c>
      <c r="K35" s="23">
        <v>0</v>
      </c>
      <c r="L35" s="23">
        <v>0</v>
      </c>
      <c r="M35" s="23">
        <v>0</v>
      </c>
      <c r="N35" s="217">
        <f t="shared" si="2"/>
        <v>68.207999999999998</v>
      </c>
      <c r="O35" s="215">
        <f t="shared" si="1"/>
        <v>68.207999999999998</v>
      </c>
      <c r="P35" s="215">
        <f t="shared" si="1"/>
        <v>68.207999999999998</v>
      </c>
      <c r="Q35" s="215">
        <f t="shared" si="1"/>
        <v>68.207999999999998</v>
      </c>
      <c r="R35" s="15" t="s">
        <v>839</v>
      </c>
      <c r="S35" s="15" t="s">
        <v>841</v>
      </c>
      <c r="T35" s="15" t="s">
        <v>49</v>
      </c>
      <c r="U35" s="15" t="s">
        <v>60</v>
      </c>
      <c r="V35" s="412" t="s">
        <v>734</v>
      </c>
      <c r="W35" s="159" t="s">
        <v>445</v>
      </c>
      <c r="X35" s="160">
        <v>1218</v>
      </c>
      <c r="Y35" s="161" t="s">
        <v>444</v>
      </c>
      <c r="Z35" s="162">
        <v>5.6000000000000001E-2</v>
      </c>
      <c r="AA35" s="157" t="s">
        <v>392</v>
      </c>
      <c r="AB35" s="163">
        <v>1</v>
      </c>
      <c r="AC35" s="157" t="s">
        <v>443</v>
      </c>
      <c r="AD35" s="163">
        <v>1</v>
      </c>
      <c r="AE35" s="157" t="s">
        <v>442</v>
      </c>
      <c r="AF35" s="164">
        <v>3.1399999999999997E-2</v>
      </c>
      <c r="AG35" s="166"/>
      <c r="AH35" s="166"/>
      <c r="AI35" s="166"/>
      <c r="AJ35" s="166"/>
      <c r="AK35" s="166"/>
      <c r="AL35" s="166"/>
      <c r="AM35" s="166"/>
      <c r="AN35" s="166"/>
      <c r="AO35" s="166"/>
      <c r="AP35" s="166"/>
      <c r="AQ35" s="166"/>
      <c r="AR35" s="166"/>
      <c r="AS35" s="166"/>
      <c r="AT35" s="166"/>
      <c r="AU35" s="363"/>
      <c r="AV35" s="363"/>
      <c r="AW35" s="363"/>
      <c r="AX35" s="363"/>
      <c r="AY35" s="364"/>
      <c r="AZ35" s="365"/>
      <c r="BA35" s="366"/>
    </row>
    <row r="36" spans="1:53">
      <c r="A36" s="2" t="str">
        <f t="shared" si="0"/>
        <v>Res - SF Assessments_Thermostat - Reprogram</v>
      </c>
      <c r="B36" s="18">
        <v>33</v>
      </c>
      <c r="C36" s="18" t="s">
        <v>690</v>
      </c>
      <c r="D36" s="18" t="s">
        <v>1057</v>
      </c>
      <c r="E36" s="23" t="s">
        <v>150</v>
      </c>
      <c r="F36" s="23">
        <v>1</v>
      </c>
      <c r="G36" s="154">
        <v>0.96</v>
      </c>
      <c r="H36" s="469">
        <v>2</v>
      </c>
      <c r="I36" s="458">
        <v>2</v>
      </c>
      <c r="J36" s="23">
        <v>411</v>
      </c>
      <c r="K36" s="23">
        <v>411</v>
      </c>
      <c r="L36" s="23">
        <v>405</v>
      </c>
      <c r="M36" s="23">
        <v>411</v>
      </c>
      <c r="N36" s="217">
        <f t="shared" si="2"/>
        <v>62.31</v>
      </c>
      <c r="O36" s="215">
        <f t="shared" si="1"/>
        <v>62.31</v>
      </c>
      <c r="P36" s="215">
        <f t="shared" si="1"/>
        <v>62.31</v>
      </c>
      <c r="Q36" s="215">
        <f t="shared" si="1"/>
        <v>62.31</v>
      </c>
      <c r="R36" s="15" t="s">
        <v>839</v>
      </c>
      <c r="S36" s="15" t="s">
        <v>841</v>
      </c>
      <c r="T36" s="15" t="s">
        <v>447</v>
      </c>
      <c r="U36" s="15" t="s">
        <v>446</v>
      </c>
      <c r="V36" s="412" t="s">
        <v>734</v>
      </c>
      <c r="W36" s="159" t="s">
        <v>445</v>
      </c>
      <c r="X36" s="160">
        <v>1005</v>
      </c>
      <c r="Y36" s="161" t="s">
        <v>444</v>
      </c>
      <c r="Z36" s="162">
        <v>6.2E-2</v>
      </c>
      <c r="AA36" s="157" t="s">
        <v>392</v>
      </c>
      <c r="AB36" s="163">
        <v>1</v>
      </c>
      <c r="AC36" s="157" t="s">
        <v>443</v>
      </c>
      <c r="AD36" s="163">
        <v>1</v>
      </c>
      <c r="AE36" s="157" t="s">
        <v>442</v>
      </c>
      <c r="AF36" s="164">
        <v>3.1399999999999997E-2</v>
      </c>
      <c r="AG36" s="166"/>
      <c r="AH36" s="166"/>
      <c r="AI36" s="166"/>
      <c r="AJ36" s="166"/>
      <c r="AK36" s="166"/>
      <c r="AL36" s="166"/>
      <c r="AM36" s="166"/>
      <c r="AN36" s="166"/>
      <c r="AO36" s="166"/>
      <c r="AP36" s="166"/>
      <c r="AQ36" s="166"/>
      <c r="AR36" s="166"/>
      <c r="AS36" s="166"/>
      <c r="AT36" s="166"/>
      <c r="AU36" s="363"/>
      <c r="AV36" s="363"/>
      <c r="AW36" s="363"/>
      <c r="AX36" s="363"/>
      <c r="AY36" s="364"/>
      <c r="AZ36" s="365"/>
      <c r="BA36" s="366"/>
    </row>
    <row r="37" spans="1:53">
      <c r="A37" s="2" t="str">
        <f t="shared" si="0"/>
        <v>Res - MF Assessments_Bathroom Aerator</v>
      </c>
      <c r="B37" s="18">
        <v>34</v>
      </c>
      <c r="C37" s="18" t="s">
        <v>700</v>
      </c>
      <c r="D37" s="18" t="s">
        <v>733</v>
      </c>
      <c r="E37" s="23" t="s">
        <v>150</v>
      </c>
      <c r="F37" s="23">
        <v>1</v>
      </c>
      <c r="G37" s="154">
        <v>0.85</v>
      </c>
      <c r="H37" s="469">
        <v>9</v>
      </c>
      <c r="I37" s="465">
        <v>10</v>
      </c>
      <c r="J37" s="23">
        <v>564</v>
      </c>
      <c r="K37" s="23">
        <v>564</v>
      </c>
      <c r="L37" s="23">
        <v>522</v>
      </c>
      <c r="M37" s="23">
        <v>564</v>
      </c>
      <c r="N37" s="215">
        <f>100%*(((X37*AB37)-(Z37*AB37))*AL37*365.25*AD37/AF37)*AH37*AJ37</f>
        <v>1.6368815404525978</v>
      </c>
      <c r="O37" s="215">
        <f t="shared" si="1"/>
        <v>1.6368815404525978</v>
      </c>
      <c r="P37" s="215">
        <f t="shared" si="1"/>
        <v>1.6368815404525978</v>
      </c>
      <c r="Q37" s="215">
        <f t="shared" si="1"/>
        <v>1.6368815404525978</v>
      </c>
      <c r="R37" s="15" t="s">
        <v>839</v>
      </c>
      <c r="S37" s="15" t="s">
        <v>841</v>
      </c>
      <c r="T37" s="15" t="s">
        <v>470</v>
      </c>
      <c r="U37" s="15" t="s">
        <v>469</v>
      </c>
      <c r="V37" s="412" t="s">
        <v>735</v>
      </c>
      <c r="W37" s="413" t="s">
        <v>359</v>
      </c>
      <c r="X37" s="413">
        <v>1.53</v>
      </c>
      <c r="Y37" s="412" t="s">
        <v>358</v>
      </c>
      <c r="Z37" s="412">
        <v>0.94</v>
      </c>
      <c r="AA37" s="157" t="s">
        <v>357</v>
      </c>
      <c r="AB37" s="412">
        <v>1.6</v>
      </c>
      <c r="AC37" s="157" t="s">
        <v>468</v>
      </c>
      <c r="AD37" s="414">
        <v>0.9</v>
      </c>
      <c r="AE37" s="157" t="s">
        <v>364</v>
      </c>
      <c r="AF37" s="412">
        <v>1.5</v>
      </c>
      <c r="AG37" s="412" t="s">
        <v>355</v>
      </c>
      <c r="AH37" s="415">
        <f>8.33*1*(86-54.1)/(AN37*100000)</f>
        <v>3.9660746268656713E-3</v>
      </c>
      <c r="AI37" s="412" t="s">
        <v>354</v>
      </c>
      <c r="AJ37" s="412">
        <v>0.95</v>
      </c>
      <c r="AK37" s="412" t="s">
        <v>462</v>
      </c>
      <c r="AL37" s="412">
        <v>2.1</v>
      </c>
      <c r="AM37" s="412" t="s">
        <v>461</v>
      </c>
      <c r="AN37" s="414">
        <v>0.67</v>
      </c>
      <c r="AO37" s="166"/>
      <c r="AP37" s="166"/>
      <c r="AQ37" s="166"/>
      <c r="AR37" s="166"/>
      <c r="AS37" s="166"/>
      <c r="AT37" s="166"/>
      <c r="AU37" s="363"/>
      <c r="AV37" s="363"/>
      <c r="AW37" s="363"/>
      <c r="AX37" s="363"/>
      <c r="AY37" s="364"/>
      <c r="AZ37" s="365"/>
      <c r="BA37" s="366"/>
    </row>
    <row r="38" spans="1:53">
      <c r="A38" s="2" t="str">
        <f t="shared" si="0"/>
        <v>Res - MF Assessments_Kitchen Aerator</v>
      </c>
      <c r="B38" s="18">
        <v>35</v>
      </c>
      <c r="C38" s="18" t="s">
        <v>700</v>
      </c>
      <c r="D38" s="18" t="s">
        <v>732</v>
      </c>
      <c r="E38" s="23" t="s">
        <v>150</v>
      </c>
      <c r="F38" s="23">
        <v>1</v>
      </c>
      <c r="G38" s="154">
        <v>0.85</v>
      </c>
      <c r="H38" s="469">
        <v>9</v>
      </c>
      <c r="I38" s="465">
        <v>10</v>
      </c>
      <c r="J38" s="23">
        <v>462</v>
      </c>
      <c r="K38" s="23">
        <v>462</v>
      </c>
      <c r="L38" s="23">
        <v>427</v>
      </c>
      <c r="M38" s="23">
        <v>462</v>
      </c>
      <c r="N38" s="215">
        <f>100%*(((X38*AB38)-(Z38*AB38))*AL38*365.25*AD38/AF38)*AH38*AJ38</f>
        <v>7.8612856931203403</v>
      </c>
      <c r="O38" s="215">
        <f t="shared" si="1"/>
        <v>7.8612856931203403</v>
      </c>
      <c r="P38" s="215">
        <f t="shared" si="1"/>
        <v>7.8612856931203403</v>
      </c>
      <c r="Q38" s="215">
        <f t="shared" si="1"/>
        <v>7.8612856931203403</v>
      </c>
      <c r="R38" s="15" t="s">
        <v>839</v>
      </c>
      <c r="S38" s="15" t="s">
        <v>841</v>
      </c>
      <c r="T38" s="15" t="s">
        <v>470</v>
      </c>
      <c r="U38" s="15" t="s">
        <v>469</v>
      </c>
      <c r="V38" s="412" t="s">
        <v>735</v>
      </c>
      <c r="W38" s="413" t="s">
        <v>359</v>
      </c>
      <c r="X38" s="413">
        <v>1.63</v>
      </c>
      <c r="Y38" s="412" t="s">
        <v>358</v>
      </c>
      <c r="Z38" s="412">
        <v>0.94</v>
      </c>
      <c r="AA38" s="157" t="s">
        <v>357</v>
      </c>
      <c r="AB38" s="412">
        <v>4.5</v>
      </c>
      <c r="AC38" s="157" t="s">
        <v>468</v>
      </c>
      <c r="AD38" s="414">
        <v>0.75</v>
      </c>
      <c r="AE38" s="157" t="s">
        <v>364</v>
      </c>
      <c r="AF38" s="412">
        <v>1</v>
      </c>
      <c r="AG38" s="412" t="s">
        <v>355</v>
      </c>
      <c r="AH38" s="415">
        <f>8.33*1*(93-54.1)/(AN38*100000)</f>
        <v>4.836373134328358E-3</v>
      </c>
      <c r="AI38" s="412" t="s">
        <v>354</v>
      </c>
      <c r="AJ38" s="412">
        <v>0.91</v>
      </c>
      <c r="AK38" s="412" t="s">
        <v>462</v>
      </c>
      <c r="AL38" s="412">
        <v>2.1</v>
      </c>
      <c r="AM38" s="412" t="s">
        <v>461</v>
      </c>
      <c r="AN38" s="414">
        <v>0.67</v>
      </c>
      <c r="AO38" s="166"/>
      <c r="AP38" s="166"/>
      <c r="AQ38" s="166"/>
      <c r="AR38" s="166"/>
      <c r="AS38" s="166"/>
      <c r="AT38" s="166"/>
      <c r="AU38" s="363"/>
      <c r="AV38" s="363"/>
      <c r="AW38" s="363"/>
      <c r="AX38" s="363"/>
      <c r="AY38" s="364"/>
      <c r="AZ38" s="365"/>
      <c r="BA38" s="366"/>
    </row>
    <row r="39" spans="1:53">
      <c r="A39" s="2" t="str">
        <f t="shared" si="0"/>
        <v>Res - MF Assessments_Showerhead</v>
      </c>
      <c r="B39" s="18">
        <v>36</v>
      </c>
      <c r="C39" s="18" t="s">
        <v>700</v>
      </c>
      <c r="D39" s="18" t="s">
        <v>731</v>
      </c>
      <c r="E39" s="23" t="s">
        <v>150</v>
      </c>
      <c r="F39" s="23">
        <v>1</v>
      </c>
      <c r="G39" s="154">
        <v>0.85</v>
      </c>
      <c r="H39" s="469">
        <v>10</v>
      </c>
      <c r="I39" s="458">
        <v>10</v>
      </c>
      <c r="J39" s="23">
        <v>570</v>
      </c>
      <c r="K39" s="23">
        <v>570</v>
      </c>
      <c r="L39" s="23">
        <v>527</v>
      </c>
      <c r="M39" s="23">
        <v>570</v>
      </c>
      <c r="N39" s="215">
        <f>100%*((X39*AB39-Z39*AB39)*AL39*AF39*365.25/AH39)*AD39*AJ39</f>
        <v>11.319060638970004</v>
      </c>
      <c r="O39" s="215">
        <f t="shared" si="1"/>
        <v>11.319060638970004</v>
      </c>
      <c r="P39" s="215">
        <f t="shared" si="1"/>
        <v>11.319060638970004</v>
      </c>
      <c r="Q39" s="215">
        <f t="shared" si="1"/>
        <v>11.319060638970004</v>
      </c>
      <c r="R39" s="15" t="s">
        <v>839</v>
      </c>
      <c r="S39" s="15" t="s">
        <v>841</v>
      </c>
      <c r="T39" s="15" t="s">
        <v>466</v>
      </c>
      <c r="U39" s="15" t="s">
        <v>465</v>
      </c>
      <c r="V39" s="412" t="s">
        <v>736</v>
      </c>
      <c r="W39" s="413" t="s">
        <v>359</v>
      </c>
      <c r="X39" s="413">
        <v>2.2400000000000002</v>
      </c>
      <c r="Y39" s="412" t="s">
        <v>358</v>
      </c>
      <c r="Z39" s="412">
        <v>1.5</v>
      </c>
      <c r="AA39" s="157" t="s">
        <v>357</v>
      </c>
      <c r="AB39" s="412">
        <v>7.8</v>
      </c>
      <c r="AC39" s="157" t="s">
        <v>355</v>
      </c>
      <c r="AD39" s="415">
        <f>8.33*1*(101-54.1)/(AN39*100000)</f>
        <v>5.8309999999999994E-3</v>
      </c>
      <c r="AE39" s="157" t="s">
        <v>464</v>
      </c>
      <c r="AF39" s="412">
        <v>0.6</v>
      </c>
      <c r="AG39" s="412" t="s">
        <v>463</v>
      </c>
      <c r="AH39" s="412">
        <v>1.3</v>
      </c>
      <c r="AI39" s="412" t="s">
        <v>354</v>
      </c>
      <c r="AJ39" s="412">
        <v>0.95</v>
      </c>
      <c r="AK39" s="412" t="s">
        <v>462</v>
      </c>
      <c r="AL39" s="412">
        <v>2.1</v>
      </c>
      <c r="AM39" s="412" t="s">
        <v>461</v>
      </c>
      <c r="AN39" s="414">
        <v>0.67</v>
      </c>
      <c r="AO39" s="166"/>
      <c r="AP39" s="166"/>
      <c r="AQ39" s="166"/>
      <c r="AR39" s="166"/>
      <c r="AS39" s="166"/>
      <c r="AT39" s="166"/>
      <c r="AU39" s="363"/>
      <c r="AV39" s="363"/>
      <c r="AW39" s="363"/>
      <c r="AX39" s="363"/>
      <c r="AY39" s="364"/>
      <c r="AZ39" s="365"/>
      <c r="BA39" s="366"/>
    </row>
    <row r="40" spans="1:53">
      <c r="A40" s="2" t="str">
        <f t="shared" si="0"/>
        <v>Res - MF Assessments_Pipe Insulation (DHW)</v>
      </c>
      <c r="B40" s="18">
        <v>37</v>
      </c>
      <c r="C40" s="18" t="s">
        <v>700</v>
      </c>
      <c r="D40" s="18" t="s">
        <v>1053</v>
      </c>
      <c r="E40" s="23" t="s">
        <v>210</v>
      </c>
      <c r="F40" s="23">
        <v>3</v>
      </c>
      <c r="G40" s="154">
        <v>0.85</v>
      </c>
      <c r="H40" s="469">
        <v>15</v>
      </c>
      <c r="I40" s="458">
        <v>15</v>
      </c>
      <c r="J40" s="23">
        <v>390</v>
      </c>
      <c r="K40" s="23">
        <v>390</v>
      </c>
      <c r="L40" s="23">
        <v>361</v>
      </c>
      <c r="M40" s="23">
        <v>390</v>
      </c>
      <c r="N40" s="411">
        <f xml:space="preserve"> ((X40 / Z40 - AB40 / AD40) * AF40 * AH40 * 8766) / AJ40 / 100000</f>
        <v>0.77039653846153844</v>
      </c>
      <c r="O40" s="215">
        <f t="shared" si="1"/>
        <v>0.77039653846153844</v>
      </c>
      <c r="P40" s="215">
        <f t="shared" si="1"/>
        <v>0.77039653846153844</v>
      </c>
      <c r="Q40" s="215">
        <f t="shared" si="1"/>
        <v>0.77039653846153844</v>
      </c>
      <c r="R40" s="15" t="s">
        <v>839</v>
      </c>
      <c r="S40" s="15" t="s">
        <v>841</v>
      </c>
      <c r="T40" s="15" t="s">
        <v>459</v>
      </c>
      <c r="U40" s="15" t="s">
        <v>458</v>
      </c>
      <c r="V40" s="416" t="s">
        <v>842</v>
      </c>
      <c r="W40" s="158" t="s">
        <v>451</v>
      </c>
      <c r="X40" s="166">
        <v>0.19600000000000001</v>
      </c>
      <c r="Y40" s="166" t="s">
        <v>454</v>
      </c>
      <c r="Z40" s="166">
        <v>1</v>
      </c>
      <c r="AA40" s="417" t="s">
        <v>843</v>
      </c>
      <c r="AB40" s="416">
        <v>0.32700000000000001</v>
      </c>
      <c r="AC40" s="166" t="s">
        <v>453</v>
      </c>
      <c r="AD40" s="166">
        <f>(1+3)</f>
        <v>4</v>
      </c>
      <c r="AE40" s="158" t="s">
        <v>260</v>
      </c>
      <c r="AF40" s="166">
        <v>1</v>
      </c>
      <c r="AG40" s="158" t="s">
        <v>304</v>
      </c>
      <c r="AH40" s="166">
        <v>60</v>
      </c>
      <c r="AI40" s="166" t="s">
        <v>457</v>
      </c>
      <c r="AJ40" s="166">
        <v>0.78</v>
      </c>
      <c r="AK40" s="166"/>
      <c r="AL40" s="166"/>
      <c r="AM40" s="166"/>
      <c r="AN40" s="166"/>
      <c r="AO40" s="166"/>
      <c r="AP40" s="166"/>
      <c r="AQ40" s="166"/>
      <c r="AR40" s="166"/>
      <c r="AS40" s="166"/>
      <c r="AT40" s="166"/>
      <c r="AU40" s="363"/>
      <c r="AV40" s="363"/>
      <c r="AW40" s="363"/>
      <c r="AX40" s="363"/>
      <c r="AY40" s="364"/>
      <c r="AZ40" s="365"/>
      <c r="BA40" s="366"/>
    </row>
    <row r="41" spans="1:53">
      <c r="A41" s="2" t="str">
        <f t="shared" si="0"/>
        <v>Res - MF Assessments_Pipe Insulation (Boiler)</v>
      </c>
      <c r="B41" s="18">
        <v>38</v>
      </c>
      <c r="C41" s="18" t="s">
        <v>700</v>
      </c>
      <c r="D41" s="18" t="s">
        <v>701</v>
      </c>
      <c r="E41" s="23" t="s">
        <v>210</v>
      </c>
      <c r="F41" s="23">
        <v>3</v>
      </c>
      <c r="G41" s="154">
        <v>0.85</v>
      </c>
      <c r="H41" s="469">
        <v>15</v>
      </c>
      <c r="I41" s="458">
        <v>15</v>
      </c>
      <c r="J41" s="23">
        <v>390</v>
      </c>
      <c r="K41" s="23">
        <v>390</v>
      </c>
      <c r="L41" s="23">
        <v>361</v>
      </c>
      <c r="M41" s="23">
        <v>390</v>
      </c>
      <c r="N41" s="216">
        <f>((1/X41*AD41-1/Z41*AF41)*AB41*AH41*AJ41/AL41/100000)</f>
        <v>0.41554055468341189</v>
      </c>
      <c r="O41" s="215">
        <f t="shared" si="1"/>
        <v>0.41554055468341189</v>
      </c>
      <c r="P41" s="215">
        <f t="shared" si="1"/>
        <v>0.41554055468341189</v>
      </c>
      <c r="Q41" s="215">
        <f t="shared" si="1"/>
        <v>0.41554055468341189</v>
      </c>
      <c r="R41" s="15" t="s">
        <v>839</v>
      </c>
      <c r="S41" s="15" t="s">
        <v>841</v>
      </c>
      <c r="T41" s="15" t="s">
        <v>456</v>
      </c>
      <c r="U41" s="15" t="s">
        <v>455</v>
      </c>
      <c r="V41" s="166" t="s">
        <v>448</v>
      </c>
      <c r="W41" s="166" t="s">
        <v>454</v>
      </c>
      <c r="X41" s="166">
        <v>0.5</v>
      </c>
      <c r="Y41" s="166" t="s">
        <v>453</v>
      </c>
      <c r="Z41" s="166">
        <f>3+0.5</f>
        <v>3.5</v>
      </c>
      <c r="AA41" s="158" t="s">
        <v>452</v>
      </c>
      <c r="AB41" s="166">
        <v>1840</v>
      </c>
      <c r="AC41" s="158" t="s">
        <v>451</v>
      </c>
      <c r="AD41" s="166">
        <f>(0.131+0.196)/2</f>
        <v>0.16350000000000001</v>
      </c>
      <c r="AE41" s="158" t="s">
        <v>450</v>
      </c>
      <c r="AF41" s="418">
        <f>(((0.5+1)+(0.75+1))/2)*3.14/12</f>
        <v>0.42520833333333335</v>
      </c>
      <c r="AG41" s="166" t="s">
        <v>260</v>
      </c>
      <c r="AH41" s="166">
        <v>1</v>
      </c>
      <c r="AI41" s="166" t="s">
        <v>304</v>
      </c>
      <c r="AJ41" s="166">
        <f>(110+70)/2</f>
        <v>90</v>
      </c>
      <c r="AK41" s="166" t="s">
        <v>449</v>
      </c>
      <c r="AL41" s="166">
        <v>0.81899999999999995</v>
      </c>
      <c r="AM41" s="166"/>
      <c r="AN41" s="166"/>
      <c r="AO41" s="166"/>
      <c r="AP41" s="166"/>
      <c r="AQ41" s="166"/>
      <c r="AR41" s="166"/>
      <c r="AS41" s="166"/>
      <c r="AT41" s="166"/>
      <c r="AU41" s="363"/>
      <c r="AV41" s="363"/>
      <c r="AW41" s="363"/>
      <c r="AX41" s="363"/>
      <c r="AY41" s="364"/>
      <c r="AZ41" s="365"/>
      <c r="BA41" s="366"/>
    </row>
    <row r="42" spans="1:53">
      <c r="A42" s="2" t="str">
        <f t="shared" si="0"/>
        <v>Res - MF Assessments_Programmable Thermostat - Furnace</v>
      </c>
      <c r="B42" s="18">
        <v>39</v>
      </c>
      <c r="C42" s="18" t="s">
        <v>700</v>
      </c>
      <c r="D42" s="18" t="s">
        <v>702</v>
      </c>
      <c r="E42" s="23" t="s">
        <v>150</v>
      </c>
      <c r="F42" s="23">
        <v>1</v>
      </c>
      <c r="G42" s="154">
        <v>0.85</v>
      </c>
      <c r="H42" s="469">
        <v>5</v>
      </c>
      <c r="I42" s="465">
        <v>8</v>
      </c>
      <c r="J42" s="23">
        <v>30</v>
      </c>
      <c r="K42" s="23">
        <v>30</v>
      </c>
      <c r="L42" s="23">
        <v>28</v>
      </c>
      <c r="M42" s="23">
        <v>30</v>
      </c>
      <c r="N42" s="374">
        <f t="shared" ref="N42:N48" si="3">X42*Z42*AB42*AD42</f>
        <v>40.5015</v>
      </c>
      <c r="O42" s="215">
        <f t="shared" si="1"/>
        <v>40.5015</v>
      </c>
      <c r="P42" s="215">
        <f t="shared" si="1"/>
        <v>40.5015</v>
      </c>
      <c r="Q42" s="215">
        <f t="shared" si="1"/>
        <v>40.5015</v>
      </c>
      <c r="R42" s="15" t="s">
        <v>839</v>
      </c>
      <c r="S42" s="15" t="s">
        <v>841</v>
      </c>
      <c r="T42" s="15" t="s">
        <v>447</v>
      </c>
      <c r="U42" s="15" t="s">
        <v>446</v>
      </c>
      <c r="V42" s="412" t="s">
        <v>734</v>
      </c>
      <c r="W42" s="159" t="s">
        <v>445</v>
      </c>
      <c r="X42" s="160">
        <v>1005</v>
      </c>
      <c r="Y42" s="161" t="s">
        <v>444</v>
      </c>
      <c r="Z42" s="162">
        <v>6.2E-2</v>
      </c>
      <c r="AA42" s="157" t="s">
        <v>399</v>
      </c>
      <c r="AB42" s="163">
        <v>0.65</v>
      </c>
      <c r="AC42" s="157" t="s">
        <v>443</v>
      </c>
      <c r="AD42" s="163">
        <v>1</v>
      </c>
      <c r="AE42" s="157" t="s">
        <v>442</v>
      </c>
      <c r="AF42" s="164">
        <v>3.1399999999999997E-2</v>
      </c>
      <c r="AG42" s="166"/>
      <c r="AH42" s="166"/>
      <c r="AI42" s="166"/>
      <c r="AJ42" s="166"/>
      <c r="AK42" s="166"/>
      <c r="AL42" s="166"/>
      <c r="AM42" s="166"/>
      <c r="AN42" s="166"/>
      <c r="AO42" s="166"/>
      <c r="AP42" s="166"/>
      <c r="AQ42" s="166"/>
      <c r="AR42" s="166"/>
      <c r="AS42" s="166"/>
      <c r="AT42" s="166"/>
      <c r="AU42" s="363"/>
      <c r="AV42" s="363"/>
      <c r="AW42" s="363"/>
      <c r="AX42" s="363"/>
      <c r="AY42" s="364"/>
      <c r="AZ42" s="365"/>
      <c r="BA42" s="366"/>
    </row>
    <row r="43" spans="1:53">
      <c r="A43" s="2" t="str">
        <f t="shared" si="0"/>
        <v>Res - MF Assessments_Programmable Thermostat - Boiler</v>
      </c>
      <c r="B43" s="18">
        <v>40</v>
      </c>
      <c r="C43" s="18" t="s">
        <v>700</v>
      </c>
      <c r="D43" s="18" t="s">
        <v>1054</v>
      </c>
      <c r="E43" s="23" t="s">
        <v>150</v>
      </c>
      <c r="F43" s="23">
        <v>1</v>
      </c>
      <c r="G43" s="154">
        <v>0.85</v>
      </c>
      <c r="H43" s="469">
        <v>5</v>
      </c>
      <c r="I43" s="465">
        <v>8</v>
      </c>
      <c r="J43" s="23">
        <v>0</v>
      </c>
      <c r="K43" s="23">
        <f>J43</f>
        <v>0</v>
      </c>
      <c r="L43" s="23">
        <v>0</v>
      </c>
      <c r="M43" s="23">
        <f>K43</f>
        <v>0</v>
      </c>
      <c r="N43" s="374">
        <f t="shared" si="3"/>
        <v>49.085400000000007</v>
      </c>
      <c r="O43" s="215">
        <f t="shared" si="1"/>
        <v>49.085400000000007</v>
      </c>
      <c r="P43" s="215">
        <f t="shared" si="1"/>
        <v>49.085400000000007</v>
      </c>
      <c r="Q43" s="215">
        <f t="shared" si="1"/>
        <v>49.085400000000007</v>
      </c>
      <c r="R43" s="15" t="s">
        <v>839</v>
      </c>
      <c r="S43" s="15" t="s">
        <v>841</v>
      </c>
      <c r="T43" s="15" t="s">
        <v>447</v>
      </c>
      <c r="U43" s="15" t="s">
        <v>446</v>
      </c>
      <c r="V43" s="412" t="s">
        <v>734</v>
      </c>
      <c r="W43" s="159" t="s">
        <v>445</v>
      </c>
      <c r="X43" s="160">
        <v>1218</v>
      </c>
      <c r="Y43" s="161" t="s">
        <v>444</v>
      </c>
      <c r="Z43" s="162">
        <v>6.2E-2</v>
      </c>
      <c r="AA43" s="157" t="s">
        <v>399</v>
      </c>
      <c r="AB43" s="163">
        <v>0.65</v>
      </c>
      <c r="AC43" s="157" t="s">
        <v>443</v>
      </c>
      <c r="AD43" s="163">
        <v>1</v>
      </c>
      <c r="AE43" s="157" t="s">
        <v>442</v>
      </c>
      <c r="AF43" s="164">
        <v>3.1399999999999997E-2</v>
      </c>
      <c r="AG43" s="166"/>
      <c r="AH43" s="166"/>
      <c r="AI43" s="166"/>
      <c r="AJ43" s="166"/>
      <c r="AK43" s="166"/>
      <c r="AL43" s="166"/>
      <c r="AM43" s="166"/>
      <c r="AN43" s="166"/>
      <c r="AO43" s="166"/>
      <c r="AP43" s="166"/>
      <c r="AQ43" s="166"/>
      <c r="AR43" s="166"/>
      <c r="AS43" s="166"/>
      <c r="AT43" s="166"/>
      <c r="AU43" s="363"/>
      <c r="AV43" s="363"/>
      <c r="AW43" s="363"/>
      <c r="AX43" s="363"/>
      <c r="AY43" s="364"/>
      <c r="AZ43" s="365"/>
      <c r="BA43" s="366"/>
    </row>
    <row r="44" spans="1:53">
      <c r="A44" s="2" t="str">
        <f t="shared" si="0"/>
        <v>Res - MF Assessments_Advanced Thermostat - Furnace (Replace Manual)</v>
      </c>
      <c r="B44" s="18">
        <v>41</v>
      </c>
      <c r="C44" s="18" t="s">
        <v>700</v>
      </c>
      <c r="D44" s="18" t="s">
        <v>699</v>
      </c>
      <c r="E44" s="23" t="s">
        <v>150</v>
      </c>
      <c r="F44" s="23">
        <v>1</v>
      </c>
      <c r="G44" s="154">
        <v>1</v>
      </c>
      <c r="H44" s="469">
        <v>10</v>
      </c>
      <c r="I44" s="465">
        <v>11</v>
      </c>
      <c r="J44" s="23">
        <v>12</v>
      </c>
      <c r="K44" s="23">
        <v>12</v>
      </c>
      <c r="L44" s="23">
        <v>11</v>
      </c>
      <c r="M44" s="23">
        <v>12</v>
      </c>
      <c r="N44" s="217">
        <f t="shared" si="3"/>
        <v>57.485999999999997</v>
      </c>
      <c r="O44" s="215">
        <f t="shared" si="1"/>
        <v>57.485999999999997</v>
      </c>
      <c r="P44" s="215">
        <f t="shared" si="1"/>
        <v>57.485999999999997</v>
      </c>
      <c r="Q44" s="215">
        <f t="shared" si="1"/>
        <v>57.485999999999997</v>
      </c>
      <c r="R44" s="15" t="s">
        <v>839</v>
      </c>
      <c r="S44" s="15" t="s">
        <v>841</v>
      </c>
      <c r="T44" s="15" t="s">
        <v>49</v>
      </c>
      <c r="U44" s="15" t="s">
        <v>60</v>
      </c>
      <c r="V44" s="412" t="s">
        <v>734</v>
      </c>
      <c r="W44" s="159" t="s">
        <v>445</v>
      </c>
      <c r="X44" s="160">
        <v>1005</v>
      </c>
      <c r="Y44" s="161" t="s">
        <v>444</v>
      </c>
      <c r="Z44" s="162">
        <v>8.7999999999999995E-2</v>
      </c>
      <c r="AA44" s="157" t="s">
        <v>399</v>
      </c>
      <c r="AB44" s="163">
        <v>0.65</v>
      </c>
      <c r="AC44" s="157" t="s">
        <v>443</v>
      </c>
      <c r="AD44" s="163">
        <v>1</v>
      </c>
      <c r="AE44" s="157" t="s">
        <v>442</v>
      </c>
      <c r="AF44" s="164">
        <v>3.1399999999999997E-2</v>
      </c>
      <c r="AG44" s="166"/>
      <c r="AH44" s="166"/>
      <c r="AI44" s="166"/>
      <c r="AJ44" s="166"/>
      <c r="AK44" s="166"/>
      <c r="AL44" s="166"/>
      <c r="AM44" s="166"/>
      <c r="AN44" s="166"/>
      <c r="AO44" s="166"/>
      <c r="AP44" s="166"/>
      <c r="AQ44" s="166"/>
      <c r="AR44" s="166"/>
      <c r="AS44" s="166"/>
      <c r="AT44" s="166"/>
      <c r="AU44" s="363"/>
      <c r="AV44" s="363"/>
      <c r="AW44" s="363"/>
      <c r="AX44" s="363"/>
      <c r="AY44" s="364"/>
      <c r="AZ44" s="365"/>
      <c r="BA44" s="366"/>
    </row>
    <row r="45" spans="1:53">
      <c r="A45" s="2" t="str">
        <f t="shared" si="0"/>
        <v>Res - MF Assessments_Advanced Thermostat - Boiler (Replace Manual)</v>
      </c>
      <c r="B45" s="18">
        <v>42</v>
      </c>
      <c r="C45" s="18" t="s">
        <v>700</v>
      </c>
      <c r="D45" s="18" t="s">
        <v>1055</v>
      </c>
      <c r="E45" s="23" t="s">
        <v>150</v>
      </c>
      <c r="F45" s="23">
        <v>1</v>
      </c>
      <c r="G45" s="154">
        <v>1</v>
      </c>
      <c r="H45" s="469">
        <v>10</v>
      </c>
      <c r="I45" s="465">
        <v>11</v>
      </c>
      <c r="J45" s="23">
        <v>0</v>
      </c>
      <c r="K45" s="23">
        <f>J45</f>
        <v>0</v>
      </c>
      <c r="L45" s="23">
        <v>0</v>
      </c>
      <c r="M45" s="23">
        <f>K45</f>
        <v>0</v>
      </c>
      <c r="N45" s="217">
        <f t="shared" si="3"/>
        <v>69.669600000000003</v>
      </c>
      <c r="O45" s="215">
        <f t="shared" ref="O45:Q64" si="4">N45</f>
        <v>69.669600000000003</v>
      </c>
      <c r="P45" s="215">
        <f t="shared" si="4"/>
        <v>69.669600000000003</v>
      </c>
      <c r="Q45" s="215">
        <f t="shared" si="4"/>
        <v>69.669600000000003</v>
      </c>
      <c r="R45" s="15" t="s">
        <v>839</v>
      </c>
      <c r="S45" s="15" t="s">
        <v>841</v>
      </c>
      <c r="T45" s="15" t="s">
        <v>49</v>
      </c>
      <c r="U45" s="15" t="s">
        <v>60</v>
      </c>
      <c r="V45" s="412" t="s">
        <v>734</v>
      </c>
      <c r="W45" s="159" t="s">
        <v>445</v>
      </c>
      <c r="X45" s="160">
        <v>1218</v>
      </c>
      <c r="Y45" s="161" t="s">
        <v>444</v>
      </c>
      <c r="Z45" s="162">
        <v>8.7999999999999995E-2</v>
      </c>
      <c r="AA45" s="157" t="s">
        <v>399</v>
      </c>
      <c r="AB45" s="163">
        <v>0.65</v>
      </c>
      <c r="AC45" s="157" t="s">
        <v>443</v>
      </c>
      <c r="AD45" s="163">
        <v>1</v>
      </c>
      <c r="AE45" s="157" t="s">
        <v>442</v>
      </c>
      <c r="AF45" s="164">
        <v>3.1399999999999997E-2</v>
      </c>
      <c r="AG45" s="166"/>
      <c r="AH45" s="166"/>
      <c r="AI45" s="166"/>
      <c r="AJ45" s="166"/>
      <c r="AK45" s="166"/>
      <c r="AL45" s="166"/>
      <c r="AM45" s="166"/>
      <c r="AN45" s="166"/>
      <c r="AO45" s="166"/>
      <c r="AP45" s="166"/>
      <c r="AQ45" s="166"/>
      <c r="AR45" s="166"/>
      <c r="AS45" s="166"/>
      <c r="AT45" s="166"/>
      <c r="AU45" s="363"/>
      <c r="AV45" s="363"/>
      <c r="AW45" s="363"/>
      <c r="AX45" s="363"/>
      <c r="AY45" s="364"/>
      <c r="AZ45" s="365"/>
      <c r="BA45" s="366"/>
    </row>
    <row r="46" spans="1:53">
      <c r="A46" s="2" t="str">
        <f t="shared" si="0"/>
        <v>Res - MF Assessments_Advanced Thermostat - Furnace (Replace Programmable)</v>
      </c>
      <c r="B46" s="18">
        <v>43</v>
      </c>
      <c r="C46" s="18" t="s">
        <v>700</v>
      </c>
      <c r="D46" s="18" t="s">
        <v>1056</v>
      </c>
      <c r="E46" s="23" t="s">
        <v>150</v>
      </c>
      <c r="F46" s="23">
        <v>1</v>
      </c>
      <c r="G46" s="154">
        <v>1</v>
      </c>
      <c r="H46" s="469">
        <v>10</v>
      </c>
      <c r="I46" s="465">
        <v>11</v>
      </c>
      <c r="J46" s="23">
        <v>12</v>
      </c>
      <c r="K46" s="23">
        <v>12</v>
      </c>
      <c r="L46" s="23">
        <v>11</v>
      </c>
      <c r="M46" s="23">
        <v>12</v>
      </c>
      <c r="N46" s="217">
        <f t="shared" si="3"/>
        <v>36.582000000000001</v>
      </c>
      <c r="O46" s="215">
        <f t="shared" si="4"/>
        <v>36.582000000000001</v>
      </c>
      <c r="P46" s="215">
        <f t="shared" si="4"/>
        <v>36.582000000000001</v>
      </c>
      <c r="Q46" s="215">
        <f t="shared" si="4"/>
        <v>36.582000000000001</v>
      </c>
      <c r="R46" s="15" t="s">
        <v>839</v>
      </c>
      <c r="S46" s="15" t="s">
        <v>841</v>
      </c>
      <c r="T46" s="15" t="s">
        <v>49</v>
      </c>
      <c r="U46" s="15" t="s">
        <v>60</v>
      </c>
      <c r="V46" s="412" t="s">
        <v>734</v>
      </c>
      <c r="W46" s="159" t="s">
        <v>445</v>
      </c>
      <c r="X46" s="160">
        <v>1005</v>
      </c>
      <c r="Y46" s="161" t="s">
        <v>444</v>
      </c>
      <c r="Z46" s="162">
        <v>5.6000000000000001E-2</v>
      </c>
      <c r="AA46" s="157" t="s">
        <v>399</v>
      </c>
      <c r="AB46" s="163">
        <v>0.65</v>
      </c>
      <c r="AC46" s="157" t="s">
        <v>443</v>
      </c>
      <c r="AD46" s="163">
        <v>1</v>
      </c>
      <c r="AE46" s="157" t="s">
        <v>442</v>
      </c>
      <c r="AF46" s="164">
        <v>3.1399999999999997E-2</v>
      </c>
      <c r="AG46" s="166"/>
      <c r="AH46" s="166"/>
      <c r="AI46" s="166"/>
      <c r="AJ46" s="166"/>
      <c r="AK46" s="166"/>
      <c r="AL46" s="166"/>
      <c r="AM46" s="166"/>
      <c r="AN46" s="166"/>
      <c r="AO46" s="166"/>
      <c r="AP46" s="166"/>
      <c r="AQ46" s="166"/>
      <c r="AR46" s="166"/>
      <c r="AS46" s="166"/>
      <c r="AT46" s="166"/>
      <c r="AU46" s="363"/>
      <c r="AV46" s="363"/>
      <c r="AW46" s="363"/>
      <c r="AX46" s="363"/>
      <c r="AY46" s="364"/>
      <c r="AZ46" s="365"/>
      <c r="BA46" s="366"/>
    </row>
    <row r="47" spans="1:53">
      <c r="A47" s="2" t="str">
        <f t="shared" si="0"/>
        <v>Res - MF Assessments_Advanced Thermostat - Boiler (Replace Programmable)</v>
      </c>
      <c r="B47" s="18">
        <v>44</v>
      </c>
      <c r="C47" s="18" t="s">
        <v>700</v>
      </c>
      <c r="D47" s="18" t="s">
        <v>704</v>
      </c>
      <c r="E47" s="23" t="s">
        <v>150</v>
      </c>
      <c r="F47" s="23">
        <v>1</v>
      </c>
      <c r="G47" s="154">
        <v>1</v>
      </c>
      <c r="H47" s="469">
        <v>10</v>
      </c>
      <c r="I47" s="465">
        <v>11</v>
      </c>
      <c r="J47" s="23">
        <v>0</v>
      </c>
      <c r="K47" s="23">
        <f>J47</f>
        <v>0</v>
      </c>
      <c r="L47" s="23">
        <v>0</v>
      </c>
      <c r="M47" s="23">
        <f>K47</f>
        <v>0</v>
      </c>
      <c r="N47" s="217">
        <f t="shared" si="3"/>
        <v>44.3352</v>
      </c>
      <c r="O47" s="215">
        <f t="shared" si="4"/>
        <v>44.3352</v>
      </c>
      <c r="P47" s="215">
        <f t="shared" si="4"/>
        <v>44.3352</v>
      </c>
      <c r="Q47" s="215">
        <f t="shared" si="4"/>
        <v>44.3352</v>
      </c>
      <c r="R47" s="15" t="s">
        <v>839</v>
      </c>
      <c r="S47" s="15" t="s">
        <v>841</v>
      </c>
      <c r="T47" s="15" t="s">
        <v>49</v>
      </c>
      <c r="U47" s="15" t="s">
        <v>60</v>
      </c>
      <c r="V47" s="412" t="s">
        <v>734</v>
      </c>
      <c r="W47" s="159" t="s">
        <v>445</v>
      </c>
      <c r="X47" s="160">
        <v>1218</v>
      </c>
      <c r="Y47" s="161" t="s">
        <v>444</v>
      </c>
      <c r="Z47" s="162">
        <v>5.6000000000000001E-2</v>
      </c>
      <c r="AA47" s="157" t="s">
        <v>399</v>
      </c>
      <c r="AB47" s="163">
        <v>0.65</v>
      </c>
      <c r="AC47" s="157" t="s">
        <v>443</v>
      </c>
      <c r="AD47" s="163">
        <v>1</v>
      </c>
      <c r="AE47" s="157" t="s">
        <v>442</v>
      </c>
      <c r="AF47" s="164">
        <v>3.1399999999999997E-2</v>
      </c>
      <c r="AG47" s="166"/>
      <c r="AH47" s="166"/>
      <c r="AI47" s="166"/>
      <c r="AJ47" s="166"/>
      <c r="AK47" s="166"/>
      <c r="AL47" s="166"/>
      <c r="AM47" s="166"/>
      <c r="AN47" s="166"/>
      <c r="AO47" s="166"/>
      <c r="AP47" s="166"/>
      <c r="AQ47" s="166"/>
      <c r="AR47" s="166"/>
      <c r="AS47" s="166"/>
      <c r="AT47" s="166"/>
      <c r="AU47" s="363"/>
      <c r="AV47" s="363"/>
      <c r="AW47" s="363"/>
      <c r="AX47" s="363"/>
      <c r="AY47" s="364"/>
      <c r="AZ47" s="365"/>
      <c r="BA47" s="366"/>
    </row>
    <row r="48" spans="1:53">
      <c r="A48" s="2" t="str">
        <f t="shared" si="0"/>
        <v>Res - MF Assessments_Thermostat - Reprogram</v>
      </c>
      <c r="B48" s="18">
        <v>45</v>
      </c>
      <c r="C48" s="18" t="s">
        <v>700</v>
      </c>
      <c r="D48" s="18" t="s">
        <v>1057</v>
      </c>
      <c r="E48" s="23" t="s">
        <v>150</v>
      </c>
      <c r="F48" s="23">
        <v>1</v>
      </c>
      <c r="G48" s="154">
        <v>0.85</v>
      </c>
      <c r="H48" s="469">
        <v>2</v>
      </c>
      <c r="I48" s="458">
        <v>2</v>
      </c>
      <c r="J48" s="23">
        <v>12</v>
      </c>
      <c r="K48" s="23">
        <v>12</v>
      </c>
      <c r="L48" s="23">
        <v>11</v>
      </c>
      <c r="M48" s="23">
        <v>12</v>
      </c>
      <c r="N48" s="217">
        <f t="shared" si="3"/>
        <v>40.5015</v>
      </c>
      <c r="O48" s="215">
        <f t="shared" si="4"/>
        <v>40.5015</v>
      </c>
      <c r="P48" s="215">
        <f t="shared" si="4"/>
        <v>40.5015</v>
      </c>
      <c r="Q48" s="215">
        <f t="shared" si="4"/>
        <v>40.5015</v>
      </c>
      <c r="R48" s="15" t="s">
        <v>839</v>
      </c>
      <c r="S48" s="15" t="s">
        <v>841</v>
      </c>
      <c r="T48" s="15" t="s">
        <v>447</v>
      </c>
      <c r="U48" s="15" t="s">
        <v>446</v>
      </c>
      <c r="V48" s="412" t="s">
        <v>734</v>
      </c>
      <c r="W48" s="159" t="s">
        <v>445</v>
      </c>
      <c r="X48" s="160">
        <v>1005</v>
      </c>
      <c r="Y48" s="161" t="s">
        <v>444</v>
      </c>
      <c r="Z48" s="162">
        <v>6.2E-2</v>
      </c>
      <c r="AA48" s="157" t="s">
        <v>399</v>
      </c>
      <c r="AB48" s="163">
        <v>0.65</v>
      </c>
      <c r="AC48" s="157" t="s">
        <v>443</v>
      </c>
      <c r="AD48" s="163">
        <v>1</v>
      </c>
      <c r="AE48" s="157" t="s">
        <v>442</v>
      </c>
      <c r="AF48" s="164">
        <v>3.1399999999999997E-2</v>
      </c>
      <c r="AG48" s="166"/>
      <c r="AH48" s="166"/>
      <c r="AI48" s="166"/>
      <c r="AJ48" s="166"/>
      <c r="AK48" s="166"/>
      <c r="AL48" s="166"/>
      <c r="AM48" s="166"/>
      <c r="AN48" s="166"/>
      <c r="AO48" s="166"/>
      <c r="AP48" s="166"/>
      <c r="AQ48" s="166"/>
      <c r="AR48" s="166"/>
      <c r="AS48" s="166"/>
      <c r="AT48" s="166"/>
      <c r="AU48" s="363"/>
      <c r="AV48" s="363"/>
      <c r="AW48" s="363"/>
      <c r="AX48" s="363"/>
      <c r="AY48" s="364"/>
      <c r="AZ48" s="365"/>
      <c r="BA48" s="366"/>
    </row>
    <row r="49" spans="1:53">
      <c r="A49" s="2" t="str">
        <f t="shared" si="0"/>
        <v>Res - MF Assessments_Gas Optimization</v>
      </c>
      <c r="B49" s="18">
        <v>46</v>
      </c>
      <c r="C49" s="18" t="s">
        <v>700</v>
      </c>
      <c r="D49" s="18" t="s">
        <v>670</v>
      </c>
      <c r="E49" s="23" t="s">
        <v>150</v>
      </c>
      <c r="F49" s="23">
        <v>1500</v>
      </c>
      <c r="G49" s="154">
        <v>1.02</v>
      </c>
      <c r="H49" s="469">
        <v>5</v>
      </c>
      <c r="I49" s="458">
        <v>5</v>
      </c>
      <c r="J49" s="23">
        <v>0</v>
      </c>
      <c r="K49" s="23">
        <f t="shared" ref="K49:L52" si="5">J49</f>
        <v>0</v>
      </c>
      <c r="L49" s="23">
        <f t="shared" si="5"/>
        <v>0</v>
      </c>
      <c r="M49" s="23">
        <f>K49</f>
        <v>0</v>
      </c>
      <c r="N49" s="217">
        <v>1</v>
      </c>
      <c r="O49" s="215">
        <f t="shared" si="4"/>
        <v>1</v>
      </c>
      <c r="P49" s="215">
        <f t="shared" si="4"/>
        <v>1</v>
      </c>
      <c r="Q49" s="215">
        <f t="shared" si="4"/>
        <v>1</v>
      </c>
      <c r="R49" s="18" t="s">
        <v>140</v>
      </c>
      <c r="S49" s="18" t="s">
        <v>140</v>
      </c>
      <c r="T49" s="18" t="s">
        <v>140</v>
      </c>
      <c r="U49" s="18" t="s">
        <v>140</v>
      </c>
      <c r="V49" s="412" t="s">
        <v>140</v>
      </c>
      <c r="W49" s="169"/>
      <c r="X49" s="169"/>
      <c r="Y49" s="412"/>
      <c r="Z49" s="412"/>
      <c r="AA49" s="170"/>
      <c r="AB49" s="412"/>
      <c r="AC49" s="157"/>
      <c r="AD49" s="412"/>
      <c r="AE49" s="157"/>
      <c r="AF49" s="412"/>
      <c r="AG49" s="412"/>
      <c r="AH49" s="412"/>
      <c r="AI49" s="412"/>
      <c r="AJ49" s="412"/>
      <c r="AK49" s="412"/>
      <c r="AL49" s="412"/>
      <c r="AM49" s="412"/>
      <c r="AN49" s="412"/>
      <c r="AO49" s="412"/>
      <c r="AP49" s="412"/>
      <c r="AQ49" s="412"/>
      <c r="AR49" s="412"/>
      <c r="AS49" s="412"/>
      <c r="AT49" s="412"/>
      <c r="AU49" s="363"/>
      <c r="AV49" s="363"/>
      <c r="AW49" s="363"/>
      <c r="AX49" s="363"/>
      <c r="AY49" s="364"/>
      <c r="AZ49" s="365"/>
      <c r="BA49" s="366"/>
    </row>
    <row r="50" spans="1:53">
      <c r="A50" s="2" t="str">
        <f t="shared" si="0"/>
        <v>Res - SF Rebates_Boiler - DHW Two-in-One</v>
      </c>
      <c r="B50" s="18">
        <v>47</v>
      </c>
      <c r="C50" s="18" t="s">
        <v>703</v>
      </c>
      <c r="D50" s="18" t="s">
        <v>1058</v>
      </c>
      <c r="E50" s="23" t="s">
        <v>150</v>
      </c>
      <c r="F50" s="23">
        <v>1</v>
      </c>
      <c r="G50" s="154">
        <v>0.64</v>
      </c>
      <c r="H50" s="469">
        <v>13</v>
      </c>
      <c r="I50" s="458">
        <v>13</v>
      </c>
      <c r="J50" s="23">
        <v>0</v>
      </c>
      <c r="K50" s="23">
        <f t="shared" si="5"/>
        <v>0</v>
      </c>
      <c r="L50" s="23">
        <f t="shared" si="5"/>
        <v>0</v>
      </c>
      <c r="M50" s="23">
        <f>L50</f>
        <v>0</v>
      </c>
      <c r="N50" s="216">
        <f>X50*Z50*(1/AD50-1/AB50)+((1/AF50-1/AH50)*AJ50*AL50*365.25*AN50*(AP50-AR50)*1)/100000</f>
        <v>129.76174002144199</v>
      </c>
      <c r="O50" s="215">
        <f t="shared" si="4"/>
        <v>129.76174002144199</v>
      </c>
      <c r="P50" s="215">
        <f t="shared" si="4"/>
        <v>129.76174002144199</v>
      </c>
      <c r="Q50" s="215">
        <f t="shared" si="4"/>
        <v>129.76174002144199</v>
      </c>
      <c r="R50" s="15" t="s">
        <v>839</v>
      </c>
      <c r="S50" s="15" t="s">
        <v>841</v>
      </c>
      <c r="T50" s="15" t="s">
        <v>386</v>
      </c>
      <c r="U50" s="15" t="s">
        <v>385</v>
      </c>
      <c r="V50" s="166" t="s">
        <v>737</v>
      </c>
      <c r="W50" s="166" t="s">
        <v>406</v>
      </c>
      <c r="X50" s="419">
        <v>1</v>
      </c>
      <c r="Y50" s="158" t="s">
        <v>403</v>
      </c>
      <c r="Z50" s="420">
        <v>1218</v>
      </c>
      <c r="AA50" s="158" t="s">
        <v>299</v>
      </c>
      <c r="AB50" s="419">
        <v>0.88</v>
      </c>
      <c r="AC50" s="158" t="s">
        <v>390</v>
      </c>
      <c r="AD50" s="421">
        <v>0.82</v>
      </c>
      <c r="AE50" s="166" t="s">
        <v>408</v>
      </c>
      <c r="AF50" s="166">
        <f>(0.675-0.0015*AT50)</f>
        <v>0.61499999999999999</v>
      </c>
      <c r="AG50" s="166" t="s">
        <v>407</v>
      </c>
      <c r="AH50" s="166">
        <v>0.75</v>
      </c>
      <c r="AI50" s="166" t="s">
        <v>256</v>
      </c>
      <c r="AJ50" s="166">
        <v>17.600000000000001</v>
      </c>
      <c r="AK50" s="166" t="s">
        <v>384</v>
      </c>
      <c r="AL50" s="166">
        <v>2.56</v>
      </c>
      <c r="AM50" s="166" t="s">
        <v>383</v>
      </c>
      <c r="AN50" s="166">
        <v>8.33</v>
      </c>
      <c r="AO50" s="166" t="s">
        <v>257</v>
      </c>
      <c r="AP50" s="166">
        <v>125</v>
      </c>
      <c r="AQ50" s="166" t="s">
        <v>250</v>
      </c>
      <c r="AR50" s="166">
        <v>54</v>
      </c>
      <c r="AS50" s="166" t="s">
        <v>382</v>
      </c>
      <c r="AT50" s="166">
        <v>40</v>
      </c>
      <c r="AU50" s="363"/>
      <c r="AV50" s="363"/>
      <c r="AW50" s="363"/>
      <c r="AX50" s="363"/>
      <c r="AY50" s="364"/>
      <c r="AZ50" s="365"/>
      <c r="BA50" s="366"/>
    </row>
    <row r="51" spans="1:53">
      <c r="A51" s="2" t="str">
        <f t="shared" si="0"/>
        <v>Res - SF Rebates_Boiler ≥90% AFUE, &lt;300MBh</v>
      </c>
      <c r="B51" s="18">
        <v>48</v>
      </c>
      <c r="C51" s="18" t="s">
        <v>703</v>
      </c>
      <c r="D51" s="18" t="s">
        <v>730</v>
      </c>
      <c r="E51" s="23" t="s">
        <v>150</v>
      </c>
      <c r="F51" s="23">
        <v>1</v>
      </c>
      <c r="G51" s="154">
        <v>0.64</v>
      </c>
      <c r="H51" s="469">
        <v>25</v>
      </c>
      <c r="I51" s="458">
        <v>25</v>
      </c>
      <c r="J51" s="23">
        <v>0</v>
      </c>
      <c r="K51" s="23">
        <f t="shared" si="5"/>
        <v>0</v>
      </c>
      <c r="L51" s="23">
        <f t="shared" si="5"/>
        <v>0</v>
      </c>
      <c r="M51" s="23">
        <f>L51</f>
        <v>0</v>
      </c>
      <c r="N51" s="455">
        <f xml:space="preserve"> (X51 * Z51 * (AB51 / AD51 -1)) / 100000</f>
        <v>95.219512195122036</v>
      </c>
      <c r="O51" s="215">
        <f t="shared" si="4"/>
        <v>95.219512195122036</v>
      </c>
      <c r="P51" s="215">
        <f t="shared" si="4"/>
        <v>95.219512195122036</v>
      </c>
      <c r="Q51" s="215">
        <f t="shared" si="4"/>
        <v>95.219512195122036</v>
      </c>
      <c r="R51" s="15" t="s">
        <v>839</v>
      </c>
      <c r="S51" s="15" t="s">
        <v>841</v>
      </c>
      <c r="T51" s="15" t="s">
        <v>405</v>
      </c>
      <c r="U51" s="15" t="s">
        <v>404</v>
      </c>
      <c r="V51" s="416" t="s">
        <v>844</v>
      </c>
      <c r="W51" s="416" t="s">
        <v>303</v>
      </c>
      <c r="X51" s="422">
        <v>976</v>
      </c>
      <c r="Y51" s="416" t="s">
        <v>845</v>
      </c>
      <c r="Z51" s="423">
        <v>100000</v>
      </c>
      <c r="AA51" s="158" t="s">
        <v>299</v>
      </c>
      <c r="AB51" s="419">
        <v>0.9</v>
      </c>
      <c r="AC51" s="158" t="s">
        <v>390</v>
      </c>
      <c r="AD51" s="421">
        <v>0.82</v>
      </c>
      <c r="AE51" s="158"/>
      <c r="AF51" s="421"/>
      <c r="AG51" s="166"/>
      <c r="AH51" s="166"/>
      <c r="AI51" s="166"/>
      <c r="AJ51" s="166"/>
      <c r="AK51" s="166"/>
      <c r="AL51" s="166"/>
      <c r="AM51" s="166"/>
      <c r="AN51" s="166"/>
      <c r="AO51" s="166"/>
      <c r="AP51" s="166"/>
      <c r="AQ51" s="166"/>
      <c r="AR51" s="166"/>
      <c r="AS51" s="166"/>
      <c r="AT51" s="166"/>
      <c r="AU51" s="363"/>
      <c r="AV51" s="363"/>
      <c r="AW51" s="363"/>
      <c r="AX51" s="363"/>
      <c r="AY51" s="364"/>
      <c r="AZ51" s="365"/>
      <c r="BA51" s="366"/>
    </row>
    <row r="52" spans="1:53">
      <c r="A52" s="2" t="str">
        <f t="shared" si="0"/>
        <v>Res - SF Rebates_Boiler ≥95% AFUE, &lt;300MBh</v>
      </c>
      <c r="B52" s="18">
        <v>49</v>
      </c>
      <c r="C52" s="18" t="s">
        <v>703</v>
      </c>
      <c r="D52" s="18" t="s">
        <v>1059</v>
      </c>
      <c r="E52" s="23" t="s">
        <v>150</v>
      </c>
      <c r="F52" s="23">
        <v>1</v>
      </c>
      <c r="G52" s="154">
        <v>0.64</v>
      </c>
      <c r="H52" s="469">
        <v>25</v>
      </c>
      <c r="I52" s="458">
        <v>25</v>
      </c>
      <c r="J52" s="23">
        <v>0</v>
      </c>
      <c r="K52" s="23">
        <f t="shared" si="5"/>
        <v>0</v>
      </c>
      <c r="L52" s="23">
        <f t="shared" si="5"/>
        <v>0</v>
      </c>
      <c r="M52" s="23">
        <f>L52</f>
        <v>0</v>
      </c>
      <c r="N52" s="455">
        <f xml:space="preserve"> (X52 * Z52 * (AB52 / AD52 -1)) / 100000</f>
        <v>154.73170731707307</v>
      </c>
      <c r="O52" s="215">
        <f t="shared" si="4"/>
        <v>154.73170731707307</v>
      </c>
      <c r="P52" s="215">
        <f t="shared" si="4"/>
        <v>154.73170731707307</v>
      </c>
      <c r="Q52" s="215">
        <f t="shared" si="4"/>
        <v>154.73170731707307</v>
      </c>
      <c r="R52" s="15" t="s">
        <v>839</v>
      </c>
      <c r="S52" s="15" t="s">
        <v>841</v>
      </c>
      <c r="T52" s="15" t="s">
        <v>405</v>
      </c>
      <c r="U52" s="15" t="s">
        <v>404</v>
      </c>
      <c r="V52" s="416" t="s">
        <v>844</v>
      </c>
      <c r="W52" s="416" t="s">
        <v>303</v>
      </c>
      <c r="X52" s="422">
        <v>976</v>
      </c>
      <c r="Y52" s="416" t="s">
        <v>845</v>
      </c>
      <c r="Z52" s="423">
        <v>100000</v>
      </c>
      <c r="AA52" s="158" t="s">
        <v>299</v>
      </c>
      <c r="AB52" s="419">
        <v>0.95</v>
      </c>
      <c r="AC52" s="158" t="s">
        <v>390</v>
      </c>
      <c r="AD52" s="421">
        <v>0.82</v>
      </c>
      <c r="AE52" s="158"/>
      <c r="AF52" s="421"/>
      <c r="AG52" s="166"/>
      <c r="AH52" s="166"/>
      <c r="AI52" s="166"/>
      <c r="AJ52" s="166"/>
      <c r="AK52" s="166"/>
      <c r="AL52" s="166"/>
      <c r="AM52" s="166"/>
      <c r="AN52" s="166"/>
      <c r="AO52" s="166"/>
      <c r="AP52" s="166"/>
      <c r="AQ52" s="166"/>
      <c r="AR52" s="166"/>
      <c r="AS52" s="166"/>
      <c r="AT52" s="166"/>
      <c r="AU52" s="363"/>
      <c r="AV52" s="363"/>
      <c r="AW52" s="363"/>
      <c r="AX52" s="363"/>
      <c r="AY52" s="364"/>
      <c r="AZ52" s="365"/>
      <c r="BA52" s="366"/>
    </row>
    <row r="53" spans="1:53">
      <c r="A53" s="2" t="str">
        <f t="shared" si="0"/>
        <v>Res - SF Rebates_Furnace &gt;95% AFUE</v>
      </c>
      <c r="B53" s="18">
        <v>50</v>
      </c>
      <c r="C53" s="18" t="s">
        <v>703</v>
      </c>
      <c r="D53" s="18" t="s">
        <v>1060</v>
      </c>
      <c r="E53" s="23" t="s">
        <v>150</v>
      </c>
      <c r="F53" s="23">
        <v>1</v>
      </c>
      <c r="G53" s="154">
        <v>0.64</v>
      </c>
      <c r="H53" s="469">
        <v>20</v>
      </c>
      <c r="I53" s="458">
        <v>20</v>
      </c>
      <c r="J53" s="23">
        <v>312</v>
      </c>
      <c r="K53" s="23">
        <v>312</v>
      </c>
      <c r="L53" s="23">
        <v>312</v>
      </c>
      <c r="M53" s="23">
        <v>312</v>
      </c>
      <c r="N53" s="455">
        <f xml:space="preserve"> ((X53 * Z53)/(1-AH53) * (((AD53 * (1-AH53)) / (AB53 * (1-AF53))) - 1)) / 100000</f>
        <v>156.41025641025624</v>
      </c>
      <c r="O53" s="215">
        <f t="shared" si="4"/>
        <v>156.41025641025624</v>
      </c>
      <c r="P53" s="215">
        <f t="shared" si="4"/>
        <v>156.41025641025624</v>
      </c>
      <c r="Q53" s="215">
        <f t="shared" si="4"/>
        <v>156.41025641025624</v>
      </c>
      <c r="R53" s="15" t="s">
        <v>839</v>
      </c>
      <c r="S53" s="15" t="s">
        <v>841</v>
      </c>
      <c r="T53" s="15" t="s">
        <v>401</v>
      </c>
      <c r="U53" s="15" t="s">
        <v>400</v>
      </c>
      <c r="V53" s="416" t="s">
        <v>846</v>
      </c>
      <c r="W53" s="416" t="s">
        <v>303</v>
      </c>
      <c r="X53" s="422">
        <v>976</v>
      </c>
      <c r="Y53" s="416" t="s">
        <v>845</v>
      </c>
      <c r="Z53" s="424">
        <v>80000</v>
      </c>
      <c r="AA53" s="158" t="s">
        <v>390</v>
      </c>
      <c r="AB53" s="419">
        <v>0.8</v>
      </c>
      <c r="AC53" s="158" t="s">
        <v>299</v>
      </c>
      <c r="AD53" s="419">
        <v>0.95</v>
      </c>
      <c r="AE53" s="165" t="s">
        <v>398</v>
      </c>
      <c r="AF53" s="421">
        <v>6.4000000000000001E-2</v>
      </c>
      <c r="AG53" s="166" t="s">
        <v>397</v>
      </c>
      <c r="AH53" s="421">
        <v>6.4000000000000001E-2</v>
      </c>
      <c r="AI53" s="166"/>
      <c r="AJ53" s="166"/>
      <c r="AK53" s="166"/>
      <c r="AL53" s="166"/>
      <c r="AM53" s="166"/>
      <c r="AN53" s="166"/>
      <c r="AO53" s="166"/>
      <c r="AP53" s="166"/>
      <c r="AQ53" s="166"/>
      <c r="AR53" s="166"/>
      <c r="AS53" s="166"/>
      <c r="AT53" s="166"/>
      <c r="AU53" s="363"/>
      <c r="AV53" s="363"/>
      <c r="AW53" s="363"/>
      <c r="AX53" s="363"/>
      <c r="AY53" s="364"/>
      <c r="AZ53" s="365"/>
      <c r="BA53" s="366"/>
    </row>
    <row r="54" spans="1:53">
      <c r="A54" s="2" t="str">
        <f t="shared" si="0"/>
        <v>Res - SF Rebates_Furnace &gt;97% AFUE</v>
      </c>
      <c r="B54" s="18">
        <v>51</v>
      </c>
      <c r="C54" s="18" t="s">
        <v>703</v>
      </c>
      <c r="D54" s="18" t="s">
        <v>1061</v>
      </c>
      <c r="E54" s="23" t="s">
        <v>150</v>
      </c>
      <c r="F54" s="23">
        <v>1</v>
      </c>
      <c r="G54" s="154">
        <v>0.64</v>
      </c>
      <c r="H54" s="469">
        <v>20</v>
      </c>
      <c r="I54" s="458">
        <v>20</v>
      </c>
      <c r="J54" s="23">
        <v>40</v>
      </c>
      <c r="K54" s="23">
        <v>40</v>
      </c>
      <c r="L54" s="23">
        <v>40</v>
      </c>
      <c r="M54" s="23">
        <v>40</v>
      </c>
      <c r="N54" s="455">
        <f xml:space="preserve"> ((X54 * Z54)/(1-AH54) * (((AD54 * (1-AH54)) / (AB54 * (1-AF54))) - 1)) / 100000</f>
        <v>177.26495726495722</v>
      </c>
      <c r="O54" s="215">
        <f t="shared" si="4"/>
        <v>177.26495726495722</v>
      </c>
      <c r="P54" s="215">
        <f t="shared" si="4"/>
        <v>177.26495726495722</v>
      </c>
      <c r="Q54" s="215">
        <f t="shared" si="4"/>
        <v>177.26495726495722</v>
      </c>
      <c r="R54" s="15" t="s">
        <v>839</v>
      </c>
      <c r="S54" s="15" t="s">
        <v>841</v>
      </c>
      <c r="T54" s="15" t="s">
        <v>401</v>
      </c>
      <c r="U54" s="15" t="s">
        <v>400</v>
      </c>
      <c r="V54" s="416" t="s">
        <v>846</v>
      </c>
      <c r="W54" s="416" t="s">
        <v>303</v>
      </c>
      <c r="X54" s="422">
        <v>976</v>
      </c>
      <c r="Y54" s="416" t="s">
        <v>845</v>
      </c>
      <c r="Z54" s="424">
        <v>80000</v>
      </c>
      <c r="AA54" s="158" t="s">
        <v>390</v>
      </c>
      <c r="AB54" s="419">
        <v>0.8</v>
      </c>
      <c r="AC54" s="158" t="s">
        <v>299</v>
      </c>
      <c r="AD54" s="419">
        <v>0.97</v>
      </c>
      <c r="AE54" s="165" t="s">
        <v>398</v>
      </c>
      <c r="AF54" s="421">
        <v>6.4000000000000001E-2</v>
      </c>
      <c r="AG54" s="166" t="s">
        <v>397</v>
      </c>
      <c r="AH54" s="421">
        <v>6.4000000000000001E-2</v>
      </c>
      <c r="AI54" s="166"/>
      <c r="AJ54" s="166"/>
      <c r="AK54" s="166"/>
      <c r="AL54" s="166"/>
      <c r="AM54" s="166"/>
      <c r="AN54" s="166"/>
      <c r="AO54" s="166"/>
      <c r="AP54" s="166"/>
      <c r="AQ54" s="166"/>
      <c r="AR54" s="166"/>
      <c r="AS54" s="166"/>
      <c r="AT54" s="166"/>
      <c r="AU54" s="363"/>
      <c r="AV54" s="363"/>
      <c r="AW54" s="363"/>
      <c r="AX54" s="363"/>
      <c r="AY54" s="364"/>
      <c r="AZ54" s="366"/>
      <c r="BA54" s="366"/>
    </row>
    <row r="55" spans="1:53">
      <c r="A55" s="2" t="str">
        <f t="shared" si="0"/>
        <v>Res - SF Rebates_Programmable Thermostat - Furnace</v>
      </c>
      <c r="B55" s="18">
        <v>52</v>
      </c>
      <c r="C55" s="18" t="s">
        <v>703</v>
      </c>
      <c r="D55" s="18" t="s">
        <v>702</v>
      </c>
      <c r="E55" s="23" t="s">
        <v>150</v>
      </c>
      <c r="F55" s="23">
        <v>1</v>
      </c>
      <c r="G55" s="154">
        <v>0.64</v>
      </c>
      <c r="H55" s="469">
        <v>5</v>
      </c>
      <c r="I55" s="465">
        <v>8</v>
      </c>
      <c r="J55" s="23">
        <v>0</v>
      </c>
      <c r="K55" s="23">
        <f t="shared" ref="K55:M56" si="6">J55</f>
        <v>0</v>
      </c>
      <c r="L55" s="23">
        <f t="shared" si="6"/>
        <v>0</v>
      </c>
      <c r="M55" s="23">
        <f t="shared" si="6"/>
        <v>0</v>
      </c>
      <c r="N55" s="374">
        <f t="shared" ref="N55:N60" si="7">X55*Z55*AB55*AD55</f>
        <v>34.893600000000006</v>
      </c>
      <c r="O55" s="215">
        <f t="shared" si="4"/>
        <v>34.893600000000006</v>
      </c>
      <c r="P55" s="215">
        <f t="shared" si="4"/>
        <v>34.893600000000006</v>
      </c>
      <c r="Q55" s="215">
        <f t="shared" si="4"/>
        <v>34.893600000000006</v>
      </c>
      <c r="R55" s="15" t="s">
        <v>839</v>
      </c>
      <c r="S55" s="15" t="s">
        <v>841</v>
      </c>
      <c r="T55" s="15" t="s">
        <v>447</v>
      </c>
      <c r="U55" s="15" t="s">
        <v>446</v>
      </c>
      <c r="V55" s="412" t="s">
        <v>441</v>
      </c>
      <c r="W55" s="159" t="s">
        <v>445</v>
      </c>
      <c r="X55" s="160">
        <v>1005</v>
      </c>
      <c r="Y55" s="161" t="s">
        <v>444</v>
      </c>
      <c r="Z55" s="162">
        <v>6.2E-2</v>
      </c>
      <c r="AA55" s="157" t="s">
        <v>392</v>
      </c>
      <c r="AB55" s="163">
        <v>1</v>
      </c>
      <c r="AC55" s="157" t="s">
        <v>443</v>
      </c>
      <c r="AD55" s="163">
        <v>0.56000000000000005</v>
      </c>
      <c r="AE55" s="157" t="s">
        <v>442</v>
      </c>
      <c r="AF55" s="164">
        <v>3.1399999999999997E-2</v>
      </c>
      <c r="AG55" s="166"/>
      <c r="AH55" s="166"/>
      <c r="AI55" s="166"/>
      <c r="AJ55" s="166"/>
      <c r="AK55" s="166"/>
      <c r="AL55" s="166"/>
      <c r="AM55" s="166"/>
      <c r="AN55" s="166"/>
      <c r="AO55" s="166"/>
      <c r="AP55" s="166"/>
      <c r="AQ55" s="166"/>
      <c r="AR55" s="166"/>
      <c r="AS55" s="166"/>
      <c r="AT55" s="166"/>
      <c r="AU55" s="363"/>
      <c r="AV55" s="363"/>
      <c r="AW55" s="363"/>
      <c r="AX55" s="363"/>
      <c r="AY55" s="364"/>
      <c r="AZ55" s="365"/>
      <c r="BA55" s="366"/>
    </row>
    <row r="56" spans="1:53">
      <c r="A56" s="2" t="str">
        <f t="shared" si="0"/>
        <v>Res - SF Rebates_Programmable Thermostat - Boiler</v>
      </c>
      <c r="B56" s="18">
        <v>53</v>
      </c>
      <c r="C56" s="18" t="s">
        <v>703</v>
      </c>
      <c r="D56" s="18" t="s">
        <v>1054</v>
      </c>
      <c r="E56" s="23" t="s">
        <v>150</v>
      </c>
      <c r="F56" s="23">
        <v>1</v>
      </c>
      <c r="G56" s="154">
        <v>0.64</v>
      </c>
      <c r="H56" s="469">
        <v>5</v>
      </c>
      <c r="I56" s="465">
        <v>8</v>
      </c>
      <c r="J56" s="23">
        <v>0</v>
      </c>
      <c r="K56" s="23">
        <f t="shared" si="6"/>
        <v>0</v>
      </c>
      <c r="L56" s="23">
        <f t="shared" si="6"/>
        <v>0</v>
      </c>
      <c r="M56" s="23">
        <f t="shared" si="6"/>
        <v>0</v>
      </c>
      <c r="N56" s="374">
        <f t="shared" si="7"/>
        <v>42.28896000000001</v>
      </c>
      <c r="O56" s="215">
        <f t="shared" si="4"/>
        <v>42.28896000000001</v>
      </c>
      <c r="P56" s="215">
        <f t="shared" si="4"/>
        <v>42.28896000000001</v>
      </c>
      <c r="Q56" s="215">
        <f t="shared" si="4"/>
        <v>42.28896000000001</v>
      </c>
      <c r="R56" s="15" t="s">
        <v>839</v>
      </c>
      <c r="S56" s="15" t="s">
        <v>841</v>
      </c>
      <c r="T56" s="15" t="s">
        <v>447</v>
      </c>
      <c r="U56" s="15" t="s">
        <v>446</v>
      </c>
      <c r="V56" s="412" t="s">
        <v>441</v>
      </c>
      <c r="W56" s="159" t="s">
        <v>445</v>
      </c>
      <c r="X56" s="160">
        <v>1218</v>
      </c>
      <c r="Y56" s="161" t="s">
        <v>444</v>
      </c>
      <c r="Z56" s="162">
        <v>6.2E-2</v>
      </c>
      <c r="AA56" s="157" t="s">
        <v>392</v>
      </c>
      <c r="AB56" s="163">
        <v>1</v>
      </c>
      <c r="AC56" s="157" t="s">
        <v>443</v>
      </c>
      <c r="AD56" s="163">
        <v>0.56000000000000005</v>
      </c>
      <c r="AE56" s="157" t="s">
        <v>442</v>
      </c>
      <c r="AF56" s="164">
        <v>3.1399999999999997E-2</v>
      </c>
      <c r="AG56" s="166"/>
      <c r="AH56" s="166"/>
      <c r="AI56" s="166"/>
      <c r="AJ56" s="166"/>
      <c r="AK56" s="166"/>
      <c r="AL56" s="166"/>
      <c r="AM56" s="166"/>
      <c r="AN56" s="166"/>
      <c r="AO56" s="166"/>
      <c r="AP56" s="166"/>
      <c r="AQ56" s="166"/>
      <c r="AR56" s="166"/>
      <c r="AS56" s="166"/>
      <c r="AT56" s="166"/>
      <c r="AU56" s="363"/>
      <c r="AV56" s="363"/>
      <c r="AW56" s="363"/>
      <c r="AX56" s="363"/>
      <c r="AY56" s="364"/>
      <c r="AZ56" s="365"/>
      <c r="BA56" s="366"/>
    </row>
    <row r="57" spans="1:53">
      <c r="A57" s="2" t="str">
        <f t="shared" si="0"/>
        <v>Res - SF Rebates_Advanced Thermostat - Furnace (Replace Manual)</v>
      </c>
      <c r="B57" s="18">
        <v>54</v>
      </c>
      <c r="C57" s="18" t="s">
        <v>703</v>
      </c>
      <c r="D57" s="18" t="s">
        <v>699</v>
      </c>
      <c r="E57" s="23" t="s">
        <v>150</v>
      </c>
      <c r="F57" s="23">
        <v>1</v>
      </c>
      <c r="G57" s="154">
        <v>1</v>
      </c>
      <c r="H57" s="469">
        <v>10</v>
      </c>
      <c r="I57" s="465">
        <v>11</v>
      </c>
      <c r="J57" s="23">
        <v>675</v>
      </c>
      <c r="K57" s="23">
        <v>675</v>
      </c>
      <c r="L57" s="23">
        <v>675</v>
      </c>
      <c r="M57" s="23">
        <v>675</v>
      </c>
      <c r="N57" s="217">
        <f t="shared" si="7"/>
        <v>88.44</v>
      </c>
      <c r="O57" s="215">
        <f t="shared" si="4"/>
        <v>88.44</v>
      </c>
      <c r="P57" s="215">
        <f t="shared" si="4"/>
        <v>88.44</v>
      </c>
      <c r="Q57" s="215">
        <f t="shared" si="4"/>
        <v>88.44</v>
      </c>
      <c r="R57" s="15" t="s">
        <v>839</v>
      </c>
      <c r="S57" s="15" t="s">
        <v>841</v>
      </c>
      <c r="T57" s="15" t="s">
        <v>49</v>
      </c>
      <c r="U57" s="15" t="s">
        <v>60</v>
      </c>
      <c r="V57" s="412" t="s">
        <v>441</v>
      </c>
      <c r="W57" s="159" t="s">
        <v>445</v>
      </c>
      <c r="X57" s="160">
        <v>1005</v>
      </c>
      <c r="Y57" s="161" t="s">
        <v>444</v>
      </c>
      <c r="Z57" s="162">
        <v>8.7999999999999995E-2</v>
      </c>
      <c r="AA57" s="157" t="s">
        <v>392</v>
      </c>
      <c r="AB57" s="163">
        <v>1</v>
      </c>
      <c r="AC57" s="157" t="s">
        <v>443</v>
      </c>
      <c r="AD57" s="163">
        <v>1</v>
      </c>
      <c r="AE57" s="157" t="s">
        <v>442</v>
      </c>
      <c r="AF57" s="164">
        <v>3.1399999999999997E-2</v>
      </c>
      <c r="AG57" s="166"/>
      <c r="AH57" s="166"/>
      <c r="AI57" s="166"/>
      <c r="AJ57" s="166"/>
      <c r="AK57" s="166"/>
      <c r="AL57" s="166"/>
      <c r="AM57" s="166"/>
      <c r="AN57" s="166"/>
      <c r="AO57" s="166"/>
      <c r="AP57" s="166"/>
      <c r="AQ57" s="166"/>
      <c r="AR57" s="166"/>
      <c r="AS57" s="166"/>
      <c r="AT57" s="166"/>
      <c r="AU57" s="363"/>
      <c r="AV57" s="363"/>
      <c r="AW57" s="363"/>
      <c r="AX57" s="363"/>
      <c r="AY57" s="364"/>
      <c r="AZ57" s="365"/>
      <c r="BA57" s="366"/>
    </row>
    <row r="58" spans="1:53">
      <c r="A58" s="2" t="str">
        <f t="shared" si="0"/>
        <v>Res - SF Rebates_Advanced Thermostat - Boiler (Replace Manual)</v>
      </c>
      <c r="B58" s="18">
        <v>55</v>
      </c>
      <c r="C58" s="18" t="s">
        <v>703</v>
      </c>
      <c r="D58" s="18" t="s">
        <v>1055</v>
      </c>
      <c r="E58" s="23" t="s">
        <v>150</v>
      </c>
      <c r="F58" s="23">
        <v>1</v>
      </c>
      <c r="G58" s="154">
        <v>1</v>
      </c>
      <c r="H58" s="469">
        <v>10</v>
      </c>
      <c r="I58" s="465">
        <v>11</v>
      </c>
      <c r="J58" s="23">
        <v>124</v>
      </c>
      <c r="K58" s="23">
        <v>124</v>
      </c>
      <c r="L58" s="23">
        <v>124</v>
      </c>
      <c r="M58" s="23">
        <v>124</v>
      </c>
      <c r="N58" s="217">
        <f t="shared" si="7"/>
        <v>107.184</v>
      </c>
      <c r="O58" s="215">
        <f t="shared" si="4"/>
        <v>107.184</v>
      </c>
      <c r="P58" s="215">
        <f t="shared" si="4"/>
        <v>107.184</v>
      </c>
      <c r="Q58" s="215">
        <f t="shared" si="4"/>
        <v>107.184</v>
      </c>
      <c r="R58" s="15" t="s">
        <v>839</v>
      </c>
      <c r="S58" s="15" t="s">
        <v>841</v>
      </c>
      <c r="T58" s="15" t="s">
        <v>49</v>
      </c>
      <c r="U58" s="15" t="s">
        <v>60</v>
      </c>
      <c r="V58" s="412" t="s">
        <v>441</v>
      </c>
      <c r="W58" s="159" t="s">
        <v>445</v>
      </c>
      <c r="X58" s="160">
        <v>1218</v>
      </c>
      <c r="Y58" s="161" t="s">
        <v>444</v>
      </c>
      <c r="Z58" s="162">
        <v>8.7999999999999995E-2</v>
      </c>
      <c r="AA58" s="157" t="s">
        <v>392</v>
      </c>
      <c r="AB58" s="163">
        <v>1</v>
      </c>
      <c r="AC58" s="157" t="s">
        <v>443</v>
      </c>
      <c r="AD58" s="163">
        <v>1</v>
      </c>
      <c r="AE58" s="157" t="s">
        <v>442</v>
      </c>
      <c r="AF58" s="164">
        <v>3.1399999999999997E-2</v>
      </c>
      <c r="AG58" s="166"/>
      <c r="AH58" s="166"/>
      <c r="AI58" s="166"/>
      <c r="AJ58" s="166"/>
      <c r="AK58" s="166"/>
      <c r="AL58" s="166"/>
      <c r="AM58" s="166"/>
      <c r="AN58" s="166"/>
      <c r="AO58" s="166"/>
      <c r="AP58" s="166"/>
      <c r="AQ58" s="166"/>
      <c r="AR58" s="166"/>
      <c r="AS58" s="166"/>
      <c r="AT58" s="166"/>
      <c r="AU58" s="363"/>
      <c r="AV58" s="363"/>
      <c r="AW58" s="363"/>
      <c r="AX58" s="363"/>
      <c r="AY58" s="364"/>
      <c r="AZ58" s="365"/>
      <c r="BA58" s="366"/>
    </row>
    <row r="59" spans="1:53">
      <c r="A59" s="2" t="str">
        <f t="shared" si="0"/>
        <v>Res - SF Rebates_Advanced Thermostat - Furnace (Replace Programmable)</v>
      </c>
      <c r="B59" s="18">
        <v>56</v>
      </c>
      <c r="C59" s="18" t="s">
        <v>703</v>
      </c>
      <c r="D59" s="18" t="s">
        <v>1056</v>
      </c>
      <c r="E59" s="23" t="s">
        <v>150</v>
      </c>
      <c r="F59" s="23">
        <v>1</v>
      </c>
      <c r="G59" s="154">
        <v>1</v>
      </c>
      <c r="H59" s="469">
        <v>10</v>
      </c>
      <c r="I59" s="465">
        <v>11</v>
      </c>
      <c r="J59" s="23">
        <v>1200</v>
      </c>
      <c r="K59" s="23">
        <v>1200</v>
      </c>
      <c r="L59" s="23">
        <v>1200</v>
      </c>
      <c r="M59" s="23">
        <v>1200</v>
      </c>
      <c r="N59" s="217">
        <f t="shared" si="7"/>
        <v>56.28</v>
      </c>
      <c r="O59" s="215">
        <f t="shared" si="4"/>
        <v>56.28</v>
      </c>
      <c r="P59" s="215">
        <f t="shared" si="4"/>
        <v>56.28</v>
      </c>
      <c r="Q59" s="215">
        <f t="shared" si="4"/>
        <v>56.28</v>
      </c>
      <c r="R59" s="15" t="s">
        <v>839</v>
      </c>
      <c r="S59" s="15" t="s">
        <v>841</v>
      </c>
      <c r="T59" s="15" t="s">
        <v>49</v>
      </c>
      <c r="U59" s="15" t="s">
        <v>60</v>
      </c>
      <c r="V59" s="412" t="s">
        <v>441</v>
      </c>
      <c r="W59" s="159" t="s">
        <v>445</v>
      </c>
      <c r="X59" s="160">
        <v>1005</v>
      </c>
      <c r="Y59" s="161" t="s">
        <v>444</v>
      </c>
      <c r="Z59" s="162">
        <v>5.6000000000000001E-2</v>
      </c>
      <c r="AA59" s="157" t="s">
        <v>392</v>
      </c>
      <c r="AB59" s="163">
        <v>1</v>
      </c>
      <c r="AC59" s="157" t="s">
        <v>443</v>
      </c>
      <c r="AD59" s="163">
        <v>1</v>
      </c>
      <c r="AE59" s="157" t="s">
        <v>442</v>
      </c>
      <c r="AF59" s="164">
        <v>3.1399999999999997E-2</v>
      </c>
      <c r="AG59" s="166"/>
      <c r="AH59" s="166"/>
      <c r="AI59" s="166"/>
      <c r="AJ59" s="166"/>
      <c r="AK59" s="166"/>
      <c r="AL59" s="166"/>
      <c r="AM59" s="166"/>
      <c r="AN59" s="166"/>
      <c r="AO59" s="166"/>
      <c r="AP59" s="166"/>
      <c r="AQ59" s="166"/>
      <c r="AR59" s="166"/>
      <c r="AS59" s="166"/>
      <c r="AT59" s="166"/>
      <c r="AU59" s="363"/>
      <c r="AV59" s="363"/>
      <c r="AW59" s="363"/>
      <c r="AX59" s="363"/>
      <c r="AY59" s="364"/>
      <c r="AZ59" s="365"/>
      <c r="BA59" s="366"/>
    </row>
    <row r="60" spans="1:53">
      <c r="A60" s="2" t="str">
        <f t="shared" si="0"/>
        <v>Res - SF Rebates_Advanced Thermostat - Boiler (Replace Programmable)</v>
      </c>
      <c r="B60" s="18">
        <v>57</v>
      </c>
      <c r="C60" s="18" t="s">
        <v>703</v>
      </c>
      <c r="D60" s="18" t="s">
        <v>704</v>
      </c>
      <c r="E60" s="23" t="s">
        <v>150</v>
      </c>
      <c r="F60" s="23">
        <v>1</v>
      </c>
      <c r="G60" s="154">
        <v>1</v>
      </c>
      <c r="H60" s="469">
        <v>10</v>
      </c>
      <c r="I60" s="465">
        <v>11</v>
      </c>
      <c r="J60" s="23">
        <v>230</v>
      </c>
      <c r="K60" s="23">
        <v>230</v>
      </c>
      <c r="L60" s="23">
        <v>230</v>
      </c>
      <c r="M60" s="23">
        <v>230</v>
      </c>
      <c r="N60" s="217">
        <f t="shared" si="7"/>
        <v>68.207999999999998</v>
      </c>
      <c r="O60" s="215">
        <f t="shared" si="4"/>
        <v>68.207999999999998</v>
      </c>
      <c r="P60" s="215">
        <f t="shared" si="4"/>
        <v>68.207999999999998</v>
      </c>
      <c r="Q60" s="215">
        <f t="shared" si="4"/>
        <v>68.207999999999998</v>
      </c>
      <c r="R60" s="15" t="s">
        <v>839</v>
      </c>
      <c r="S60" s="15" t="s">
        <v>841</v>
      </c>
      <c r="T60" s="15" t="s">
        <v>49</v>
      </c>
      <c r="U60" s="15" t="s">
        <v>60</v>
      </c>
      <c r="V60" s="412" t="s">
        <v>441</v>
      </c>
      <c r="W60" s="159" t="s">
        <v>445</v>
      </c>
      <c r="X60" s="160">
        <v>1218</v>
      </c>
      <c r="Y60" s="161" t="s">
        <v>444</v>
      </c>
      <c r="Z60" s="162">
        <v>5.6000000000000001E-2</v>
      </c>
      <c r="AA60" s="157" t="s">
        <v>392</v>
      </c>
      <c r="AB60" s="163">
        <v>1</v>
      </c>
      <c r="AC60" s="157" t="s">
        <v>443</v>
      </c>
      <c r="AD60" s="163">
        <v>1</v>
      </c>
      <c r="AE60" s="157" t="s">
        <v>442</v>
      </c>
      <c r="AF60" s="164">
        <v>3.1399999999999997E-2</v>
      </c>
      <c r="AG60" s="166"/>
      <c r="AH60" s="166"/>
      <c r="AI60" s="166"/>
      <c r="AJ60" s="166"/>
      <c r="AK60" s="166"/>
      <c r="AL60" s="166"/>
      <c r="AM60" s="166"/>
      <c r="AN60" s="166"/>
      <c r="AO60" s="166"/>
      <c r="AP60" s="166"/>
      <c r="AQ60" s="166"/>
      <c r="AR60" s="166"/>
      <c r="AS60" s="166"/>
      <c r="AT60" s="166"/>
      <c r="AU60" s="363"/>
      <c r="AV60" s="363"/>
      <c r="AW60" s="363"/>
      <c r="AX60" s="363"/>
      <c r="AY60" s="364"/>
      <c r="AZ60" s="365"/>
      <c r="BA60" s="366"/>
    </row>
    <row r="61" spans="1:53">
      <c r="A61" s="2" t="str">
        <f t="shared" si="0"/>
        <v>Res - SF Rebates_Air Sealing</v>
      </c>
      <c r="B61" s="18">
        <v>58</v>
      </c>
      <c r="C61" s="18" t="s">
        <v>703</v>
      </c>
      <c r="D61" s="18" t="s">
        <v>678</v>
      </c>
      <c r="E61" s="23" t="s">
        <v>439</v>
      </c>
      <c r="F61" s="23">
        <v>891.88799999999981</v>
      </c>
      <c r="G61" s="154">
        <v>0.9</v>
      </c>
      <c r="H61" s="469">
        <v>15</v>
      </c>
      <c r="I61" s="465">
        <v>20</v>
      </c>
      <c r="J61" s="23">
        <v>79</v>
      </c>
      <c r="K61" s="23">
        <v>79</v>
      </c>
      <c r="L61" s="23">
        <v>79</v>
      </c>
      <c r="M61" s="23">
        <v>79</v>
      </c>
      <c r="N61" s="495">
        <f>1/X61*60*24*Z61*0.018/(AB61*100000)*AD61*AF61</f>
        <v>5.5451447698744778E-2</v>
      </c>
      <c r="O61" s="29">
        <f t="shared" si="4"/>
        <v>5.5451447698744778E-2</v>
      </c>
      <c r="P61" s="29">
        <f t="shared" si="4"/>
        <v>5.5451447698744778E-2</v>
      </c>
      <c r="Q61" s="29">
        <f t="shared" si="4"/>
        <v>5.5451447698744778E-2</v>
      </c>
      <c r="R61" s="15" t="s">
        <v>839</v>
      </c>
      <c r="S61" s="15" t="s">
        <v>841</v>
      </c>
      <c r="T61" s="15" t="s">
        <v>438</v>
      </c>
      <c r="U61" s="15" t="s">
        <v>437</v>
      </c>
      <c r="V61" s="496" t="s">
        <v>1451</v>
      </c>
      <c r="W61" s="166" t="s">
        <v>436</v>
      </c>
      <c r="X61" s="166">
        <v>23.9</v>
      </c>
      <c r="Y61" s="166" t="s">
        <v>411</v>
      </c>
      <c r="Z61" s="166">
        <v>5113</v>
      </c>
      <c r="AA61" s="158" t="s">
        <v>440</v>
      </c>
      <c r="AB61" s="425">
        <v>0.72</v>
      </c>
      <c r="AC61" s="417" t="s">
        <v>847</v>
      </c>
      <c r="AD61" s="426">
        <v>0.72</v>
      </c>
      <c r="AE61" s="490" t="s">
        <v>1452</v>
      </c>
      <c r="AF61" s="497">
        <v>1</v>
      </c>
      <c r="AG61" s="166"/>
      <c r="AH61" s="166"/>
      <c r="AI61" s="166"/>
      <c r="AJ61" s="166"/>
      <c r="AK61" s="166"/>
      <c r="AL61" s="166"/>
      <c r="AM61" s="166"/>
      <c r="AN61" s="166"/>
      <c r="AO61" s="166"/>
      <c r="AP61" s="166"/>
      <c r="AQ61" s="166"/>
      <c r="AR61" s="166"/>
      <c r="AS61" s="166"/>
      <c r="AT61" s="166"/>
      <c r="AU61" s="363"/>
      <c r="AV61" s="363"/>
      <c r="AW61" s="363"/>
      <c r="AX61" s="363"/>
      <c r="AY61" s="364"/>
      <c r="AZ61" s="365"/>
      <c r="BA61" s="366"/>
    </row>
    <row r="62" spans="1:53">
      <c r="A62" s="2" t="str">
        <f t="shared" si="0"/>
        <v>Res - SF Rebates_Attic Insulation</v>
      </c>
      <c r="B62" s="18">
        <v>59</v>
      </c>
      <c r="C62" s="18" t="s">
        <v>703</v>
      </c>
      <c r="D62" s="18" t="s">
        <v>729</v>
      </c>
      <c r="E62" s="23" t="s">
        <v>418</v>
      </c>
      <c r="F62" s="23">
        <v>1200</v>
      </c>
      <c r="G62" s="154">
        <v>0.9</v>
      </c>
      <c r="H62" s="469">
        <v>25</v>
      </c>
      <c r="I62" s="465">
        <v>20</v>
      </c>
      <c r="J62" s="23">
        <v>79</v>
      </c>
      <c r="K62" s="23">
        <v>79</v>
      </c>
      <c r="L62" s="23">
        <v>79</v>
      </c>
      <c r="M62" s="23">
        <v>79</v>
      </c>
      <c r="N62" s="495">
        <f>((((1/X62-1/Z62)*1*(1-AB62))*24*AF62)/(AH62*100000)*AD62*AJ62*AL62)</f>
        <v>9.2988426666666665E-2</v>
      </c>
      <c r="O62" s="29">
        <f t="shared" si="4"/>
        <v>9.2988426666666665E-2</v>
      </c>
      <c r="P62" s="29">
        <f t="shared" si="4"/>
        <v>9.2988426666666665E-2</v>
      </c>
      <c r="Q62" s="29">
        <f t="shared" si="4"/>
        <v>9.2988426666666665E-2</v>
      </c>
      <c r="R62" s="15" t="s">
        <v>839</v>
      </c>
      <c r="S62" s="15" t="s">
        <v>841</v>
      </c>
      <c r="T62" s="15" t="s">
        <v>1048</v>
      </c>
      <c r="U62" s="15" t="s">
        <v>416</v>
      </c>
      <c r="V62" s="496" t="s">
        <v>1453</v>
      </c>
      <c r="W62" s="166" t="s">
        <v>415</v>
      </c>
      <c r="X62" s="166">
        <v>10</v>
      </c>
      <c r="Y62" s="416" t="s">
        <v>848</v>
      </c>
      <c r="Z62" s="166">
        <f>49+5</f>
        <v>54</v>
      </c>
      <c r="AA62" s="158" t="s">
        <v>434</v>
      </c>
      <c r="AB62" s="419">
        <v>7.0000000000000007E-2</v>
      </c>
      <c r="AC62" s="417" t="s">
        <v>849</v>
      </c>
      <c r="AD62" s="426">
        <v>0.72</v>
      </c>
      <c r="AE62" s="158" t="s">
        <v>411</v>
      </c>
      <c r="AF62" s="166">
        <v>5113</v>
      </c>
      <c r="AG62" s="166" t="s">
        <v>410</v>
      </c>
      <c r="AH62" s="419">
        <v>0.72</v>
      </c>
      <c r="AI62" s="496" t="s">
        <v>1452</v>
      </c>
      <c r="AJ62" s="497">
        <v>1</v>
      </c>
      <c r="AK62" s="496" t="s">
        <v>1454</v>
      </c>
      <c r="AL62" s="497">
        <v>1</v>
      </c>
      <c r="AM62" s="166"/>
      <c r="AN62" s="166"/>
      <c r="AO62" s="166"/>
      <c r="AP62" s="166"/>
      <c r="AQ62" s="166"/>
      <c r="AR62" s="166"/>
      <c r="AS62" s="166"/>
      <c r="AT62" s="166"/>
      <c r="AU62" s="363"/>
      <c r="AV62" s="363"/>
      <c r="AW62" s="363"/>
      <c r="AX62" s="363"/>
      <c r="AY62" s="364"/>
      <c r="AZ62" s="365"/>
      <c r="BA62" s="366"/>
    </row>
    <row r="63" spans="1:53">
      <c r="A63" s="2" t="str">
        <f t="shared" si="0"/>
        <v>Res - SF Rebates_Duct Sealing</v>
      </c>
      <c r="B63" s="18">
        <v>60</v>
      </c>
      <c r="C63" s="18" t="s">
        <v>703</v>
      </c>
      <c r="D63" s="18" t="s">
        <v>707</v>
      </c>
      <c r="E63" s="23" t="s">
        <v>429</v>
      </c>
      <c r="F63" s="23">
        <v>120</v>
      </c>
      <c r="G63" s="154">
        <v>0.9</v>
      </c>
      <c r="H63" s="469">
        <v>20</v>
      </c>
      <c r="I63" s="458">
        <v>20</v>
      </c>
      <c r="J63" s="23">
        <v>46</v>
      </c>
      <c r="K63" s="23">
        <v>46</v>
      </c>
      <c r="L63" s="23">
        <v>46</v>
      </c>
      <c r="M63" s="23">
        <v>46</v>
      </c>
      <c r="N63" s="216">
        <f>X63/(Z63*0.0123)*AB63*Z63*AH63*(AD63/AF63)/100000</f>
        <v>0.70950058072009281</v>
      </c>
      <c r="O63" s="215">
        <f t="shared" si="4"/>
        <v>0.70950058072009281</v>
      </c>
      <c r="P63" s="215">
        <f t="shared" si="4"/>
        <v>0.70950058072009281</v>
      </c>
      <c r="Q63" s="215">
        <f t="shared" si="4"/>
        <v>0.70950058072009281</v>
      </c>
      <c r="R63" s="15" t="s">
        <v>839</v>
      </c>
      <c r="S63" s="15" t="s">
        <v>841</v>
      </c>
      <c r="T63" s="15" t="s">
        <v>428</v>
      </c>
      <c r="U63" s="15" t="s">
        <v>427</v>
      </c>
      <c r="V63" s="166" t="s">
        <v>420</v>
      </c>
      <c r="W63" s="166" t="s">
        <v>426</v>
      </c>
      <c r="X63" s="166">
        <v>1</v>
      </c>
      <c r="Y63" s="166" t="s">
        <v>425</v>
      </c>
      <c r="Z63" s="420">
        <v>76000</v>
      </c>
      <c r="AA63" s="158" t="s">
        <v>424</v>
      </c>
      <c r="AB63" s="420">
        <v>1840</v>
      </c>
      <c r="AC63" s="158" t="s">
        <v>423</v>
      </c>
      <c r="AD63" s="425">
        <v>0.83</v>
      </c>
      <c r="AE63" s="158" t="s">
        <v>422</v>
      </c>
      <c r="AF63" s="419">
        <v>0.7</v>
      </c>
      <c r="AG63" s="166" t="s">
        <v>421</v>
      </c>
      <c r="AH63" s="419">
        <v>0.4</v>
      </c>
      <c r="AI63" s="166"/>
      <c r="AJ63" s="166"/>
      <c r="AK63" s="166"/>
      <c r="AL63" s="166"/>
      <c r="AM63" s="166"/>
      <c r="AN63" s="166"/>
      <c r="AO63" s="166"/>
      <c r="AP63" s="166"/>
      <c r="AQ63" s="166"/>
      <c r="AR63" s="166"/>
      <c r="AS63" s="166"/>
      <c r="AT63" s="166"/>
      <c r="AU63" s="363"/>
      <c r="AV63" s="363"/>
      <c r="AW63" s="363"/>
      <c r="AX63" s="363"/>
      <c r="AY63" s="364"/>
      <c r="AZ63" s="365"/>
      <c r="BA63" s="366"/>
    </row>
    <row r="64" spans="1:53">
      <c r="A64" s="2" t="str">
        <f t="shared" si="0"/>
        <v>Res - SF Rebates_Wall Insulation</v>
      </c>
      <c r="B64" s="18">
        <v>61</v>
      </c>
      <c r="C64" s="18" t="s">
        <v>703</v>
      </c>
      <c r="D64" s="18" t="s">
        <v>680</v>
      </c>
      <c r="E64" s="23" t="s">
        <v>429</v>
      </c>
      <c r="F64" s="23">
        <v>500</v>
      </c>
      <c r="G64" s="154">
        <v>0.9</v>
      </c>
      <c r="H64" s="469">
        <v>25</v>
      </c>
      <c r="I64" s="465">
        <v>20</v>
      </c>
      <c r="J64" s="23">
        <v>18</v>
      </c>
      <c r="K64" s="23">
        <v>18</v>
      </c>
      <c r="L64" s="23">
        <v>18</v>
      </c>
      <c r="M64" s="23">
        <v>18</v>
      </c>
      <c r="N64" s="411">
        <f>((((1/X64-1/Z64)*1*(1-AB64))*24*AF64)/(AH64*100000)*AD64)</f>
        <v>7.90190909090909E-2</v>
      </c>
      <c r="O64" s="215">
        <f t="shared" si="4"/>
        <v>7.90190909090909E-2</v>
      </c>
      <c r="P64" s="215">
        <f t="shared" si="4"/>
        <v>7.90190909090909E-2</v>
      </c>
      <c r="Q64" s="215">
        <f t="shared" si="4"/>
        <v>7.90190909090909E-2</v>
      </c>
      <c r="R64" s="15" t="s">
        <v>839</v>
      </c>
      <c r="S64" s="15" t="s">
        <v>841</v>
      </c>
      <c r="T64" s="15" t="s">
        <v>417</v>
      </c>
      <c r="U64" s="15" t="s">
        <v>416</v>
      </c>
      <c r="V64" s="416" t="s">
        <v>850</v>
      </c>
      <c r="W64" s="166" t="s">
        <v>415</v>
      </c>
      <c r="X64" s="166">
        <v>3.3</v>
      </c>
      <c r="Y64" s="416" t="s">
        <v>851</v>
      </c>
      <c r="Z64" s="166">
        <v>5</v>
      </c>
      <c r="AA64" s="158" t="s">
        <v>433</v>
      </c>
      <c r="AB64" s="419">
        <v>0.25</v>
      </c>
      <c r="AC64" s="417" t="s">
        <v>852</v>
      </c>
      <c r="AD64" s="419">
        <v>0.6</v>
      </c>
      <c r="AE64" s="158" t="s">
        <v>411</v>
      </c>
      <c r="AF64" s="166">
        <v>5113</v>
      </c>
      <c r="AG64" s="166" t="s">
        <v>410</v>
      </c>
      <c r="AH64" s="419">
        <v>0.72</v>
      </c>
      <c r="AI64" s="166"/>
      <c r="AJ64" s="166"/>
      <c r="AK64" s="166"/>
      <c r="AL64" s="166"/>
      <c r="AM64" s="166"/>
      <c r="AN64" s="166"/>
      <c r="AO64" s="166"/>
      <c r="AP64" s="166"/>
      <c r="AQ64" s="166"/>
      <c r="AR64" s="166"/>
      <c r="AS64" s="166"/>
      <c r="AT64" s="166"/>
      <c r="AU64" s="363"/>
      <c r="AV64" s="363"/>
      <c r="AW64" s="363"/>
      <c r="AX64" s="363"/>
      <c r="AY64" s="364"/>
      <c r="AZ64" s="365"/>
      <c r="BA64" s="366"/>
    </row>
    <row r="65" spans="1:53">
      <c r="A65" s="2" t="str">
        <f t="shared" si="0"/>
        <v>Res - SF Rebates_Foundation Insulation</v>
      </c>
      <c r="B65" s="18">
        <v>62</v>
      </c>
      <c r="C65" s="18" t="s">
        <v>703</v>
      </c>
      <c r="D65" s="18" t="s">
        <v>432</v>
      </c>
      <c r="E65" s="23" t="s">
        <v>429</v>
      </c>
      <c r="F65" s="23">
        <v>140</v>
      </c>
      <c r="G65" s="154">
        <v>0.9</v>
      </c>
      <c r="H65" s="469">
        <v>25</v>
      </c>
      <c r="I65" s="458">
        <v>25</v>
      </c>
      <c r="J65" s="23">
        <v>18</v>
      </c>
      <c r="K65" s="23">
        <v>18</v>
      </c>
      <c r="L65" s="23">
        <v>18</v>
      </c>
      <c r="M65" s="23">
        <v>18</v>
      </c>
      <c r="N65" s="216">
        <f>(1/X65-1/Z65)*(1-AB65)*24*AF65/(AH65*100067)*AD65</f>
        <v>8.2417994229580488E-2</v>
      </c>
      <c r="O65" s="215">
        <f t="shared" ref="O65:Q84" si="8">N65</f>
        <v>8.2417994229580488E-2</v>
      </c>
      <c r="P65" s="215">
        <f t="shared" si="8"/>
        <v>8.2417994229580488E-2</v>
      </c>
      <c r="Q65" s="215">
        <f t="shared" si="8"/>
        <v>8.2417994229580488E-2</v>
      </c>
      <c r="R65" s="15" t="s">
        <v>839</v>
      </c>
      <c r="S65" s="15" t="s">
        <v>841</v>
      </c>
      <c r="T65" s="15" t="s">
        <v>431</v>
      </c>
      <c r="U65" s="15" t="s">
        <v>430</v>
      </c>
      <c r="V65" s="166" t="s">
        <v>409</v>
      </c>
      <c r="W65" s="166" t="s">
        <v>415</v>
      </c>
      <c r="X65" s="166">
        <v>4</v>
      </c>
      <c r="Y65" s="166" t="s">
        <v>414</v>
      </c>
      <c r="Z65" s="166">
        <f>13+1</f>
        <v>14</v>
      </c>
      <c r="AA65" s="158" t="s">
        <v>413</v>
      </c>
      <c r="AB65" s="419">
        <v>0.25</v>
      </c>
      <c r="AC65" s="158" t="s">
        <v>412</v>
      </c>
      <c r="AD65" s="419">
        <v>0.6</v>
      </c>
      <c r="AE65" s="158" t="s">
        <v>411</v>
      </c>
      <c r="AF65" s="166">
        <v>3079</v>
      </c>
      <c r="AG65" s="166" t="s">
        <v>410</v>
      </c>
      <c r="AH65" s="419">
        <v>0.72</v>
      </c>
      <c r="AI65" s="166"/>
      <c r="AJ65" s="166"/>
      <c r="AK65" s="166"/>
      <c r="AL65" s="166"/>
      <c r="AM65" s="166"/>
      <c r="AN65" s="166"/>
      <c r="AO65" s="166"/>
      <c r="AP65" s="166"/>
      <c r="AQ65" s="166"/>
      <c r="AR65" s="166"/>
      <c r="AS65" s="166"/>
      <c r="AT65" s="166"/>
      <c r="AU65" s="363"/>
      <c r="AV65" s="363"/>
      <c r="AW65" s="363"/>
      <c r="AX65" s="363"/>
      <c r="AY65" s="364"/>
      <c r="AZ65" s="365"/>
      <c r="BA65" s="366"/>
    </row>
    <row r="66" spans="1:53">
      <c r="A66" s="2" t="str">
        <f t="shared" si="0"/>
        <v>Res - SF Rebates_New Construction 20-25% over IL 2015 Code</v>
      </c>
      <c r="B66" s="18">
        <v>63</v>
      </c>
      <c r="C66" s="18" t="s">
        <v>703</v>
      </c>
      <c r="D66" s="18" t="s">
        <v>381</v>
      </c>
      <c r="E66" s="23" t="s">
        <v>150</v>
      </c>
      <c r="F66" s="23">
        <v>1</v>
      </c>
      <c r="G66" s="154">
        <v>0.65</v>
      </c>
      <c r="H66" s="469">
        <v>15</v>
      </c>
      <c r="I66" s="458">
        <v>15</v>
      </c>
      <c r="J66" s="23">
        <v>0</v>
      </c>
      <c r="K66" s="23">
        <f t="shared" ref="K66:M85" si="9">J66</f>
        <v>0</v>
      </c>
      <c r="L66" s="23">
        <f t="shared" si="9"/>
        <v>0</v>
      </c>
      <c r="M66" s="23">
        <f t="shared" si="9"/>
        <v>0</v>
      </c>
      <c r="N66" s="217">
        <f>0.95*270</f>
        <v>256.5</v>
      </c>
      <c r="O66" s="215">
        <f t="shared" si="8"/>
        <v>256.5</v>
      </c>
      <c r="P66" s="215">
        <f t="shared" si="8"/>
        <v>256.5</v>
      </c>
      <c r="Q66" s="215">
        <f t="shared" si="8"/>
        <v>256.5</v>
      </c>
      <c r="R66" s="15" t="s">
        <v>140</v>
      </c>
      <c r="S66" s="15" t="s">
        <v>140</v>
      </c>
      <c r="T66" s="18" t="s">
        <v>140</v>
      </c>
      <c r="U66" s="15" t="s">
        <v>140</v>
      </c>
      <c r="V66" s="412" t="s">
        <v>140</v>
      </c>
      <c r="W66" s="412"/>
      <c r="X66" s="412"/>
      <c r="Y66" s="412"/>
      <c r="Z66" s="412"/>
      <c r="AA66" s="157"/>
      <c r="AB66" s="412"/>
      <c r="AC66" s="157"/>
      <c r="AD66" s="412"/>
      <c r="AE66" s="157"/>
      <c r="AF66" s="412"/>
      <c r="AG66" s="412"/>
      <c r="AH66" s="412"/>
      <c r="AI66" s="412"/>
      <c r="AJ66" s="412"/>
      <c r="AK66" s="412"/>
      <c r="AL66" s="412"/>
      <c r="AM66" s="412"/>
      <c r="AN66" s="412"/>
      <c r="AO66" s="412"/>
      <c r="AP66" s="412"/>
      <c r="AQ66" s="412"/>
      <c r="AR66" s="412"/>
      <c r="AS66" s="412"/>
      <c r="AT66" s="412"/>
      <c r="AU66" s="363"/>
      <c r="AV66" s="363"/>
      <c r="AW66" s="363"/>
      <c r="AX66" s="363"/>
      <c r="AY66" s="364"/>
      <c r="AZ66" s="365"/>
      <c r="BA66" s="366"/>
    </row>
    <row r="67" spans="1:53">
      <c r="A67" s="2" t="str">
        <f t="shared" si="0"/>
        <v>Res - SF Rebates_New Construction 25-30% over IL 2015 Code</v>
      </c>
      <c r="B67" s="18">
        <v>64</v>
      </c>
      <c r="C67" s="18" t="s">
        <v>703</v>
      </c>
      <c r="D67" s="18" t="s">
        <v>380</v>
      </c>
      <c r="E67" s="23" t="s">
        <v>150</v>
      </c>
      <c r="F67" s="23">
        <v>1</v>
      </c>
      <c r="G67" s="154">
        <v>0.65</v>
      </c>
      <c r="H67" s="469">
        <v>15</v>
      </c>
      <c r="I67" s="458">
        <v>15</v>
      </c>
      <c r="J67" s="23">
        <v>0</v>
      </c>
      <c r="K67" s="23">
        <f t="shared" si="9"/>
        <v>0</v>
      </c>
      <c r="L67" s="23">
        <f t="shared" si="9"/>
        <v>0</v>
      </c>
      <c r="M67" s="23">
        <f t="shared" si="9"/>
        <v>0</v>
      </c>
      <c r="N67" s="217">
        <f>0.95*380</f>
        <v>361</v>
      </c>
      <c r="O67" s="215">
        <f t="shared" si="8"/>
        <v>361</v>
      </c>
      <c r="P67" s="215">
        <f t="shared" si="8"/>
        <v>361</v>
      </c>
      <c r="Q67" s="215">
        <f t="shared" si="8"/>
        <v>361</v>
      </c>
      <c r="R67" s="15" t="s">
        <v>140</v>
      </c>
      <c r="S67" s="15" t="s">
        <v>140</v>
      </c>
      <c r="T67" s="18" t="s">
        <v>140</v>
      </c>
      <c r="U67" s="15" t="s">
        <v>140</v>
      </c>
      <c r="V67" s="412" t="s">
        <v>140</v>
      </c>
      <c r="W67" s="412"/>
      <c r="X67" s="412"/>
      <c r="Y67" s="412"/>
      <c r="Z67" s="412"/>
      <c r="AA67" s="157"/>
      <c r="AB67" s="412"/>
      <c r="AC67" s="157"/>
      <c r="AD67" s="412"/>
      <c r="AE67" s="157"/>
      <c r="AF67" s="412"/>
      <c r="AG67" s="412"/>
      <c r="AH67" s="412"/>
      <c r="AI67" s="412"/>
      <c r="AJ67" s="412"/>
      <c r="AK67" s="412"/>
      <c r="AL67" s="412"/>
      <c r="AM67" s="412"/>
      <c r="AN67" s="412"/>
      <c r="AO67" s="412"/>
      <c r="AP67" s="412"/>
      <c r="AQ67" s="412"/>
      <c r="AR67" s="412"/>
      <c r="AS67" s="412"/>
      <c r="AT67" s="412"/>
      <c r="AU67" s="363"/>
      <c r="AV67" s="363"/>
      <c r="AW67" s="363"/>
      <c r="AX67" s="363"/>
      <c r="AY67" s="364"/>
      <c r="AZ67" s="365"/>
      <c r="BA67" s="366"/>
    </row>
    <row r="68" spans="1:53">
      <c r="A68" s="2" t="str">
        <f t="shared" si="0"/>
        <v>Res - SF Rebates_New Construction 30-40% over IL 2015 Code</v>
      </c>
      <c r="B68" s="18">
        <v>65</v>
      </c>
      <c r="C68" s="18" t="s">
        <v>703</v>
      </c>
      <c r="D68" s="18" t="s">
        <v>379</v>
      </c>
      <c r="E68" s="23" t="s">
        <v>150</v>
      </c>
      <c r="F68" s="23">
        <v>1</v>
      </c>
      <c r="G68" s="154">
        <v>0.65</v>
      </c>
      <c r="H68" s="469">
        <v>15</v>
      </c>
      <c r="I68" s="458">
        <v>15</v>
      </c>
      <c r="J68" s="23">
        <v>0</v>
      </c>
      <c r="K68" s="23">
        <f t="shared" si="9"/>
        <v>0</v>
      </c>
      <c r="L68" s="23">
        <f t="shared" si="9"/>
        <v>0</v>
      </c>
      <c r="M68" s="23">
        <f t="shared" si="9"/>
        <v>0</v>
      </c>
      <c r="N68" s="217">
        <f>0.95*500</f>
        <v>475</v>
      </c>
      <c r="O68" s="215">
        <f t="shared" si="8"/>
        <v>475</v>
      </c>
      <c r="P68" s="215">
        <f t="shared" si="8"/>
        <v>475</v>
      </c>
      <c r="Q68" s="215">
        <f t="shared" si="8"/>
        <v>475</v>
      </c>
      <c r="R68" s="15" t="s">
        <v>140</v>
      </c>
      <c r="S68" s="15" t="s">
        <v>140</v>
      </c>
      <c r="T68" s="18" t="s">
        <v>140</v>
      </c>
      <c r="U68" s="15" t="s">
        <v>140</v>
      </c>
      <c r="V68" s="412" t="s">
        <v>140</v>
      </c>
      <c r="W68" s="412"/>
      <c r="X68" s="412"/>
      <c r="Y68" s="412"/>
      <c r="Z68" s="412"/>
      <c r="AA68" s="157"/>
      <c r="AB68" s="412"/>
      <c r="AC68" s="157"/>
      <c r="AD68" s="412"/>
      <c r="AE68" s="157"/>
      <c r="AF68" s="412"/>
      <c r="AG68" s="412"/>
      <c r="AH68" s="412"/>
      <c r="AI68" s="412"/>
      <c r="AJ68" s="412"/>
      <c r="AK68" s="412"/>
      <c r="AL68" s="412"/>
      <c r="AM68" s="412"/>
      <c r="AN68" s="412"/>
      <c r="AO68" s="412"/>
      <c r="AP68" s="412"/>
      <c r="AQ68" s="412"/>
      <c r="AR68" s="412"/>
      <c r="AS68" s="412"/>
      <c r="AT68" s="412"/>
      <c r="AU68" s="363"/>
      <c r="AV68" s="363"/>
      <c r="AW68" s="363"/>
      <c r="AX68" s="363"/>
      <c r="AY68" s="364"/>
      <c r="AZ68" s="365"/>
      <c r="BA68" s="366"/>
    </row>
    <row r="69" spans="1:53">
      <c r="A69" s="2" t="str">
        <f t="shared" ref="A69:A132" si="10">C69&amp;"_"&amp;D69</f>
        <v>Res - SF Rebates_New Construction ≥40% over IL 2015 Code</v>
      </c>
      <c r="B69" s="18">
        <v>66</v>
      </c>
      <c r="C69" s="18" t="s">
        <v>703</v>
      </c>
      <c r="D69" s="18" t="s">
        <v>378</v>
      </c>
      <c r="E69" s="23" t="s">
        <v>150</v>
      </c>
      <c r="F69" s="23">
        <v>1</v>
      </c>
      <c r="G69" s="154">
        <v>0.65</v>
      </c>
      <c r="H69" s="469">
        <v>15</v>
      </c>
      <c r="I69" s="458">
        <v>15</v>
      </c>
      <c r="J69" s="23">
        <v>0</v>
      </c>
      <c r="K69" s="23">
        <f t="shared" si="9"/>
        <v>0</v>
      </c>
      <c r="L69" s="23">
        <f t="shared" si="9"/>
        <v>0</v>
      </c>
      <c r="M69" s="23">
        <f t="shared" si="9"/>
        <v>0</v>
      </c>
      <c r="N69" s="217">
        <f>0.95*840</f>
        <v>798</v>
      </c>
      <c r="O69" s="215">
        <f t="shared" si="8"/>
        <v>798</v>
      </c>
      <c r="P69" s="215">
        <f t="shared" si="8"/>
        <v>798</v>
      </c>
      <c r="Q69" s="215">
        <f t="shared" si="8"/>
        <v>798</v>
      </c>
      <c r="R69" s="15" t="s">
        <v>140</v>
      </c>
      <c r="S69" s="15" t="s">
        <v>140</v>
      </c>
      <c r="T69" s="18" t="s">
        <v>140</v>
      </c>
      <c r="U69" s="15" t="s">
        <v>140</v>
      </c>
      <c r="V69" s="412" t="s">
        <v>140</v>
      </c>
      <c r="W69" s="412"/>
      <c r="X69" s="412"/>
      <c r="Y69" s="412"/>
      <c r="Z69" s="412"/>
      <c r="AA69" s="157"/>
      <c r="AB69" s="412"/>
      <c r="AC69" s="157"/>
      <c r="AD69" s="412"/>
      <c r="AE69" s="157"/>
      <c r="AF69" s="412"/>
      <c r="AG69" s="412"/>
      <c r="AH69" s="412"/>
      <c r="AI69" s="412"/>
      <c r="AJ69" s="412"/>
      <c r="AK69" s="412"/>
      <c r="AL69" s="412"/>
      <c r="AM69" s="412"/>
      <c r="AN69" s="412"/>
      <c r="AO69" s="412"/>
      <c r="AP69" s="412"/>
      <c r="AQ69" s="412"/>
      <c r="AR69" s="412"/>
      <c r="AS69" s="412"/>
      <c r="AT69" s="412"/>
      <c r="AU69" s="363"/>
      <c r="AV69" s="363"/>
      <c r="AW69" s="363"/>
      <c r="AX69" s="363"/>
      <c r="AY69" s="364"/>
      <c r="AZ69" s="365"/>
      <c r="BA69" s="366"/>
    </row>
    <row r="70" spans="1:53">
      <c r="A70" s="2" t="str">
        <f t="shared" si="10"/>
        <v>Res - MF Standard Rebates_Boiler ≥88% AFUE, &lt;300MBh</v>
      </c>
      <c r="B70" s="18">
        <v>67</v>
      </c>
      <c r="C70" s="18" t="s">
        <v>721</v>
      </c>
      <c r="D70" s="18" t="s">
        <v>718</v>
      </c>
      <c r="E70" s="23" t="s">
        <v>240</v>
      </c>
      <c r="F70" s="23">
        <v>150</v>
      </c>
      <c r="G70" s="154">
        <v>0.76</v>
      </c>
      <c r="H70" s="469">
        <v>20</v>
      </c>
      <c r="I70" s="458">
        <v>20</v>
      </c>
      <c r="J70" s="23">
        <v>0</v>
      </c>
      <c r="K70" s="23">
        <f t="shared" si="9"/>
        <v>0</v>
      </c>
      <c r="L70" s="23">
        <f t="shared" si="9"/>
        <v>0</v>
      </c>
      <c r="M70" s="23">
        <f t="shared" si="9"/>
        <v>0</v>
      </c>
      <c r="N70" s="216">
        <f>X70*Z70*((AB70-AD70)/AD70)/100000/F70</f>
        <v>1.3039024390243914</v>
      </c>
      <c r="O70" s="215">
        <f t="shared" si="8"/>
        <v>1.3039024390243914</v>
      </c>
      <c r="P70" s="215">
        <f t="shared" si="8"/>
        <v>1.3039024390243914</v>
      </c>
      <c r="Q70" s="215">
        <f t="shared" si="8"/>
        <v>1.3039024390243914</v>
      </c>
      <c r="R70" s="15" t="s">
        <v>839</v>
      </c>
      <c r="S70" s="15" t="s">
        <v>841</v>
      </c>
      <c r="T70" s="15" t="s">
        <v>343</v>
      </c>
      <c r="U70" s="15" t="s">
        <v>342</v>
      </c>
      <c r="V70" s="166" t="s">
        <v>340</v>
      </c>
      <c r="W70" s="490" t="s">
        <v>302</v>
      </c>
      <c r="X70" s="491">
        <v>1782</v>
      </c>
      <c r="Y70" s="158" t="s">
        <v>273</v>
      </c>
      <c r="Z70" s="420">
        <v>150000</v>
      </c>
      <c r="AA70" s="158" t="s">
        <v>341</v>
      </c>
      <c r="AB70" s="419">
        <v>0.88</v>
      </c>
      <c r="AC70" s="166" t="s">
        <v>248</v>
      </c>
      <c r="AD70" s="419">
        <v>0.82</v>
      </c>
      <c r="AE70" s="166"/>
      <c r="AF70" s="166"/>
      <c r="AG70" s="166"/>
      <c r="AH70" s="166"/>
      <c r="AI70" s="166"/>
      <c r="AJ70" s="166"/>
      <c r="AK70" s="166"/>
      <c r="AL70" s="166"/>
      <c r="AM70" s="166"/>
      <c r="AN70" s="166"/>
      <c r="AO70" s="166"/>
      <c r="AP70" s="166"/>
      <c r="AQ70" s="166"/>
      <c r="AR70" s="166"/>
      <c r="AS70" s="166"/>
      <c r="AT70" s="166"/>
      <c r="AU70" s="363"/>
      <c r="AV70" s="363"/>
      <c r="AW70" s="363"/>
      <c r="AX70" s="363"/>
      <c r="AY70" s="364"/>
      <c r="AZ70" s="365"/>
      <c r="BA70" s="366"/>
    </row>
    <row r="71" spans="1:53">
      <c r="A71" s="2" t="str">
        <f t="shared" si="10"/>
        <v>Res - MF Standard Rebates_Boiler ≥88% AFUE, ≥300MBh TE</v>
      </c>
      <c r="B71" s="18">
        <v>68</v>
      </c>
      <c r="C71" s="18" t="s">
        <v>721</v>
      </c>
      <c r="D71" s="18" t="s">
        <v>719</v>
      </c>
      <c r="E71" s="23" t="s">
        <v>240</v>
      </c>
      <c r="F71" s="23">
        <v>350</v>
      </c>
      <c r="G71" s="154">
        <v>0.76</v>
      </c>
      <c r="H71" s="469">
        <v>20</v>
      </c>
      <c r="I71" s="458">
        <v>20</v>
      </c>
      <c r="J71" s="23">
        <v>0</v>
      </c>
      <c r="K71" s="23">
        <f t="shared" si="9"/>
        <v>0</v>
      </c>
      <c r="L71" s="23">
        <f t="shared" si="9"/>
        <v>0</v>
      </c>
      <c r="M71" s="23">
        <f t="shared" si="9"/>
        <v>0</v>
      </c>
      <c r="N71" s="216">
        <f>X71*Z71*((AB71-AD71)/AD71)/100000/F71</f>
        <v>1.7819999999999991</v>
      </c>
      <c r="O71" s="215">
        <f t="shared" si="8"/>
        <v>1.7819999999999991</v>
      </c>
      <c r="P71" s="215">
        <f t="shared" si="8"/>
        <v>1.7819999999999991</v>
      </c>
      <c r="Q71" s="215">
        <f t="shared" si="8"/>
        <v>1.7819999999999991</v>
      </c>
      <c r="R71" s="15" t="s">
        <v>839</v>
      </c>
      <c r="S71" s="15" t="s">
        <v>841</v>
      </c>
      <c r="T71" s="15" t="s">
        <v>343</v>
      </c>
      <c r="U71" s="15" t="s">
        <v>342</v>
      </c>
      <c r="V71" s="166" t="s">
        <v>340</v>
      </c>
      <c r="W71" s="490" t="s">
        <v>302</v>
      </c>
      <c r="X71" s="491">
        <v>1782</v>
      </c>
      <c r="Y71" s="158" t="s">
        <v>273</v>
      </c>
      <c r="Z71" s="420">
        <v>350000</v>
      </c>
      <c r="AA71" s="158" t="s">
        <v>341</v>
      </c>
      <c r="AB71" s="419">
        <v>0.88</v>
      </c>
      <c r="AC71" s="166" t="s">
        <v>248</v>
      </c>
      <c r="AD71" s="419">
        <v>0.8</v>
      </c>
      <c r="AE71" s="166"/>
      <c r="AF71" s="166"/>
      <c r="AG71" s="166"/>
      <c r="AH71" s="166"/>
      <c r="AI71" s="166"/>
      <c r="AJ71" s="166"/>
      <c r="AK71" s="166"/>
      <c r="AL71" s="166"/>
      <c r="AM71" s="166"/>
      <c r="AN71" s="166"/>
      <c r="AO71" s="166"/>
      <c r="AP71" s="166"/>
      <c r="AQ71" s="166"/>
      <c r="AR71" s="166"/>
      <c r="AS71" s="166"/>
      <c r="AT71" s="166"/>
      <c r="AU71" s="363"/>
      <c r="AV71" s="363"/>
      <c r="AW71" s="363"/>
      <c r="AX71" s="363"/>
      <c r="AY71" s="364"/>
      <c r="AZ71" s="365"/>
      <c r="BA71" s="366"/>
    </row>
    <row r="72" spans="1:53">
      <c r="A72" s="2" t="str">
        <f t="shared" si="10"/>
        <v>Res - MF Standard Rebates_Boiler Reset Controls</v>
      </c>
      <c r="B72" s="18">
        <v>69</v>
      </c>
      <c r="C72" s="18" t="s">
        <v>721</v>
      </c>
      <c r="D72" s="18" t="s">
        <v>1062</v>
      </c>
      <c r="E72" s="23" t="s">
        <v>240</v>
      </c>
      <c r="F72" s="23">
        <v>200</v>
      </c>
      <c r="G72" s="154">
        <v>0.76</v>
      </c>
      <c r="H72" s="469">
        <v>20</v>
      </c>
      <c r="I72" s="458">
        <v>20</v>
      </c>
      <c r="J72" s="23">
        <v>0</v>
      </c>
      <c r="K72" s="23">
        <f t="shared" si="9"/>
        <v>0</v>
      </c>
      <c r="L72" s="23">
        <f t="shared" si="9"/>
        <v>0</v>
      </c>
      <c r="M72" s="23">
        <f t="shared" si="9"/>
        <v>0</v>
      </c>
      <c r="N72" s="216">
        <f>X72*Z72/100</f>
        <v>1.4256</v>
      </c>
      <c r="O72" s="215">
        <f t="shared" si="8"/>
        <v>1.4256</v>
      </c>
      <c r="P72" s="215">
        <f t="shared" si="8"/>
        <v>1.4256</v>
      </c>
      <c r="Q72" s="215">
        <f t="shared" si="8"/>
        <v>1.4256</v>
      </c>
      <c r="R72" s="15" t="s">
        <v>839</v>
      </c>
      <c r="S72" s="15" t="s">
        <v>841</v>
      </c>
      <c r="T72" s="15" t="s">
        <v>339</v>
      </c>
      <c r="U72" s="15" t="s">
        <v>338</v>
      </c>
      <c r="V72" s="166" t="s">
        <v>336</v>
      </c>
      <c r="W72" s="490" t="s">
        <v>302</v>
      </c>
      <c r="X72" s="491">
        <v>1782</v>
      </c>
      <c r="Y72" s="158" t="s">
        <v>337</v>
      </c>
      <c r="Z72" s="421">
        <v>0.08</v>
      </c>
      <c r="AA72" s="158"/>
      <c r="AB72" s="158"/>
      <c r="AC72" s="158"/>
      <c r="AD72" s="158"/>
      <c r="AE72" s="158"/>
      <c r="AF72" s="166"/>
      <c r="AG72" s="166"/>
      <c r="AH72" s="166"/>
      <c r="AI72" s="166"/>
      <c r="AJ72" s="166"/>
      <c r="AK72" s="166"/>
      <c r="AL72" s="166"/>
      <c r="AM72" s="166"/>
      <c r="AN72" s="166"/>
      <c r="AO72" s="166"/>
      <c r="AP72" s="166"/>
      <c r="AQ72" s="166"/>
      <c r="AR72" s="166"/>
      <c r="AS72" s="166"/>
      <c r="AT72" s="166"/>
      <c r="AU72" s="363"/>
      <c r="AV72" s="363"/>
      <c r="AW72" s="363"/>
      <c r="AX72" s="363"/>
      <c r="AY72" s="364"/>
      <c r="AZ72" s="365"/>
      <c r="BA72" s="366"/>
    </row>
    <row r="73" spans="1:53">
      <c r="A73" s="2" t="str">
        <f t="shared" si="10"/>
        <v>Res - MF Standard Rebates_Boiler Tune Up - Process</v>
      </c>
      <c r="B73" s="18">
        <v>70</v>
      </c>
      <c r="C73" s="18" t="s">
        <v>721</v>
      </c>
      <c r="D73" s="18" t="s">
        <v>335</v>
      </c>
      <c r="E73" s="23" t="s">
        <v>240</v>
      </c>
      <c r="F73" s="23">
        <v>200</v>
      </c>
      <c r="G73" s="154">
        <v>0.76</v>
      </c>
      <c r="H73" s="469">
        <v>3</v>
      </c>
      <c r="I73" s="458">
        <v>3</v>
      </c>
      <c r="J73" s="23">
        <v>0</v>
      </c>
      <c r="K73" s="23">
        <f t="shared" si="9"/>
        <v>0</v>
      </c>
      <c r="L73" s="23">
        <f t="shared" si="9"/>
        <v>0</v>
      </c>
      <c r="M73" s="23">
        <f t="shared" si="9"/>
        <v>0</v>
      </c>
      <c r="N73" s="216">
        <f>(X73*8766*Z73)/100*(1-AB73/AD73)</f>
        <v>0.83823507428978783</v>
      </c>
      <c r="O73" s="215">
        <f t="shared" si="8"/>
        <v>0.83823507428978783</v>
      </c>
      <c r="P73" s="215">
        <f t="shared" si="8"/>
        <v>0.83823507428978783</v>
      </c>
      <c r="Q73" s="215">
        <f t="shared" si="8"/>
        <v>0.83823507428978783</v>
      </c>
      <c r="R73" s="15" t="s">
        <v>839</v>
      </c>
      <c r="S73" s="15" t="s">
        <v>841</v>
      </c>
      <c r="T73" s="15" t="s">
        <v>334</v>
      </c>
      <c r="U73" s="15" t="s">
        <v>333</v>
      </c>
      <c r="V73" s="166" t="s">
        <v>328</v>
      </c>
      <c r="W73" s="166" t="s">
        <v>332</v>
      </c>
      <c r="X73" s="420">
        <v>1</v>
      </c>
      <c r="Y73" s="166" t="s">
        <v>331</v>
      </c>
      <c r="Z73" s="427">
        <v>0.41899999999999998</v>
      </c>
      <c r="AA73" s="158" t="s">
        <v>330</v>
      </c>
      <c r="AB73" s="428">
        <v>0.82210000000000005</v>
      </c>
      <c r="AC73" s="158" t="s">
        <v>329</v>
      </c>
      <c r="AD73" s="428">
        <v>0.84130000000000005</v>
      </c>
      <c r="AE73" s="158"/>
      <c r="AF73" s="166"/>
      <c r="AG73" s="166"/>
      <c r="AH73" s="166"/>
      <c r="AI73" s="166"/>
      <c r="AJ73" s="166"/>
      <c r="AK73" s="166"/>
      <c r="AL73" s="166"/>
      <c r="AM73" s="166"/>
      <c r="AN73" s="166"/>
      <c r="AO73" s="166"/>
      <c r="AP73" s="166"/>
      <c r="AQ73" s="166"/>
      <c r="AR73" s="166"/>
      <c r="AS73" s="166"/>
      <c r="AT73" s="166"/>
      <c r="AU73" s="363"/>
      <c r="AV73" s="363"/>
      <c r="AW73" s="363"/>
      <c r="AX73" s="363"/>
      <c r="AY73" s="364"/>
      <c r="AZ73" s="365"/>
      <c r="BA73" s="366"/>
    </row>
    <row r="74" spans="1:53">
      <c r="A74" s="2" t="str">
        <f t="shared" si="10"/>
        <v>Res - MF Standard Rebates_Boiler Tune Up - Space Heating</v>
      </c>
      <c r="B74" s="18">
        <v>71</v>
      </c>
      <c r="C74" s="18" t="s">
        <v>721</v>
      </c>
      <c r="D74" s="18" t="s">
        <v>724</v>
      </c>
      <c r="E74" s="23" t="s">
        <v>240</v>
      </c>
      <c r="F74" s="23">
        <v>200</v>
      </c>
      <c r="G74" s="154">
        <v>0.76</v>
      </c>
      <c r="H74" s="469">
        <v>3</v>
      </c>
      <c r="I74" s="458">
        <v>3</v>
      </c>
      <c r="J74" s="23">
        <v>0</v>
      </c>
      <c r="K74" s="23">
        <f t="shared" si="9"/>
        <v>0</v>
      </c>
      <c r="L74" s="23">
        <f t="shared" si="9"/>
        <v>0</v>
      </c>
      <c r="M74" s="23">
        <f t="shared" si="9"/>
        <v>0</v>
      </c>
      <c r="N74" s="216">
        <f>(AD74*X74*(AB74/Z74-1))/100000</f>
        <v>0.41618294611360979</v>
      </c>
      <c r="O74" s="215">
        <f t="shared" si="8"/>
        <v>0.41618294611360979</v>
      </c>
      <c r="P74" s="215">
        <f t="shared" si="8"/>
        <v>0.41618294611360979</v>
      </c>
      <c r="Q74" s="215">
        <f t="shared" si="8"/>
        <v>0.41618294611360979</v>
      </c>
      <c r="R74" s="15" t="s">
        <v>839</v>
      </c>
      <c r="S74" s="15" t="s">
        <v>841</v>
      </c>
      <c r="T74" s="15" t="s">
        <v>327</v>
      </c>
      <c r="U74" s="15" t="s">
        <v>326</v>
      </c>
      <c r="V74" s="166" t="s">
        <v>322</v>
      </c>
      <c r="W74" s="490" t="s">
        <v>302</v>
      </c>
      <c r="X74" s="491">
        <v>1782</v>
      </c>
      <c r="Y74" s="158" t="s">
        <v>325</v>
      </c>
      <c r="Z74" s="428">
        <v>0.82210000000000005</v>
      </c>
      <c r="AA74" s="158" t="s">
        <v>324</v>
      </c>
      <c r="AB74" s="428">
        <v>0.84130000000000005</v>
      </c>
      <c r="AC74" s="166" t="s">
        <v>323</v>
      </c>
      <c r="AD74" s="429">
        <v>1000</v>
      </c>
      <c r="AE74" s="166"/>
      <c r="AF74" s="166"/>
      <c r="AG74" s="166"/>
      <c r="AH74" s="166"/>
      <c r="AI74" s="166"/>
      <c r="AJ74" s="166"/>
      <c r="AK74" s="166"/>
      <c r="AL74" s="166"/>
      <c r="AM74" s="166"/>
      <c r="AN74" s="166"/>
      <c r="AO74" s="166"/>
      <c r="AP74" s="166"/>
      <c r="AQ74" s="166"/>
      <c r="AR74" s="166"/>
      <c r="AS74" s="166"/>
      <c r="AT74" s="166"/>
      <c r="AU74" s="363"/>
      <c r="AV74" s="363"/>
      <c r="AW74" s="363"/>
      <c r="AX74" s="363"/>
      <c r="AY74" s="364"/>
      <c r="AZ74" s="365"/>
      <c r="BA74" s="366"/>
    </row>
    <row r="75" spans="1:53">
      <c r="A75" s="2" t="str">
        <f t="shared" si="10"/>
        <v>Res - MF Standard Rebates_Condensing Unit Heater</v>
      </c>
      <c r="B75" s="18">
        <v>72</v>
      </c>
      <c r="C75" s="18" t="s">
        <v>721</v>
      </c>
      <c r="D75" s="18" t="s">
        <v>321</v>
      </c>
      <c r="E75" s="23" t="s">
        <v>240</v>
      </c>
      <c r="F75" s="23">
        <v>150</v>
      </c>
      <c r="G75" s="154">
        <v>0.76</v>
      </c>
      <c r="H75" s="469">
        <v>12</v>
      </c>
      <c r="I75" s="458">
        <v>12</v>
      </c>
      <c r="J75" s="23">
        <v>0</v>
      </c>
      <c r="K75" s="23">
        <f t="shared" si="9"/>
        <v>0</v>
      </c>
      <c r="L75" s="23">
        <f t="shared" si="9"/>
        <v>0</v>
      </c>
      <c r="M75" s="23">
        <f t="shared" si="9"/>
        <v>0</v>
      </c>
      <c r="N75" s="216">
        <f>266/F75</f>
        <v>1.7733333333333334</v>
      </c>
      <c r="O75" s="215">
        <f t="shared" si="8"/>
        <v>1.7733333333333334</v>
      </c>
      <c r="P75" s="215">
        <f t="shared" si="8"/>
        <v>1.7733333333333334</v>
      </c>
      <c r="Q75" s="215">
        <f t="shared" si="8"/>
        <v>1.7733333333333334</v>
      </c>
      <c r="R75" s="15" t="s">
        <v>839</v>
      </c>
      <c r="S75" s="15" t="s">
        <v>841</v>
      </c>
      <c r="T75" s="15" t="s">
        <v>320</v>
      </c>
      <c r="U75" s="15" t="s">
        <v>319</v>
      </c>
      <c r="V75" s="166" t="s">
        <v>318</v>
      </c>
      <c r="W75" s="166"/>
      <c r="X75" s="166"/>
      <c r="Y75" s="166"/>
      <c r="Z75" s="166"/>
      <c r="AA75" s="158"/>
      <c r="AB75" s="166"/>
      <c r="AC75" s="158"/>
      <c r="AD75" s="166"/>
      <c r="AE75" s="158"/>
      <c r="AF75" s="166"/>
      <c r="AG75" s="166"/>
      <c r="AH75" s="166"/>
      <c r="AI75" s="166"/>
      <c r="AJ75" s="166"/>
      <c r="AK75" s="166"/>
      <c r="AL75" s="166"/>
      <c r="AM75" s="166"/>
      <c r="AN75" s="166"/>
      <c r="AO75" s="166"/>
      <c r="AP75" s="166"/>
      <c r="AQ75" s="166"/>
      <c r="AR75" s="166"/>
      <c r="AS75" s="166"/>
      <c r="AT75" s="166"/>
      <c r="AU75" s="363"/>
      <c r="AV75" s="363"/>
      <c r="AW75" s="363"/>
      <c r="AX75" s="363"/>
      <c r="AY75" s="364"/>
      <c r="AZ75" s="365"/>
      <c r="BA75" s="366"/>
    </row>
    <row r="76" spans="1:53">
      <c r="A76" s="2" t="str">
        <f t="shared" si="10"/>
        <v>Res - MF Standard Rebates_Direct Fired Heaters</v>
      </c>
      <c r="B76" s="18">
        <v>73</v>
      </c>
      <c r="C76" s="18" t="s">
        <v>721</v>
      </c>
      <c r="D76" s="18" t="s">
        <v>317</v>
      </c>
      <c r="E76" s="23" t="s">
        <v>240</v>
      </c>
      <c r="F76" s="23">
        <v>150</v>
      </c>
      <c r="G76" s="154">
        <v>0.76</v>
      </c>
      <c r="H76" s="469">
        <v>20</v>
      </c>
      <c r="I76" s="458">
        <v>20</v>
      </c>
      <c r="J76" s="23">
        <v>0</v>
      </c>
      <c r="K76" s="23">
        <f t="shared" si="9"/>
        <v>0</v>
      </c>
      <c r="L76" s="23">
        <f t="shared" si="9"/>
        <v>0</v>
      </c>
      <c r="M76" s="23">
        <f t="shared" si="9"/>
        <v>0</v>
      </c>
      <c r="N76" s="216">
        <f>AD76*X76*(Z76/AB76-1)/100000</f>
        <v>2.4914999999999985</v>
      </c>
      <c r="O76" s="215">
        <f t="shared" si="8"/>
        <v>2.4914999999999985</v>
      </c>
      <c r="P76" s="215">
        <f t="shared" si="8"/>
        <v>2.4914999999999985</v>
      </c>
      <c r="Q76" s="215">
        <f t="shared" si="8"/>
        <v>2.4914999999999985</v>
      </c>
      <c r="R76" s="15" t="s">
        <v>140</v>
      </c>
      <c r="S76" s="15" t="s">
        <v>140</v>
      </c>
      <c r="T76" s="18" t="s">
        <v>140</v>
      </c>
      <c r="U76" s="15" t="s">
        <v>140</v>
      </c>
      <c r="V76" s="166" t="s">
        <v>313</v>
      </c>
      <c r="W76" s="166" t="s">
        <v>273</v>
      </c>
      <c r="X76" s="166">
        <v>1000</v>
      </c>
      <c r="Y76" s="166" t="s">
        <v>316</v>
      </c>
      <c r="Z76" s="419">
        <v>0.92</v>
      </c>
      <c r="AA76" s="158" t="s">
        <v>315</v>
      </c>
      <c r="AB76" s="419">
        <v>0.8</v>
      </c>
      <c r="AC76" s="490" t="s">
        <v>302</v>
      </c>
      <c r="AD76" s="492">
        <f>(1540+1782)/2</f>
        <v>1661</v>
      </c>
      <c r="AE76" s="490" t="s">
        <v>314</v>
      </c>
      <c r="AF76" s="492">
        <v>1678</v>
      </c>
      <c r="AG76" s="166"/>
      <c r="AH76" s="166"/>
      <c r="AI76" s="166"/>
      <c r="AJ76" s="166"/>
      <c r="AK76" s="166"/>
      <c r="AL76" s="166"/>
      <c r="AM76" s="166"/>
      <c r="AN76" s="166"/>
      <c r="AO76" s="166"/>
      <c r="AP76" s="166"/>
      <c r="AQ76" s="166"/>
      <c r="AR76" s="166"/>
      <c r="AS76" s="166"/>
      <c r="AT76" s="166"/>
      <c r="AU76" s="363"/>
      <c r="AV76" s="363"/>
      <c r="AW76" s="363"/>
      <c r="AX76" s="363"/>
      <c r="AY76" s="364"/>
      <c r="AZ76" s="365"/>
      <c r="BA76" s="366"/>
    </row>
    <row r="77" spans="1:53">
      <c r="A77" s="2" t="str">
        <f t="shared" si="10"/>
        <v>Res - MF Standard Rebates_Furnace &gt;95% AFUE</v>
      </c>
      <c r="B77" s="18">
        <v>74</v>
      </c>
      <c r="C77" s="18" t="s">
        <v>721</v>
      </c>
      <c r="D77" s="18" t="s">
        <v>1060</v>
      </c>
      <c r="E77" s="23" t="s">
        <v>150</v>
      </c>
      <c r="F77" s="23">
        <v>1</v>
      </c>
      <c r="G77" s="154">
        <v>0.76</v>
      </c>
      <c r="H77" s="469">
        <v>16</v>
      </c>
      <c r="I77" s="458">
        <v>16</v>
      </c>
      <c r="J77" s="23">
        <v>0</v>
      </c>
      <c r="K77" s="23">
        <f t="shared" si="9"/>
        <v>0</v>
      </c>
      <c r="L77" s="23">
        <f t="shared" si="9"/>
        <v>0</v>
      </c>
      <c r="M77" s="23">
        <f t="shared" si="9"/>
        <v>0</v>
      </c>
      <c r="N77" s="216">
        <f>X77*Z77*((AB77-AD77)/AD77)/100000</f>
        <v>253.93499999999986</v>
      </c>
      <c r="O77" s="215">
        <f t="shared" si="8"/>
        <v>253.93499999999986</v>
      </c>
      <c r="P77" s="215">
        <f t="shared" si="8"/>
        <v>253.93499999999986</v>
      </c>
      <c r="Q77" s="215">
        <f t="shared" si="8"/>
        <v>253.93499999999986</v>
      </c>
      <c r="R77" s="15" t="s">
        <v>839</v>
      </c>
      <c r="S77" s="15" t="s">
        <v>841</v>
      </c>
      <c r="T77" s="15" t="s">
        <v>301</v>
      </c>
      <c r="U77" s="15" t="s">
        <v>300</v>
      </c>
      <c r="V77" s="166" t="s">
        <v>296</v>
      </c>
      <c r="W77" s="490" t="s">
        <v>302</v>
      </c>
      <c r="X77" s="491">
        <v>1782</v>
      </c>
      <c r="Y77" s="158" t="s">
        <v>273</v>
      </c>
      <c r="Z77" s="420">
        <v>76000</v>
      </c>
      <c r="AA77" s="166" t="s">
        <v>299</v>
      </c>
      <c r="AB77" s="430">
        <v>0.95</v>
      </c>
      <c r="AC77" s="166" t="s">
        <v>298</v>
      </c>
      <c r="AD77" s="419">
        <v>0.8</v>
      </c>
      <c r="AE77" s="166" t="s">
        <v>153</v>
      </c>
      <c r="AF77" s="166">
        <v>2899</v>
      </c>
      <c r="AG77" s="166" t="s">
        <v>297</v>
      </c>
      <c r="AH77" s="431">
        <v>0.24299999999999999</v>
      </c>
      <c r="AI77" s="166"/>
      <c r="AJ77" s="166"/>
      <c r="AK77" s="166"/>
      <c r="AL77" s="166"/>
      <c r="AM77" s="166"/>
      <c r="AN77" s="166"/>
      <c r="AO77" s="166"/>
      <c r="AP77" s="166"/>
      <c r="AQ77" s="166"/>
      <c r="AR77" s="166"/>
      <c r="AS77" s="166"/>
      <c r="AT77" s="166"/>
      <c r="AU77" s="363"/>
      <c r="AV77" s="363"/>
      <c r="AW77" s="363"/>
      <c r="AX77" s="363"/>
      <c r="AY77" s="364"/>
      <c r="AZ77" s="365"/>
      <c r="BA77" s="366"/>
    </row>
    <row r="78" spans="1:53">
      <c r="A78" s="2" t="str">
        <f t="shared" si="10"/>
        <v>Res - MF Standard Rebates_High Speed Washer</v>
      </c>
      <c r="B78" s="18">
        <v>75</v>
      </c>
      <c r="C78" s="18" t="s">
        <v>721</v>
      </c>
      <c r="D78" s="18" t="s">
        <v>706</v>
      </c>
      <c r="E78" s="23" t="s">
        <v>237</v>
      </c>
      <c r="F78" s="23">
        <v>250</v>
      </c>
      <c r="G78" s="154">
        <v>0.76</v>
      </c>
      <c r="H78" s="469">
        <v>7</v>
      </c>
      <c r="I78" s="458">
        <v>7</v>
      </c>
      <c r="J78" s="23">
        <v>0</v>
      </c>
      <c r="K78" s="23">
        <f t="shared" si="9"/>
        <v>0</v>
      </c>
      <c r="L78" s="23">
        <f t="shared" si="9"/>
        <v>0</v>
      </c>
      <c r="M78" s="23">
        <f t="shared" si="9"/>
        <v>0</v>
      </c>
      <c r="N78" s="216">
        <f>X78*Z78*AB78*AD78*AF78/AH78/100000*AJ78*AL78/F78</f>
        <v>3.6756720000000001</v>
      </c>
      <c r="O78" s="215">
        <f t="shared" si="8"/>
        <v>3.6756720000000001</v>
      </c>
      <c r="P78" s="215">
        <f t="shared" si="8"/>
        <v>3.6756720000000001</v>
      </c>
      <c r="Q78" s="215">
        <f t="shared" si="8"/>
        <v>3.6756720000000001</v>
      </c>
      <c r="R78" s="15" t="s">
        <v>839</v>
      </c>
      <c r="S78" s="15" t="s">
        <v>841</v>
      </c>
      <c r="T78" s="15" t="s">
        <v>236</v>
      </c>
      <c r="U78" s="15" t="s">
        <v>235</v>
      </c>
      <c r="V78" s="432"/>
      <c r="W78" s="166" t="s">
        <v>234</v>
      </c>
      <c r="X78" s="166">
        <v>3.4</v>
      </c>
      <c r="Y78" s="166" t="s">
        <v>233</v>
      </c>
      <c r="Z78" s="166">
        <v>360</v>
      </c>
      <c r="AA78" s="158" t="s">
        <v>232</v>
      </c>
      <c r="AB78" s="420">
        <v>250</v>
      </c>
      <c r="AC78" s="158" t="s">
        <v>231</v>
      </c>
      <c r="AD78" s="425">
        <v>0.25</v>
      </c>
      <c r="AE78" s="158" t="s">
        <v>230</v>
      </c>
      <c r="AF78" s="420">
        <v>1200</v>
      </c>
      <c r="AG78" s="419" t="s">
        <v>229</v>
      </c>
      <c r="AH78" s="419">
        <v>0.6</v>
      </c>
      <c r="AI78" s="166" t="s">
        <v>228</v>
      </c>
      <c r="AJ78" s="419">
        <v>0.91</v>
      </c>
      <c r="AK78" s="166" t="s">
        <v>227</v>
      </c>
      <c r="AL78" s="425">
        <v>0.66</v>
      </c>
      <c r="AM78" s="166"/>
      <c r="AN78" s="166"/>
      <c r="AO78" s="166"/>
      <c r="AP78" s="166"/>
      <c r="AQ78" s="166"/>
      <c r="AR78" s="166"/>
      <c r="AS78" s="166"/>
      <c r="AT78" s="166"/>
      <c r="AU78" s="363"/>
      <c r="AV78" s="363"/>
      <c r="AW78" s="363"/>
      <c r="AX78" s="363"/>
      <c r="AY78" s="364"/>
      <c r="AZ78" s="365"/>
      <c r="BA78" s="366"/>
    </row>
    <row r="79" spans="1:53">
      <c r="A79" s="2" t="str">
        <f t="shared" si="10"/>
        <v>Res - MF Standard Rebates_Infrared Heater</v>
      </c>
      <c r="B79" s="18">
        <v>76</v>
      </c>
      <c r="C79" s="18" t="s">
        <v>721</v>
      </c>
      <c r="D79" s="18" t="s">
        <v>295</v>
      </c>
      <c r="E79" s="23" t="s">
        <v>240</v>
      </c>
      <c r="F79" s="23">
        <v>150</v>
      </c>
      <c r="G79" s="154">
        <v>0.76</v>
      </c>
      <c r="H79" s="469">
        <v>12</v>
      </c>
      <c r="I79" s="458">
        <v>12</v>
      </c>
      <c r="J79" s="23">
        <v>0</v>
      </c>
      <c r="K79" s="23">
        <f t="shared" si="9"/>
        <v>0</v>
      </c>
      <c r="L79" s="23">
        <f t="shared" si="9"/>
        <v>0</v>
      </c>
      <c r="M79" s="23">
        <f t="shared" si="9"/>
        <v>0</v>
      </c>
      <c r="N79" s="216">
        <f>451/F79</f>
        <v>3.0066666666666668</v>
      </c>
      <c r="O79" s="215">
        <f t="shared" si="8"/>
        <v>3.0066666666666668</v>
      </c>
      <c r="P79" s="215">
        <f t="shared" si="8"/>
        <v>3.0066666666666668</v>
      </c>
      <c r="Q79" s="215">
        <f t="shared" si="8"/>
        <v>3.0066666666666668</v>
      </c>
      <c r="R79" s="15" t="s">
        <v>839</v>
      </c>
      <c r="S79" s="15" t="s">
        <v>841</v>
      </c>
      <c r="T79" s="15" t="s">
        <v>294</v>
      </c>
      <c r="U79" s="15" t="s">
        <v>293</v>
      </c>
      <c r="V79" s="166" t="s">
        <v>291</v>
      </c>
      <c r="W79" s="166" t="s">
        <v>292</v>
      </c>
      <c r="X79" s="433">
        <v>150</v>
      </c>
      <c r="Y79" s="166"/>
      <c r="Z79" s="166"/>
      <c r="AA79" s="158"/>
      <c r="AB79" s="166"/>
      <c r="AC79" s="158"/>
      <c r="AD79" s="166"/>
      <c r="AE79" s="158"/>
      <c r="AF79" s="166"/>
      <c r="AG79" s="166"/>
      <c r="AH79" s="166"/>
      <c r="AI79" s="166"/>
      <c r="AJ79" s="166"/>
      <c r="AK79" s="166"/>
      <c r="AL79" s="166"/>
      <c r="AM79" s="166"/>
      <c r="AN79" s="166"/>
      <c r="AO79" s="166"/>
      <c r="AP79" s="166"/>
      <c r="AQ79" s="166"/>
      <c r="AR79" s="166"/>
      <c r="AS79" s="166"/>
      <c r="AT79" s="166"/>
      <c r="AU79" s="363"/>
      <c r="AV79" s="363"/>
      <c r="AW79" s="363"/>
      <c r="AX79" s="363"/>
      <c r="AY79" s="364"/>
      <c r="AZ79" s="365"/>
      <c r="BA79" s="366"/>
    </row>
    <row r="80" spans="1:53">
      <c r="A80" s="2" t="str">
        <f t="shared" si="10"/>
        <v>Res - MF Standard Rebates_Ozone Laundry</v>
      </c>
      <c r="B80" s="18">
        <v>77</v>
      </c>
      <c r="C80" s="18" t="s">
        <v>721</v>
      </c>
      <c r="D80" s="18" t="s">
        <v>287</v>
      </c>
      <c r="E80" s="23" t="s">
        <v>237</v>
      </c>
      <c r="F80" s="23">
        <v>250</v>
      </c>
      <c r="G80" s="154">
        <v>0.76</v>
      </c>
      <c r="H80" s="469">
        <v>10</v>
      </c>
      <c r="I80" s="458">
        <v>10</v>
      </c>
      <c r="J80" s="23">
        <v>0</v>
      </c>
      <c r="K80" s="23">
        <f t="shared" si="9"/>
        <v>0</v>
      </c>
      <c r="L80" s="23">
        <f t="shared" si="9"/>
        <v>0</v>
      </c>
      <c r="M80" s="23">
        <f t="shared" si="9"/>
        <v>0</v>
      </c>
      <c r="N80" s="456">
        <f xml:space="preserve"> (X80 * Z80 * AB80 * AD80 * (AF80 - AH80) * 8.33 * 1 * AJ80) / (AL80 * 100000) * (AN80 - AP80)</f>
        <v>13.190532978680915</v>
      </c>
      <c r="O80" s="215">
        <f t="shared" si="8"/>
        <v>13.190532978680915</v>
      </c>
      <c r="P80" s="215">
        <f t="shared" si="8"/>
        <v>13.190532978680915</v>
      </c>
      <c r="Q80" s="215">
        <f t="shared" si="8"/>
        <v>13.190532978680915</v>
      </c>
      <c r="R80" s="15" t="s">
        <v>839</v>
      </c>
      <c r="S80" s="15" t="s">
        <v>841</v>
      </c>
      <c r="T80" s="15" t="s">
        <v>286</v>
      </c>
      <c r="U80" s="15" t="s">
        <v>285</v>
      </c>
      <c r="V80" s="416" t="s">
        <v>862</v>
      </c>
      <c r="W80" s="416" t="s">
        <v>863</v>
      </c>
      <c r="X80" s="426">
        <v>1</v>
      </c>
      <c r="Y80" s="416" t="s">
        <v>273</v>
      </c>
      <c r="Z80" s="445">
        <v>4.96</v>
      </c>
      <c r="AA80" s="417" t="s">
        <v>864</v>
      </c>
      <c r="AB80" s="446">
        <v>8.4</v>
      </c>
      <c r="AC80" s="417" t="s">
        <v>865</v>
      </c>
      <c r="AD80" s="447">
        <v>0.1757</v>
      </c>
      <c r="AE80" s="417" t="s">
        <v>866</v>
      </c>
      <c r="AF80" s="416">
        <v>125</v>
      </c>
      <c r="AG80" s="416" t="s">
        <v>867</v>
      </c>
      <c r="AH80" s="446">
        <v>54.1</v>
      </c>
      <c r="AI80" s="416" t="s">
        <v>234</v>
      </c>
      <c r="AJ80" s="416">
        <v>264</v>
      </c>
      <c r="AK80" s="416" t="s">
        <v>461</v>
      </c>
      <c r="AL80" s="426">
        <v>0.67</v>
      </c>
      <c r="AM80" s="416" t="s">
        <v>868</v>
      </c>
      <c r="AN80" s="448">
        <v>0.77429999999999999</v>
      </c>
      <c r="AO80" s="416" t="s">
        <v>869</v>
      </c>
      <c r="AP80" s="446">
        <v>0</v>
      </c>
      <c r="AQ80" s="166"/>
      <c r="AR80" s="166"/>
      <c r="AS80" s="166"/>
      <c r="AT80" s="166"/>
      <c r="AU80" s="363"/>
      <c r="AV80" s="363"/>
      <c r="AW80" s="363"/>
      <c r="AX80" s="363"/>
      <c r="AY80" s="364"/>
      <c r="AZ80" s="365"/>
      <c r="BA80" s="366"/>
    </row>
    <row r="81" spans="1:53">
      <c r="A81" s="2" t="str">
        <f t="shared" si="10"/>
        <v>Res - MF Standard Rebates_Pipe Insulation - Hyd. Boiler Sm &lt;=1.25"</v>
      </c>
      <c r="B81" s="18">
        <v>78</v>
      </c>
      <c r="C81" s="18" t="s">
        <v>721</v>
      </c>
      <c r="D81" s="18" t="s">
        <v>221</v>
      </c>
      <c r="E81" s="23" t="s">
        <v>210</v>
      </c>
      <c r="F81" s="23">
        <v>75</v>
      </c>
      <c r="G81" s="154">
        <v>0.76</v>
      </c>
      <c r="H81" s="469">
        <v>15</v>
      </c>
      <c r="I81" s="458">
        <v>15</v>
      </c>
      <c r="J81" s="23">
        <v>0</v>
      </c>
      <c r="K81" s="23">
        <f t="shared" si="9"/>
        <v>0</v>
      </c>
      <c r="L81" s="23">
        <f t="shared" si="9"/>
        <v>0</v>
      </c>
      <c r="M81" s="23">
        <f t="shared" si="9"/>
        <v>0</v>
      </c>
      <c r="N81" s="394">
        <f>'Pipe Insulation Detail'!$C$44</f>
        <v>2.3011493874643869</v>
      </c>
      <c r="O81" s="215">
        <f t="shared" si="8"/>
        <v>2.3011493874643869</v>
      </c>
      <c r="P81" s="215">
        <f t="shared" si="8"/>
        <v>2.3011493874643869</v>
      </c>
      <c r="Q81" s="215">
        <f t="shared" si="8"/>
        <v>2.3011493874643869</v>
      </c>
      <c r="R81" s="15" t="s">
        <v>838</v>
      </c>
      <c r="S81" s="15" t="s">
        <v>841</v>
      </c>
      <c r="T81" s="15" t="s">
        <v>201</v>
      </c>
      <c r="U81" s="15" t="s">
        <v>200</v>
      </c>
      <c r="V81" s="435" t="s">
        <v>853</v>
      </c>
      <c r="W81" s="166"/>
      <c r="X81" s="166"/>
      <c r="Y81" s="166"/>
      <c r="Z81" s="166"/>
      <c r="AA81" s="158"/>
      <c r="AB81" s="166"/>
      <c r="AC81" s="158"/>
      <c r="AD81" s="166"/>
      <c r="AE81" s="158"/>
      <c r="AF81" s="166"/>
      <c r="AG81" s="166"/>
      <c r="AH81" s="166"/>
      <c r="AI81" s="166"/>
      <c r="AJ81" s="166"/>
      <c r="AK81" s="166"/>
      <c r="AL81" s="166"/>
      <c r="AM81" s="166"/>
      <c r="AN81" s="166"/>
      <c r="AO81" s="166"/>
      <c r="AP81" s="166"/>
      <c r="AQ81" s="166"/>
      <c r="AR81" s="166"/>
      <c r="AS81" s="166"/>
      <c r="AT81" s="166"/>
      <c r="AU81" s="363"/>
      <c r="AV81" s="363"/>
      <c r="AW81" s="363"/>
      <c r="AX81" s="363"/>
      <c r="AY81" s="364"/>
      <c r="AZ81" s="365"/>
      <c r="BA81" s="366"/>
    </row>
    <row r="82" spans="1:53">
      <c r="A82" s="2" t="str">
        <f t="shared" si="10"/>
        <v>Res - MF Standard Rebates_Pipe Insulation - Hyd. Boiler Med 1.25-2"</v>
      </c>
      <c r="B82" s="18">
        <v>79</v>
      </c>
      <c r="C82" s="18" t="s">
        <v>721</v>
      </c>
      <c r="D82" s="18" t="s">
        <v>220</v>
      </c>
      <c r="E82" s="23" t="s">
        <v>210</v>
      </c>
      <c r="F82" s="23">
        <v>75</v>
      </c>
      <c r="G82" s="154">
        <v>0.76</v>
      </c>
      <c r="H82" s="469">
        <v>15</v>
      </c>
      <c r="I82" s="458">
        <v>15</v>
      </c>
      <c r="J82" s="23">
        <v>0</v>
      </c>
      <c r="K82" s="23">
        <f t="shared" si="9"/>
        <v>0</v>
      </c>
      <c r="L82" s="23">
        <f t="shared" si="9"/>
        <v>0</v>
      </c>
      <c r="M82" s="23">
        <f t="shared" si="9"/>
        <v>0</v>
      </c>
      <c r="N82" s="394">
        <f>'Pipe Insulation Detail'!$C$45</f>
        <v>3.6034773504273505</v>
      </c>
      <c r="O82" s="215">
        <f t="shared" si="8"/>
        <v>3.6034773504273505</v>
      </c>
      <c r="P82" s="215">
        <f t="shared" si="8"/>
        <v>3.6034773504273505</v>
      </c>
      <c r="Q82" s="215">
        <f t="shared" si="8"/>
        <v>3.6034773504273505</v>
      </c>
      <c r="R82" s="15" t="s">
        <v>838</v>
      </c>
      <c r="S82" s="15" t="s">
        <v>841</v>
      </c>
      <c r="T82" s="15" t="s">
        <v>201</v>
      </c>
      <c r="U82" s="15" t="s">
        <v>200</v>
      </c>
      <c r="V82" s="435" t="s">
        <v>853</v>
      </c>
      <c r="W82" s="166"/>
      <c r="X82" s="166"/>
      <c r="Y82" s="166"/>
      <c r="Z82" s="166"/>
      <c r="AA82" s="158"/>
      <c r="AB82" s="166"/>
      <c r="AC82" s="158"/>
      <c r="AD82" s="166"/>
      <c r="AE82" s="158"/>
      <c r="AF82" s="166"/>
      <c r="AG82" s="166"/>
      <c r="AH82" s="166"/>
      <c r="AI82" s="166"/>
      <c r="AJ82" s="166"/>
      <c r="AK82" s="166"/>
      <c r="AL82" s="166"/>
      <c r="AM82" s="166"/>
      <c r="AN82" s="166"/>
      <c r="AO82" s="166"/>
      <c r="AP82" s="166"/>
      <c r="AQ82" s="166"/>
      <c r="AR82" s="166"/>
      <c r="AS82" s="166"/>
      <c r="AT82" s="166"/>
      <c r="AU82" s="363"/>
      <c r="AV82" s="363"/>
      <c r="AW82" s="363"/>
      <c r="AX82" s="363"/>
      <c r="AY82" s="364"/>
      <c r="AZ82" s="365"/>
      <c r="BA82" s="366"/>
    </row>
    <row r="83" spans="1:53">
      <c r="A83" s="2" t="str">
        <f t="shared" si="10"/>
        <v>Res - MF Standard Rebates_Pipe Insulation - Hyd. Boiler Large ≥2"</v>
      </c>
      <c r="B83" s="18">
        <v>80</v>
      </c>
      <c r="C83" s="18" t="s">
        <v>721</v>
      </c>
      <c r="D83" s="18" t="s">
        <v>720</v>
      </c>
      <c r="E83" s="23" t="s">
        <v>210</v>
      </c>
      <c r="F83" s="23">
        <v>75</v>
      </c>
      <c r="G83" s="154">
        <v>0.76</v>
      </c>
      <c r="H83" s="469">
        <v>15</v>
      </c>
      <c r="I83" s="458">
        <v>15</v>
      </c>
      <c r="J83" s="23">
        <v>0</v>
      </c>
      <c r="K83" s="23">
        <f t="shared" si="9"/>
        <v>0</v>
      </c>
      <c r="L83" s="23">
        <f t="shared" si="9"/>
        <v>0</v>
      </c>
      <c r="M83" s="23">
        <f t="shared" si="9"/>
        <v>0</v>
      </c>
      <c r="N83" s="394">
        <f>'Pipe Insulation Detail'!$C$46</f>
        <v>6.1867824786324785</v>
      </c>
      <c r="O83" s="215">
        <f t="shared" si="8"/>
        <v>6.1867824786324785</v>
      </c>
      <c r="P83" s="215">
        <f t="shared" si="8"/>
        <v>6.1867824786324785</v>
      </c>
      <c r="Q83" s="215">
        <f t="shared" si="8"/>
        <v>6.1867824786324785</v>
      </c>
      <c r="R83" s="15" t="s">
        <v>838</v>
      </c>
      <c r="S83" s="15" t="s">
        <v>841</v>
      </c>
      <c r="T83" s="15" t="s">
        <v>201</v>
      </c>
      <c r="U83" s="15" t="s">
        <v>200</v>
      </c>
      <c r="V83" s="435" t="s">
        <v>853</v>
      </c>
      <c r="W83" s="166"/>
      <c r="X83" s="166"/>
      <c r="Y83" s="166"/>
      <c r="Z83" s="166"/>
      <c r="AA83" s="158"/>
      <c r="AB83" s="166"/>
      <c r="AC83" s="158"/>
      <c r="AD83" s="166"/>
      <c r="AE83" s="158"/>
      <c r="AF83" s="166"/>
      <c r="AG83" s="166"/>
      <c r="AH83" s="166"/>
      <c r="AI83" s="166"/>
      <c r="AJ83" s="166"/>
      <c r="AK83" s="166"/>
      <c r="AL83" s="166"/>
      <c r="AM83" s="166"/>
      <c r="AN83" s="166"/>
      <c r="AO83" s="166"/>
      <c r="AP83" s="166"/>
      <c r="AQ83" s="166"/>
      <c r="AR83" s="166"/>
      <c r="AS83" s="166"/>
      <c r="AT83" s="166"/>
      <c r="AU83" s="363"/>
      <c r="AV83" s="363"/>
      <c r="AW83" s="363"/>
      <c r="AX83" s="363"/>
      <c r="AY83" s="364"/>
      <c r="AZ83" s="365"/>
      <c r="BA83" s="366"/>
    </row>
    <row r="84" spans="1:53">
      <c r="A84" s="2" t="str">
        <f t="shared" si="10"/>
        <v>Res - MF Standard Rebates_Pipe Insulation - HW Small 1" to 2"</v>
      </c>
      <c r="B84" s="18">
        <v>81</v>
      </c>
      <c r="C84" s="18" t="s">
        <v>721</v>
      </c>
      <c r="D84" s="18" t="s">
        <v>217</v>
      </c>
      <c r="E84" s="23" t="s">
        <v>210</v>
      </c>
      <c r="F84" s="23">
        <v>75</v>
      </c>
      <c r="G84" s="154">
        <v>0.76</v>
      </c>
      <c r="H84" s="469">
        <v>15</v>
      </c>
      <c r="I84" s="458">
        <v>15</v>
      </c>
      <c r="J84" s="23">
        <v>0</v>
      </c>
      <c r="K84" s="23">
        <f t="shared" si="9"/>
        <v>0</v>
      </c>
      <c r="L84" s="23">
        <f t="shared" si="9"/>
        <v>0</v>
      </c>
      <c r="M84" s="23">
        <f t="shared" si="9"/>
        <v>0</v>
      </c>
      <c r="N84" s="394">
        <f>'Pipe Insulation Detail'!$C$47</f>
        <v>3.1358228800964363</v>
      </c>
      <c r="O84" s="215">
        <f t="shared" si="8"/>
        <v>3.1358228800964363</v>
      </c>
      <c r="P84" s="215">
        <f t="shared" si="8"/>
        <v>3.1358228800964363</v>
      </c>
      <c r="Q84" s="215">
        <f t="shared" si="8"/>
        <v>3.1358228800964363</v>
      </c>
      <c r="R84" s="15" t="s">
        <v>838</v>
      </c>
      <c r="S84" s="15" t="s">
        <v>841</v>
      </c>
      <c r="T84" s="15" t="s">
        <v>201</v>
      </c>
      <c r="U84" s="15" t="s">
        <v>200</v>
      </c>
      <c r="V84" s="435" t="s">
        <v>853</v>
      </c>
      <c r="W84" s="166"/>
      <c r="X84" s="166"/>
      <c r="Y84" s="166"/>
      <c r="Z84" s="166"/>
      <c r="AA84" s="158"/>
      <c r="AB84" s="166"/>
      <c r="AC84" s="158"/>
      <c r="AD84" s="166"/>
      <c r="AE84" s="158"/>
      <c r="AF84" s="166"/>
      <c r="AG84" s="166"/>
      <c r="AH84" s="166"/>
      <c r="AI84" s="166"/>
      <c r="AJ84" s="166"/>
      <c r="AK84" s="166"/>
      <c r="AL84" s="166"/>
      <c r="AM84" s="166"/>
      <c r="AN84" s="166"/>
      <c r="AO84" s="166"/>
      <c r="AP84" s="166"/>
      <c r="AQ84" s="166"/>
      <c r="AR84" s="166"/>
      <c r="AS84" s="166"/>
      <c r="AT84" s="166"/>
      <c r="AU84" s="363"/>
      <c r="AV84" s="363"/>
      <c r="AW84" s="363"/>
      <c r="AX84" s="363"/>
      <c r="AY84" s="364"/>
      <c r="AZ84" s="365"/>
      <c r="BA84" s="366"/>
    </row>
    <row r="85" spans="1:53">
      <c r="A85" s="2" t="str">
        <f t="shared" si="10"/>
        <v>Res - MF Standard Rebates_Pipe Insulation - HW Medium 2.1" to 4"</v>
      </c>
      <c r="B85" s="18">
        <v>82</v>
      </c>
      <c r="C85" s="18" t="s">
        <v>721</v>
      </c>
      <c r="D85" s="18" t="s">
        <v>216</v>
      </c>
      <c r="E85" s="23" t="s">
        <v>210</v>
      </c>
      <c r="F85" s="23">
        <v>75</v>
      </c>
      <c r="G85" s="154">
        <v>0.76</v>
      </c>
      <c r="H85" s="469">
        <v>15</v>
      </c>
      <c r="I85" s="458">
        <v>15</v>
      </c>
      <c r="J85" s="23">
        <v>0</v>
      </c>
      <c r="K85" s="23">
        <f t="shared" si="9"/>
        <v>0</v>
      </c>
      <c r="L85" s="23">
        <f t="shared" si="9"/>
        <v>0</v>
      </c>
      <c r="M85" s="23">
        <f t="shared" si="9"/>
        <v>0</v>
      </c>
      <c r="N85" s="394">
        <f>'Pipe Insulation Detail'!$C$48</f>
        <v>6.1942373572810965</v>
      </c>
      <c r="O85" s="215">
        <f t="shared" ref="O85:Q104" si="11">N85</f>
        <v>6.1942373572810965</v>
      </c>
      <c r="P85" s="215">
        <f t="shared" si="11"/>
        <v>6.1942373572810965</v>
      </c>
      <c r="Q85" s="215">
        <f t="shared" si="11"/>
        <v>6.1942373572810965</v>
      </c>
      <c r="R85" s="15" t="s">
        <v>838</v>
      </c>
      <c r="S85" s="15" t="s">
        <v>841</v>
      </c>
      <c r="T85" s="15" t="s">
        <v>201</v>
      </c>
      <c r="U85" s="15" t="s">
        <v>200</v>
      </c>
      <c r="V85" s="435" t="s">
        <v>853</v>
      </c>
      <c r="W85" s="166"/>
      <c r="X85" s="166"/>
      <c r="Y85" s="166"/>
      <c r="Z85" s="166"/>
      <c r="AA85" s="158"/>
      <c r="AB85" s="166"/>
      <c r="AC85" s="158"/>
      <c r="AD85" s="166"/>
      <c r="AE85" s="158"/>
      <c r="AF85" s="166"/>
      <c r="AG85" s="166"/>
      <c r="AH85" s="166"/>
      <c r="AI85" s="166"/>
      <c r="AJ85" s="166"/>
      <c r="AK85" s="166"/>
      <c r="AL85" s="166"/>
      <c r="AM85" s="166"/>
      <c r="AN85" s="166"/>
      <c r="AO85" s="166"/>
      <c r="AP85" s="166"/>
      <c r="AQ85" s="166"/>
      <c r="AR85" s="166"/>
      <c r="AS85" s="166"/>
      <c r="AT85" s="166"/>
      <c r="AU85" s="363"/>
      <c r="AV85" s="363"/>
      <c r="AW85" s="363"/>
      <c r="AX85" s="363"/>
      <c r="AY85" s="364"/>
      <c r="AZ85" s="365"/>
      <c r="BA85" s="366"/>
    </row>
    <row r="86" spans="1:53">
      <c r="A86" s="2" t="str">
        <f t="shared" si="10"/>
        <v>Res - MF Standard Rebates_Pipe Insulation - HW Large &gt;4"</v>
      </c>
      <c r="B86" s="18">
        <v>83</v>
      </c>
      <c r="C86" s="18" t="s">
        <v>721</v>
      </c>
      <c r="D86" s="18" t="s">
        <v>215</v>
      </c>
      <c r="E86" s="23" t="s">
        <v>210</v>
      </c>
      <c r="F86" s="23">
        <v>75</v>
      </c>
      <c r="G86" s="154">
        <v>0.76</v>
      </c>
      <c r="H86" s="469">
        <v>15</v>
      </c>
      <c r="I86" s="458">
        <v>15</v>
      </c>
      <c r="J86" s="23">
        <v>0</v>
      </c>
      <c r="K86" s="23">
        <f t="shared" ref="K86:M105" si="12">J86</f>
        <v>0</v>
      </c>
      <c r="L86" s="23">
        <f t="shared" si="12"/>
        <v>0</v>
      </c>
      <c r="M86" s="23">
        <f t="shared" si="12"/>
        <v>0</v>
      </c>
      <c r="N86" s="394">
        <f>'Pipe Insulation Detail'!$C$49</f>
        <v>10.672873287490331</v>
      </c>
      <c r="O86" s="215">
        <f t="shared" si="11"/>
        <v>10.672873287490331</v>
      </c>
      <c r="P86" s="215">
        <f t="shared" si="11"/>
        <v>10.672873287490331</v>
      </c>
      <c r="Q86" s="215">
        <f t="shared" si="11"/>
        <v>10.672873287490331</v>
      </c>
      <c r="R86" s="15" t="s">
        <v>838</v>
      </c>
      <c r="S86" s="15" t="s">
        <v>841</v>
      </c>
      <c r="T86" s="15" t="s">
        <v>201</v>
      </c>
      <c r="U86" s="15" t="s">
        <v>200</v>
      </c>
      <c r="V86" s="435" t="s">
        <v>853</v>
      </c>
      <c r="W86" s="166"/>
      <c r="X86" s="166"/>
      <c r="Y86" s="166"/>
      <c r="Z86" s="166"/>
      <c r="AA86" s="158"/>
      <c r="AB86" s="166"/>
      <c r="AC86" s="158"/>
      <c r="AD86" s="166"/>
      <c r="AE86" s="158"/>
      <c r="AF86" s="166"/>
      <c r="AG86" s="166"/>
      <c r="AH86" s="166"/>
      <c r="AI86" s="166"/>
      <c r="AJ86" s="166"/>
      <c r="AK86" s="166"/>
      <c r="AL86" s="166"/>
      <c r="AM86" s="166"/>
      <c r="AN86" s="166"/>
      <c r="AO86" s="166"/>
      <c r="AP86" s="166"/>
      <c r="AQ86" s="166"/>
      <c r="AR86" s="166"/>
      <c r="AS86" s="166"/>
      <c r="AT86" s="166"/>
      <c r="AU86" s="363"/>
      <c r="AV86" s="363"/>
      <c r="AW86" s="363"/>
      <c r="AX86" s="363"/>
      <c r="AY86" s="364"/>
      <c r="AZ86" s="365"/>
      <c r="BA86" s="366"/>
    </row>
    <row r="87" spans="1:53">
      <c r="A87" s="2" t="str">
        <f t="shared" si="10"/>
        <v>Res - MF Standard Rebates_Pipe Insulation - Steam - Small 1" to 2"</v>
      </c>
      <c r="B87" s="18">
        <v>84</v>
      </c>
      <c r="C87" s="18" t="s">
        <v>721</v>
      </c>
      <c r="D87" s="18" t="s">
        <v>214</v>
      </c>
      <c r="E87" s="23" t="s">
        <v>210</v>
      </c>
      <c r="F87" s="23">
        <v>75</v>
      </c>
      <c r="G87" s="154">
        <v>0.76</v>
      </c>
      <c r="H87" s="469">
        <v>15</v>
      </c>
      <c r="I87" s="458">
        <v>15</v>
      </c>
      <c r="J87" s="23">
        <v>0</v>
      </c>
      <c r="K87" s="23">
        <f t="shared" si="12"/>
        <v>0</v>
      </c>
      <c r="L87" s="23">
        <f t="shared" si="12"/>
        <v>0</v>
      </c>
      <c r="M87" s="23">
        <f t="shared" si="12"/>
        <v>0</v>
      </c>
      <c r="N87" s="394">
        <f>'Pipe Insulation Detail'!$C$50</f>
        <v>3.967097058288509</v>
      </c>
      <c r="O87" s="215">
        <f t="shared" si="11"/>
        <v>3.967097058288509</v>
      </c>
      <c r="P87" s="215">
        <f t="shared" si="11"/>
        <v>3.967097058288509</v>
      </c>
      <c r="Q87" s="215">
        <f t="shared" si="11"/>
        <v>3.967097058288509</v>
      </c>
      <c r="R87" s="15" t="s">
        <v>838</v>
      </c>
      <c r="S87" s="15" t="s">
        <v>841</v>
      </c>
      <c r="T87" s="15" t="s">
        <v>201</v>
      </c>
      <c r="U87" s="15" t="s">
        <v>200</v>
      </c>
      <c r="V87" s="435" t="s">
        <v>853</v>
      </c>
      <c r="W87" s="166"/>
      <c r="X87" s="166"/>
      <c r="Y87" s="166"/>
      <c r="Z87" s="166"/>
      <c r="AA87" s="158"/>
      <c r="AB87" s="166"/>
      <c r="AC87" s="158"/>
      <c r="AD87" s="166"/>
      <c r="AE87" s="158"/>
      <c r="AF87" s="166"/>
      <c r="AG87" s="166"/>
      <c r="AH87" s="166"/>
      <c r="AI87" s="166"/>
      <c r="AJ87" s="166"/>
      <c r="AK87" s="166"/>
      <c r="AL87" s="166"/>
      <c r="AM87" s="166"/>
      <c r="AN87" s="166"/>
      <c r="AO87" s="166"/>
      <c r="AP87" s="166"/>
      <c r="AQ87" s="166"/>
      <c r="AR87" s="166"/>
      <c r="AS87" s="166"/>
      <c r="AT87" s="166"/>
      <c r="AU87" s="363"/>
      <c r="AV87" s="363"/>
      <c r="AW87" s="363"/>
      <c r="AX87" s="363"/>
      <c r="AY87" s="364"/>
      <c r="AZ87" s="365"/>
      <c r="BA87" s="366"/>
    </row>
    <row r="88" spans="1:53">
      <c r="A88" s="2" t="str">
        <f t="shared" si="10"/>
        <v>Res - MF Standard Rebates_Pipe Insulation - Steam - Med 2.1" to 5"</v>
      </c>
      <c r="B88" s="18">
        <v>85</v>
      </c>
      <c r="C88" s="18" t="s">
        <v>721</v>
      </c>
      <c r="D88" s="18" t="s">
        <v>213</v>
      </c>
      <c r="E88" s="23" t="s">
        <v>210</v>
      </c>
      <c r="F88" s="23">
        <v>75</v>
      </c>
      <c r="G88" s="154">
        <v>0.76</v>
      </c>
      <c r="H88" s="469">
        <v>15</v>
      </c>
      <c r="I88" s="458">
        <v>15</v>
      </c>
      <c r="J88" s="23">
        <v>0</v>
      </c>
      <c r="K88" s="23">
        <f t="shared" si="12"/>
        <v>0</v>
      </c>
      <c r="L88" s="23">
        <f t="shared" si="12"/>
        <v>0</v>
      </c>
      <c r="M88" s="23">
        <f t="shared" si="12"/>
        <v>0</v>
      </c>
      <c r="N88" s="394">
        <f>'Pipe Insulation Detail'!$C$51</f>
        <v>13.577404706790121</v>
      </c>
      <c r="O88" s="215">
        <f t="shared" si="11"/>
        <v>13.577404706790121</v>
      </c>
      <c r="P88" s="215">
        <f t="shared" si="11"/>
        <v>13.577404706790121</v>
      </c>
      <c r="Q88" s="215">
        <f t="shared" si="11"/>
        <v>13.577404706790121</v>
      </c>
      <c r="R88" s="15" t="s">
        <v>838</v>
      </c>
      <c r="S88" s="15" t="s">
        <v>841</v>
      </c>
      <c r="T88" s="15" t="s">
        <v>201</v>
      </c>
      <c r="U88" s="15" t="s">
        <v>200</v>
      </c>
      <c r="V88" s="435" t="s">
        <v>853</v>
      </c>
      <c r="W88" s="166"/>
      <c r="X88" s="166"/>
      <c r="Y88" s="166"/>
      <c r="Z88" s="166"/>
      <c r="AA88" s="158"/>
      <c r="AB88" s="166"/>
      <c r="AC88" s="158"/>
      <c r="AD88" s="166"/>
      <c r="AE88" s="158"/>
      <c r="AF88" s="166"/>
      <c r="AG88" s="166"/>
      <c r="AH88" s="166"/>
      <c r="AI88" s="166"/>
      <c r="AJ88" s="166"/>
      <c r="AK88" s="166"/>
      <c r="AL88" s="166"/>
      <c r="AM88" s="166"/>
      <c r="AN88" s="166"/>
      <c r="AO88" s="166"/>
      <c r="AP88" s="166"/>
      <c r="AQ88" s="166"/>
      <c r="AR88" s="166"/>
      <c r="AS88" s="166"/>
      <c r="AT88" s="166"/>
      <c r="AU88" s="363"/>
      <c r="AV88" s="363"/>
      <c r="AW88" s="363"/>
      <c r="AX88" s="363"/>
      <c r="AY88" s="364"/>
      <c r="AZ88" s="365"/>
      <c r="BA88" s="366"/>
    </row>
    <row r="89" spans="1:53">
      <c r="A89" s="2" t="str">
        <f t="shared" si="10"/>
        <v>Res - MF Standard Rebates_Pipe Insulation - Steam - Large 5.1" to 8"</v>
      </c>
      <c r="B89" s="18">
        <v>86</v>
      </c>
      <c r="C89" s="18" t="s">
        <v>721</v>
      </c>
      <c r="D89" s="18" t="s">
        <v>212</v>
      </c>
      <c r="E89" s="23" t="s">
        <v>210</v>
      </c>
      <c r="F89" s="23">
        <v>75</v>
      </c>
      <c r="G89" s="154">
        <v>0.76</v>
      </c>
      <c r="H89" s="469">
        <v>15</v>
      </c>
      <c r="I89" s="458">
        <v>15</v>
      </c>
      <c r="J89" s="23">
        <v>0</v>
      </c>
      <c r="K89" s="23">
        <f t="shared" si="12"/>
        <v>0</v>
      </c>
      <c r="L89" s="23">
        <f t="shared" si="12"/>
        <v>0</v>
      </c>
      <c r="M89" s="23">
        <f t="shared" si="12"/>
        <v>0</v>
      </c>
      <c r="N89" s="394">
        <f>'Pipe Insulation Detail'!$C$52</f>
        <v>30.207245887345675</v>
      </c>
      <c r="O89" s="215">
        <f t="shared" si="11"/>
        <v>30.207245887345675</v>
      </c>
      <c r="P89" s="215">
        <f t="shared" si="11"/>
        <v>30.207245887345675</v>
      </c>
      <c r="Q89" s="215">
        <f t="shared" si="11"/>
        <v>30.207245887345675</v>
      </c>
      <c r="R89" s="15" t="s">
        <v>838</v>
      </c>
      <c r="S89" s="15" t="s">
        <v>841</v>
      </c>
      <c r="T89" s="15" t="s">
        <v>201</v>
      </c>
      <c r="U89" s="15" t="s">
        <v>200</v>
      </c>
      <c r="V89" s="435" t="s">
        <v>853</v>
      </c>
      <c r="W89" s="166"/>
      <c r="X89" s="166"/>
      <c r="Y89" s="166"/>
      <c r="Z89" s="166"/>
      <c r="AA89" s="158"/>
      <c r="AB89" s="166"/>
      <c r="AC89" s="158"/>
      <c r="AD89" s="166"/>
      <c r="AE89" s="158"/>
      <c r="AF89" s="166"/>
      <c r="AG89" s="166"/>
      <c r="AH89" s="166"/>
      <c r="AI89" s="166"/>
      <c r="AJ89" s="166"/>
      <c r="AK89" s="166"/>
      <c r="AL89" s="166"/>
      <c r="AM89" s="166"/>
      <c r="AN89" s="166"/>
      <c r="AO89" s="166"/>
      <c r="AP89" s="166"/>
      <c r="AQ89" s="166"/>
      <c r="AR89" s="166"/>
      <c r="AS89" s="166"/>
      <c r="AT89" s="166"/>
      <c r="AU89" s="363"/>
      <c r="AV89" s="363"/>
      <c r="AW89" s="363"/>
      <c r="AX89" s="363"/>
      <c r="AY89" s="364"/>
      <c r="AZ89" s="365"/>
      <c r="BA89" s="366"/>
    </row>
    <row r="90" spans="1:53">
      <c r="A90" s="2" t="str">
        <f t="shared" si="10"/>
        <v>Res - MF Standard Rebates_Pipe Insulation - Steam - X-Large &gt;8"</v>
      </c>
      <c r="B90" s="18">
        <v>87</v>
      </c>
      <c r="C90" s="18" t="s">
        <v>721</v>
      </c>
      <c r="D90" s="18" t="s">
        <v>211</v>
      </c>
      <c r="E90" s="23" t="s">
        <v>210</v>
      </c>
      <c r="F90" s="23">
        <v>75</v>
      </c>
      <c r="G90" s="154">
        <v>0.76</v>
      </c>
      <c r="H90" s="469">
        <v>15</v>
      </c>
      <c r="I90" s="458">
        <v>15</v>
      </c>
      <c r="J90" s="23">
        <v>0</v>
      </c>
      <c r="K90" s="23">
        <f t="shared" si="12"/>
        <v>0</v>
      </c>
      <c r="L90" s="23">
        <f t="shared" si="12"/>
        <v>0</v>
      </c>
      <c r="M90" s="23">
        <f t="shared" si="12"/>
        <v>0</v>
      </c>
      <c r="N90" s="394">
        <f>'Pipe Insulation Detail'!$C$53</f>
        <v>44.814401171573145</v>
      </c>
      <c r="O90" s="215">
        <f t="shared" si="11"/>
        <v>44.814401171573145</v>
      </c>
      <c r="P90" s="215">
        <f t="shared" si="11"/>
        <v>44.814401171573145</v>
      </c>
      <c r="Q90" s="215">
        <f t="shared" si="11"/>
        <v>44.814401171573145</v>
      </c>
      <c r="R90" s="15" t="s">
        <v>838</v>
      </c>
      <c r="S90" s="15" t="s">
        <v>841</v>
      </c>
      <c r="T90" s="15" t="s">
        <v>201</v>
      </c>
      <c r="U90" s="15" t="s">
        <v>200</v>
      </c>
      <c r="V90" s="435" t="s">
        <v>853</v>
      </c>
      <c r="W90" s="166"/>
      <c r="X90" s="166"/>
      <c r="Y90" s="166"/>
      <c r="Z90" s="166"/>
      <c r="AA90" s="158"/>
      <c r="AB90" s="166"/>
      <c r="AC90" s="158"/>
      <c r="AD90" s="166"/>
      <c r="AE90" s="158"/>
      <c r="AF90" s="166"/>
      <c r="AG90" s="166"/>
      <c r="AH90" s="166"/>
      <c r="AI90" s="166"/>
      <c r="AJ90" s="166"/>
      <c r="AK90" s="166"/>
      <c r="AL90" s="166"/>
      <c r="AM90" s="166"/>
      <c r="AN90" s="166"/>
      <c r="AO90" s="166"/>
      <c r="AP90" s="166"/>
      <c r="AQ90" s="166"/>
      <c r="AR90" s="166"/>
      <c r="AS90" s="166"/>
      <c r="AT90" s="166"/>
      <c r="AU90" s="363"/>
      <c r="AV90" s="363"/>
      <c r="AW90" s="363"/>
      <c r="AX90" s="363"/>
      <c r="AY90" s="364"/>
      <c r="AZ90" s="365"/>
      <c r="BA90" s="366"/>
    </row>
    <row r="91" spans="1:53">
      <c r="A91" s="2" t="str">
        <f t="shared" si="10"/>
        <v>Res - MF Standard Rebates_Pipe Insulation - Steam Med Fitting</v>
      </c>
      <c r="B91" s="18">
        <v>88</v>
      </c>
      <c r="C91" s="18" t="s">
        <v>721</v>
      </c>
      <c r="D91" s="18" t="s">
        <v>208</v>
      </c>
      <c r="E91" s="23" t="s">
        <v>150</v>
      </c>
      <c r="F91" s="23">
        <v>1</v>
      </c>
      <c r="G91" s="154">
        <v>0.76</v>
      </c>
      <c r="H91" s="469">
        <v>15</v>
      </c>
      <c r="I91" s="458">
        <v>15</v>
      </c>
      <c r="J91" s="23">
        <v>0</v>
      </c>
      <c r="K91" s="23">
        <f t="shared" si="12"/>
        <v>0</v>
      </c>
      <c r="L91" s="23">
        <f t="shared" si="12"/>
        <v>0</v>
      </c>
      <c r="M91" s="23">
        <f t="shared" si="12"/>
        <v>0</v>
      </c>
      <c r="N91" s="394">
        <f>'Pipe Insulation Detail'!$C$55</f>
        <v>15.586033402860688</v>
      </c>
      <c r="O91" s="215">
        <f t="shared" si="11"/>
        <v>15.586033402860688</v>
      </c>
      <c r="P91" s="215">
        <f t="shared" si="11"/>
        <v>15.586033402860688</v>
      </c>
      <c r="Q91" s="215">
        <f t="shared" si="11"/>
        <v>15.586033402860688</v>
      </c>
      <c r="R91" s="15" t="s">
        <v>838</v>
      </c>
      <c r="S91" s="15" t="s">
        <v>841</v>
      </c>
      <c r="T91" s="15" t="s">
        <v>201</v>
      </c>
      <c r="U91" s="15" t="s">
        <v>200</v>
      </c>
      <c r="V91" s="435" t="s">
        <v>853</v>
      </c>
      <c r="W91" s="166"/>
      <c r="X91" s="166"/>
      <c r="Y91" s="166"/>
      <c r="Z91" s="166"/>
      <c r="AA91" s="158"/>
      <c r="AB91" s="166"/>
      <c r="AC91" s="158"/>
      <c r="AD91" s="166"/>
      <c r="AE91" s="158"/>
      <c r="AF91" s="166"/>
      <c r="AG91" s="166"/>
      <c r="AH91" s="166"/>
      <c r="AI91" s="166"/>
      <c r="AJ91" s="166"/>
      <c r="AK91" s="166"/>
      <c r="AL91" s="166"/>
      <c r="AM91" s="166"/>
      <c r="AN91" s="166"/>
      <c r="AO91" s="166"/>
      <c r="AP91" s="166"/>
      <c r="AQ91" s="166"/>
      <c r="AR91" s="166"/>
      <c r="AS91" s="166"/>
      <c r="AT91" s="166"/>
      <c r="AU91" s="363"/>
      <c r="AV91" s="363"/>
      <c r="AW91" s="363"/>
      <c r="AX91" s="363"/>
      <c r="AY91" s="364"/>
      <c r="AZ91" s="365"/>
      <c r="BA91" s="366"/>
    </row>
    <row r="92" spans="1:53">
      <c r="A92" s="2" t="str">
        <f t="shared" si="10"/>
        <v>Res - MF Standard Rebates_Pipe Insulation - Steam Large Fitting</v>
      </c>
      <c r="B92" s="18">
        <v>89</v>
      </c>
      <c r="C92" s="18" t="s">
        <v>721</v>
      </c>
      <c r="D92" s="18" t="s">
        <v>207</v>
      </c>
      <c r="E92" s="23" t="s">
        <v>150</v>
      </c>
      <c r="F92" s="23">
        <v>1</v>
      </c>
      <c r="G92" s="154">
        <v>0.76</v>
      </c>
      <c r="H92" s="469">
        <v>15</v>
      </c>
      <c r="I92" s="458">
        <v>15</v>
      </c>
      <c r="J92" s="23">
        <v>0</v>
      </c>
      <c r="K92" s="23">
        <f t="shared" si="12"/>
        <v>0</v>
      </c>
      <c r="L92" s="23">
        <f t="shared" si="12"/>
        <v>0</v>
      </c>
      <c r="M92" s="23">
        <f t="shared" si="12"/>
        <v>0</v>
      </c>
      <c r="N92" s="394">
        <f>'Pipe Insulation Detail'!$C$56</f>
        <v>63.824627950912159</v>
      </c>
      <c r="O92" s="215">
        <f t="shared" si="11"/>
        <v>63.824627950912159</v>
      </c>
      <c r="P92" s="215">
        <f t="shared" si="11"/>
        <v>63.824627950912159</v>
      </c>
      <c r="Q92" s="215">
        <f t="shared" si="11"/>
        <v>63.824627950912159</v>
      </c>
      <c r="R92" s="15" t="s">
        <v>838</v>
      </c>
      <c r="S92" s="15" t="s">
        <v>841</v>
      </c>
      <c r="T92" s="15" t="s">
        <v>201</v>
      </c>
      <c r="U92" s="15" t="s">
        <v>200</v>
      </c>
      <c r="V92" s="435" t="s">
        <v>853</v>
      </c>
      <c r="W92" s="166"/>
      <c r="X92" s="166"/>
      <c r="Y92" s="166"/>
      <c r="Z92" s="166"/>
      <c r="AA92" s="158"/>
      <c r="AB92" s="166"/>
      <c r="AC92" s="158"/>
      <c r="AD92" s="166"/>
      <c r="AE92" s="158"/>
      <c r="AF92" s="166"/>
      <c r="AG92" s="166"/>
      <c r="AH92" s="166"/>
      <c r="AI92" s="166"/>
      <c r="AJ92" s="166"/>
      <c r="AK92" s="166"/>
      <c r="AL92" s="166"/>
      <c r="AM92" s="166"/>
      <c r="AN92" s="166"/>
      <c r="AO92" s="166"/>
      <c r="AP92" s="166"/>
      <c r="AQ92" s="166"/>
      <c r="AR92" s="166"/>
      <c r="AS92" s="166"/>
      <c r="AT92" s="166"/>
      <c r="AU92" s="363"/>
      <c r="AV92" s="363"/>
      <c r="AW92" s="363"/>
      <c r="AX92" s="363"/>
      <c r="AY92" s="364"/>
      <c r="AZ92" s="365"/>
      <c r="BA92" s="366"/>
    </row>
    <row r="93" spans="1:53">
      <c r="A93" s="2" t="str">
        <f t="shared" si="10"/>
        <v>Res - MF Standard Rebates_Pipe Insulation - Steam X-Large Fitting</v>
      </c>
      <c r="B93" s="18">
        <v>90</v>
      </c>
      <c r="C93" s="18" t="s">
        <v>721</v>
      </c>
      <c r="D93" s="18" t="s">
        <v>206</v>
      </c>
      <c r="E93" s="23" t="s">
        <v>150</v>
      </c>
      <c r="F93" s="23">
        <v>1</v>
      </c>
      <c r="G93" s="154">
        <v>0.76</v>
      </c>
      <c r="H93" s="469">
        <v>15</v>
      </c>
      <c r="I93" s="458">
        <v>15</v>
      </c>
      <c r="J93" s="23">
        <v>0</v>
      </c>
      <c r="K93" s="23">
        <f t="shared" si="12"/>
        <v>0</v>
      </c>
      <c r="L93" s="23">
        <f t="shared" si="12"/>
        <v>0</v>
      </c>
      <c r="M93" s="23">
        <f t="shared" si="12"/>
        <v>0</v>
      </c>
      <c r="N93" s="394">
        <f>'Pipe Insulation Detail'!$C$57</f>
        <v>123.46367522768401</v>
      </c>
      <c r="O93" s="215">
        <f t="shared" si="11"/>
        <v>123.46367522768401</v>
      </c>
      <c r="P93" s="215">
        <f t="shared" si="11"/>
        <v>123.46367522768401</v>
      </c>
      <c r="Q93" s="215">
        <f t="shared" si="11"/>
        <v>123.46367522768401</v>
      </c>
      <c r="R93" s="15" t="s">
        <v>838</v>
      </c>
      <c r="S93" s="15" t="s">
        <v>841</v>
      </c>
      <c r="T93" s="15" t="s">
        <v>201</v>
      </c>
      <c r="U93" s="15" t="s">
        <v>200</v>
      </c>
      <c r="V93" s="435" t="s">
        <v>853</v>
      </c>
      <c r="W93" s="166"/>
      <c r="X93" s="166"/>
      <c r="Y93" s="166"/>
      <c r="Z93" s="166"/>
      <c r="AA93" s="158"/>
      <c r="AB93" s="166"/>
      <c r="AC93" s="158"/>
      <c r="AD93" s="166"/>
      <c r="AE93" s="158"/>
      <c r="AF93" s="166"/>
      <c r="AG93" s="166"/>
      <c r="AH93" s="166"/>
      <c r="AI93" s="166"/>
      <c r="AJ93" s="166"/>
      <c r="AK93" s="166"/>
      <c r="AL93" s="166"/>
      <c r="AM93" s="166"/>
      <c r="AN93" s="166"/>
      <c r="AO93" s="166"/>
      <c r="AP93" s="166"/>
      <c r="AQ93" s="166"/>
      <c r="AR93" s="166"/>
      <c r="AS93" s="166"/>
      <c r="AT93" s="166"/>
      <c r="AU93" s="363"/>
      <c r="AV93" s="363"/>
      <c r="AW93" s="363"/>
      <c r="AX93" s="363"/>
      <c r="AY93" s="364"/>
      <c r="AZ93" s="365"/>
      <c r="BA93" s="366"/>
    </row>
    <row r="94" spans="1:53">
      <c r="A94" s="2" t="str">
        <f t="shared" si="10"/>
        <v>Res - MF Standard Rebates_Pipe Insulation - Steam Med Valve</v>
      </c>
      <c r="B94" s="18">
        <v>91</v>
      </c>
      <c r="C94" s="18" t="s">
        <v>721</v>
      </c>
      <c r="D94" s="18" t="s">
        <v>204</v>
      </c>
      <c r="E94" s="23" t="s">
        <v>150</v>
      </c>
      <c r="F94" s="23">
        <v>1</v>
      </c>
      <c r="G94" s="154">
        <v>0.76</v>
      </c>
      <c r="H94" s="469">
        <v>15</v>
      </c>
      <c r="I94" s="458">
        <v>15</v>
      </c>
      <c r="J94" s="23">
        <v>0</v>
      </c>
      <c r="K94" s="23">
        <f t="shared" si="12"/>
        <v>0</v>
      </c>
      <c r="L94" s="23">
        <f t="shared" si="12"/>
        <v>0</v>
      </c>
      <c r="M94" s="23">
        <f t="shared" si="12"/>
        <v>0</v>
      </c>
      <c r="N94" s="394">
        <f>'Pipe Insulation Detail'!$C$59</f>
        <v>46.605980670745772</v>
      </c>
      <c r="O94" s="215">
        <f t="shared" si="11"/>
        <v>46.605980670745772</v>
      </c>
      <c r="P94" s="215">
        <f t="shared" si="11"/>
        <v>46.605980670745772</v>
      </c>
      <c r="Q94" s="215">
        <f t="shared" si="11"/>
        <v>46.605980670745772</v>
      </c>
      <c r="R94" s="15" t="s">
        <v>838</v>
      </c>
      <c r="S94" s="15" t="s">
        <v>841</v>
      </c>
      <c r="T94" s="15" t="s">
        <v>201</v>
      </c>
      <c r="U94" s="15" t="s">
        <v>200</v>
      </c>
      <c r="V94" s="435" t="s">
        <v>853</v>
      </c>
      <c r="W94" s="166"/>
      <c r="X94" s="166"/>
      <c r="Y94" s="166"/>
      <c r="Z94" s="166"/>
      <c r="AA94" s="158"/>
      <c r="AB94" s="166"/>
      <c r="AC94" s="158"/>
      <c r="AD94" s="166"/>
      <c r="AE94" s="158"/>
      <c r="AF94" s="166"/>
      <c r="AG94" s="166"/>
      <c r="AH94" s="166"/>
      <c r="AI94" s="166"/>
      <c r="AJ94" s="166"/>
      <c r="AK94" s="166"/>
      <c r="AL94" s="166"/>
      <c r="AM94" s="166"/>
      <c r="AN94" s="166"/>
      <c r="AO94" s="166"/>
      <c r="AP94" s="166"/>
      <c r="AQ94" s="166"/>
      <c r="AR94" s="166"/>
      <c r="AS94" s="166"/>
      <c r="AT94" s="166"/>
      <c r="AU94" s="363"/>
      <c r="AV94" s="363"/>
      <c r="AW94" s="363"/>
      <c r="AX94" s="363"/>
      <c r="AY94" s="364"/>
      <c r="AZ94" s="365"/>
      <c r="BA94" s="366"/>
    </row>
    <row r="95" spans="1:53">
      <c r="A95" s="2" t="str">
        <f t="shared" si="10"/>
        <v>Res - MF Standard Rebates_Pipe Insulation - Steam Large Valve</v>
      </c>
      <c r="B95" s="18">
        <v>92</v>
      </c>
      <c r="C95" s="18" t="s">
        <v>721</v>
      </c>
      <c r="D95" s="18" t="s">
        <v>203</v>
      </c>
      <c r="E95" s="23" t="s">
        <v>150</v>
      </c>
      <c r="F95" s="23">
        <v>1</v>
      </c>
      <c r="G95" s="154">
        <v>0.76</v>
      </c>
      <c r="H95" s="469">
        <v>15</v>
      </c>
      <c r="I95" s="458">
        <v>15</v>
      </c>
      <c r="J95" s="23">
        <v>0</v>
      </c>
      <c r="K95" s="23">
        <f t="shared" si="12"/>
        <v>0</v>
      </c>
      <c r="L95" s="23">
        <f t="shared" si="12"/>
        <v>0</v>
      </c>
      <c r="M95" s="23">
        <f t="shared" si="12"/>
        <v>0</v>
      </c>
      <c r="N95" s="394">
        <f>'Pipe Insulation Detail'!$C$60</f>
        <v>133.90978522057964</v>
      </c>
      <c r="O95" s="215">
        <f t="shared" si="11"/>
        <v>133.90978522057964</v>
      </c>
      <c r="P95" s="215">
        <f t="shared" si="11"/>
        <v>133.90978522057964</v>
      </c>
      <c r="Q95" s="215">
        <f t="shared" si="11"/>
        <v>133.90978522057964</v>
      </c>
      <c r="R95" s="15" t="s">
        <v>838</v>
      </c>
      <c r="S95" s="15" t="s">
        <v>841</v>
      </c>
      <c r="T95" s="15" t="s">
        <v>201</v>
      </c>
      <c r="U95" s="15" t="s">
        <v>200</v>
      </c>
      <c r="V95" s="435" t="s">
        <v>853</v>
      </c>
      <c r="W95" s="166"/>
      <c r="X95" s="166"/>
      <c r="Y95" s="166"/>
      <c r="Z95" s="166"/>
      <c r="AA95" s="158"/>
      <c r="AB95" s="166"/>
      <c r="AC95" s="158"/>
      <c r="AD95" s="166"/>
      <c r="AE95" s="158"/>
      <c r="AF95" s="166"/>
      <c r="AG95" s="166"/>
      <c r="AH95" s="166"/>
      <c r="AI95" s="166"/>
      <c r="AJ95" s="166"/>
      <c r="AK95" s="166"/>
      <c r="AL95" s="166"/>
      <c r="AM95" s="166"/>
      <c r="AN95" s="166"/>
      <c r="AO95" s="166"/>
      <c r="AP95" s="166"/>
      <c r="AQ95" s="166"/>
      <c r="AR95" s="166"/>
      <c r="AS95" s="166"/>
      <c r="AT95" s="166"/>
      <c r="AU95" s="363"/>
      <c r="AV95" s="363"/>
      <c r="AW95" s="363"/>
      <c r="AX95" s="363"/>
      <c r="AY95" s="364"/>
      <c r="AZ95" s="365"/>
      <c r="BA95" s="366"/>
    </row>
    <row r="96" spans="1:53">
      <c r="A96" s="2" t="str">
        <f t="shared" si="10"/>
        <v>Res - MF Standard Rebates_Pipe Insulation - Steam X-Large Valve</v>
      </c>
      <c r="B96" s="18">
        <v>93</v>
      </c>
      <c r="C96" s="18" t="s">
        <v>721</v>
      </c>
      <c r="D96" s="18" t="s">
        <v>202</v>
      </c>
      <c r="E96" s="23" t="s">
        <v>150</v>
      </c>
      <c r="F96" s="23">
        <v>1</v>
      </c>
      <c r="G96" s="154">
        <v>0.76</v>
      </c>
      <c r="H96" s="469">
        <v>15</v>
      </c>
      <c r="I96" s="458">
        <v>15</v>
      </c>
      <c r="J96" s="23">
        <v>0</v>
      </c>
      <c r="K96" s="23">
        <f t="shared" si="12"/>
        <v>0</v>
      </c>
      <c r="L96" s="23">
        <f t="shared" si="12"/>
        <v>0</v>
      </c>
      <c r="M96" s="23">
        <f t="shared" si="12"/>
        <v>0</v>
      </c>
      <c r="N96" s="394">
        <f>'Pipe Insulation Detail'!$C$61</f>
        <v>218.0177023221575</v>
      </c>
      <c r="O96" s="215">
        <f t="shared" si="11"/>
        <v>218.0177023221575</v>
      </c>
      <c r="P96" s="215">
        <f t="shared" si="11"/>
        <v>218.0177023221575</v>
      </c>
      <c r="Q96" s="215">
        <f t="shared" si="11"/>
        <v>218.0177023221575</v>
      </c>
      <c r="R96" s="15" t="s">
        <v>838</v>
      </c>
      <c r="S96" s="15" t="s">
        <v>841</v>
      </c>
      <c r="T96" s="15" t="s">
        <v>201</v>
      </c>
      <c r="U96" s="15" t="s">
        <v>200</v>
      </c>
      <c r="V96" s="435" t="s">
        <v>853</v>
      </c>
      <c r="W96" s="166"/>
      <c r="X96" s="166"/>
      <c r="Y96" s="166"/>
      <c r="Z96" s="166"/>
      <c r="AA96" s="158"/>
      <c r="AB96" s="166"/>
      <c r="AC96" s="158"/>
      <c r="AD96" s="166"/>
      <c r="AE96" s="158"/>
      <c r="AF96" s="166"/>
      <c r="AG96" s="166"/>
      <c r="AH96" s="166"/>
      <c r="AI96" s="166"/>
      <c r="AJ96" s="166"/>
      <c r="AK96" s="166"/>
      <c r="AL96" s="166"/>
      <c r="AM96" s="166"/>
      <c r="AN96" s="166"/>
      <c r="AO96" s="166"/>
      <c r="AP96" s="166"/>
      <c r="AQ96" s="166"/>
      <c r="AR96" s="166"/>
      <c r="AS96" s="166"/>
      <c r="AT96" s="166"/>
      <c r="AU96" s="363"/>
      <c r="AV96" s="363"/>
      <c r="AW96" s="363"/>
      <c r="AX96" s="363"/>
      <c r="AY96" s="364"/>
      <c r="AZ96" s="365"/>
      <c r="BA96" s="366"/>
    </row>
    <row r="97" spans="1:53">
      <c r="A97" s="2" t="str">
        <f t="shared" si="10"/>
        <v>Res - MF Standard Rebates_Steam Boiler ≥82% AFUE, &gt;300MBh TE</v>
      </c>
      <c r="B97" s="18">
        <v>94</v>
      </c>
      <c r="C97" s="18" t="s">
        <v>721</v>
      </c>
      <c r="D97" s="18" t="s">
        <v>723</v>
      </c>
      <c r="E97" s="23" t="s">
        <v>240</v>
      </c>
      <c r="F97" s="23">
        <v>450</v>
      </c>
      <c r="G97" s="154">
        <v>0.76</v>
      </c>
      <c r="H97" s="469">
        <v>20</v>
      </c>
      <c r="I97" s="458">
        <v>20</v>
      </c>
      <c r="J97" s="23">
        <v>0</v>
      </c>
      <c r="K97" s="23">
        <f t="shared" si="12"/>
        <v>0</v>
      </c>
      <c r="L97" s="23">
        <f t="shared" si="12"/>
        <v>0</v>
      </c>
      <c r="M97" s="23">
        <f t="shared" si="12"/>
        <v>0</v>
      </c>
      <c r="N97" s="394">
        <f>X97*Z97*((AB97-AD97)/AD97)/100000/F97</f>
        <v>0.67670886075949166</v>
      </c>
      <c r="O97" s="215">
        <f t="shared" si="11"/>
        <v>0.67670886075949166</v>
      </c>
      <c r="P97" s="215">
        <f t="shared" si="11"/>
        <v>0.67670886075949166</v>
      </c>
      <c r="Q97" s="215">
        <f t="shared" si="11"/>
        <v>0.67670886075949166</v>
      </c>
      <c r="R97" s="15" t="s">
        <v>839</v>
      </c>
      <c r="S97" s="15" t="s">
        <v>841</v>
      </c>
      <c r="T97" s="15" t="s">
        <v>343</v>
      </c>
      <c r="U97" s="15" t="s">
        <v>342</v>
      </c>
      <c r="V97" s="166" t="s">
        <v>340</v>
      </c>
      <c r="W97" s="490" t="s">
        <v>302</v>
      </c>
      <c r="X97" s="491">
        <v>1782</v>
      </c>
      <c r="Y97" s="158" t="s">
        <v>273</v>
      </c>
      <c r="Z97" s="420">
        <v>450000</v>
      </c>
      <c r="AA97" s="158" t="s">
        <v>341</v>
      </c>
      <c r="AB97" s="430">
        <v>0.82</v>
      </c>
      <c r="AC97" s="166" t="s">
        <v>248</v>
      </c>
      <c r="AD97" s="419">
        <v>0.79</v>
      </c>
      <c r="AE97" s="166"/>
      <c r="AF97" s="166"/>
      <c r="AG97" s="166"/>
      <c r="AH97" s="166"/>
      <c r="AI97" s="436"/>
      <c r="AJ97" s="437"/>
      <c r="AK97" s="436"/>
      <c r="AL97" s="419"/>
      <c r="AM97" s="166"/>
      <c r="AN97" s="166"/>
      <c r="AO97" s="166"/>
      <c r="AP97" s="166"/>
      <c r="AQ97" s="166"/>
      <c r="AR97" s="166"/>
      <c r="AS97" s="166"/>
      <c r="AT97" s="166"/>
      <c r="AU97" s="363"/>
      <c r="AV97" s="363"/>
      <c r="AW97" s="363"/>
      <c r="AX97" s="363"/>
      <c r="AY97" s="364"/>
      <c r="AZ97" s="365"/>
      <c r="BA97" s="366"/>
    </row>
    <row r="98" spans="1:53">
      <c r="A98" s="2" t="str">
        <f t="shared" si="10"/>
        <v>Res - MF Standard Rebates_Steam Boiler Averaging Controls</v>
      </c>
      <c r="B98" s="18">
        <v>95</v>
      </c>
      <c r="C98" s="18" t="s">
        <v>721</v>
      </c>
      <c r="D98" s="18" t="s">
        <v>277</v>
      </c>
      <c r="E98" s="23" t="s">
        <v>150</v>
      </c>
      <c r="F98" s="23">
        <v>1</v>
      </c>
      <c r="G98" s="154">
        <v>0.76</v>
      </c>
      <c r="H98" s="469">
        <v>20</v>
      </c>
      <c r="I98" s="458">
        <v>20</v>
      </c>
      <c r="J98" s="23">
        <v>0</v>
      </c>
      <c r="K98" s="23">
        <f t="shared" si="12"/>
        <v>0</v>
      </c>
      <c r="L98" s="23">
        <f t="shared" si="12"/>
        <v>0</v>
      </c>
      <c r="M98" s="23">
        <f t="shared" si="12"/>
        <v>0</v>
      </c>
      <c r="N98" s="216">
        <f>X98*Z98*AB98/100000</f>
        <v>171.15600000000001</v>
      </c>
      <c r="O98" s="215">
        <f t="shared" si="11"/>
        <v>171.15600000000001</v>
      </c>
      <c r="P98" s="215">
        <f t="shared" si="11"/>
        <v>171.15600000000001</v>
      </c>
      <c r="Q98" s="215">
        <f t="shared" si="11"/>
        <v>171.15600000000001</v>
      </c>
      <c r="R98" s="15" t="s">
        <v>839</v>
      </c>
      <c r="S98" s="15" t="s">
        <v>276</v>
      </c>
      <c r="T98" s="15" t="s">
        <v>275</v>
      </c>
      <c r="U98" s="15" t="s">
        <v>274</v>
      </c>
      <c r="V98" s="166" t="s">
        <v>270</v>
      </c>
      <c r="W98" s="166" t="s">
        <v>273</v>
      </c>
      <c r="X98" s="420">
        <v>100000</v>
      </c>
      <c r="Y98" s="416" t="s">
        <v>272</v>
      </c>
      <c r="Z98" s="438">
        <v>0.10199999999999999</v>
      </c>
      <c r="AA98" s="492" t="s">
        <v>271</v>
      </c>
      <c r="AB98" s="491">
        <v>1678</v>
      </c>
      <c r="AC98" s="158"/>
      <c r="AD98" s="431"/>
      <c r="AE98" s="158"/>
      <c r="AF98" s="425"/>
      <c r="AG98" s="166"/>
      <c r="AH98" s="166"/>
      <c r="AI98" s="166"/>
      <c r="AJ98" s="166"/>
      <c r="AK98" s="166"/>
      <c r="AL98" s="166"/>
      <c r="AM98" s="166"/>
      <c r="AN98" s="166"/>
      <c r="AO98" s="166"/>
      <c r="AP98" s="166"/>
      <c r="AQ98" s="166"/>
      <c r="AR98" s="166"/>
      <c r="AS98" s="166"/>
      <c r="AT98" s="166"/>
      <c r="AU98" s="363"/>
      <c r="AV98" s="363"/>
      <c r="AW98" s="363"/>
      <c r="AX98" s="363"/>
      <c r="AY98" s="364"/>
      <c r="AZ98" s="365"/>
      <c r="BA98" s="366"/>
    </row>
    <row r="99" spans="1:53">
      <c r="A99" s="2" t="str">
        <f t="shared" si="10"/>
        <v>Res - MF Standard Rebates_Steam Traps - Dry Cleaner/Industrial</v>
      </c>
      <c r="B99" s="18">
        <v>96</v>
      </c>
      <c r="C99" s="18" t="s">
        <v>721</v>
      </c>
      <c r="D99" s="18" t="s">
        <v>269</v>
      </c>
      <c r="E99" s="23" t="s">
        <v>150</v>
      </c>
      <c r="F99" s="23">
        <v>1</v>
      </c>
      <c r="G99" s="154">
        <v>0.76</v>
      </c>
      <c r="H99" s="469">
        <v>6</v>
      </c>
      <c r="I99" s="458">
        <v>6</v>
      </c>
      <c r="J99" s="23">
        <v>0</v>
      </c>
      <c r="K99" s="23">
        <f t="shared" si="12"/>
        <v>0</v>
      </c>
      <c r="L99" s="23">
        <f t="shared" si="12"/>
        <v>0</v>
      </c>
      <c r="M99" s="23">
        <f t="shared" si="12"/>
        <v>0</v>
      </c>
      <c r="N99" s="216">
        <f>X99*(Z99/AB99)*AD99*AF99/100000</f>
        <v>137.91939591078068</v>
      </c>
      <c r="O99" s="215">
        <f t="shared" si="11"/>
        <v>137.91939591078068</v>
      </c>
      <c r="P99" s="215">
        <f t="shared" si="11"/>
        <v>137.91939591078068</v>
      </c>
      <c r="Q99" s="215">
        <f t="shared" si="11"/>
        <v>137.91939591078068</v>
      </c>
      <c r="R99" s="15" t="s">
        <v>839</v>
      </c>
      <c r="S99" s="15" t="s">
        <v>841</v>
      </c>
      <c r="T99" s="15" t="s">
        <v>266</v>
      </c>
      <c r="U99" s="15" t="s">
        <v>265</v>
      </c>
      <c r="V99" s="166" t="s">
        <v>259</v>
      </c>
      <c r="W99" s="166" t="s">
        <v>264</v>
      </c>
      <c r="X99" s="166">
        <v>19.100000000000001</v>
      </c>
      <c r="Y99" s="166" t="s">
        <v>263</v>
      </c>
      <c r="Z99" s="166">
        <v>890</v>
      </c>
      <c r="AA99" s="158" t="s">
        <v>262</v>
      </c>
      <c r="AB99" s="421">
        <v>0.80700000000000005</v>
      </c>
      <c r="AC99" s="158" t="s">
        <v>153</v>
      </c>
      <c r="AD99" s="166">
        <v>2425</v>
      </c>
      <c r="AE99" s="166" t="s">
        <v>260</v>
      </c>
      <c r="AF99" s="419">
        <v>0.27</v>
      </c>
      <c r="AG99" s="166"/>
      <c r="AH99" s="166"/>
      <c r="AI99" s="166"/>
      <c r="AJ99" s="166"/>
      <c r="AK99" s="166"/>
      <c r="AL99" s="166"/>
      <c r="AM99" s="166"/>
      <c r="AN99" s="166"/>
      <c r="AO99" s="166"/>
      <c r="AP99" s="166"/>
      <c r="AQ99" s="166"/>
      <c r="AR99" s="166"/>
      <c r="AS99" s="166"/>
      <c r="AT99" s="166"/>
      <c r="AU99" s="363"/>
      <c r="AV99" s="363"/>
      <c r="AW99" s="363"/>
      <c r="AX99" s="363"/>
      <c r="AY99" s="364"/>
      <c r="AZ99" s="365"/>
      <c r="BA99" s="366"/>
    </row>
    <row r="100" spans="1:53">
      <c r="A100" s="2" t="str">
        <f t="shared" si="10"/>
        <v>Res - MF Standard Rebates_Steam Traps - HVAC Repair/Rep - Audit</v>
      </c>
      <c r="B100" s="18">
        <v>97</v>
      </c>
      <c r="C100" s="18" t="s">
        <v>721</v>
      </c>
      <c r="D100" s="18" t="s">
        <v>268</v>
      </c>
      <c r="E100" s="23" t="s">
        <v>150</v>
      </c>
      <c r="F100" s="23">
        <v>1</v>
      </c>
      <c r="G100" s="154">
        <v>0.76</v>
      </c>
      <c r="H100" s="469">
        <v>6</v>
      </c>
      <c r="I100" s="458">
        <v>6</v>
      </c>
      <c r="J100" s="23">
        <v>0</v>
      </c>
      <c r="K100" s="23">
        <f t="shared" si="12"/>
        <v>0</v>
      </c>
      <c r="L100" s="23">
        <f t="shared" si="12"/>
        <v>0</v>
      </c>
      <c r="M100" s="23">
        <f t="shared" si="12"/>
        <v>0</v>
      </c>
      <c r="N100" s="216">
        <f>X100*(Z100/AB100)*AD100*AF100/100000</f>
        <v>110.15789625000002</v>
      </c>
      <c r="O100" s="215">
        <f t="shared" si="11"/>
        <v>110.15789625000002</v>
      </c>
      <c r="P100" s="215">
        <f t="shared" si="11"/>
        <v>110.15789625000002</v>
      </c>
      <c r="Q100" s="215">
        <f t="shared" si="11"/>
        <v>110.15789625000002</v>
      </c>
      <c r="R100" s="15" t="s">
        <v>839</v>
      </c>
      <c r="S100" s="15" t="s">
        <v>841</v>
      </c>
      <c r="T100" s="15" t="s">
        <v>266</v>
      </c>
      <c r="U100" s="15" t="s">
        <v>265</v>
      </c>
      <c r="V100" s="166" t="s">
        <v>259</v>
      </c>
      <c r="W100" s="166" t="s">
        <v>264</v>
      </c>
      <c r="X100" s="166">
        <v>6.9</v>
      </c>
      <c r="Y100" s="166" t="s">
        <v>263</v>
      </c>
      <c r="Z100" s="166">
        <v>951</v>
      </c>
      <c r="AA100" s="158" t="s">
        <v>262</v>
      </c>
      <c r="AB100" s="421">
        <v>0.64800000000000002</v>
      </c>
      <c r="AC100" s="158" t="s">
        <v>261</v>
      </c>
      <c r="AD100" s="166">
        <v>4029</v>
      </c>
      <c r="AE100" s="166" t="s">
        <v>260</v>
      </c>
      <c r="AF100" s="419">
        <v>0.27</v>
      </c>
      <c r="AG100" s="166"/>
      <c r="AH100" s="166"/>
      <c r="AI100" s="166"/>
      <c r="AJ100" s="166"/>
      <c r="AK100" s="166"/>
      <c r="AL100" s="166"/>
      <c r="AM100" s="166"/>
      <c r="AN100" s="166"/>
      <c r="AO100" s="166"/>
      <c r="AP100" s="166"/>
      <c r="AQ100" s="166"/>
      <c r="AR100" s="166"/>
      <c r="AS100" s="166"/>
      <c r="AT100" s="166"/>
      <c r="AU100" s="363"/>
      <c r="AV100" s="363"/>
      <c r="AW100" s="363"/>
      <c r="AX100" s="363"/>
      <c r="AY100" s="364"/>
      <c r="AZ100" s="365"/>
      <c r="BA100" s="366"/>
    </row>
    <row r="101" spans="1:53">
      <c r="A101" s="2" t="str">
        <f t="shared" si="10"/>
        <v>Res - MF Standard Rebates_Steam Traps - HVAC Repair/Rep - No Audit</v>
      </c>
      <c r="B101" s="18">
        <v>98</v>
      </c>
      <c r="C101" s="18" t="s">
        <v>721</v>
      </c>
      <c r="D101" s="18" t="s">
        <v>267</v>
      </c>
      <c r="E101" s="23" t="s">
        <v>150</v>
      </c>
      <c r="F101" s="23">
        <v>1</v>
      </c>
      <c r="G101" s="154">
        <v>0.76</v>
      </c>
      <c r="H101" s="469">
        <v>6</v>
      </c>
      <c r="I101" s="458">
        <v>6</v>
      </c>
      <c r="J101" s="23">
        <v>0</v>
      </c>
      <c r="K101" s="23">
        <f t="shared" si="12"/>
        <v>0</v>
      </c>
      <c r="L101" s="23">
        <f t="shared" si="12"/>
        <v>0</v>
      </c>
      <c r="M101" s="23">
        <f t="shared" si="12"/>
        <v>0</v>
      </c>
      <c r="N101" s="216">
        <f>X101*(Z101/AB101)*AD101*AF101/100000</f>
        <v>110.15789625000002</v>
      </c>
      <c r="O101" s="215">
        <f t="shared" si="11"/>
        <v>110.15789625000002</v>
      </c>
      <c r="P101" s="215">
        <f t="shared" si="11"/>
        <v>110.15789625000002</v>
      </c>
      <c r="Q101" s="215">
        <f t="shared" si="11"/>
        <v>110.15789625000002</v>
      </c>
      <c r="R101" s="15" t="s">
        <v>839</v>
      </c>
      <c r="S101" s="15" t="s">
        <v>841</v>
      </c>
      <c r="T101" s="15" t="s">
        <v>266</v>
      </c>
      <c r="U101" s="15" t="s">
        <v>265</v>
      </c>
      <c r="V101" s="166" t="s">
        <v>259</v>
      </c>
      <c r="W101" s="166" t="s">
        <v>264</v>
      </c>
      <c r="X101" s="166">
        <v>6.9</v>
      </c>
      <c r="Y101" s="166" t="s">
        <v>263</v>
      </c>
      <c r="Z101" s="166">
        <v>951</v>
      </c>
      <c r="AA101" s="158" t="s">
        <v>262</v>
      </c>
      <c r="AB101" s="421">
        <v>0.64800000000000002</v>
      </c>
      <c r="AC101" s="158" t="s">
        <v>261</v>
      </c>
      <c r="AD101" s="166">
        <v>4029</v>
      </c>
      <c r="AE101" s="166" t="s">
        <v>260</v>
      </c>
      <c r="AF101" s="419">
        <v>0.27</v>
      </c>
      <c r="AG101" s="166"/>
      <c r="AH101" s="166"/>
      <c r="AI101" s="166"/>
      <c r="AJ101" s="166"/>
      <c r="AK101" s="166"/>
      <c r="AL101" s="166"/>
      <c r="AM101" s="166"/>
      <c r="AN101" s="166"/>
      <c r="AO101" s="166"/>
      <c r="AP101" s="166"/>
      <c r="AQ101" s="166"/>
      <c r="AR101" s="166"/>
      <c r="AS101" s="166"/>
      <c r="AT101" s="166"/>
      <c r="AU101" s="363"/>
      <c r="AV101" s="363"/>
      <c r="AW101" s="363"/>
      <c r="AX101" s="363"/>
      <c r="AY101" s="364"/>
      <c r="AZ101" s="365"/>
      <c r="BA101" s="366"/>
    </row>
    <row r="102" spans="1:53">
      <c r="A102" s="2" t="str">
        <f t="shared" si="10"/>
        <v>Res - MF Standard Rebates_Steam Traps - Test</v>
      </c>
      <c r="B102" s="18">
        <v>99</v>
      </c>
      <c r="C102" s="18" t="s">
        <v>721</v>
      </c>
      <c r="D102" s="18" t="s">
        <v>258</v>
      </c>
      <c r="E102" s="23" t="s">
        <v>150</v>
      </c>
      <c r="F102" s="23">
        <v>1</v>
      </c>
      <c r="G102" s="154">
        <v>0.76</v>
      </c>
      <c r="H102" s="469">
        <v>3</v>
      </c>
      <c r="I102" s="458">
        <v>3</v>
      </c>
      <c r="J102" s="23">
        <v>0</v>
      </c>
      <c r="K102" s="23">
        <f t="shared" si="12"/>
        <v>0</v>
      </c>
      <c r="L102" s="23">
        <f t="shared" si="12"/>
        <v>0</v>
      </c>
      <c r="M102" s="23">
        <f t="shared" si="12"/>
        <v>0</v>
      </c>
      <c r="N102" s="216">
        <v>0</v>
      </c>
      <c r="O102" s="215">
        <f t="shared" si="11"/>
        <v>0</v>
      </c>
      <c r="P102" s="215">
        <f t="shared" si="11"/>
        <v>0</v>
      </c>
      <c r="Q102" s="215">
        <f t="shared" si="11"/>
        <v>0</v>
      </c>
      <c r="R102" s="15" t="s">
        <v>140</v>
      </c>
      <c r="S102" s="15" t="s">
        <v>140</v>
      </c>
      <c r="T102" s="15" t="s">
        <v>140</v>
      </c>
      <c r="U102" s="15" t="s">
        <v>140</v>
      </c>
      <c r="V102" s="412" t="s">
        <v>140</v>
      </c>
      <c r="W102" s="166"/>
      <c r="X102" s="166"/>
      <c r="Y102" s="166"/>
      <c r="Z102" s="166"/>
      <c r="AA102" s="158"/>
      <c r="AB102" s="419"/>
      <c r="AC102" s="158"/>
      <c r="AD102" s="166"/>
      <c r="AE102" s="158"/>
      <c r="AF102" s="419"/>
      <c r="AG102" s="166"/>
      <c r="AH102" s="419"/>
      <c r="AI102" s="166"/>
      <c r="AJ102" s="419"/>
      <c r="AK102" s="166"/>
      <c r="AL102" s="166"/>
      <c r="AM102" s="166"/>
      <c r="AN102" s="166"/>
      <c r="AO102" s="166"/>
      <c r="AP102" s="166"/>
      <c r="AQ102" s="166"/>
      <c r="AR102" s="166"/>
      <c r="AS102" s="166"/>
      <c r="AT102" s="166"/>
      <c r="AU102" s="363"/>
      <c r="AV102" s="363"/>
      <c r="AW102" s="363"/>
      <c r="AX102" s="363"/>
      <c r="AY102" s="364"/>
      <c r="AZ102" s="365"/>
      <c r="BA102" s="366"/>
    </row>
    <row r="103" spans="1:53">
      <c r="A103" s="2" t="str">
        <f t="shared" si="10"/>
        <v>Res - MF Standard Rebates_Thermostat - Programmable</v>
      </c>
      <c r="B103" s="18">
        <v>100</v>
      </c>
      <c r="C103" s="18" t="s">
        <v>721</v>
      </c>
      <c r="D103" s="18" t="s">
        <v>226</v>
      </c>
      <c r="E103" s="23" t="s">
        <v>150</v>
      </c>
      <c r="F103" s="23">
        <v>1</v>
      </c>
      <c r="G103" s="154">
        <v>0.76</v>
      </c>
      <c r="H103" s="469">
        <v>4</v>
      </c>
      <c r="I103" s="458">
        <v>4</v>
      </c>
      <c r="J103" s="23">
        <v>0</v>
      </c>
      <c r="K103" s="23">
        <f t="shared" si="12"/>
        <v>0</v>
      </c>
      <c r="L103" s="23">
        <f t="shared" si="12"/>
        <v>0</v>
      </c>
      <c r="M103" s="23">
        <f t="shared" si="12"/>
        <v>0</v>
      </c>
      <c r="N103" s="361">
        <f>'Thermostat Detail'!$L$13</f>
        <v>124.68584320000001</v>
      </c>
      <c r="O103" s="215">
        <f t="shared" si="11"/>
        <v>124.68584320000001</v>
      </c>
      <c r="P103" s="215">
        <f t="shared" si="11"/>
        <v>124.68584320000001</v>
      </c>
      <c r="Q103" s="215">
        <f t="shared" si="11"/>
        <v>124.68584320000001</v>
      </c>
      <c r="R103" s="15" t="s">
        <v>840</v>
      </c>
      <c r="S103" s="15" t="s">
        <v>841</v>
      </c>
      <c r="T103" s="15" t="s">
        <v>225</v>
      </c>
      <c r="U103" s="15" t="s">
        <v>224</v>
      </c>
      <c r="V103" s="435" t="s">
        <v>834</v>
      </c>
      <c r="W103" s="166"/>
      <c r="X103" s="166"/>
      <c r="Y103" s="166"/>
      <c r="Z103" s="166"/>
      <c r="AA103" s="158"/>
      <c r="AB103" s="419"/>
      <c r="AC103" s="158"/>
      <c r="AD103" s="166"/>
      <c r="AE103" s="158"/>
      <c r="AF103" s="419"/>
      <c r="AG103" s="166"/>
      <c r="AH103" s="419"/>
      <c r="AI103" s="166"/>
      <c r="AJ103" s="419"/>
      <c r="AK103" s="166"/>
      <c r="AL103" s="166"/>
      <c r="AM103" s="166"/>
      <c r="AN103" s="166"/>
      <c r="AO103" s="166"/>
      <c r="AP103" s="166"/>
      <c r="AQ103" s="166"/>
      <c r="AR103" s="166"/>
      <c r="AS103" s="166"/>
      <c r="AT103" s="166"/>
      <c r="AU103" s="363"/>
      <c r="AV103" s="363"/>
      <c r="AW103" s="363"/>
      <c r="AX103" s="363"/>
      <c r="AY103" s="364"/>
      <c r="AZ103" s="365"/>
      <c r="BA103" s="366"/>
    </row>
    <row r="104" spans="1:53">
      <c r="A104" s="2" t="str">
        <f t="shared" si="10"/>
        <v>Res - MF PTA Rebates_Air Sealing</v>
      </c>
      <c r="B104" s="18">
        <v>101</v>
      </c>
      <c r="C104" s="18" t="s">
        <v>722</v>
      </c>
      <c r="D104" s="18" t="s">
        <v>678</v>
      </c>
      <c r="E104" s="23" t="s">
        <v>439</v>
      </c>
      <c r="F104" s="23">
        <v>434.85999999999996</v>
      </c>
      <c r="G104" s="154">
        <v>0.88</v>
      </c>
      <c r="H104" s="469">
        <v>15</v>
      </c>
      <c r="I104" s="465">
        <v>20</v>
      </c>
      <c r="J104" s="23">
        <v>0</v>
      </c>
      <c r="K104" s="23">
        <f t="shared" si="12"/>
        <v>0</v>
      </c>
      <c r="L104" s="23">
        <f t="shared" si="12"/>
        <v>0</v>
      </c>
      <c r="M104" s="23">
        <f t="shared" si="12"/>
        <v>0</v>
      </c>
      <c r="N104" s="495">
        <f>1/X104*60*24*Z104*0.018/(AB104*100000)*AD104*AF104</f>
        <v>5.8327308024976238E-2</v>
      </c>
      <c r="O104" s="29">
        <f t="shared" si="11"/>
        <v>5.8327308024976238E-2</v>
      </c>
      <c r="P104" s="29">
        <f t="shared" si="11"/>
        <v>5.8327308024976238E-2</v>
      </c>
      <c r="Q104" s="29">
        <f t="shared" si="11"/>
        <v>5.8327308024976238E-2</v>
      </c>
      <c r="R104" s="15" t="s">
        <v>839</v>
      </c>
      <c r="S104" s="15" t="s">
        <v>841</v>
      </c>
      <c r="T104" s="15" t="s">
        <v>438</v>
      </c>
      <c r="U104" s="15" t="s">
        <v>437</v>
      </c>
      <c r="V104" s="496" t="s">
        <v>1451</v>
      </c>
      <c r="W104" s="166" t="s">
        <v>436</v>
      </c>
      <c r="X104" s="166">
        <v>23.9</v>
      </c>
      <c r="Y104" s="166" t="s">
        <v>411</v>
      </c>
      <c r="Z104" s="166">
        <v>5113</v>
      </c>
      <c r="AA104" s="158" t="s">
        <v>435</v>
      </c>
      <c r="AB104" s="419">
        <f>(64.9%+72%)/2</f>
        <v>0.6845</v>
      </c>
      <c r="AC104" s="417" t="s">
        <v>847</v>
      </c>
      <c r="AD104" s="426">
        <v>0.72</v>
      </c>
      <c r="AE104" s="490" t="s">
        <v>1452</v>
      </c>
      <c r="AF104" s="497">
        <v>1</v>
      </c>
      <c r="AG104" s="166"/>
      <c r="AH104" s="166"/>
      <c r="AI104" s="166"/>
      <c r="AJ104" s="166"/>
      <c r="AK104" s="166"/>
      <c r="AL104" s="166"/>
      <c r="AM104" s="166"/>
      <c r="AN104" s="166"/>
      <c r="AO104" s="166"/>
      <c r="AP104" s="166"/>
      <c r="AQ104" s="166"/>
      <c r="AR104" s="166"/>
      <c r="AS104" s="166"/>
      <c r="AT104" s="166"/>
      <c r="AU104" s="363"/>
      <c r="AV104" s="363"/>
      <c r="AW104" s="363"/>
      <c r="AX104" s="363"/>
      <c r="AY104" s="364"/>
      <c r="AZ104" s="365"/>
      <c r="BA104" s="366"/>
    </row>
    <row r="105" spans="1:53">
      <c r="A105" s="2" t="str">
        <f t="shared" si="10"/>
        <v>Res - MF PTA Rebates_Duct Sealing</v>
      </c>
      <c r="B105" s="18">
        <v>102</v>
      </c>
      <c r="C105" s="18" t="s">
        <v>722</v>
      </c>
      <c r="D105" s="18" t="s">
        <v>707</v>
      </c>
      <c r="E105" s="23" t="s">
        <v>429</v>
      </c>
      <c r="F105" s="23">
        <v>120</v>
      </c>
      <c r="G105" s="154">
        <v>0.88</v>
      </c>
      <c r="H105" s="469">
        <v>20</v>
      </c>
      <c r="I105" s="458">
        <v>20</v>
      </c>
      <c r="J105" s="23">
        <v>0</v>
      </c>
      <c r="K105" s="23">
        <f t="shared" si="12"/>
        <v>0</v>
      </c>
      <c r="L105" s="23">
        <f t="shared" si="12"/>
        <v>0</v>
      </c>
      <c r="M105" s="23">
        <f t="shared" si="12"/>
        <v>0</v>
      </c>
      <c r="N105" s="216">
        <f>X105/(Z105*0.0123)*AB105*Z105*AH105*(AD105/AF105)/100000</f>
        <v>0.70950058072009281</v>
      </c>
      <c r="O105" s="215">
        <f t="shared" ref="O105:Q124" si="13">N105</f>
        <v>0.70950058072009281</v>
      </c>
      <c r="P105" s="215">
        <f t="shared" si="13"/>
        <v>0.70950058072009281</v>
      </c>
      <c r="Q105" s="215">
        <f t="shared" si="13"/>
        <v>0.70950058072009281</v>
      </c>
      <c r="R105" s="15" t="s">
        <v>839</v>
      </c>
      <c r="S105" s="15" t="s">
        <v>841</v>
      </c>
      <c r="T105" s="15" t="s">
        <v>428</v>
      </c>
      <c r="U105" s="15" t="s">
        <v>427</v>
      </c>
      <c r="V105" s="166" t="s">
        <v>420</v>
      </c>
      <c r="W105" s="166" t="s">
        <v>426</v>
      </c>
      <c r="X105" s="166">
        <v>1</v>
      </c>
      <c r="Y105" s="166" t="s">
        <v>425</v>
      </c>
      <c r="Z105" s="420">
        <v>76000</v>
      </c>
      <c r="AA105" s="158" t="s">
        <v>424</v>
      </c>
      <c r="AB105" s="420">
        <v>1840</v>
      </c>
      <c r="AC105" s="158" t="s">
        <v>423</v>
      </c>
      <c r="AD105" s="425">
        <v>0.83</v>
      </c>
      <c r="AE105" s="158" t="s">
        <v>422</v>
      </c>
      <c r="AF105" s="419">
        <v>0.7</v>
      </c>
      <c r="AG105" s="166" t="s">
        <v>421</v>
      </c>
      <c r="AH105" s="419">
        <v>0.4</v>
      </c>
      <c r="AI105" s="166"/>
      <c r="AJ105" s="166"/>
      <c r="AK105" s="166"/>
      <c r="AL105" s="166"/>
      <c r="AM105" s="166"/>
      <c r="AN105" s="166"/>
      <c r="AO105" s="166"/>
      <c r="AP105" s="166"/>
      <c r="AQ105" s="166"/>
      <c r="AR105" s="166"/>
      <c r="AS105" s="166"/>
      <c r="AT105" s="166"/>
      <c r="AU105" s="363"/>
      <c r="AV105" s="363"/>
      <c r="AW105" s="363"/>
      <c r="AX105" s="363"/>
      <c r="AY105" s="364"/>
      <c r="AZ105" s="365"/>
      <c r="BA105" s="366"/>
    </row>
    <row r="106" spans="1:53">
      <c r="A106" s="2" t="str">
        <f t="shared" si="10"/>
        <v>Res - MF PTA Rebates_Boiler ≥88% AFUE, &lt;300MBh</v>
      </c>
      <c r="B106" s="18">
        <v>103</v>
      </c>
      <c r="C106" s="18" t="s">
        <v>722</v>
      </c>
      <c r="D106" s="18" t="s">
        <v>718</v>
      </c>
      <c r="E106" s="23" t="s">
        <v>240</v>
      </c>
      <c r="F106" s="23">
        <v>150</v>
      </c>
      <c r="G106" s="154">
        <v>0.88</v>
      </c>
      <c r="H106" s="469">
        <v>20</v>
      </c>
      <c r="I106" s="458">
        <v>20</v>
      </c>
      <c r="J106" s="23">
        <v>0</v>
      </c>
      <c r="K106" s="23">
        <f t="shared" ref="K106:M107" si="14">J106</f>
        <v>0</v>
      </c>
      <c r="L106" s="23">
        <f t="shared" si="14"/>
        <v>0</v>
      </c>
      <c r="M106" s="23">
        <f t="shared" si="14"/>
        <v>0</v>
      </c>
      <c r="N106" s="216">
        <f>X106*Z106*((AB106-AD106)/AD106)/100000/F106</f>
        <v>1.3039024390243914</v>
      </c>
      <c r="O106" s="215">
        <f t="shared" si="13"/>
        <v>1.3039024390243914</v>
      </c>
      <c r="P106" s="215">
        <f t="shared" si="13"/>
        <v>1.3039024390243914</v>
      </c>
      <c r="Q106" s="215">
        <f t="shared" si="13"/>
        <v>1.3039024390243914</v>
      </c>
      <c r="R106" s="15" t="s">
        <v>839</v>
      </c>
      <c r="S106" s="15" t="s">
        <v>841</v>
      </c>
      <c r="T106" s="15" t="s">
        <v>343</v>
      </c>
      <c r="U106" s="15" t="s">
        <v>342</v>
      </c>
      <c r="V106" s="166" t="s">
        <v>340</v>
      </c>
      <c r="W106" s="490" t="s">
        <v>302</v>
      </c>
      <c r="X106" s="491">
        <v>1782</v>
      </c>
      <c r="Y106" s="158" t="s">
        <v>273</v>
      </c>
      <c r="Z106" s="420">
        <v>150000</v>
      </c>
      <c r="AA106" s="158" t="s">
        <v>341</v>
      </c>
      <c r="AB106" s="419">
        <v>0.88</v>
      </c>
      <c r="AC106" s="166" t="s">
        <v>248</v>
      </c>
      <c r="AD106" s="419">
        <v>0.82</v>
      </c>
      <c r="AE106" s="166"/>
      <c r="AF106" s="166"/>
      <c r="AG106" s="166"/>
      <c r="AH106" s="166"/>
      <c r="AI106" s="166"/>
      <c r="AJ106" s="166"/>
      <c r="AK106" s="166"/>
      <c r="AL106" s="166"/>
      <c r="AM106" s="166"/>
      <c r="AN106" s="166"/>
      <c r="AO106" s="166"/>
      <c r="AP106" s="166"/>
      <c r="AQ106" s="166"/>
      <c r="AR106" s="166"/>
      <c r="AS106" s="166"/>
      <c r="AT106" s="166"/>
      <c r="AU106" s="363"/>
      <c r="AV106" s="363"/>
      <c r="AW106" s="363"/>
      <c r="AX106" s="363"/>
      <c r="AY106" s="364"/>
      <c r="AZ106" s="365"/>
      <c r="BA106" s="366"/>
    </row>
    <row r="107" spans="1:53">
      <c r="A107" s="2" t="str">
        <f t="shared" si="10"/>
        <v>Res - MF PTA Rebates_Boiler ≥88% AFUE, ≥300MBh TE</v>
      </c>
      <c r="B107" s="18">
        <v>104</v>
      </c>
      <c r="C107" s="18" t="s">
        <v>722</v>
      </c>
      <c r="D107" s="18" t="s">
        <v>719</v>
      </c>
      <c r="E107" s="23" t="s">
        <v>240</v>
      </c>
      <c r="F107" s="23">
        <v>350</v>
      </c>
      <c r="G107" s="154">
        <v>0.88</v>
      </c>
      <c r="H107" s="469">
        <v>20</v>
      </c>
      <c r="I107" s="458">
        <v>20</v>
      </c>
      <c r="J107" s="23">
        <v>0</v>
      </c>
      <c r="K107" s="23">
        <f t="shared" si="14"/>
        <v>0</v>
      </c>
      <c r="L107" s="23">
        <f t="shared" si="14"/>
        <v>0</v>
      </c>
      <c r="M107" s="23">
        <f t="shared" si="14"/>
        <v>0</v>
      </c>
      <c r="N107" s="216">
        <f>X107*Z107*((AB107-AD107)/AD107)/100000/F107</f>
        <v>1.7819999999999991</v>
      </c>
      <c r="O107" s="215">
        <f t="shared" si="13"/>
        <v>1.7819999999999991</v>
      </c>
      <c r="P107" s="215">
        <f t="shared" si="13"/>
        <v>1.7819999999999991</v>
      </c>
      <c r="Q107" s="215">
        <f t="shared" si="13"/>
        <v>1.7819999999999991</v>
      </c>
      <c r="R107" s="15" t="s">
        <v>839</v>
      </c>
      <c r="S107" s="15" t="s">
        <v>841</v>
      </c>
      <c r="T107" s="15" t="s">
        <v>343</v>
      </c>
      <c r="U107" s="15" t="s">
        <v>342</v>
      </c>
      <c r="V107" s="166" t="s">
        <v>340</v>
      </c>
      <c r="W107" s="490" t="s">
        <v>302</v>
      </c>
      <c r="X107" s="491">
        <v>1782</v>
      </c>
      <c r="Y107" s="158" t="s">
        <v>273</v>
      </c>
      <c r="Z107" s="420">
        <v>350000</v>
      </c>
      <c r="AA107" s="158" t="s">
        <v>341</v>
      </c>
      <c r="AB107" s="419">
        <v>0.88</v>
      </c>
      <c r="AC107" s="166" t="s">
        <v>248</v>
      </c>
      <c r="AD107" s="419">
        <v>0.8</v>
      </c>
      <c r="AE107" s="166"/>
      <c r="AF107" s="166"/>
      <c r="AG107" s="166"/>
      <c r="AH107" s="166"/>
      <c r="AI107" s="166"/>
      <c r="AJ107" s="166"/>
      <c r="AK107" s="166"/>
      <c r="AL107" s="166"/>
      <c r="AM107" s="166"/>
      <c r="AN107" s="166"/>
      <c r="AO107" s="166"/>
      <c r="AP107" s="166"/>
      <c r="AQ107" s="166"/>
      <c r="AR107" s="166"/>
      <c r="AS107" s="166"/>
      <c r="AT107" s="166"/>
      <c r="AU107" s="363"/>
      <c r="AV107" s="363"/>
      <c r="AW107" s="363"/>
      <c r="AX107" s="363"/>
      <c r="AY107" s="364"/>
      <c r="AZ107" s="365"/>
      <c r="BA107" s="366"/>
    </row>
    <row r="108" spans="1:53">
      <c r="A108" s="2" t="str">
        <f t="shared" si="10"/>
        <v>Res - MF PTA Rebates_Boiler Reset Controls</v>
      </c>
      <c r="B108" s="18">
        <v>105</v>
      </c>
      <c r="C108" s="18" t="s">
        <v>722</v>
      </c>
      <c r="D108" s="18" t="s">
        <v>1062</v>
      </c>
      <c r="E108" s="23" t="s">
        <v>150</v>
      </c>
      <c r="F108" s="23">
        <v>200</v>
      </c>
      <c r="G108" s="154">
        <v>0.88</v>
      </c>
      <c r="H108" s="469">
        <v>20</v>
      </c>
      <c r="I108" s="458">
        <v>20</v>
      </c>
      <c r="J108" s="23">
        <v>14</v>
      </c>
      <c r="K108" s="23">
        <v>14</v>
      </c>
      <c r="L108" s="23">
        <v>14</v>
      </c>
      <c r="M108" s="23">
        <v>14</v>
      </c>
      <c r="N108" s="216">
        <f>X108*Z108/100</f>
        <v>1.4256</v>
      </c>
      <c r="O108" s="215">
        <f t="shared" si="13"/>
        <v>1.4256</v>
      </c>
      <c r="P108" s="215">
        <f t="shared" si="13"/>
        <v>1.4256</v>
      </c>
      <c r="Q108" s="215">
        <f t="shared" si="13"/>
        <v>1.4256</v>
      </c>
      <c r="R108" s="15" t="s">
        <v>839</v>
      </c>
      <c r="S108" s="15" t="s">
        <v>841</v>
      </c>
      <c r="T108" s="15" t="s">
        <v>339</v>
      </c>
      <c r="U108" s="15" t="s">
        <v>338</v>
      </c>
      <c r="V108" s="166" t="s">
        <v>336</v>
      </c>
      <c r="W108" s="490" t="s">
        <v>302</v>
      </c>
      <c r="X108" s="491">
        <v>1782</v>
      </c>
      <c r="Y108" s="158" t="s">
        <v>337</v>
      </c>
      <c r="Z108" s="421">
        <v>0.08</v>
      </c>
      <c r="AA108" s="158"/>
      <c r="AB108" s="158"/>
      <c r="AC108" s="158"/>
      <c r="AD108" s="158"/>
      <c r="AE108" s="158"/>
      <c r="AF108" s="166"/>
      <c r="AG108" s="166"/>
      <c r="AH108" s="166"/>
      <c r="AI108" s="166"/>
      <c r="AJ108" s="166"/>
      <c r="AK108" s="166"/>
      <c r="AL108" s="166"/>
      <c r="AM108" s="166"/>
      <c r="AN108" s="166"/>
      <c r="AO108" s="166"/>
      <c r="AP108" s="166"/>
      <c r="AQ108" s="166"/>
      <c r="AR108" s="166"/>
      <c r="AS108" s="166"/>
      <c r="AT108" s="166"/>
      <c r="AU108" s="363"/>
      <c r="AV108" s="363"/>
      <c r="AW108" s="363"/>
      <c r="AX108" s="363"/>
      <c r="AY108" s="364"/>
      <c r="AZ108" s="365"/>
      <c r="BA108" s="366"/>
    </row>
    <row r="109" spans="1:53">
      <c r="A109" s="2" t="str">
        <f t="shared" si="10"/>
        <v>Res - MF PTA Rebates_Boiler Tune Up - Process</v>
      </c>
      <c r="B109" s="18">
        <v>106</v>
      </c>
      <c r="C109" s="18" t="s">
        <v>722</v>
      </c>
      <c r="D109" s="18" t="s">
        <v>335</v>
      </c>
      <c r="E109" s="23" t="s">
        <v>240</v>
      </c>
      <c r="F109" s="23">
        <v>200</v>
      </c>
      <c r="G109" s="154">
        <v>0.88</v>
      </c>
      <c r="H109" s="469">
        <v>3</v>
      </c>
      <c r="I109" s="458">
        <v>3</v>
      </c>
      <c r="J109" s="23">
        <v>13</v>
      </c>
      <c r="K109" s="23">
        <v>13</v>
      </c>
      <c r="L109" s="23">
        <v>13</v>
      </c>
      <c r="M109" s="23">
        <v>13</v>
      </c>
      <c r="N109" s="216">
        <f>(X109*8766*Z109)/100*(1-AB109/AD109)</f>
        <v>0.83823507428978783</v>
      </c>
      <c r="O109" s="215">
        <f t="shared" si="13"/>
        <v>0.83823507428978783</v>
      </c>
      <c r="P109" s="215">
        <f t="shared" si="13"/>
        <v>0.83823507428978783</v>
      </c>
      <c r="Q109" s="215">
        <f t="shared" si="13"/>
        <v>0.83823507428978783</v>
      </c>
      <c r="R109" s="15" t="s">
        <v>839</v>
      </c>
      <c r="S109" s="15" t="s">
        <v>841</v>
      </c>
      <c r="T109" s="15" t="s">
        <v>334</v>
      </c>
      <c r="U109" s="15" t="s">
        <v>333</v>
      </c>
      <c r="V109" s="166" t="s">
        <v>328</v>
      </c>
      <c r="W109" s="166" t="s">
        <v>332</v>
      </c>
      <c r="X109" s="420">
        <v>1</v>
      </c>
      <c r="Y109" s="166" t="s">
        <v>331</v>
      </c>
      <c r="Z109" s="427">
        <v>0.41899999999999998</v>
      </c>
      <c r="AA109" s="158" t="s">
        <v>330</v>
      </c>
      <c r="AB109" s="428">
        <v>0.82210000000000005</v>
      </c>
      <c r="AC109" s="158" t="s">
        <v>329</v>
      </c>
      <c r="AD109" s="428">
        <v>0.84130000000000005</v>
      </c>
      <c r="AE109" s="158"/>
      <c r="AF109" s="166"/>
      <c r="AG109" s="166"/>
      <c r="AH109" s="166"/>
      <c r="AI109" s="166"/>
      <c r="AJ109" s="166"/>
      <c r="AK109" s="166"/>
      <c r="AL109" s="166"/>
      <c r="AM109" s="166"/>
      <c r="AN109" s="166"/>
      <c r="AO109" s="166"/>
      <c r="AP109" s="166"/>
      <c r="AQ109" s="166"/>
      <c r="AR109" s="166"/>
      <c r="AS109" s="166"/>
      <c r="AT109" s="166"/>
      <c r="AU109" s="363"/>
      <c r="AV109" s="363"/>
      <c r="AW109" s="363"/>
      <c r="AX109" s="363"/>
      <c r="AY109" s="364"/>
      <c r="AZ109" s="365"/>
      <c r="BA109" s="366"/>
    </row>
    <row r="110" spans="1:53">
      <c r="A110" s="2" t="str">
        <f t="shared" si="10"/>
        <v>Res - MF PTA Rebates_Boiler Tune Up - Space Heating</v>
      </c>
      <c r="B110" s="18">
        <v>107</v>
      </c>
      <c r="C110" s="18" t="s">
        <v>722</v>
      </c>
      <c r="D110" s="18" t="s">
        <v>724</v>
      </c>
      <c r="E110" s="23" t="s">
        <v>240</v>
      </c>
      <c r="F110" s="23">
        <v>200</v>
      </c>
      <c r="G110" s="154">
        <v>0.88</v>
      </c>
      <c r="H110" s="469">
        <v>3</v>
      </c>
      <c r="I110" s="458">
        <v>3</v>
      </c>
      <c r="J110" s="23">
        <v>13</v>
      </c>
      <c r="K110" s="23">
        <v>13</v>
      </c>
      <c r="L110" s="23">
        <v>13</v>
      </c>
      <c r="M110" s="23">
        <v>13</v>
      </c>
      <c r="N110" s="216">
        <f>(AD110*X110*(AB110/Z110-1))/100000</f>
        <v>0.41618294611360979</v>
      </c>
      <c r="O110" s="215">
        <f t="shared" si="13"/>
        <v>0.41618294611360979</v>
      </c>
      <c r="P110" s="215">
        <f t="shared" si="13"/>
        <v>0.41618294611360979</v>
      </c>
      <c r="Q110" s="215">
        <f t="shared" si="13"/>
        <v>0.41618294611360979</v>
      </c>
      <c r="R110" s="15" t="s">
        <v>839</v>
      </c>
      <c r="S110" s="15" t="s">
        <v>841</v>
      </c>
      <c r="T110" s="15" t="s">
        <v>327</v>
      </c>
      <c r="U110" s="15" t="s">
        <v>326</v>
      </c>
      <c r="V110" s="166" t="s">
        <v>322</v>
      </c>
      <c r="W110" s="490" t="s">
        <v>302</v>
      </c>
      <c r="X110" s="491">
        <v>1782</v>
      </c>
      <c r="Y110" s="158" t="s">
        <v>325</v>
      </c>
      <c r="Z110" s="428">
        <v>0.82210000000000005</v>
      </c>
      <c r="AA110" s="158" t="s">
        <v>324</v>
      </c>
      <c r="AB110" s="428">
        <v>0.84130000000000005</v>
      </c>
      <c r="AC110" s="166" t="s">
        <v>323</v>
      </c>
      <c r="AD110" s="429">
        <v>1000</v>
      </c>
      <c r="AE110" s="166"/>
      <c r="AF110" s="166"/>
      <c r="AG110" s="166"/>
      <c r="AH110" s="166"/>
      <c r="AI110" s="166"/>
      <c r="AJ110" s="166"/>
      <c r="AK110" s="166"/>
      <c r="AL110" s="166"/>
      <c r="AM110" s="166"/>
      <c r="AN110" s="166"/>
      <c r="AO110" s="166"/>
      <c r="AP110" s="166"/>
      <c r="AQ110" s="166"/>
      <c r="AR110" s="166"/>
      <c r="AS110" s="166"/>
      <c r="AT110" s="166"/>
      <c r="AU110" s="363"/>
      <c r="AV110" s="363"/>
      <c r="AW110" s="363"/>
      <c r="AX110" s="363"/>
      <c r="AY110" s="364"/>
      <c r="AZ110" s="365"/>
      <c r="BA110" s="366"/>
    </row>
    <row r="111" spans="1:53">
      <c r="A111" s="2" t="str">
        <f t="shared" si="10"/>
        <v>Res - MF PTA Rebates_Condensing Unit Heater</v>
      </c>
      <c r="B111" s="18">
        <v>108</v>
      </c>
      <c r="C111" s="18" t="s">
        <v>722</v>
      </c>
      <c r="D111" s="18" t="s">
        <v>321</v>
      </c>
      <c r="E111" s="23" t="s">
        <v>240</v>
      </c>
      <c r="F111" s="23">
        <v>150</v>
      </c>
      <c r="G111" s="154">
        <v>0.88</v>
      </c>
      <c r="H111" s="469">
        <v>12</v>
      </c>
      <c r="I111" s="458">
        <v>12</v>
      </c>
      <c r="J111" s="23">
        <v>0</v>
      </c>
      <c r="K111" s="23">
        <f t="shared" ref="K111:M112" si="15">J111</f>
        <v>0</v>
      </c>
      <c r="L111" s="23">
        <f t="shared" si="15"/>
        <v>0</v>
      </c>
      <c r="M111" s="23">
        <f t="shared" si="15"/>
        <v>0</v>
      </c>
      <c r="N111" s="216">
        <f>266/F111</f>
        <v>1.7733333333333334</v>
      </c>
      <c r="O111" s="215">
        <f t="shared" si="13"/>
        <v>1.7733333333333334</v>
      </c>
      <c r="P111" s="215">
        <f t="shared" si="13"/>
        <v>1.7733333333333334</v>
      </c>
      <c r="Q111" s="215">
        <f t="shared" si="13"/>
        <v>1.7733333333333334</v>
      </c>
      <c r="R111" s="15" t="s">
        <v>839</v>
      </c>
      <c r="S111" s="15" t="s">
        <v>841</v>
      </c>
      <c r="T111" s="15" t="s">
        <v>320</v>
      </c>
      <c r="U111" s="15" t="s">
        <v>319</v>
      </c>
      <c r="V111" s="166" t="s">
        <v>318</v>
      </c>
      <c r="W111" s="166"/>
      <c r="X111" s="166"/>
      <c r="Y111" s="166"/>
      <c r="Z111" s="166"/>
      <c r="AA111" s="158"/>
      <c r="AB111" s="166"/>
      <c r="AC111" s="158"/>
      <c r="AD111" s="166"/>
      <c r="AE111" s="158"/>
      <c r="AF111" s="166"/>
      <c r="AG111" s="166"/>
      <c r="AH111" s="166"/>
      <c r="AI111" s="166"/>
      <c r="AJ111" s="166"/>
      <c r="AK111" s="166"/>
      <c r="AL111" s="166"/>
      <c r="AM111" s="166"/>
      <c r="AN111" s="166"/>
      <c r="AO111" s="166"/>
      <c r="AP111" s="166"/>
      <c r="AQ111" s="166"/>
      <c r="AR111" s="166"/>
      <c r="AS111" s="166"/>
      <c r="AT111" s="166"/>
      <c r="AU111" s="363"/>
      <c r="AV111" s="363"/>
      <c r="AW111" s="363"/>
      <c r="AX111" s="363"/>
      <c r="AY111" s="364"/>
      <c r="AZ111" s="365"/>
      <c r="BA111" s="366"/>
    </row>
    <row r="112" spans="1:53">
      <c r="A112" s="2" t="str">
        <f t="shared" si="10"/>
        <v>Res - MF PTA Rebates_Direct Fired Heaters</v>
      </c>
      <c r="B112" s="18">
        <v>109</v>
      </c>
      <c r="C112" s="18" t="s">
        <v>722</v>
      </c>
      <c r="D112" s="18" t="s">
        <v>317</v>
      </c>
      <c r="E112" s="23" t="s">
        <v>240</v>
      </c>
      <c r="F112" s="23">
        <v>150</v>
      </c>
      <c r="G112" s="154">
        <v>0.88</v>
      </c>
      <c r="H112" s="469">
        <v>20</v>
      </c>
      <c r="I112" s="458">
        <v>20</v>
      </c>
      <c r="J112" s="23">
        <v>0</v>
      </c>
      <c r="K112" s="23">
        <f t="shared" si="15"/>
        <v>0</v>
      </c>
      <c r="L112" s="23">
        <f t="shared" si="15"/>
        <v>0</v>
      </c>
      <c r="M112" s="23">
        <f t="shared" si="15"/>
        <v>0</v>
      </c>
      <c r="N112" s="216">
        <f>AD112*X112*(Z112/AB112-1)/100000</f>
        <v>2.4914999999999985</v>
      </c>
      <c r="O112" s="215">
        <f t="shared" si="13"/>
        <v>2.4914999999999985</v>
      </c>
      <c r="P112" s="215">
        <f t="shared" si="13"/>
        <v>2.4914999999999985</v>
      </c>
      <c r="Q112" s="215">
        <f t="shared" si="13"/>
        <v>2.4914999999999985</v>
      </c>
      <c r="R112" s="15" t="s">
        <v>140</v>
      </c>
      <c r="S112" s="15" t="s">
        <v>140</v>
      </c>
      <c r="T112" s="15" t="s">
        <v>140</v>
      </c>
      <c r="U112" s="15" t="s">
        <v>140</v>
      </c>
      <c r="V112" s="166" t="s">
        <v>313</v>
      </c>
      <c r="W112" s="166" t="s">
        <v>273</v>
      </c>
      <c r="X112" s="166">
        <v>1000</v>
      </c>
      <c r="Y112" s="166" t="s">
        <v>316</v>
      </c>
      <c r="Z112" s="419">
        <v>0.92</v>
      </c>
      <c r="AA112" s="158" t="s">
        <v>315</v>
      </c>
      <c r="AB112" s="419">
        <v>0.8</v>
      </c>
      <c r="AC112" s="490" t="s">
        <v>302</v>
      </c>
      <c r="AD112" s="492">
        <f>(1540+1782)/2</f>
        <v>1661</v>
      </c>
      <c r="AE112" s="490" t="s">
        <v>314</v>
      </c>
      <c r="AF112" s="492">
        <v>1678</v>
      </c>
      <c r="AG112" s="166"/>
      <c r="AH112" s="166"/>
      <c r="AI112" s="166"/>
      <c r="AJ112" s="166"/>
      <c r="AK112" s="166"/>
      <c r="AL112" s="166"/>
      <c r="AM112" s="166"/>
      <c r="AN112" s="166"/>
      <c r="AO112" s="166"/>
      <c r="AP112" s="166"/>
      <c r="AQ112" s="166"/>
      <c r="AR112" s="166"/>
      <c r="AS112" s="166"/>
      <c r="AT112" s="166"/>
      <c r="AU112" s="363"/>
      <c r="AV112" s="363"/>
      <c r="AW112" s="363"/>
      <c r="AX112" s="363"/>
      <c r="AY112" s="364"/>
      <c r="AZ112" s="365"/>
      <c r="BA112" s="366"/>
    </row>
    <row r="113" spans="1:53">
      <c r="A113" s="2" t="str">
        <f t="shared" si="10"/>
        <v>Res - MF PTA Rebates_Furnace &gt;95% AFUE</v>
      </c>
      <c r="B113" s="18">
        <v>110</v>
      </c>
      <c r="C113" s="18" t="s">
        <v>722</v>
      </c>
      <c r="D113" s="18" t="s">
        <v>1060</v>
      </c>
      <c r="E113" s="23" t="s">
        <v>150</v>
      </c>
      <c r="F113" s="23">
        <v>1</v>
      </c>
      <c r="G113" s="154">
        <v>0.88</v>
      </c>
      <c r="H113" s="469">
        <v>16</v>
      </c>
      <c r="I113" s="458">
        <v>16</v>
      </c>
      <c r="J113" s="23">
        <v>4</v>
      </c>
      <c r="K113" s="23">
        <v>4</v>
      </c>
      <c r="L113" s="23">
        <v>4</v>
      </c>
      <c r="M113" s="23">
        <v>4</v>
      </c>
      <c r="N113" s="216">
        <f>X113*Z113*((AB113-AD113)/AD113)/100000</f>
        <v>253.93499999999986</v>
      </c>
      <c r="O113" s="215">
        <f t="shared" si="13"/>
        <v>253.93499999999986</v>
      </c>
      <c r="P113" s="215">
        <f t="shared" si="13"/>
        <v>253.93499999999986</v>
      </c>
      <c r="Q113" s="215">
        <f t="shared" si="13"/>
        <v>253.93499999999986</v>
      </c>
      <c r="R113" s="15" t="s">
        <v>839</v>
      </c>
      <c r="S113" s="15" t="s">
        <v>841</v>
      </c>
      <c r="T113" s="15" t="s">
        <v>301</v>
      </c>
      <c r="U113" s="15" t="s">
        <v>300</v>
      </c>
      <c r="V113" s="166" t="s">
        <v>296</v>
      </c>
      <c r="W113" s="490" t="s">
        <v>302</v>
      </c>
      <c r="X113" s="491">
        <v>1782</v>
      </c>
      <c r="Y113" s="158" t="s">
        <v>273</v>
      </c>
      <c r="Z113" s="420">
        <v>76000</v>
      </c>
      <c r="AA113" s="166" t="s">
        <v>299</v>
      </c>
      <c r="AB113" s="430">
        <v>0.95</v>
      </c>
      <c r="AC113" s="166" t="s">
        <v>298</v>
      </c>
      <c r="AD113" s="419">
        <v>0.8</v>
      </c>
      <c r="AE113" s="166" t="s">
        <v>153</v>
      </c>
      <c r="AF113" s="166">
        <v>2899</v>
      </c>
      <c r="AG113" s="166" t="s">
        <v>297</v>
      </c>
      <c r="AH113" s="431">
        <v>0.24299999999999999</v>
      </c>
      <c r="AI113" s="166"/>
      <c r="AJ113" s="166"/>
      <c r="AK113" s="166"/>
      <c r="AL113" s="166"/>
      <c r="AM113" s="166"/>
      <c r="AN113" s="166"/>
      <c r="AO113" s="166"/>
      <c r="AP113" s="166"/>
      <c r="AQ113" s="166"/>
      <c r="AR113" s="166"/>
      <c r="AS113" s="166"/>
      <c r="AT113" s="166"/>
      <c r="AU113" s="363"/>
      <c r="AV113" s="363"/>
      <c r="AW113" s="363"/>
      <c r="AX113" s="363"/>
      <c r="AY113" s="364"/>
      <c r="AZ113" s="365"/>
      <c r="BA113" s="366"/>
    </row>
    <row r="114" spans="1:53">
      <c r="A114" s="2" t="str">
        <f t="shared" si="10"/>
        <v>Res - MF PTA Rebates_Furnace &gt;95% AFUE (MF Unit)</v>
      </c>
      <c r="B114" s="18">
        <v>111</v>
      </c>
      <c r="C114" s="18" t="s">
        <v>722</v>
      </c>
      <c r="D114" s="18" t="s">
        <v>402</v>
      </c>
      <c r="E114" s="23" t="s">
        <v>150</v>
      </c>
      <c r="F114" s="23">
        <v>1</v>
      </c>
      <c r="G114" s="154">
        <v>0.88</v>
      </c>
      <c r="H114" s="469">
        <v>20</v>
      </c>
      <c r="I114" s="458">
        <v>20</v>
      </c>
      <c r="J114" s="23">
        <v>0</v>
      </c>
      <c r="K114" s="23">
        <f t="shared" ref="K114:M119" si="16">J114</f>
        <v>0</v>
      </c>
      <c r="L114" s="23">
        <f t="shared" si="16"/>
        <v>0</v>
      </c>
      <c r="M114" s="23">
        <f t="shared" si="16"/>
        <v>0</v>
      </c>
      <c r="N114" s="455">
        <f xml:space="preserve"> ((X114 * Z114)/(1-AH114) * (((AD114 * (1-AH114)) / (AB114 * (1-AF114))) - 1)) / 100000</f>
        <v>156.41025641025624</v>
      </c>
      <c r="O114" s="215">
        <f t="shared" si="13"/>
        <v>156.41025641025624</v>
      </c>
      <c r="P114" s="215">
        <f t="shared" si="13"/>
        <v>156.41025641025624</v>
      </c>
      <c r="Q114" s="215">
        <f t="shared" si="13"/>
        <v>156.41025641025624</v>
      </c>
      <c r="R114" s="15" t="s">
        <v>839</v>
      </c>
      <c r="S114" s="15" t="s">
        <v>841</v>
      </c>
      <c r="T114" s="15" t="s">
        <v>401</v>
      </c>
      <c r="U114" s="15" t="s">
        <v>400</v>
      </c>
      <c r="V114" s="416" t="s">
        <v>846</v>
      </c>
      <c r="W114" s="416" t="s">
        <v>303</v>
      </c>
      <c r="X114" s="422">
        <v>976</v>
      </c>
      <c r="Y114" s="416" t="s">
        <v>845</v>
      </c>
      <c r="Z114" s="424">
        <v>80000</v>
      </c>
      <c r="AA114" s="158" t="s">
        <v>390</v>
      </c>
      <c r="AB114" s="419">
        <v>0.8</v>
      </c>
      <c r="AC114" s="158" t="s">
        <v>299</v>
      </c>
      <c r="AD114" s="419">
        <v>0.95</v>
      </c>
      <c r="AE114" s="165" t="s">
        <v>398</v>
      </c>
      <c r="AF114" s="421">
        <v>6.4000000000000001E-2</v>
      </c>
      <c r="AG114" s="166" t="s">
        <v>397</v>
      </c>
      <c r="AH114" s="421">
        <v>6.4000000000000001E-2</v>
      </c>
      <c r="AI114" s="166"/>
      <c r="AJ114" s="166"/>
      <c r="AK114" s="166"/>
      <c r="AL114" s="166"/>
      <c r="AM114" s="166"/>
      <c r="AN114" s="166"/>
      <c r="AO114" s="166"/>
      <c r="AP114" s="166"/>
      <c r="AQ114" s="166"/>
      <c r="AR114" s="166"/>
      <c r="AS114" s="166"/>
      <c r="AT114" s="166"/>
      <c r="AU114" s="363"/>
      <c r="AV114" s="363"/>
      <c r="AW114" s="363"/>
      <c r="AX114" s="363"/>
      <c r="AY114" s="364"/>
      <c r="AZ114" s="365"/>
      <c r="BA114" s="366"/>
    </row>
    <row r="115" spans="1:53">
      <c r="A115" s="2" t="str">
        <f t="shared" si="10"/>
        <v>Res - MF PTA Rebates_High Speed Washer</v>
      </c>
      <c r="B115" s="18">
        <v>112</v>
      </c>
      <c r="C115" s="18" t="s">
        <v>722</v>
      </c>
      <c r="D115" s="18" t="s">
        <v>706</v>
      </c>
      <c r="E115" s="23" t="s">
        <v>237</v>
      </c>
      <c r="F115" s="23">
        <v>250</v>
      </c>
      <c r="G115" s="154">
        <v>0.88</v>
      </c>
      <c r="H115" s="469">
        <v>7</v>
      </c>
      <c r="I115" s="458">
        <v>7</v>
      </c>
      <c r="J115" s="23">
        <v>0</v>
      </c>
      <c r="K115" s="23">
        <f t="shared" si="16"/>
        <v>0</v>
      </c>
      <c r="L115" s="23">
        <f t="shared" si="16"/>
        <v>0</v>
      </c>
      <c r="M115" s="23">
        <f t="shared" si="16"/>
        <v>0</v>
      </c>
      <c r="N115" s="216">
        <f>X115*Z115*AB115*AD115*AF115/AH115/100000*AJ115*AL115/F115</f>
        <v>3.6756720000000001</v>
      </c>
      <c r="O115" s="215">
        <f t="shared" si="13"/>
        <v>3.6756720000000001</v>
      </c>
      <c r="P115" s="215">
        <f t="shared" si="13"/>
        <v>3.6756720000000001</v>
      </c>
      <c r="Q115" s="215">
        <f t="shared" si="13"/>
        <v>3.6756720000000001</v>
      </c>
      <c r="R115" s="15" t="s">
        <v>839</v>
      </c>
      <c r="S115" s="15" t="s">
        <v>841</v>
      </c>
      <c r="T115" s="15" t="s">
        <v>236</v>
      </c>
      <c r="U115" s="15" t="s">
        <v>235</v>
      </c>
      <c r="V115" s="166" t="s">
        <v>396</v>
      </c>
      <c r="W115" s="166" t="s">
        <v>234</v>
      </c>
      <c r="X115" s="166">
        <v>3.4</v>
      </c>
      <c r="Y115" s="166" t="s">
        <v>233</v>
      </c>
      <c r="Z115" s="166">
        <v>360</v>
      </c>
      <c r="AA115" s="158" t="s">
        <v>232</v>
      </c>
      <c r="AB115" s="420">
        <v>250</v>
      </c>
      <c r="AC115" s="158" t="s">
        <v>231</v>
      </c>
      <c r="AD115" s="425">
        <v>0.25</v>
      </c>
      <c r="AE115" s="158" t="s">
        <v>230</v>
      </c>
      <c r="AF115" s="420">
        <v>1200</v>
      </c>
      <c r="AG115" s="419" t="s">
        <v>229</v>
      </c>
      <c r="AH115" s="419">
        <v>0.6</v>
      </c>
      <c r="AI115" s="166" t="s">
        <v>228</v>
      </c>
      <c r="AJ115" s="419">
        <v>0.91</v>
      </c>
      <c r="AK115" s="166" t="s">
        <v>227</v>
      </c>
      <c r="AL115" s="425">
        <v>0.66</v>
      </c>
      <c r="AM115" s="166"/>
      <c r="AN115" s="166"/>
      <c r="AO115" s="166"/>
      <c r="AP115" s="166"/>
      <c r="AQ115" s="166"/>
      <c r="AR115" s="166"/>
      <c r="AS115" s="166"/>
      <c r="AT115" s="166"/>
      <c r="AU115" s="363"/>
      <c r="AV115" s="363"/>
      <c r="AW115" s="363"/>
      <c r="AX115" s="363"/>
      <c r="AY115" s="364"/>
      <c r="AZ115" s="365"/>
      <c r="BA115" s="366"/>
    </row>
    <row r="116" spans="1:53">
      <c r="A116" s="2" t="str">
        <f t="shared" si="10"/>
        <v>Res - MF PTA Rebates_Infrared Heater</v>
      </c>
      <c r="B116" s="18">
        <v>113</v>
      </c>
      <c r="C116" s="18" t="s">
        <v>722</v>
      </c>
      <c r="D116" s="18" t="s">
        <v>295</v>
      </c>
      <c r="E116" s="23" t="s">
        <v>240</v>
      </c>
      <c r="F116" s="23">
        <v>150</v>
      </c>
      <c r="G116" s="154">
        <v>0.88</v>
      </c>
      <c r="H116" s="469">
        <v>12</v>
      </c>
      <c r="I116" s="458">
        <v>12</v>
      </c>
      <c r="J116" s="23">
        <v>0</v>
      </c>
      <c r="K116" s="23">
        <f t="shared" si="16"/>
        <v>0</v>
      </c>
      <c r="L116" s="23">
        <f t="shared" si="16"/>
        <v>0</v>
      </c>
      <c r="M116" s="23">
        <f t="shared" si="16"/>
        <v>0</v>
      </c>
      <c r="N116" s="394">
        <f>451/F116</f>
        <v>3.0066666666666668</v>
      </c>
      <c r="O116" s="215">
        <f t="shared" si="13"/>
        <v>3.0066666666666668</v>
      </c>
      <c r="P116" s="215">
        <f t="shared" si="13"/>
        <v>3.0066666666666668</v>
      </c>
      <c r="Q116" s="215">
        <f t="shared" si="13"/>
        <v>3.0066666666666668</v>
      </c>
      <c r="R116" s="15" t="s">
        <v>839</v>
      </c>
      <c r="S116" s="15" t="s">
        <v>841</v>
      </c>
      <c r="T116" s="15" t="s">
        <v>294</v>
      </c>
      <c r="U116" s="15" t="s">
        <v>293</v>
      </c>
      <c r="V116" s="166" t="s">
        <v>291</v>
      </c>
      <c r="W116" s="166" t="s">
        <v>292</v>
      </c>
      <c r="X116" s="433">
        <v>150</v>
      </c>
      <c r="Y116" s="166"/>
      <c r="Z116" s="166"/>
      <c r="AA116" s="158"/>
      <c r="AB116" s="166"/>
      <c r="AC116" s="158"/>
      <c r="AD116" s="166"/>
      <c r="AE116" s="158"/>
      <c r="AF116" s="166"/>
      <c r="AG116" s="166"/>
      <c r="AH116" s="166"/>
      <c r="AI116" s="166"/>
      <c r="AJ116" s="166"/>
      <c r="AK116" s="166"/>
      <c r="AL116" s="166"/>
      <c r="AM116" s="166"/>
      <c r="AN116" s="166"/>
      <c r="AO116" s="166"/>
      <c r="AP116" s="166"/>
      <c r="AQ116" s="166"/>
      <c r="AR116" s="166"/>
      <c r="AS116" s="166"/>
      <c r="AT116" s="166"/>
      <c r="AU116" s="363"/>
      <c r="AV116" s="363"/>
      <c r="AW116" s="363"/>
      <c r="AX116" s="363"/>
      <c r="AY116" s="364"/>
      <c r="AZ116" s="365"/>
      <c r="BA116" s="366"/>
    </row>
    <row r="117" spans="1:53">
      <c r="A117" s="2" t="str">
        <f t="shared" si="10"/>
        <v>Res - MF PTA Rebates_Ozone Laundry</v>
      </c>
      <c r="B117" s="18">
        <v>114</v>
      </c>
      <c r="C117" s="18" t="s">
        <v>722</v>
      </c>
      <c r="D117" s="18" t="s">
        <v>287</v>
      </c>
      <c r="E117" s="23" t="s">
        <v>237</v>
      </c>
      <c r="F117" s="23">
        <v>250</v>
      </c>
      <c r="G117" s="154">
        <v>0.88</v>
      </c>
      <c r="H117" s="469">
        <v>10</v>
      </c>
      <c r="I117" s="458">
        <v>10</v>
      </c>
      <c r="J117" s="23">
        <v>0</v>
      </c>
      <c r="K117" s="23">
        <f t="shared" si="16"/>
        <v>0</v>
      </c>
      <c r="L117" s="23">
        <f t="shared" si="16"/>
        <v>0</v>
      </c>
      <c r="M117" s="23">
        <f t="shared" si="16"/>
        <v>0</v>
      </c>
      <c r="N117" s="456">
        <f xml:space="preserve"> (X117 * Z117 * AB117 * AD117 * (AF117 - AH117) * 8.33 * 1 * AJ117) / (AL117 * 100000) * (AN117 - AP117)</f>
        <v>13.190532978680915</v>
      </c>
      <c r="O117" s="215">
        <f t="shared" si="13"/>
        <v>13.190532978680915</v>
      </c>
      <c r="P117" s="215">
        <f t="shared" si="13"/>
        <v>13.190532978680915</v>
      </c>
      <c r="Q117" s="215">
        <f t="shared" si="13"/>
        <v>13.190532978680915</v>
      </c>
      <c r="R117" s="15" t="s">
        <v>839</v>
      </c>
      <c r="S117" s="15" t="s">
        <v>841</v>
      </c>
      <c r="T117" s="15" t="s">
        <v>286</v>
      </c>
      <c r="U117" s="15" t="s">
        <v>285</v>
      </c>
      <c r="V117" s="416" t="s">
        <v>862</v>
      </c>
      <c r="W117" s="416" t="s">
        <v>863</v>
      </c>
      <c r="X117" s="426">
        <v>1</v>
      </c>
      <c r="Y117" s="416" t="s">
        <v>273</v>
      </c>
      <c r="Z117" s="445">
        <v>4.96</v>
      </c>
      <c r="AA117" s="417" t="s">
        <v>864</v>
      </c>
      <c r="AB117" s="446">
        <v>8.4</v>
      </c>
      <c r="AC117" s="417" t="s">
        <v>865</v>
      </c>
      <c r="AD117" s="447">
        <v>0.1757</v>
      </c>
      <c r="AE117" s="417" t="s">
        <v>866</v>
      </c>
      <c r="AF117" s="416">
        <v>125</v>
      </c>
      <c r="AG117" s="416" t="s">
        <v>867</v>
      </c>
      <c r="AH117" s="446">
        <v>54.1</v>
      </c>
      <c r="AI117" s="416" t="s">
        <v>234</v>
      </c>
      <c r="AJ117" s="416">
        <v>264</v>
      </c>
      <c r="AK117" s="416" t="s">
        <v>461</v>
      </c>
      <c r="AL117" s="426">
        <v>0.67</v>
      </c>
      <c r="AM117" s="416" t="s">
        <v>868</v>
      </c>
      <c r="AN117" s="448">
        <v>0.77429999999999999</v>
      </c>
      <c r="AO117" s="416" t="s">
        <v>869</v>
      </c>
      <c r="AP117" s="446">
        <v>0</v>
      </c>
      <c r="AQ117" s="166"/>
      <c r="AR117" s="166"/>
      <c r="AS117" s="166"/>
      <c r="AT117" s="166"/>
      <c r="AU117" s="363"/>
      <c r="AV117" s="363"/>
      <c r="AW117" s="363"/>
      <c r="AX117" s="363"/>
      <c r="AY117" s="364"/>
      <c r="AZ117" s="365"/>
      <c r="BA117" s="366"/>
    </row>
    <row r="118" spans="1:53">
      <c r="A118" s="2" t="str">
        <f t="shared" si="10"/>
        <v>Res - MF PTA Rebates_Pipe Insulation - Hyd. Boiler Sm &lt;=1.25"</v>
      </c>
      <c r="B118" s="18">
        <v>115</v>
      </c>
      <c r="C118" s="18" t="s">
        <v>722</v>
      </c>
      <c r="D118" s="18" t="s">
        <v>221</v>
      </c>
      <c r="E118" s="23" t="s">
        <v>210</v>
      </c>
      <c r="F118" s="23">
        <v>75</v>
      </c>
      <c r="G118" s="154">
        <v>0.88</v>
      </c>
      <c r="H118" s="469">
        <v>15</v>
      </c>
      <c r="I118" s="458">
        <v>15</v>
      </c>
      <c r="J118" s="23">
        <v>0</v>
      </c>
      <c r="K118" s="23">
        <f t="shared" si="16"/>
        <v>0</v>
      </c>
      <c r="L118" s="23">
        <f t="shared" si="16"/>
        <v>0</v>
      </c>
      <c r="M118" s="23">
        <f t="shared" si="16"/>
        <v>0</v>
      </c>
      <c r="N118" s="394">
        <f>'Pipe Insulation Detail'!$C$44</f>
        <v>2.3011493874643869</v>
      </c>
      <c r="O118" s="215">
        <f t="shared" si="13"/>
        <v>2.3011493874643869</v>
      </c>
      <c r="P118" s="215">
        <f t="shared" si="13"/>
        <v>2.3011493874643869</v>
      </c>
      <c r="Q118" s="215">
        <f t="shared" si="13"/>
        <v>2.3011493874643869</v>
      </c>
      <c r="R118" s="15" t="s">
        <v>838</v>
      </c>
      <c r="S118" s="15" t="s">
        <v>841</v>
      </c>
      <c r="T118" s="15" t="s">
        <v>201</v>
      </c>
      <c r="U118" s="15" t="s">
        <v>200</v>
      </c>
      <c r="V118" s="435" t="s">
        <v>853</v>
      </c>
      <c r="W118" s="166"/>
      <c r="X118" s="166"/>
      <c r="Y118" s="166"/>
      <c r="Z118" s="166"/>
      <c r="AA118" s="158"/>
      <c r="AB118" s="166"/>
      <c r="AC118" s="158"/>
      <c r="AD118" s="166"/>
      <c r="AE118" s="158"/>
      <c r="AF118" s="166"/>
      <c r="AG118" s="166"/>
      <c r="AH118" s="166"/>
      <c r="AI118" s="166"/>
      <c r="AJ118" s="166"/>
      <c r="AK118" s="166"/>
      <c r="AL118" s="166"/>
      <c r="AM118" s="166"/>
      <c r="AN118" s="166"/>
      <c r="AO118" s="166"/>
      <c r="AP118" s="166"/>
      <c r="AQ118" s="166"/>
      <c r="AR118" s="166"/>
      <c r="AS118" s="166"/>
      <c r="AT118" s="166"/>
      <c r="AU118" s="363"/>
      <c r="AV118" s="363"/>
      <c r="AW118" s="363"/>
      <c r="AX118" s="363"/>
      <c r="AY118" s="364"/>
      <c r="AZ118" s="365"/>
      <c r="BA118" s="366"/>
    </row>
    <row r="119" spans="1:53">
      <c r="A119" s="2" t="str">
        <f t="shared" si="10"/>
        <v>Res - MF PTA Rebates_Pipe Insulation - Hyd. Boiler Med 1.25-2"</v>
      </c>
      <c r="B119" s="18">
        <v>116</v>
      </c>
      <c r="C119" s="18" t="s">
        <v>722</v>
      </c>
      <c r="D119" s="18" t="s">
        <v>220</v>
      </c>
      <c r="E119" s="23" t="s">
        <v>210</v>
      </c>
      <c r="F119" s="23">
        <v>75</v>
      </c>
      <c r="G119" s="154">
        <v>0.88</v>
      </c>
      <c r="H119" s="469">
        <v>15</v>
      </c>
      <c r="I119" s="458">
        <v>15</v>
      </c>
      <c r="J119" s="23">
        <v>0</v>
      </c>
      <c r="K119" s="23">
        <f t="shared" si="16"/>
        <v>0</v>
      </c>
      <c r="L119" s="23">
        <f t="shared" si="16"/>
        <v>0</v>
      </c>
      <c r="M119" s="23">
        <f t="shared" si="16"/>
        <v>0</v>
      </c>
      <c r="N119" s="394">
        <f>'Pipe Insulation Detail'!$C$45</f>
        <v>3.6034773504273505</v>
      </c>
      <c r="O119" s="215">
        <f t="shared" si="13"/>
        <v>3.6034773504273505</v>
      </c>
      <c r="P119" s="215">
        <f t="shared" si="13"/>
        <v>3.6034773504273505</v>
      </c>
      <c r="Q119" s="215">
        <f t="shared" si="13"/>
        <v>3.6034773504273505</v>
      </c>
      <c r="R119" s="15" t="s">
        <v>838</v>
      </c>
      <c r="S119" s="15" t="s">
        <v>841</v>
      </c>
      <c r="T119" s="15" t="s">
        <v>201</v>
      </c>
      <c r="U119" s="15" t="s">
        <v>200</v>
      </c>
      <c r="V119" s="435" t="s">
        <v>853</v>
      </c>
      <c r="W119" s="166"/>
      <c r="X119" s="166"/>
      <c r="Y119" s="166"/>
      <c r="Z119" s="166"/>
      <c r="AA119" s="158"/>
      <c r="AB119" s="166"/>
      <c r="AC119" s="158"/>
      <c r="AD119" s="166"/>
      <c r="AE119" s="158"/>
      <c r="AF119" s="166"/>
      <c r="AG119" s="166"/>
      <c r="AH119" s="166"/>
      <c r="AI119" s="166"/>
      <c r="AJ119" s="166"/>
      <c r="AK119" s="166"/>
      <c r="AL119" s="166"/>
      <c r="AM119" s="166"/>
      <c r="AN119" s="166"/>
      <c r="AO119" s="166"/>
      <c r="AP119" s="166"/>
      <c r="AQ119" s="166"/>
      <c r="AR119" s="166"/>
      <c r="AS119" s="166"/>
      <c r="AT119" s="166"/>
      <c r="AU119" s="363"/>
      <c r="AV119" s="363"/>
      <c r="AW119" s="363"/>
      <c r="AX119" s="363"/>
      <c r="AY119" s="364"/>
      <c r="AZ119" s="365"/>
      <c r="BA119" s="366"/>
    </row>
    <row r="120" spans="1:53">
      <c r="A120" s="2" t="str">
        <f t="shared" si="10"/>
        <v>Res - MF PTA Rebates_Pipe Insulation - Hyd. Boiler Large ≥2"</v>
      </c>
      <c r="B120" s="18">
        <v>117</v>
      </c>
      <c r="C120" s="18" t="s">
        <v>722</v>
      </c>
      <c r="D120" s="18" t="s">
        <v>720</v>
      </c>
      <c r="E120" s="23" t="s">
        <v>210</v>
      </c>
      <c r="F120" s="23">
        <v>75</v>
      </c>
      <c r="G120" s="154">
        <v>0.88</v>
      </c>
      <c r="H120" s="469">
        <v>15</v>
      </c>
      <c r="I120" s="458">
        <v>15</v>
      </c>
      <c r="J120" s="23">
        <v>7</v>
      </c>
      <c r="K120" s="23">
        <v>7</v>
      </c>
      <c r="L120" s="23">
        <v>7</v>
      </c>
      <c r="M120" s="23">
        <v>7</v>
      </c>
      <c r="N120" s="394">
        <f>'Pipe Insulation Detail'!$C$46</f>
        <v>6.1867824786324785</v>
      </c>
      <c r="O120" s="215">
        <f t="shared" si="13"/>
        <v>6.1867824786324785</v>
      </c>
      <c r="P120" s="215">
        <f t="shared" si="13"/>
        <v>6.1867824786324785</v>
      </c>
      <c r="Q120" s="215">
        <f t="shared" si="13"/>
        <v>6.1867824786324785</v>
      </c>
      <c r="R120" s="15" t="s">
        <v>838</v>
      </c>
      <c r="S120" s="15" t="s">
        <v>841</v>
      </c>
      <c r="T120" s="15" t="s">
        <v>201</v>
      </c>
      <c r="U120" s="15" t="s">
        <v>200</v>
      </c>
      <c r="V120" s="435" t="s">
        <v>853</v>
      </c>
      <c r="W120" s="166"/>
      <c r="X120" s="166"/>
      <c r="Y120" s="166"/>
      <c r="Z120" s="166"/>
      <c r="AA120" s="158"/>
      <c r="AB120" s="166"/>
      <c r="AC120" s="158"/>
      <c r="AD120" s="166"/>
      <c r="AE120" s="158"/>
      <c r="AF120" s="166"/>
      <c r="AG120" s="166"/>
      <c r="AH120" s="166"/>
      <c r="AI120" s="166"/>
      <c r="AJ120" s="166"/>
      <c r="AK120" s="166"/>
      <c r="AL120" s="166"/>
      <c r="AM120" s="166"/>
      <c r="AN120" s="166"/>
      <c r="AO120" s="166"/>
      <c r="AP120" s="166"/>
      <c r="AQ120" s="166"/>
      <c r="AR120" s="166"/>
      <c r="AS120" s="166"/>
      <c r="AT120" s="166"/>
      <c r="AU120" s="363"/>
      <c r="AV120" s="363"/>
      <c r="AW120" s="363"/>
      <c r="AX120" s="363"/>
      <c r="AY120" s="364"/>
      <c r="AZ120" s="365"/>
      <c r="BA120" s="366"/>
    </row>
    <row r="121" spans="1:53">
      <c r="A121" s="2" t="str">
        <f t="shared" si="10"/>
        <v>Res - MF PTA Rebates_Pipe Insulation - HW Small 1" to 2"</v>
      </c>
      <c r="B121" s="18">
        <v>118</v>
      </c>
      <c r="C121" s="18" t="s">
        <v>722</v>
      </c>
      <c r="D121" s="18" t="s">
        <v>217</v>
      </c>
      <c r="E121" s="23" t="s">
        <v>210</v>
      </c>
      <c r="F121" s="23">
        <v>75</v>
      </c>
      <c r="G121" s="154">
        <v>0.88</v>
      </c>
      <c r="H121" s="469">
        <v>15</v>
      </c>
      <c r="I121" s="458">
        <v>15</v>
      </c>
      <c r="J121" s="23">
        <v>4</v>
      </c>
      <c r="K121" s="23">
        <v>4</v>
      </c>
      <c r="L121" s="23">
        <v>4</v>
      </c>
      <c r="M121" s="23">
        <v>4</v>
      </c>
      <c r="N121" s="394">
        <f>'Pipe Insulation Detail'!$C$47</f>
        <v>3.1358228800964363</v>
      </c>
      <c r="O121" s="215">
        <f t="shared" si="13"/>
        <v>3.1358228800964363</v>
      </c>
      <c r="P121" s="215">
        <f t="shared" si="13"/>
        <v>3.1358228800964363</v>
      </c>
      <c r="Q121" s="215">
        <f t="shared" si="13"/>
        <v>3.1358228800964363</v>
      </c>
      <c r="R121" s="15" t="s">
        <v>838</v>
      </c>
      <c r="S121" s="15" t="s">
        <v>841</v>
      </c>
      <c r="T121" s="15" t="s">
        <v>201</v>
      </c>
      <c r="U121" s="15" t="s">
        <v>200</v>
      </c>
      <c r="V121" s="435" t="s">
        <v>853</v>
      </c>
      <c r="W121" s="166"/>
      <c r="X121" s="166"/>
      <c r="Y121" s="166"/>
      <c r="Z121" s="166"/>
      <c r="AA121" s="158"/>
      <c r="AB121" s="166"/>
      <c r="AC121" s="158"/>
      <c r="AD121" s="166"/>
      <c r="AE121" s="158"/>
      <c r="AF121" s="166"/>
      <c r="AG121" s="166"/>
      <c r="AH121" s="166"/>
      <c r="AI121" s="166"/>
      <c r="AJ121" s="166"/>
      <c r="AK121" s="166"/>
      <c r="AL121" s="166"/>
      <c r="AM121" s="166"/>
      <c r="AN121" s="166"/>
      <c r="AO121" s="166"/>
      <c r="AP121" s="166"/>
      <c r="AQ121" s="166"/>
      <c r="AR121" s="166"/>
      <c r="AS121" s="166"/>
      <c r="AT121" s="166"/>
      <c r="AU121" s="363"/>
      <c r="AV121" s="363"/>
      <c r="AW121" s="363"/>
      <c r="AX121" s="363"/>
      <c r="AY121" s="364"/>
      <c r="AZ121" s="365"/>
      <c r="BA121" s="366"/>
    </row>
    <row r="122" spans="1:53">
      <c r="A122" s="2" t="str">
        <f t="shared" si="10"/>
        <v>Res - MF PTA Rebates_Pipe Insulation - HW Medium 2.1" to 4"</v>
      </c>
      <c r="B122" s="18">
        <v>119</v>
      </c>
      <c r="C122" s="18" t="s">
        <v>722</v>
      </c>
      <c r="D122" s="18" t="s">
        <v>216</v>
      </c>
      <c r="E122" s="23" t="s">
        <v>210</v>
      </c>
      <c r="F122" s="23">
        <v>75</v>
      </c>
      <c r="G122" s="154">
        <v>0.88</v>
      </c>
      <c r="H122" s="469">
        <v>15</v>
      </c>
      <c r="I122" s="458">
        <v>15</v>
      </c>
      <c r="J122" s="23">
        <v>0</v>
      </c>
      <c r="K122" s="23">
        <f t="shared" ref="K122:M123" si="17">J122</f>
        <v>0</v>
      </c>
      <c r="L122" s="23">
        <f t="shared" si="17"/>
        <v>0</v>
      </c>
      <c r="M122" s="23">
        <f t="shared" si="17"/>
        <v>0</v>
      </c>
      <c r="N122" s="394">
        <f>'Pipe Insulation Detail'!$C$48</f>
        <v>6.1942373572810965</v>
      </c>
      <c r="O122" s="215">
        <f t="shared" si="13"/>
        <v>6.1942373572810965</v>
      </c>
      <c r="P122" s="215">
        <f t="shared" si="13"/>
        <v>6.1942373572810965</v>
      </c>
      <c r="Q122" s="215">
        <f t="shared" si="13"/>
        <v>6.1942373572810965</v>
      </c>
      <c r="R122" s="15" t="s">
        <v>838</v>
      </c>
      <c r="S122" s="15" t="s">
        <v>841</v>
      </c>
      <c r="T122" s="15" t="s">
        <v>201</v>
      </c>
      <c r="U122" s="15" t="s">
        <v>200</v>
      </c>
      <c r="V122" s="435" t="s">
        <v>853</v>
      </c>
      <c r="W122" s="166"/>
      <c r="X122" s="166"/>
      <c r="Y122" s="166"/>
      <c r="Z122" s="166"/>
      <c r="AA122" s="158"/>
      <c r="AB122" s="166"/>
      <c r="AC122" s="158"/>
      <c r="AD122" s="166"/>
      <c r="AE122" s="158"/>
      <c r="AF122" s="166"/>
      <c r="AG122" s="166"/>
      <c r="AH122" s="166"/>
      <c r="AI122" s="166"/>
      <c r="AJ122" s="166"/>
      <c r="AK122" s="166"/>
      <c r="AL122" s="166"/>
      <c r="AM122" s="166"/>
      <c r="AN122" s="166"/>
      <c r="AO122" s="166"/>
      <c r="AP122" s="166"/>
      <c r="AQ122" s="166"/>
      <c r="AR122" s="166"/>
      <c r="AS122" s="166"/>
      <c r="AT122" s="166"/>
      <c r="AU122" s="363"/>
      <c r="AV122" s="363"/>
      <c r="AW122" s="363"/>
      <c r="AX122" s="363"/>
      <c r="AY122" s="364"/>
      <c r="AZ122" s="365"/>
      <c r="BA122" s="366"/>
    </row>
    <row r="123" spans="1:53">
      <c r="A123" s="2" t="str">
        <f t="shared" si="10"/>
        <v>Res - MF PTA Rebates_Pipe Insulation - HW Large &gt;4"</v>
      </c>
      <c r="B123" s="18">
        <v>120</v>
      </c>
      <c r="C123" s="18" t="s">
        <v>722</v>
      </c>
      <c r="D123" s="18" t="s">
        <v>215</v>
      </c>
      <c r="E123" s="23" t="s">
        <v>210</v>
      </c>
      <c r="F123" s="23">
        <v>75</v>
      </c>
      <c r="G123" s="154">
        <v>0.88</v>
      </c>
      <c r="H123" s="469">
        <v>15</v>
      </c>
      <c r="I123" s="458">
        <v>15</v>
      </c>
      <c r="J123" s="23">
        <v>0</v>
      </c>
      <c r="K123" s="23">
        <f t="shared" si="17"/>
        <v>0</v>
      </c>
      <c r="L123" s="23">
        <f t="shared" si="17"/>
        <v>0</v>
      </c>
      <c r="M123" s="23">
        <f t="shared" si="17"/>
        <v>0</v>
      </c>
      <c r="N123" s="394">
        <f>'Pipe Insulation Detail'!$C$49</f>
        <v>10.672873287490331</v>
      </c>
      <c r="O123" s="215">
        <f t="shared" si="13"/>
        <v>10.672873287490331</v>
      </c>
      <c r="P123" s="215">
        <f t="shared" si="13"/>
        <v>10.672873287490331</v>
      </c>
      <c r="Q123" s="215">
        <f t="shared" si="13"/>
        <v>10.672873287490331</v>
      </c>
      <c r="R123" s="15" t="s">
        <v>838</v>
      </c>
      <c r="S123" s="15" t="s">
        <v>841</v>
      </c>
      <c r="T123" s="15" t="s">
        <v>201</v>
      </c>
      <c r="U123" s="15" t="s">
        <v>200</v>
      </c>
      <c r="V123" s="435" t="s">
        <v>853</v>
      </c>
      <c r="W123" s="166"/>
      <c r="X123" s="166"/>
      <c r="Y123" s="166"/>
      <c r="Z123" s="166"/>
      <c r="AA123" s="158"/>
      <c r="AB123" s="166"/>
      <c r="AC123" s="158"/>
      <c r="AD123" s="166"/>
      <c r="AE123" s="158"/>
      <c r="AF123" s="166"/>
      <c r="AG123" s="166"/>
      <c r="AH123" s="166"/>
      <c r="AI123" s="166"/>
      <c r="AJ123" s="166"/>
      <c r="AK123" s="166"/>
      <c r="AL123" s="166"/>
      <c r="AM123" s="166"/>
      <c r="AN123" s="166"/>
      <c r="AO123" s="166"/>
      <c r="AP123" s="166"/>
      <c r="AQ123" s="166"/>
      <c r="AR123" s="166"/>
      <c r="AS123" s="166"/>
      <c r="AT123" s="166"/>
      <c r="AU123" s="363"/>
      <c r="AV123" s="363"/>
      <c r="AW123" s="363"/>
      <c r="AX123" s="363"/>
      <c r="AY123" s="364"/>
      <c r="AZ123" s="365"/>
      <c r="BA123" s="366"/>
    </row>
    <row r="124" spans="1:53">
      <c r="A124" s="2" t="str">
        <f t="shared" si="10"/>
        <v>Res - MF PTA Rebates_Pipe Insulation - Steam - Small 1" to 2"</v>
      </c>
      <c r="B124" s="18">
        <v>121</v>
      </c>
      <c r="C124" s="18" t="s">
        <v>722</v>
      </c>
      <c r="D124" s="18" t="s">
        <v>214</v>
      </c>
      <c r="E124" s="23" t="s">
        <v>210</v>
      </c>
      <c r="F124" s="23">
        <v>75</v>
      </c>
      <c r="G124" s="154">
        <v>0.88</v>
      </c>
      <c r="H124" s="469">
        <v>15</v>
      </c>
      <c r="I124" s="458">
        <v>15</v>
      </c>
      <c r="J124" s="23">
        <v>5</v>
      </c>
      <c r="K124" s="23">
        <v>5</v>
      </c>
      <c r="L124" s="23">
        <v>5</v>
      </c>
      <c r="M124" s="23">
        <v>5</v>
      </c>
      <c r="N124" s="394">
        <f>'Pipe Insulation Detail'!$C$50</f>
        <v>3.967097058288509</v>
      </c>
      <c r="O124" s="215">
        <f t="shared" si="13"/>
        <v>3.967097058288509</v>
      </c>
      <c r="P124" s="215">
        <f t="shared" si="13"/>
        <v>3.967097058288509</v>
      </c>
      <c r="Q124" s="215">
        <f t="shared" si="13"/>
        <v>3.967097058288509</v>
      </c>
      <c r="R124" s="15" t="s">
        <v>838</v>
      </c>
      <c r="S124" s="15" t="s">
        <v>841</v>
      </c>
      <c r="T124" s="15" t="s">
        <v>201</v>
      </c>
      <c r="U124" s="15" t="s">
        <v>200</v>
      </c>
      <c r="V124" s="435" t="s">
        <v>853</v>
      </c>
      <c r="W124" s="166"/>
      <c r="X124" s="166"/>
      <c r="Y124" s="166"/>
      <c r="Z124" s="166"/>
      <c r="AA124" s="158"/>
      <c r="AB124" s="166"/>
      <c r="AC124" s="158"/>
      <c r="AD124" s="166"/>
      <c r="AE124" s="158"/>
      <c r="AF124" s="166"/>
      <c r="AG124" s="166"/>
      <c r="AH124" s="166"/>
      <c r="AI124" s="166"/>
      <c r="AJ124" s="166"/>
      <c r="AK124" s="166"/>
      <c r="AL124" s="166"/>
      <c r="AM124" s="166"/>
      <c r="AN124" s="166"/>
      <c r="AO124" s="166"/>
      <c r="AP124" s="166"/>
      <c r="AQ124" s="166"/>
      <c r="AR124" s="166"/>
      <c r="AS124" s="166"/>
      <c r="AT124" s="166"/>
      <c r="AU124" s="363"/>
      <c r="AV124" s="363"/>
      <c r="AW124" s="363"/>
      <c r="AX124" s="363"/>
      <c r="AY124" s="364"/>
      <c r="AZ124" s="365"/>
      <c r="BA124" s="366"/>
    </row>
    <row r="125" spans="1:53">
      <c r="A125" s="2" t="str">
        <f t="shared" si="10"/>
        <v>Res - MF PTA Rebates_Pipe Insulation - Steam - Med 2.1" to 5"</v>
      </c>
      <c r="B125" s="18">
        <v>122</v>
      </c>
      <c r="C125" s="18" t="s">
        <v>722</v>
      </c>
      <c r="D125" s="18" t="s">
        <v>213</v>
      </c>
      <c r="E125" s="23" t="s">
        <v>210</v>
      </c>
      <c r="F125" s="23">
        <v>75</v>
      </c>
      <c r="G125" s="154">
        <v>0.88</v>
      </c>
      <c r="H125" s="469">
        <v>15</v>
      </c>
      <c r="I125" s="458">
        <v>15</v>
      </c>
      <c r="J125" s="23">
        <v>2</v>
      </c>
      <c r="K125" s="23">
        <v>2</v>
      </c>
      <c r="L125" s="23">
        <v>2</v>
      </c>
      <c r="M125" s="23">
        <v>2</v>
      </c>
      <c r="N125" s="394">
        <f>'Pipe Insulation Detail'!$C$51</f>
        <v>13.577404706790121</v>
      </c>
      <c r="O125" s="215">
        <f t="shared" ref="O125:Q144" si="18">N125</f>
        <v>13.577404706790121</v>
      </c>
      <c r="P125" s="215">
        <f t="shared" si="18"/>
        <v>13.577404706790121</v>
      </c>
      <c r="Q125" s="215">
        <f t="shared" si="18"/>
        <v>13.577404706790121</v>
      </c>
      <c r="R125" s="15" t="s">
        <v>838</v>
      </c>
      <c r="S125" s="15" t="s">
        <v>841</v>
      </c>
      <c r="T125" s="15" t="s">
        <v>201</v>
      </c>
      <c r="U125" s="15" t="s">
        <v>200</v>
      </c>
      <c r="V125" s="435" t="s">
        <v>853</v>
      </c>
      <c r="W125" s="166"/>
      <c r="X125" s="166"/>
      <c r="Y125" s="166"/>
      <c r="Z125" s="166"/>
      <c r="AA125" s="158"/>
      <c r="AB125" s="166"/>
      <c r="AC125" s="158"/>
      <c r="AD125" s="166"/>
      <c r="AE125" s="158"/>
      <c r="AF125" s="166"/>
      <c r="AG125" s="166"/>
      <c r="AH125" s="166"/>
      <c r="AI125" s="166"/>
      <c r="AJ125" s="166"/>
      <c r="AK125" s="166"/>
      <c r="AL125" s="166"/>
      <c r="AM125" s="166"/>
      <c r="AN125" s="166"/>
      <c r="AO125" s="166"/>
      <c r="AP125" s="166"/>
      <c r="AQ125" s="166"/>
      <c r="AR125" s="166"/>
      <c r="AS125" s="166"/>
      <c r="AT125" s="166"/>
      <c r="AU125" s="363"/>
      <c r="AV125" s="363"/>
      <c r="AW125" s="363"/>
      <c r="AX125" s="363"/>
      <c r="AY125" s="364"/>
      <c r="AZ125" s="365"/>
      <c r="BA125" s="366"/>
    </row>
    <row r="126" spans="1:53">
      <c r="A126" s="2" t="str">
        <f t="shared" si="10"/>
        <v>Res - MF PTA Rebates_Pipe Insulation - Steam - Large 5.1" to 8"</v>
      </c>
      <c r="B126" s="18">
        <v>123</v>
      </c>
      <c r="C126" s="18" t="s">
        <v>722</v>
      </c>
      <c r="D126" s="18" t="s">
        <v>212</v>
      </c>
      <c r="E126" s="23" t="s">
        <v>210</v>
      </c>
      <c r="F126" s="23">
        <v>75</v>
      </c>
      <c r="G126" s="154">
        <v>0.88</v>
      </c>
      <c r="H126" s="469">
        <v>15</v>
      </c>
      <c r="I126" s="458">
        <v>15</v>
      </c>
      <c r="J126" s="23">
        <v>0</v>
      </c>
      <c r="K126" s="23">
        <f t="shared" ref="K126:M140" si="19">J126</f>
        <v>0</v>
      </c>
      <c r="L126" s="23">
        <f t="shared" si="19"/>
        <v>0</v>
      </c>
      <c r="M126" s="23">
        <f t="shared" si="19"/>
        <v>0</v>
      </c>
      <c r="N126" s="394">
        <f>'Pipe Insulation Detail'!$C$52</f>
        <v>30.207245887345675</v>
      </c>
      <c r="O126" s="215">
        <f t="shared" si="18"/>
        <v>30.207245887345675</v>
      </c>
      <c r="P126" s="215">
        <f t="shared" si="18"/>
        <v>30.207245887345675</v>
      </c>
      <c r="Q126" s="215">
        <f t="shared" si="18"/>
        <v>30.207245887345675</v>
      </c>
      <c r="R126" s="15" t="s">
        <v>838</v>
      </c>
      <c r="S126" s="15" t="s">
        <v>841</v>
      </c>
      <c r="T126" s="15" t="s">
        <v>201</v>
      </c>
      <c r="U126" s="15" t="s">
        <v>200</v>
      </c>
      <c r="V126" s="435" t="s">
        <v>853</v>
      </c>
      <c r="W126" s="166"/>
      <c r="X126" s="166"/>
      <c r="Y126" s="166"/>
      <c r="Z126" s="166"/>
      <c r="AA126" s="158"/>
      <c r="AB126" s="166"/>
      <c r="AC126" s="158"/>
      <c r="AD126" s="166"/>
      <c r="AE126" s="158"/>
      <c r="AF126" s="166"/>
      <c r="AG126" s="166"/>
      <c r="AH126" s="166"/>
      <c r="AI126" s="166"/>
      <c r="AJ126" s="166"/>
      <c r="AK126" s="166"/>
      <c r="AL126" s="166"/>
      <c r="AM126" s="166"/>
      <c r="AN126" s="166"/>
      <c r="AO126" s="166"/>
      <c r="AP126" s="166"/>
      <c r="AQ126" s="166"/>
      <c r="AR126" s="166"/>
      <c r="AS126" s="166"/>
      <c r="AT126" s="166"/>
      <c r="AU126" s="363"/>
      <c r="AV126" s="363"/>
      <c r="AW126" s="363"/>
      <c r="AX126" s="363"/>
      <c r="AY126" s="364"/>
      <c r="AZ126" s="365"/>
      <c r="BA126" s="366"/>
    </row>
    <row r="127" spans="1:53">
      <c r="A127" s="2" t="str">
        <f t="shared" si="10"/>
        <v>Res - MF PTA Rebates_Pipe Insulation - Steam - X-Large &gt;8"</v>
      </c>
      <c r="B127" s="18">
        <v>124</v>
      </c>
      <c r="C127" s="18" t="s">
        <v>722</v>
      </c>
      <c r="D127" s="18" t="s">
        <v>211</v>
      </c>
      <c r="E127" s="23" t="s">
        <v>210</v>
      </c>
      <c r="F127" s="23">
        <v>75</v>
      </c>
      <c r="G127" s="154">
        <v>0.88</v>
      </c>
      <c r="H127" s="469">
        <v>15</v>
      </c>
      <c r="I127" s="458">
        <v>15</v>
      </c>
      <c r="J127" s="23">
        <v>0</v>
      </c>
      <c r="K127" s="23">
        <f t="shared" si="19"/>
        <v>0</v>
      </c>
      <c r="L127" s="23">
        <f t="shared" si="19"/>
        <v>0</v>
      </c>
      <c r="M127" s="23">
        <f t="shared" si="19"/>
        <v>0</v>
      </c>
      <c r="N127" s="394">
        <f>'Pipe Insulation Detail'!$C$53</f>
        <v>44.814401171573145</v>
      </c>
      <c r="O127" s="215">
        <f t="shared" si="18"/>
        <v>44.814401171573145</v>
      </c>
      <c r="P127" s="215">
        <f t="shared" si="18"/>
        <v>44.814401171573145</v>
      </c>
      <c r="Q127" s="215">
        <f t="shared" si="18"/>
        <v>44.814401171573145</v>
      </c>
      <c r="R127" s="15" t="s">
        <v>838</v>
      </c>
      <c r="S127" s="15" t="s">
        <v>841</v>
      </c>
      <c r="T127" s="15" t="s">
        <v>201</v>
      </c>
      <c r="U127" s="15" t="s">
        <v>200</v>
      </c>
      <c r="V127" s="435" t="s">
        <v>853</v>
      </c>
      <c r="W127" s="166"/>
      <c r="X127" s="166"/>
      <c r="Y127" s="166"/>
      <c r="Z127" s="166"/>
      <c r="AA127" s="158"/>
      <c r="AB127" s="166"/>
      <c r="AC127" s="158"/>
      <c r="AD127" s="166"/>
      <c r="AE127" s="158"/>
      <c r="AF127" s="166"/>
      <c r="AG127" s="166"/>
      <c r="AH127" s="166"/>
      <c r="AI127" s="166"/>
      <c r="AJ127" s="166"/>
      <c r="AK127" s="166"/>
      <c r="AL127" s="166"/>
      <c r="AM127" s="166"/>
      <c r="AN127" s="166"/>
      <c r="AO127" s="166"/>
      <c r="AP127" s="166"/>
      <c r="AQ127" s="166"/>
      <c r="AR127" s="166"/>
      <c r="AS127" s="166"/>
      <c r="AT127" s="166"/>
      <c r="AU127" s="363"/>
      <c r="AV127" s="363"/>
      <c r="AW127" s="363"/>
      <c r="AX127" s="363"/>
      <c r="AY127" s="364"/>
      <c r="AZ127" s="365"/>
      <c r="BA127" s="366"/>
    </row>
    <row r="128" spans="1:53">
      <c r="A128" s="2" t="str">
        <f t="shared" si="10"/>
        <v>Res - MF PTA Rebates_Pipe Insulation - Steam Med Fitting</v>
      </c>
      <c r="B128" s="18">
        <v>125</v>
      </c>
      <c r="C128" s="18" t="s">
        <v>722</v>
      </c>
      <c r="D128" s="18" t="s">
        <v>208</v>
      </c>
      <c r="E128" s="23" t="s">
        <v>150</v>
      </c>
      <c r="F128" s="23">
        <v>1</v>
      </c>
      <c r="G128" s="154">
        <v>0.88</v>
      </c>
      <c r="H128" s="469">
        <v>15</v>
      </c>
      <c r="I128" s="458">
        <v>15</v>
      </c>
      <c r="J128" s="23">
        <v>0</v>
      </c>
      <c r="K128" s="23">
        <f t="shared" si="19"/>
        <v>0</v>
      </c>
      <c r="L128" s="23">
        <f t="shared" si="19"/>
        <v>0</v>
      </c>
      <c r="M128" s="23">
        <f t="shared" si="19"/>
        <v>0</v>
      </c>
      <c r="N128" s="394">
        <f>'Pipe Insulation Detail'!$C$55</f>
        <v>15.586033402860688</v>
      </c>
      <c r="O128" s="215">
        <f t="shared" si="18"/>
        <v>15.586033402860688</v>
      </c>
      <c r="P128" s="215">
        <f t="shared" si="18"/>
        <v>15.586033402860688</v>
      </c>
      <c r="Q128" s="215">
        <f t="shared" si="18"/>
        <v>15.586033402860688</v>
      </c>
      <c r="R128" s="15" t="s">
        <v>838</v>
      </c>
      <c r="S128" s="15" t="s">
        <v>841</v>
      </c>
      <c r="T128" s="15" t="s">
        <v>201</v>
      </c>
      <c r="U128" s="15" t="s">
        <v>200</v>
      </c>
      <c r="V128" s="435" t="s">
        <v>853</v>
      </c>
      <c r="W128" s="166"/>
      <c r="X128" s="166"/>
      <c r="Y128" s="166"/>
      <c r="Z128" s="166"/>
      <c r="AA128" s="158"/>
      <c r="AB128" s="166"/>
      <c r="AC128" s="158"/>
      <c r="AD128" s="166"/>
      <c r="AE128" s="158"/>
      <c r="AF128" s="166"/>
      <c r="AG128" s="166"/>
      <c r="AH128" s="166"/>
      <c r="AI128" s="166"/>
      <c r="AJ128" s="166"/>
      <c r="AK128" s="166"/>
      <c r="AL128" s="166"/>
      <c r="AM128" s="166"/>
      <c r="AN128" s="166"/>
      <c r="AO128" s="166"/>
      <c r="AP128" s="166"/>
      <c r="AQ128" s="166"/>
      <c r="AR128" s="166"/>
      <c r="AS128" s="166"/>
      <c r="AT128" s="166"/>
      <c r="AU128" s="363"/>
      <c r="AV128" s="363"/>
      <c r="AW128" s="363"/>
      <c r="AX128" s="363"/>
      <c r="AY128" s="364"/>
      <c r="AZ128" s="365"/>
      <c r="BA128" s="366"/>
    </row>
    <row r="129" spans="1:53">
      <c r="A129" s="2" t="str">
        <f t="shared" si="10"/>
        <v>Res - MF PTA Rebates_Pipe Insulation - Steam Large Fitting</v>
      </c>
      <c r="B129" s="18">
        <v>126</v>
      </c>
      <c r="C129" s="18" t="s">
        <v>722</v>
      </c>
      <c r="D129" s="18" t="s">
        <v>207</v>
      </c>
      <c r="E129" s="23" t="s">
        <v>150</v>
      </c>
      <c r="F129" s="23">
        <v>1</v>
      </c>
      <c r="G129" s="154">
        <v>0.88</v>
      </c>
      <c r="H129" s="469">
        <v>15</v>
      </c>
      <c r="I129" s="458">
        <v>15</v>
      </c>
      <c r="J129" s="23">
        <v>0</v>
      </c>
      <c r="K129" s="23">
        <f t="shared" si="19"/>
        <v>0</v>
      </c>
      <c r="L129" s="23">
        <f t="shared" si="19"/>
        <v>0</v>
      </c>
      <c r="M129" s="23">
        <f t="shared" si="19"/>
        <v>0</v>
      </c>
      <c r="N129" s="394">
        <f>'Pipe Insulation Detail'!$C$56</f>
        <v>63.824627950912159</v>
      </c>
      <c r="O129" s="215">
        <f t="shared" si="18"/>
        <v>63.824627950912159</v>
      </c>
      <c r="P129" s="215">
        <f t="shared" si="18"/>
        <v>63.824627950912159</v>
      </c>
      <c r="Q129" s="215">
        <f t="shared" si="18"/>
        <v>63.824627950912159</v>
      </c>
      <c r="R129" s="15" t="s">
        <v>838</v>
      </c>
      <c r="S129" s="15" t="s">
        <v>841</v>
      </c>
      <c r="T129" s="15" t="s">
        <v>201</v>
      </c>
      <c r="U129" s="15" t="s">
        <v>200</v>
      </c>
      <c r="V129" s="435" t="s">
        <v>853</v>
      </c>
      <c r="W129" s="166"/>
      <c r="X129" s="166"/>
      <c r="Y129" s="166"/>
      <c r="Z129" s="166"/>
      <c r="AA129" s="158"/>
      <c r="AB129" s="166"/>
      <c r="AC129" s="158"/>
      <c r="AD129" s="166"/>
      <c r="AE129" s="158"/>
      <c r="AF129" s="166"/>
      <c r="AG129" s="166"/>
      <c r="AH129" s="166"/>
      <c r="AI129" s="166"/>
      <c r="AJ129" s="166"/>
      <c r="AK129" s="166"/>
      <c r="AL129" s="166"/>
      <c r="AM129" s="166"/>
      <c r="AN129" s="166"/>
      <c r="AO129" s="166"/>
      <c r="AP129" s="166"/>
      <c r="AQ129" s="166"/>
      <c r="AR129" s="166"/>
      <c r="AS129" s="166"/>
      <c r="AT129" s="166"/>
      <c r="AU129" s="363"/>
      <c r="AV129" s="363"/>
      <c r="AW129" s="363"/>
      <c r="AX129" s="363"/>
      <c r="AY129" s="364"/>
      <c r="AZ129" s="365"/>
      <c r="BA129" s="366"/>
    </row>
    <row r="130" spans="1:53">
      <c r="A130" s="2" t="str">
        <f t="shared" si="10"/>
        <v>Res - MF PTA Rebates_Pipe Insulation - Steam X-Large Fitting</v>
      </c>
      <c r="B130" s="18">
        <v>127</v>
      </c>
      <c r="C130" s="18" t="s">
        <v>722</v>
      </c>
      <c r="D130" s="18" t="s">
        <v>206</v>
      </c>
      <c r="E130" s="23" t="s">
        <v>150</v>
      </c>
      <c r="F130" s="23">
        <v>1</v>
      </c>
      <c r="G130" s="154">
        <v>0.88</v>
      </c>
      <c r="H130" s="469">
        <v>15</v>
      </c>
      <c r="I130" s="458">
        <v>15</v>
      </c>
      <c r="J130" s="23">
        <v>0</v>
      </c>
      <c r="K130" s="23">
        <f t="shared" si="19"/>
        <v>0</v>
      </c>
      <c r="L130" s="23">
        <f t="shared" si="19"/>
        <v>0</v>
      </c>
      <c r="M130" s="23">
        <f t="shared" si="19"/>
        <v>0</v>
      </c>
      <c r="N130" s="394">
        <f>'Pipe Insulation Detail'!$C$57</f>
        <v>123.46367522768401</v>
      </c>
      <c r="O130" s="215">
        <f t="shared" si="18"/>
        <v>123.46367522768401</v>
      </c>
      <c r="P130" s="215">
        <f t="shared" si="18"/>
        <v>123.46367522768401</v>
      </c>
      <c r="Q130" s="215">
        <f t="shared" si="18"/>
        <v>123.46367522768401</v>
      </c>
      <c r="R130" s="15" t="s">
        <v>838</v>
      </c>
      <c r="S130" s="15" t="s">
        <v>841</v>
      </c>
      <c r="T130" s="15" t="s">
        <v>201</v>
      </c>
      <c r="U130" s="15" t="s">
        <v>200</v>
      </c>
      <c r="V130" s="435" t="s">
        <v>853</v>
      </c>
      <c r="W130" s="166"/>
      <c r="X130" s="166"/>
      <c r="Y130" s="166"/>
      <c r="Z130" s="166"/>
      <c r="AA130" s="158"/>
      <c r="AB130" s="166"/>
      <c r="AC130" s="158"/>
      <c r="AD130" s="166"/>
      <c r="AE130" s="158"/>
      <c r="AF130" s="166"/>
      <c r="AG130" s="166"/>
      <c r="AH130" s="166"/>
      <c r="AI130" s="166"/>
      <c r="AJ130" s="166"/>
      <c r="AK130" s="166"/>
      <c r="AL130" s="166"/>
      <c r="AM130" s="166"/>
      <c r="AN130" s="166"/>
      <c r="AO130" s="166"/>
      <c r="AP130" s="166"/>
      <c r="AQ130" s="166"/>
      <c r="AR130" s="166"/>
      <c r="AS130" s="166"/>
      <c r="AT130" s="166"/>
      <c r="AU130" s="363"/>
      <c r="AV130" s="363"/>
      <c r="AW130" s="363"/>
      <c r="AX130" s="363"/>
      <c r="AY130" s="364"/>
      <c r="AZ130" s="365"/>
      <c r="BA130" s="366"/>
    </row>
    <row r="131" spans="1:53">
      <c r="A131" s="2" t="str">
        <f t="shared" si="10"/>
        <v>Res - MF PTA Rebates_Pipe Insulation - Steam Med Valve</v>
      </c>
      <c r="B131" s="18">
        <v>128</v>
      </c>
      <c r="C131" s="18" t="s">
        <v>722</v>
      </c>
      <c r="D131" s="18" t="s">
        <v>204</v>
      </c>
      <c r="E131" s="23" t="s">
        <v>150</v>
      </c>
      <c r="F131" s="23">
        <v>1</v>
      </c>
      <c r="G131" s="154">
        <v>0.88</v>
      </c>
      <c r="H131" s="469">
        <v>15</v>
      </c>
      <c r="I131" s="458">
        <v>15</v>
      </c>
      <c r="J131" s="23">
        <v>0</v>
      </c>
      <c r="K131" s="23">
        <f t="shared" si="19"/>
        <v>0</v>
      </c>
      <c r="L131" s="23">
        <f t="shared" si="19"/>
        <v>0</v>
      </c>
      <c r="M131" s="23">
        <f t="shared" si="19"/>
        <v>0</v>
      </c>
      <c r="N131" s="394">
        <f>'Pipe Insulation Detail'!$C$59</f>
        <v>46.605980670745772</v>
      </c>
      <c r="O131" s="215">
        <f t="shared" si="18"/>
        <v>46.605980670745772</v>
      </c>
      <c r="P131" s="215">
        <f t="shared" si="18"/>
        <v>46.605980670745772</v>
      </c>
      <c r="Q131" s="215">
        <f t="shared" si="18"/>
        <v>46.605980670745772</v>
      </c>
      <c r="R131" s="15" t="s">
        <v>838</v>
      </c>
      <c r="S131" s="15" t="s">
        <v>841</v>
      </c>
      <c r="T131" s="15" t="s">
        <v>201</v>
      </c>
      <c r="U131" s="15" t="s">
        <v>200</v>
      </c>
      <c r="V131" s="435" t="s">
        <v>853</v>
      </c>
      <c r="W131" s="166"/>
      <c r="X131" s="166"/>
      <c r="Y131" s="166"/>
      <c r="Z131" s="166"/>
      <c r="AA131" s="158"/>
      <c r="AB131" s="166"/>
      <c r="AC131" s="158"/>
      <c r="AD131" s="166"/>
      <c r="AE131" s="158"/>
      <c r="AF131" s="166"/>
      <c r="AG131" s="166"/>
      <c r="AH131" s="166"/>
      <c r="AI131" s="166"/>
      <c r="AJ131" s="166"/>
      <c r="AK131" s="166"/>
      <c r="AL131" s="166"/>
      <c r="AM131" s="166"/>
      <c r="AN131" s="166"/>
      <c r="AO131" s="166"/>
      <c r="AP131" s="166"/>
      <c r="AQ131" s="166"/>
      <c r="AR131" s="166"/>
      <c r="AS131" s="166"/>
      <c r="AT131" s="166"/>
      <c r="AU131" s="363"/>
      <c r="AV131" s="363"/>
      <c r="AW131" s="363"/>
      <c r="AX131" s="363"/>
      <c r="AY131" s="364"/>
      <c r="AZ131" s="365"/>
      <c r="BA131" s="366"/>
    </row>
    <row r="132" spans="1:53">
      <c r="A132" s="2" t="str">
        <f t="shared" si="10"/>
        <v>Res - MF PTA Rebates_Pipe Insulation - Steam Large Valve</v>
      </c>
      <c r="B132" s="18">
        <v>129</v>
      </c>
      <c r="C132" s="18" t="s">
        <v>722</v>
      </c>
      <c r="D132" s="18" t="s">
        <v>203</v>
      </c>
      <c r="E132" s="23" t="s">
        <v>150</v>
      </c>
      <c r="F132" s="23">
        <v>1</v>
      </c>
      <c r="G132" s="154">
        <v>0.88</v>
      </c>
      <c r="H132" s="469">
        <v>15</v>
      </c>
      <c r="I132" s="458">
        <v>15</v>
      </c>
      <c r="J132" s="23">
        <v>0</v>
      </c>
      <c r="K132" s="23">
        <f t="shared" si="19"/>
        <v>0</v>
      </c>
      <c r="L132" s="23">
        <f t="shared" si="19"/>
        <v>0</v>
      </c>
      <c r="M132" s="23">
        <f t="shared" si="19"/>
        <v>0</v>
      </c>
      <c r="N132" s="394">
        <f>'Pipe Insulation Detail'!$C$60</f>
        <v>133.90978522057964</v>
      </c>
      <c r="O132" s="215">
        <f t="shared" si="18"/>
        <v>133.90978522057964</v>
      </c>
      <c r="P132" s="215">
        <f t="shared" si="18"/>
        <v>133.90978522057964</v>
      </c>
      <c r="Q132" s="215">
        <f t="shared" si="18"/>
        <v>133.90978522057964</v>
      </c>
      <c r="R132" s="15" t="s">
        <v>838</v>
      </c>
      <c r="S132" s="15" t="s">
        <v>841</v>
      </c>
      <c r="T132" s="15" t="s">
        <v>201</v>
      </c>
      <c r="U132" s="15" t="s">
        <v>200</v>
      </c>
      <c r="V132" s="435" t="s">
        <v>853</v>
      </c>
      <c r="W132" s="166"/>
      <c r="X132" s="166"/>
      <c r="Y132" s="166"/>
      <c r="Z132" s="166"/>
      <c r="AA132" s="158"/>
      <c r="AB132" s="166"/>
      <c r="AC132" s="158"/>
      <c r="AD132" s="166"/>
      <c r="AE132" s="158"/>
      <c r="AF132" s="166"/>
      <c r="AG132" s="166"/>
      <c r="AH132" s="166"/>
      <c r="AI132" s="166"/>
      <c r="AJ132" s="166"/>
      <c r="AK132" s="166"/>
      <c r="AL132" s="166"/>
      <c r="AM132" s="166"/>
      <c r="AN132" s="166"/>
      <c r="AO132" s="166"/>
      <c r="AP132" s="166"/>
      <c r="AQ132" s="166"/>
      <c r="AR132" s="166"/>
      <c r="AS132" s="166"/>
      <c r="AT132" s="166"/>
      <c r="AU132" s="363"/>
      <c r="AV132" s="363"/>
      <c r="AW132" s="363"/>
      <c r="AX132" s="363"/>
      <c r="AY132" s="364"/>
      <c r="AZ132" s="365"/>
      <c r="BA132" s="366"/>
    </row>
    <row r="133" spans="1:53">
      <c r="A133" s="2" t="str">
        <f t="shared" ref="A133:A196" si="20">C133&amp;"_"&amp;D133</f>
        <v>Res - MF PTA Rebates_Pipe Insulation - Steam X-Large Valve</v>
      </c>
      <c r="B133" s="18">
        <v>130</v>
      </c>
      <c r="C133" s="18" t="s">
        <v>722</v>
      </c>
      <c r="D133" s="18" t="s">
        <v>202</v>
      </c>
      <c r="E133" s="23" t="s">
        <v>150</v>
      </c>
      <c r="F133" s="23">
        <v>1</v>
      </c>
      <c r="G133" s="154">
        <v>0.88</v>
      </c>
      <c r="H133" s="469">
        <v>15</v>
      </c>
      <c r="I133" s="458">
        <v>15</v>
      </c>
      <c r="J133" s="23">
        <v>0</v>
      </c>
      <c r="K133" s="23">
        <f t="shared" si="19"/>
        <v>0</v>
      </c>
      <c r="L133" s="23">
        <f t="shared" si="19"/>
        <v>0</v>
      </c>
      <c r="M133" s="23">
        <f t="shared" si="19"/>
        <v>0</v>
      </c>
      <c r="N133" s="394">
        <f>'Pipe Insulation Detail'!$C$61</f>
        <v>218.0177023221575</v>
      </c>
      <c r="O133" s="215">
        <f t="shared" si="18"/>
        <v>218.0177023221575</v>
      </c>
      <c r="P133" s="215">
        <f t="shared" si="18"/>
        <v>218.0177023221575</v>
      </c>
      <c r="Q133" s="215">
        <f t="shared" si="18"/>
        <v>218.0177023221575</v>
      </c>
      <c r="R133" s="15" t="s">
        <v>838</v>
      </c>
      <c r="S133" s="15" t="s">
        <v>841</v>
      </c>
      <c r="T133" s="15" t="s">
        <v>201</v>
      </c>
      <c r="U133" s="15" t="s">
        <v>200</v>
      </c>
      <c r="V133" s="435" t="s">
        <v>853</v>
      </c>
      <c r="W133" s="166"/>
      <c r="X133" s="166"/>
      <c r="Y133" s="166"/>
      <c r="Z133" s="166"/>
      <c r="AA133" s="158"/>
      <c r="AB133" s="166"/>
      <c r="AC133" s="158"/>
      <c r="AD133" s="166"/>
      <c r="AE133" s="158"/>
      <c r="AF133" s="166"/>
      <c r="AG133" s="166"/>
      <c r="AH133" s="166"/>
      <c r="AI133" s="166"/>
      <c r="AJ133" s="166"/>
      <c r="AK133" s="166"/>
      <c r="AL133" s="166"/>
      <c r="AM133" s="166"/>
      <c r="AN133" s="166"/>
      <c r="AO133" s="166"/>
      <c r="AP133" s="166"/>
      <c r="AQ133" s="166"/>
      <c r="AR133" s="166"/>
      <c r="AS133" s="166"/>
      <c r="AT133" s="166"/>
      <c r="AU133" s="363"/>
      <c r="AV133" s="363"/>
      <c r="AW133" s="363"/>
      <c r="AX133" s="363"/>
      <c r="AY133" s="364"/>
      <c r="AZ133" s="365"/>
      <c r="BA133" s="366"/>
    </row>
    <row r="134" spans="1:53">
      <c r="A134" s="2" t="str">
        <f t="shared" si="20"/>
        <v>Res - MF PTA Rebates_Steam Boiler ≥82% AFUE, &gt;300MBh TE</v>
      </c>
      <c r="B134" s="18">
        <v>131</v>
      </c>
      <c r="C134" s="18" t="s">
        <v>722</v>
      </c>
      <c r="D134" s="18" t="s">
        <v>723</v>
      </c>
      <c r="E134" s="23" t="s">
        <v>240</v>
      </c>
      <c r="F134" s="23">
        <v>450</v>
      </c>
      <c r="G134" s="154">
        <v>0.88</v>
      </c>
      <c r="H134" s="469">
        <v>20</v>
      </c>
      <c r="I134" s="458">
        <v>20</v>
      </c>
      <c r="J134" s="23">
        <v>0</v>
      </c>
      <c r="K134" s="23">
        <f t="shared" si="19"/>
        <v>0</v>
      </c>
      <c r="L134" s="23">
        <f t="shared" si="19"/>
        <v>0</v>
      </c>
      <c r="M134" s="23">
        <f t="shared" si="19"/>
        <v>0</v>
      </c>
      <c r="N134" s="394">
        <f>X134*Z134*((AB134-AD134)/AD134)/100000/F134</f>
        <v>0.67670886075949166</v>
      </c>
      <c r="O134" s="215">
        <f t="shared" si="18"/>
        <v>0.67670886075949166</v>
      </c>
      <c r="P134" s="215">
        <f t="shared" si="18"/>
        <v>0.67670886075949166</v>
      </c>
      <c r="Q134" s="215">
        <f t="shared" si="18"/>
        <v>0.67670886075949166</v>
      </c>
      <c r="R134" s="15" t="s">
        <v>839</v>
      </c>
      <c r="S134" s="15" t="s">
        <v>841</v>
      </c>
      <c r="T134" s="15" t="s">
        <v>343</v>
      </c>
      <c r="U134" s="15" t="s">
        <v>342</v>
      </c>
      <c r="V134" s="166" t="s">
        <v>340</v>
      </c>
      <c r="W134" s="490" t="s">
        <v>302</v>
      </c>
      <c r="X134" s="491">
        <v>1782</v>
      </c>
      <c r="Y134" s="158" t="s">
        <v>273</v>
      </c>
      <c r="Z134" s="420">
        <v>450000</v>
      </c>
      <c r="AA134" s="158" t="s">
        <v>341</v>
      </c>
      <c r="AB134" s="430">
        <v>0.82</v>
      </c>
      <c r="AC134" s="166" t="s">
        <v>248</v>
      </c>
      <c r="AD134" s="419">
        <v>0.79</v>
      </c>
      <c r="AE134" s="166"/>
      <c r="AF134" s="166"/>
      <c r="AG134" s="166"/>
      <c r="AH134" s="166"/>
      <c r="AI134" s="436"/>
      <c r="AJ134" s="437"/>
      <c r="AK134" s="436"/>
      <c r="AL134" s="419"/>
      <c r="AM134" s="166"/>
      <c r="AN134" s="166"/>
      <c r="AO134" s="166"/>
      <c r="AP134" s="166"/>
      <c r="AQ134" s="166"/>
      <c r="AR134" s="166"/>
      <c r="AS134" s="166"/>
      <c r="AT134" s="166"/>
      <c r="AU134" s="363"/>
      <c r="AV134" s="363"/>
      <c r="AW134" s="363"/>
      <c r="AX134" s="363"/>
      <c r="AY134" s="364"/>
      <c r="AZ134" s="365"/>
      <c r="BA134" s="366"/>
    </row>
    <row r="135" spans="1:53">
      <c r="A135" s="2" t="str">
        <f t="shared" si="20"/>
        <v>Res - MF PTA Rebates_Steam Boiler Averaging Controls</v>
      </c>
      <c r="B135" s="18">
        <v>132</v>
      </c>
      <c r="C135" s="18" t="s">
        <v>722</v>
      </c>
      <c r="D135" s="18" t="s">
        <v>277</v>
      </c>
      <c r="E135" s="23" t="s">
        <v>150</v>
      </c>
      <c r="F135" s="23">
        <v>1</v>
      </c>
      <c r="G135" s="154">
        <v>0.88</v>
      </c>
      <c r="H135" s="469">
        <v>20</v>
      </c>
      <c r="I135" s="458">
        <v>20</v>
      </c>
      <c r="J135" s="23">
        <v>0</v>
      </c>
      <c r="K135" s="23">
        <f t="shared" si="19"/>
        <v>0</v>
      </c>
      <c r="L135" s="23">
        <f t="shared" si="19"/>
        <v>0</v>
      </c>
      <c r="M135" s="23">
        <f t="shared" si="19"/>
        <v>0</v>
      </c>
      <c r="N135" s="394">
        <f>X135*Z135*AB135/100000</f>
        <v>171.15600000000001</v>
      </c>
      <c r="O135" s="215">
        <f t="shared" si="18"/>
        <v>171.15600000000001</v>
      </c>
      <c r="P135" s="215">
        <f t="shared" si="18"/>
        <v>171.15600000000001</v>
      </c>
      <c r="Q135" s="215">
        <f t="shared" si="18"/>
        <v>171.15600000000001</v>
      </c>
      <c r="R135" s="15" t="s">
        <v>839</v>
      </c>
      <c r="S135" s="15" t="s">
        <v>276</v>
      </c>
      <c r="T135" s="15" t="s">
        <v>275</v>
      </c>
      <c r="U135" s="15" t="s">
        <v>274</v>
      </c>
      <c r="V135" s="166" t="s">
        <v>270</v>
      </c>
      <c r="W135" s="166" t="s">
        <v>273</v>
      </c>
      <c r="X135" s="420">
        <v>100000</v>
      </c>
      <c r="Y135" s="416" t="s">
        <v>272</v>
      </c>
      <c r="Z135" s="438">
        <v>0.10199999999999999</v>
      </c>
      <c r="AA135" s="492" t="s">
        <v>271</v>
      </c>
      <c r="AB135" s="491">
        <v>1678</v>
      </c>
      <c r="AC135" s="158"/>
      <c r="AD135" s="431"/>
      <c r="AE135" s="158"/>
      <c r="AF135" s="425"/>
      <c r="AG135" s="166"/>
      <c r="AH135" s="166"/>
      <c r="AI135" s="166"/>
      <c r="AJ135" s="166"/>
      <c r="AK135" s="166"/>
      <c r="AL135" s="166"/>
      <c r="AM135" s="166"/>
      <c r="AN135" s="166"/>
      <c r="AO135" s="166"/>
      <c r="AP135" s="166"/>
      <c r="AQ135" s="166"/>
      <c r="AR135" s="166"/>
      <c r="AS135" s="166"/>
      <c r="AT135" s="166"/>
      <c r="AU135" s="363"/>
      <c r="AV135" s="363"/>
      <c r="AW135" s="363"/>
      <c r="AX135" s="363"/>
      <c r="AY135" s="364"/>
      <c r="AZ135" s="365"/>
      <c r="BA135" s="366"/>
    </row>
    <row r="136" spans="1:53">
      <c r="A136" s="2" t="str">
        <f t="shared" si="20"/>
        <v>Res - MF PTA Rebates_Steam Traps - Dry Cleaner/Industrial</v>
      </c>
      <c r="B136" s="18">
        <v>133</v>
      </c>
      <c r="C136" s="18" t="s">
        <v>722</v>
      </c>
      <c r="D136" s="18" t="s">
        <v>269</v>
      </c>
      <c r="E136" s="23" t="s">
        <v>150</v>
      </c>
      <c r="F136" s="23">
        <v>1</v>
      </c>
      <c r="G136" s="154">
        <v>0.88</v>
      </c>
      <c r="H136" s="469">
        <v>6</v>
      </c>
      <c r="I136" s="458">
        <v>6</v>
      </c>
      <c r="J136" s="23">
        <v>0</v>
      </c>
      <c r="K136" s="23">
        <f t="shared" si="19"/>
        <v>0</v>
      </c>
      <c r="L136" s="23">
        <f t="shared" si="19"/>
        <v>0</v>
      </c>
      <c r="M136" s="23">
        <f t="shared" si="19"/>
        <v>0</v>
      </c>
      <c r="N136" s="216">
        <f>X136*(Z136/AB136)*AD136*AF136/100000</f>
        <v>137.91939591078068</v>
      </c>
      <c r="O136" s="215">
        <f t="shared" si="18"/>
        <v>137.91939591078068</v>
      </c>
      <c r="P136" s="215">
        <f t="shared" si="18"/>
        <v>137.91939591078068</v>
      </c>
      <c r="Q136" s="215">
        <f t="shared" si="18"/>
        <v>137.91939591078068</v>
      </c>
      <c r="R136" s="15" t="s">
        <v>839</v>
      </c>
      <c r="S136" s="15" t="s">
        <v>841</v>
      </c>
      <c r="T136" s="15" t="s">
        <v>266</v>
      </c>
      <c r="U136" s="15" t="s">
        <v>265</v>
      </c>
      <c r="V136" s="166" t="s">
        <v>259</v>
      </c>
      <c r="W136" s="166" t="s">
        <v>264</v>
      </c>
      <c r="X136" s="166">
        <v>19.100000000000001</v>
      </c>
      <c r="Y136" s="166" t="s">
        <v>263</v>
      </c>
      <c r="Z136" s="166">
        <v>890</v>
      </c>
      <c r="AA136" s="158" t="s">
        <v>262</v>
      </c>
      <c r="AB136" s="421">
        <v>0.80700000000000005</v>
      </c>
      <c r="AC136" s="158" t="s">
        <v>153</v>
      </c>
      <c r="AD136" s="166">
        <v>2425</v>
      </c>
      <c r="AE136" s="166" t="s">
        <v>260</v>
      </c>
      <c r="AF136" s="419">
        <v>0.27</v>
      </c>
      <c r="AG136" s="166"/>
      <c r="AH136" s="166"/>
      <c r="AI136" s="166"/>
      <c r="AJ136" s="166"/>
      <c r="AK136" s="166"/>
      <c r="AL136" s="166"/>
      <c r="AM136" s="166"/>
      <c r="AN136" s="166"/>
      <c r="AO136" s="166"/>
      <c r="AP136" s="166"/>
      <c r="AQ136" s="166"/>
      <c r="AR136" s="166"/>
      <c r="AS136" s="166"/>
      <c r="AT136" s="166"/>
      <c r="AU136" s="363"/>
      <c r="AV136" s="363"/>
      <c r="AW136" s="363"/>
      <c r="AX136" s="363"/>
      <c r="AY136" s="364"/>
      <c r="AZ136" s="365"/>
      <c r="BA136" s="366"/>
    </row>
    <row r="137" spans="1:53">
      <c r="A137" s="2" t="str">
        <f t="shared" si="20"/>
        <v>Res - MF PTA Rebates_Steam Traps - HVAC Repair/Rep - Audit</v>
      </c>
      <c r="B137" s="18">
        <v>134</v>
      </c>
      <c r="C137" s="18" t="s">
        <v>722</v>
      </c>
      <c r="D137" s="18" t="s">
        <v>268</v>
      </c>
      <c r="E137" s="23" t="s">
        <v>150</v>
      </c>
      <c r="F137" s="23">
        <v>1</v>
      </c>
      <c r="G137" s="154">
        <v>0.88</v>
      </c>
      <c r="H137" s="469">
        <v>6</v>
      </c>
      <c r="I137" s="458">
        <v>6</v>
      </c>
      <c r="J137" s="23">
        <v>0</v>
      </c>
      <c r="K137" s="23">
        <f t="shared" si="19"/>
        <v>0</v>
      </c>
      <c r="L137" s="23">
        <f t="shared" si="19"/>
        <v>0</v>
      </c>
      <c r="M137" s="23">
        <f t="shared" si="19"/>
        <v>0</v>
      </c>
      <c r="N137" s="216">
        <f>X137*(Z137/AB137)*AD137*AF137/100000</f>
        <v>110.15789625000002</v>
      </c>
      <c r="O137" s="215">
        <f t="shared" si="18"/>
        <v>110.15789625000002</v>
      </c>
      <c r="P137" s="215">
        <f t="shared" si="18"/>
        <v>110.15789625000002</v>
      </c>
      <c r="Q137" s="215">
        <f t="shared" si="18"/>
        <v>110.15789625000002</v>
      </c>
      <c r="R137" s="15" t="s">
        <v>839</v>
      </c>
      <c r="S137" s="15" t="s">
        <v>841</v>
      </c>
      <c r="T137" s="15" t="s">
        <v>266</v>
      </c>
      <c r="U137" s="15" t="s">
        <v>265</v>
      </c>
      <c r="V137" s="166" t="s">
        <v>259</v>
      </c>
      <c r="W137" s="166" t="s">
        <v>264</v>
      </c>
      <c r="X137" s="166">
        <v>6.9</v>
      </c>
      <c r="Y137" s="166" t="s">
        <v>263</v>
      </c>
      <c r="Z137" s="166">
        <v>951</v>
      </c>
      <c r="AA137" s="158" t="s">
        <v>262</v>
      </c>
      <c r="AB137" s="421">
        <v>0.64800000000000002</v>
      </c>
      <c r="AC137" s="158" t="s">
        <v>261</v>
      </c>
      <c r="AD137" s="166">
        <v>4029</v>
      </c>
      <c r="AE137" s="166" t="s">
        <v>260</v>
      </c>
      <c r="AF137" s="419">
        <v>0.27</v>
      </c>
      <c r="AG137" s="166"/>
      <c r="AH137" s="166"/>
      <c r="AI137" s="166"/>
      <c r="AJ137" s="166"/>
      <c r="AK137" s="166"/>
      <c r="AL137" s="166"/>
      <c r="AM137" s="166"/>
      <c r="AN137" s="166"/>
      <c r="AO137" s="166"/>
      <c r="AP137" s="166"/>
      <c r="AQ137" s="166"/>
      <c r="AR137" s="166"/>
      <c r="AS137" s="166"/>
      <c r="AT137" s="166"/>
      <c r="AU137" s="363"/>
      <c r="AV137" s="363"/>
      <c r="AW137" s="363"/>
      <c r="AX137" s="363"/>
      <c r="AY137" s="364"/>
      <c r="AZ137" s="365"/>
      <c r="BA137" s="366"/>
    </row>
    <row r="138" spans="1:53">
      <c r="A138" s="2" t="str">
        <f t="shared" si="20"/>
        <v>Res - MF PTA Rebates_Steam Traps - HVAC Repair/Rep - No Audit</v>
      </c>
      <c r="B138" s="18">
        <v>135</v>
      </c>
      <c r="C138" s="18" t="s">
        <v>722</v>
      </c>
      <c r="D138" s="18" t="s">
        <v>267</v>
      </c>
      <c r="E138" s="23" t="s">
        <v>150</v>
      </c>
      <c r="F138" s="23">
        <v>1</v>
      </c>
      <c r="G138" s="154">
        <v>0.88</v>
      </c>
      <c r="H138" s="469">
        <v>6</v>
      </c>
      <c r="I138" s="458">
        <v>6</v>
      </c>
      <c r="J138" s="23">
        <v>0</v>
      </c>
      <c r="K138" s="23">
        <f t="shared" si="19"/>
        <v>0</v>
      </c>
      <c r="L138" s="23">
        <f t="shared" si="19"/>
        <v>0</v>
      </c>
      <c r="M138" s="23">
        <f t="shared" si="19"/>
        <v>0</v>
      </c>
      <c r="N138" s="216">
        <f>X138*(Z138/AB138)*AD138*AF138/100000</f>
        <v>110.15789625000002</v>
      </c>
      <c r="O138" s="215">
        <f t="shared" si="18"/>
        <v>110.15789625000002</v>
      </c>
      <c r="P138" s="215">
        <f t="shared" si="18"/>
        <v>110.15789625000002</v>
      </c>
      <c r="Q138" s="215">
        <f t="shared" si="18"/>
        <v>110.15789625000002</v>
      </c>
      <c r="R138" s="15" t="s">
        <v>839</v>
      </c>
      <c r="S138" s="15" t="s">
        <v>841</v>
      </c>
      <c r="T138" s="15" t="s">
        <v>266</v>
      </c>
      <c r="U138" s="15" t="s">
        <v>265</v>
      </c>
      <c r="V138" s="166" t="s">
        <v>259</v>
      </c>
      <c r="W138" s="166" t="s">
        <v>264</v>
      </c>
      <c r="X138" s="166">
        <v>6.9</v>
      </c>
      <c r="Y138" s="166" t="s">
        <v>263</v>
      </c>
      <c r="Z138" s="166">
        <v>951</v>
      </c>
      <c r="AA138" s="158" t="s">
        <v>262</v>
      </c>
      <c r="AB138" s="421">
        <v>0.64800000000000002</v>
      </c>
      <c r="AC138" s="158" t="s">
        <v>261</v>
      </c>
      <c r="AD138" s="166">
        <v>4029</v>
      </c>
      <c r="AE138" s="166" t="s">
        <v>260</v>
      </c>
      <c r="AF138" s="419">
        <v>0.27</v>
      </c>
      <c r="AG138" s="166"/>
      <c r="AH138" s="166"/>
      <c r="AI138" s="166"/>
      <c r="AJ138" s="166"/>
      <c r="AK138" s="166"/>
      <c r="AL138" s="166"/>
      <c r="AM138" s="166"/>
      <c r="AN138" s="166"/>
      <c r="AO138" s="166"/>
      <c r="AP138" s="166"/>
      <c r="AQ138" s="166"/>
      <c r="AR138" s="166"/>
      <c r="AS138" s="166"/>
      <c r="AT138" s="166"/>
      <c r="AU138" s="363"/>
      <c r="AV138" s="363"/>
      <c r="AW138" s="363"/>
      <c r="AX138" s="363"/>
      <c r="AY138" s="364"/>
      <c r="AZ138" s="365"/>
      <c r="BA138" s="366"/>
    </row>
    <row r="139" spans="1:53">
      <c r="A139" s="2" t="str">
        <f t="shared" si="20"/>
        <v>Res - MF PTA Rebates_Steam Traps - Test</v>
      </c>
      <c r="B139" s="18">
        <v>136</v>
      </c>
      <c r="C139" s="18" t="s">
        <v>722</v>
      </c>
      <c r="D139" s="18" t="s">
        <v>258</v>
      </c>
      <c r="E139" s="23" t="s">
        <v>150</v>
      </c>
      <c r="F139" s="23">
        <v>1</v>
      </c>
      <c r="G139" s="154">
        <v>0.88</v>
      </c>
      <c r="H139" s="469">
        <v>3</v>
      </c>
      <c r="I139" s="458">
        <v>3</v>
      </c>
      <c r="J139" s="23">
        <v>0</v>
      </c>
      <c r="K139" s="23">
        <f t="shared" si="19"/>
        <v>0</v>
      </c>
      <c r="L139" s="23">
        <f t="shared" si="19"/>
        <v>0</v>
      </c>
      <c r="M139" s="23">
        <f t="shared" si="19"/>
        <v>0</v>
      </c>
      <c r="N139" s="216">
        <v>0</v>
      </c>
      <c r="O139" s="215">
        <f t="shared" si="18"/>
        <v>0</v>
      </c>
      <c r="P139" s="215">
        <f t="shared" si="18"/>
        <v>0</v>
      </c>
      <c r="Q139" s="215">
        <f t="shared" si="18"/>
        <v>0</v>
      </c>
      <c r="R139" s="15" t="s">
        <v>140</v>
      </c>
      <c r="S139" s="15" t="s">
        <v>140</v>
      </c>
      <c r="T139" s="15" t="s">
        <v>140</v>
      </c>
      <c r="U139" s="15" t="s">
        <v>140</v>
      </c>
      <c r="V139" s="412" t="s">
        <v>140</v>
      </c>
      <c r="W139" s="166"/>
      <c r="X139" s="166"/>
      <c r="Y139" s="166"/>
      <c r="Z139" s="166"/>
      <c r="AA139" s="158"/>
      <c r="AB139" s="419"/>
      <c r="AC139" s="158"/>
      <c r="AD139" s="166"/>
      <c r="AE139" s="158"/>
      <c r="AF139" s="419"/>
      <c r="AG139" s="166"/>
      <c r="AH139" s="419"/>
      <c r="AI139" s="166"/>
      <c r="AJ139" s="419"/>
      <c r="AK139" s="166"/>
      <c r="AL139" s="166"/>
      <c r="AM139" s="166"/>
      <c r="AN139" s="166"/>
      <c r="AO139" s="166"/>
      <c r="AP139" s="166"/>
      <c r="AQ139" s="166"/>
      <c r="AR139" s="166"/>
      <c r="AS139" s="166"/>
      <c r="AT139" s="166"/>
      <c r="AU139" s="363"/>
      <c r="AV139" s="363"/>
      <c r="AW139" s="363"/>
      <c r="AX139" s="363"/>
      <c r="AY139" s="364"/>
      <c r="AZ139" s="365"/>
      <c r="BA139" s="366"/>
    </row>
    <row r="140" spans="1:53">
      <c r="A140" s="2" t="str">
        <f t="shared" si="20"/>
        <v>Res - MF PTA Rebates_Thermostat - Programmable</v>
      </c>
      <c r="B140" s="18">
        <v>137</v>
      </c>
      <c r="C140" s="18" t="s">
        <v>722</v>
      </c>
      <c r="D140" s="18" t="s">
        <v>226</v>
      </c>
      <c r="E140" s="23" t="s">
        <v>150</v>
      </c>
      <c r="F140" s="23">
        <v>1</v>
      </c>
      <c r="G140" s="154">
        <v>0.88</v>
      </c>
      <c r="H140" s="469">
        <v>4</v>
      </c>
      <c r="I140" s="458">
        <v>4</v>
      </c>
      <c r="J140" s="23">
        <v>0</v>
      </c>
      <c r="K140" s="23">
        <f t="shared" si="19"/>
        <v>0</v>
      </c>
      <c r="L140" s="23">
        <f t="shared" si="19"/>
        <v>0</v>
      </c>
      <c r="M140" s="23">
        <f t="shared" si="19"/>
        <v>0</v>
      </c>
      <c r="N140" s="361">
        <f>'Thermostat Detail'!$L$13</f>
        <v>124.68584320000001</v>
      </c>
      <c r="O140" s="215">
        <f t="shared" si="18"/>
        <v>124.68584320000001</v>
      </c>
      <c r="P140" s="215">
        <f t="shared" si="18"/>
        <v>124.68584320000001</v>
      </c>
      <c r="Q140" s="215">
        <f t="shared" si="18"/>
        <v>124.68584320000001</v>
      </c>
      <c r="R140" s="15" t="s">
        <v>840</v>
      </c>
      <c r="S140" s="15" t="s">
        <v>841</v>
      </c>
      <c r="T140" s="15" t="s">
        <v>225</v>
      </c>
      <c r="U140" s="15" t="s">
        <v>224</v>
      </c>
      <c r="V140" s="435" t="s">
        <v>834</v>
      </c>
      <c r="W140" s="166"/>
      <c r="X140" s="166"/>
      <c r="Y140" s="166"/>
      <c r="Z140" s="166"/>
      <c r="AA140" s="158"/>
      <c r="AB140" s="419"/>
      <c r="AC140" s="158"/>
      <c r="AD140" s="166"/>
      <c r="AE140" s="158"/>
      <c r="AF140" s="419"/>
      <c r="AG140" s="166"/>
      <c r="AH140" s="419"/>
      <c r="AI140" s="166"/>
      <c r="AJ140" s="419"/>
      <c r="AK140" s="166"/>
      <c r="AL140" s="166"/>
      <c r="AM140" s="166"/>
      <c r="AN140" s="166"/>
      <c r="AO140" s="166"/>
      <c r="AP140" s="166"/>
      <c r="AQ140" s="166"/>
      <c r="AR140" s="166"/>
      <c r="AS140" s="166"/>
      <c r="AT140" s="166"/>
      <c r="AU140" s="363"/>
      <c r="AV140" s="363"/>
      <c r="AW140" s="363"/>
      <c r="AX140" s="363"/>
      <c r="AY140" s="364"/>
      <c r="AZ140" s="365"/>
      <c r="BA140" s="366"/>
    </row>
    <row r="141" spans="1:53">
      <c r="A141" s="2" t="str">
        <f t="shared" si="20"/>
        <v>Res - MF Rebates_Multifamily Custom</v>
      </c>
      <c r="B141" s="18">
        <v>138</v>
      </c>
      <c r="C141" s="18" t="s">
        <v>705</v>
      </c>
      <c r="D141" s="18" t="s">
        <v>669</v>
      </c>
      <c r="E141" s="23" t="s">
        <v>150</v>
      </c>
      <c r="F141" s="23">
        <v>1300</v>
      </c>
      <c r="G141" s="154">
        <v>0.72</v>
      </c>
      <c r="H141" s="469">
        <v>15</v>
      </c>
      <c r="I141" s="458">
        <v>15</v>
      </c>
      <c r="J141" s="23">
        <v>3</v>
      </c>
      <c r="K141" s="23">
        <f t="shared" ref="K141:K155" si="21">J141</f>
        <v>3</v>
      </c>
      <c r="L141" s="23">
        <v>1</v>
      </c>
      <c r="M141" s="23">
        <v>3</v>
      </c>
      <c r="N141" s="215">
        <v>1</v>
      </c>
      <c r="O141" s="215">
        <f t="shared" si="18"/>
        <v>1</v>
      </c>
      <c r="P141" s="215">
        <f t="shared" si="18"/>
        <v>1</v>
      </c>
      <c r="Q141" s="215">
        <f t="shared" si="18"/>
        <v>1</v>
      </c>
      <c r="R141" s="15" t="s">
        <v>140</v>
      </c>
      <c r="S141" s="15" t="s">
        <v>140</v>
      </c>
      <c r="T141" s="15" t="s">
        <v>140</v>
      </c>
      <c r="U141" s="15" t="s">
        <v>140</v>
      </c>
      <c r="V141" s="412" t="s">
        <v>140</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363"/>
      <c r="AV141" s="363"/>
      <c r="AW141" s="363"/>
      <c r="AX141" s="363"/>
      <c r="AY141" s="364"/>
      <c r="AZ141" s="365"/>
      <c r="BA141" s="366"/>
    </row>
    <row r="142" spans="1:53">
      <c r="A142" s="2" t="str">
        <f t="shared" si="20"/>
        <v>Bus - CI Assessments_Aerator - Bathroom</v>
      </c>
      <c r="B142" s="18">
        <v>139</v>
      </c>
      <c r="C142" s="18" t="s">
        <v>708</v>
      </c>
      <c r="D142" s="18" t="s">
        <v>726</v>
      </c>
      <c r="E142" s="23" t="s">
        <v>150</v>
      </c>
      <c r="F142" s="23">
        <v>1</v>
      </c>
      <c r="G142" s="154">
        <v>0.79</v>
      </c>
      <c r="H142" s="469">
        <v>9</v>
      </c>
      <c r="I142" s="465">
        <v>10</v>
      </c>
      <c r="J142" s="23">
        <v>35</v>
      </c>
      <c r="K142" s="23">
        <f t="shared" si="21"/>
        <v>35</v>
      </c>
      <c r="L142" s="23">
        <f t="shared" ref="L142:M146" si="22">K142</f>
        <v>35</v>
      </c>
      <c r="M142" s="23">
        <f t="shared" si="22"/>
        <v>35</v>
      </c>
      <c r="N142" s="215">
        <f>((X142-Z142)/X142)*AB142*AD142*AF142*AH142*AL142*AJ142</f>
        <v>6.1049460431654667</v>
      </c>
      <c r="O142" s="215">
        <f t="shared" si="18"/>
        <v>6.1049460431654667</v>
      </c>
      <c r="P142" s="215">
        <f t="shared" si="18"/>
        <v>6.1049460431654667</v>
      </c>
      <c r="Q142" s="215">
        <f t="shared" si="18"/>
        <v>6.1049460431654667</v>
      </c>
      <c r="R142" s="15" t="s">
        <v>839</v>
      </c>
      <c r="S142" s="15" t="s">
        <v>841</v>
      </c>
      <c r="T142" s="15" t="s">
        <v>367</v>
      </c>
      <c r="U142" s="15" t="s">
        <v>366</v>
      </c>
      <c r="V142" s="412" t="s">
        <v>362</v>
      </c>
      <c r="W142" s="412" t="s">
        <v>359</v>
      </c>
      <c r="X142" s="412">
        <v>1.39</v>
      </c>
      <c r="Y142" s="412" t="s">
        <v>358</v>
      </c>
      <c r="Z142" s="412">
        <v>0.94</v>
      </c>
      <c r="AA142" s="412" t="s">
        <v>357</v>
      </c>
      <c r="AB142" s="412">
        <v>1</v>
      </c>
      <c r="AC142" s="412" t="s">
        <v>368</v>
      </c>
      <c r="AD142" s="414">
        <v>1</v>
      </c>
      <c r="AE142" s="412" t="s">
        <v>364</v>
      </c>
      <c r="AF142" s="412">
        <v>20</v>
      </c>
      <c r="AG142" s="412" t="s">
        <v>363</v>
      </c>
      <c r="AH142" s="412">
        <v>250</v>
      </c>
      <c r="AI142" s="412" t="s">
        <v>355</v>
      </c>
      <c r="AJ142" s="415">
        <v>3.9699999999999996E-3</v>
      </c>
      <c r="AK142" s="412" t="s">
        <v>354</v>
      </c>
      <c r="AL142" s="414">
        <v>0.95</v>
      </c>
      <c r="AM142" s="412"/>
      <c r="AN142" s="412"/>
      <c r="AO142" s="166"/>
      <c r="AP142" s="166"/>
      <c r="AQ142" s="166"/>
      <c r="AR142" s="166"/>
      <c r="AS142" s="166"/>
      <c r="AT142" s="166"/>
      <c r="AU142" s="363"/>
      <c r="AV142" s="363"/>
      <c r="AW142" s="363"/>
      <c r="AX142" s="363"/>
      <c r="AY142" s="364"/>
      <c r="AZ142" s="367"/>
      <c r="BA142" s="366"/>
    </row>
    <row r="143" spans="1:53">
      <c r="A143" s="2" t="str">
        <f t="shared" si="20"/>
        <v>Bus - CI Assessments_Aerator - Kitchen</v>
      </c>
      <c r="B143" s="18">
        <v>140</v>
      </c>
      <c r="C143" s="18" t="s">
        <v>708</v>
      </c>
      <c r="D143" s="18" t="s">
        <v>727</v>
      </c>
      <c r="E143" s="23" t="s">
        <v>150</v>
      </c>
      <c r="F143" s="23">
        <v>1</v>
      </c>
      <c r="G143" s="154">
        <v>0.79</v>
      </c>
      <c r="H143" s="469">
        <v>9</v>
      </c>
      <c r="I143" s="465">
        <v>10</v>
      </c>
      <c r="J143" s="23">
        <v>8</v>
      </c>
      <c r="K143" s="23">
        <f t="shared" si="21"/>
        <v>8</v>
      </c>
      <c r="L143" s="23">
        <f t="shared" si="22"/>
        <v>8</v>
      </c>
      <c r="M143" s="23">
        <f t="shared" si="22"/>
        <v>8</v>
      </c>
      <c r="N143" s="215">
        <f>((X143-Z143)/X143)*AB143*AD143*AF143*AH143*AL143*AJ143</f>
        <v>7.4428057553956819</v>
      </c>
      <c r="O143" s="215">
        <f t="shared" si="18"/>
        <v>7.4428057553956819</v>
      </c>
      <c r="P143" s="215">
        <f t="shared" si="18"/>
        <v>7.4428057553956819</v>
      </c>
      <c r="Q143" s="215">
        <f t="shared" si="18"/>
        <v>7.4428057553956819</v>
      </c>
      <c r="R143" s="15" t="s">
        <v>839</v>
      </c>
      <c r="S143" s="15" t="s">
        <v>841</v>
      </c>
      <c r="T143" s="15" t="s">
        <v>367</v>
      </c>
      <c r="U143" s="15" t="s">
        <v>366</v>
      </c>
      <c r="V143" s="412" t="s">
        <v>362</v>
      </c>
      <c r="W143" s="412" t="s">
        <v>359</v>
      </c>
      <c r="X143" s="412">
        <v>1.39</v>
      </c>
      <c r="Y143" s="412" t="s">
        <v>358</v>
      </c>
      <c r="Z143" s="412">
        <v>0.94</v>
      </c>
      <c r="AA143" s="412" t="s">
        <v>357</v>
      </c>
      <c r="AB143" s="412">
        <v>1</v>
      </c>
      <c r="AC143" s="412" t="s">
        <v>365</v>
      </c>
      <c r="AD143" s="414">
        <v>1</v>
      </c>
      <c r="AE143" s="412" t="s">
        <v>364</v>
      </c>
      <c r="AF143" s="412">
        <v>20</v>
      </c>
      <c r="AG143" s="412" t="s">
        <v>363</v>
      </c>
      <c r="AH143" s="412">
        <v>250</v>
      </c>
      <c r="AI143" s="412" t="s">
        <v>355</v>
      </c>
      <c r="AJ143" s="415">
        <v>4.8399999999999997E-3</v>
      </c>
      <c r="AK143" s="412" t="s">
        <v>354</v>
      </c>
      <c r="AL143" s="414">
        <v>0.95</v>
      </c>
      <c r="AM143" s="412"/>
      <c r="AN143" s="412"/>
      <c r="AO143" s="166"/>
      <c r="AP143" s="166"/>
      <c r="AQ143" s="166"/>
      <c r="AR143" s="166"/>
      <c r="AS143" s="166"/>
      <c r="AT143" s="166"/>
      <c r="AU143" s="363"/>
      <c r="AV143" s="363"/>
      <c r="AW143" s="363"/>
      <c r="AX143" s="363"/>
      <c r="AY143" s="364"/>
      <c r="AZ143" s="365"/>
      <c r="BA143" s="366"/>
    </row>
    <row r="144" spans="1:53">
      <c r="A144" s="2" t="str">
        <f t="shared" si="20"/>
        <v>Bus - CI Assessments_Showerhead</v>
      </c>
      <c r="B144" s="18">
        <v>141</v>
      </c>
      <c r="C144" s="18" t="s">
        <v>708</v>
      </c>
      <c r="D144" s="18" t="s">
        <v>731</v>
      </c>
      <c r="E144" s="23" t="s">
        <v>150</v>
      </c>
      <c r="F144" s="23">
        <v>1</v>
      </c>
      <c r="G144" s="154">
        <v>0.79</v>
      </c>
      <c r="H144" s="469">
        <v>10</v>
      </c>
      <c r="I144" s="458">
        <v>10</v>
      </c>
      <c r="J144" s="23">
        <v>1</v>
      </c>
      <c r="K144" s="23">
        <f t="shared" si="21"/>
        <v>1</v>
      </c>
      <c r="L144" s="23">
        <f t="shared" si="22"/>
        <v>1</v>
      </c>
      <c r="M144" s="23">
        <f t="shared" si="22"/>
        <v>1</v>
      </c>
      <c r="N144" s="215">
        <f>100%*((X144*AB144-Z144*AB144)*AD144*365.25)*AF144*AH144</f>
        <v>19.917921113999995</v>
      </c>
      <c r="O144" s="215">
        <f t="shared" si="18"/>
        <v>19.917921113999995</v>
      </c>
      <c r="P144" s="215">
        <f t="shared" si="18"/>
        <v>19.917921113999995</v>
      </c>
      <c r="Q144" s="215">
        <f t="shared" si="18"/>
        <v>19.917921113999995</v>
      </c>
      <c r="R144" s="15" t="s">
        <v>839</v>
      </c>
      <c r="S144" s="15" t="s">
        <v>841</v>
      </c>
      <c r="T144" s="15" t="s">
        <v>361</v>
      </c>
      <c r="U144" s="15" t="s">
        <v>360</v>
      </c>
      <c r="V144" s="412" t="s">
        <v>353</v>
      </c>
      <c r="W144" s="412" t="s">
        <v>359</v>
      </c>
      <c r="X144" s="412">
        <v>2.67</v>
      </c>
      <c r="Y144" s="412" t="s">
        <v>358</v>
      </c>
      <c r="Z144" s="412">
        <v>1.5</v>
      </c>
      <c r="AA144" s="412" t="s">
        <v>357</v>
      </c>
      <c r="AB144" s="412">
        <v>8.1999999999999993</v>
      </c>
      <c r="AC144" s="412" t="s">
        <v>356</v>
      </c>
      <c r="AD144" s="412">
        <v>1</v>
      </c>
      <c r="AE144" s="412" t="s">
        <v>355</v>
      </c>
      <c r="AF144" s="489">
        <v>5.7999999999999996E-3</v>
      </c>
      <c r="AG144" s="412" t="s">
        <v>354</v>
      </c>
      <c r="AH144" s="414">
        <v>0.98</v>
      </c>
      <c r="AI144" s="412"/>
      <c r="AJ144" s="412"/>
      <c r="AK144" s="412"/>
      <c r="AL144" s="412"/>
      <c r="AM144" s="412"/>
      <c r="AN144" s="412"/>
      <c r="AO144" s="166"/>
      <c r="AP144" s="166"/>
      <c r="AQ144" s="166"/>
      <c r="AR144" s="166"/>
      <c r="AS144" s="166"/>
      <c r="AT144" s="166"/>
      <c r="AU144" s="363"/>
      <c r="AV144" s="363"/>
      <c r="AW144" s="363"/>
      <c r="AX144" s="363"/>
      <c r="AY144" s="364"/>
      <c r="AZ144" s="365"/>
      <c r="BA144" s="366"/>
    </row>
    <row r="145" spans="1:53">
      <c r="A145" s="2" t="str">
        <f t="shared" si="20"/>
        <v>Bus - CI Assessments_Pre Rinse Sprayer</v>
      </c>
      <c r="B145" s="18">
        <v>142</v>
      </c>
      <c r="C145" s="18" t="s">
        <v>708</v>
      </c>
      <c r="D145" s="18" t="s">
        <v>710</v>
      </c>
      <c r="E145" s="23" t="s">
        <v>150</v>
      </c>
      <c r="F145" s="23">
        <v>1</v>
      </c>
      <c r="G145" s="154">
        <v>0.79</v>
      </c>
      <c r="H145" s="469">
        <v>5</v>
      </c>
      <c r="I145" s="458">
        <v>5</v>
      </c>
      <c r="J145" s="23">
        <v>0</v>
      </c>
      <c r="K145" s="23">
        <f t="shared" si="21"/>
        <v>0</v>
      </c>
      <c r="L145" s="23">
        <f t="shared" si="22"/>
        <v>0</v>
      </c>
      <c r="M145" s="23">
        <f t="shared" si="22"/>
        <v>0</v>
      </c>
      <c r="N145" s="215">
        <f>(X145-Z145)*60*AB145*AD145*8.33*1*(AF145-AH145)*(1/AJ145)/100000</f>
        <v>474.829992</v>
      </c>
      <c r="O145" s="215">
        <f t="shared" ref="O145:Q164" si="23">N145</f>
        <v>474.829992</v>
      </c>
      <c r="P145" s="215">
        <f t="shared" si="23"/>
        <v>474.829992</v>
      </c>
      <c r="Q145" s="215">
        <f t="shared" si="23"/>
        <v>474.829992</v>
      </c>
      <c r="R145" s="15" t="s">
        <v>839</v>
      </c>
      <c r="S145" s="15" t="s">
        <v>841</v>
      </c>
      <c r="T145" s="15" t="s">
        <v>351</v>
      </c>
      <c r="U145" s="15" t="s">
        <v>350</v>
      </c>
      <c r="V145" s="157" t="s">
        <v>344</v>
      </c>
      <c r="W145" s="412" t="s">
        <v>349</v>
      </c>
      <c r="X145" s="485">
        <v>2.14</v>
      </c>
      <c r="Y145" s="412" t="s">
        <v>348</v>
      </c>
      <c r="Z145" s="486">
        <v>0.98</v>
      </c>
      <c r="AA145" s="412" t="s">
        <v>347</v>
      </c>
      <c r="AB145" s="440">
        <v>3</v>
      </c>
      <c r="AC145" s="412" t="s">
        <v>346</v>
      </c>
      <c r="AD145" s="412">
        <v>312</v>
      </c>
      <c r="AE145" s="412" t="s">
        <v>251</v>
      </c>
      <c r="AF145" s="441">
        <f>70+AH145</f>
        <v>124.1</v>
      </c>
      <c r="AG145" s="412" t="s">
        <v>250</v>
      </c>
      <c r="AH145" s="487">
        <v>54.1</v>
      </c>
      <c r="AI145" s="412" t="s">
        <v>345</v>
      </c>
      <c r="AJ145" s="414">
        <v>0.8</v>
      </c>
      <c r="AK145" s="166"/>
      <c r="AL145" s="166"/>
      <c r="AM145" s="166"/>
      <c r="AN145" s="166"/>
      <c r="AO145" s="166"/>
      <c r="AP145" s="166"/>
      <c r="AQ145" s="166"/>
      <c r="AR145" s="166"/>
      <c r="AS145" s="166"/>
      <c r="AT145" s="166"/>
      <c r="AU145" s="363"/>
      <c r="AV145" s="363"/>
      <c r="AW145" s="363"/>
      <c r="AX145" s="363"/>
      <c r="AY145" s="364"/>
      <c r="AZ145" s="365"/>
      <c r="BA145" s="366"/>
    </row>
    <row r="146" spans="1:53">
      <c r="A146" s="2" t="str">
        <f t="shared" si="20"/>
        <v>Bus - CI Assessments_Laminar</v>
      </c>
      <c r="B146" s="18">
        <v>143</v>
      </c>
      <c r="C146" s="18" t="s">
        <v>708</v>
      </c>
      <c r="D146" s="18" t="s">
        <v>352</v>
      </c>
      <c r="E146" s="23" t="s">
        <v>150</v>
      </c>
      <c r="F146" s="23">
        <v>1</v>
      </c>
      <c r="G146" s="154">
        <v>0.79</v>
      </c>
      <c r="H146" s="469">
        <v>9</v>
      </c>
      <c r="I146" s="458">
        <v>9</v>
      </c>
      <c r="J146" s="23">
        <v>400</v>
      </c>
      <c r="K146" s="23">
        <f t="shared" si="21"/>
        <v>400</v>
      </c>
      <c r="L146" s="23">
        <f t="shared" si="22"/>
        <v>400</v>
      </c>
      <c r="M146" s="23">
        <f t="shared" si="22"/>
        <v>400</v>
      </c>
      <c r="N146" s="216">
        <f>5010/280</f>
        <v>17.892857142857142</v>
      </c>
      <c r="O146" s="215">
        <f t="shared" si="23"/>
        <v>17.892857142857142</v>
      </c>
      <c r="P146" s="215">
        <f t="shared" si="23"/>
        <v>17.892857142857142</v>
      </c>
      <c r="Q146" s="215">
        <f t="shared" si="23"/>
        <v>17.892857142857142</v>
      </c>
      <c r="R146" s="15" t="s">
        <v>140</v>
      </c>
      <c r="S146" s="15" t="s">
        <v>140</v>
      </c>
      <c r="T146" s="15" t="s">
        <v>140</v>
      </c>
      <c r="U146" s="15" t="s">
        <v>140</v>
      </c>
      <c r="V146" s="432"/>
      <c r="W146" s="166"/>
      <c r="X146" s="166"/>
      <c r="Y146" s="166"/>
      <c r="Z146" s="166"/>
      <c r="AA146" s="158"/>
      <c r="AB146" s="166"/>
      <c r="AC146" s="158"/>
      <c r="AD146" s="166"/>
      <c r="AE146" s="158"/>
      <c r="AF146" s="166"/>
      <c r="AG146" s="166"/>
      <c r="AH146" s="166"/>
      <c r="AI146" s="166"/>
      <c r="AJ146" s="166"/>
      <c r="AK146" s="166"/>
      <c r="AL146" s="166"/>
      <c r="AM146" s="166"/>
      <c r="AN146" s="166"/>
      <c r="AO146" s="166"/>
      <c r="AP146" s="166"/>
      <c r="AQ146" s="166"/>
      <c r="AR146" s="166"/>
      <c r="AS146" s="166"/>
      <c r="AT146" s="166"/>
      <c r="AU146" s="363"/>
      <c r="AV146" s="363"/>
      <c r="AW146" s="363"/>
      <c r="AX146" s="363"/>
      <c r="AY146" s="364"/>
      <c r="AZ146" s="365"/>
      <c r="BA146" s="366"/>
    </row>
    <row r="147" spans="1:53">
      <c r="A147" s="2" t="str">
        <f t="shared" si="20"/>
        <v>Bus - SB Assessments_Aerator - Bathroom</v>
      </c>
      <c r="B147" s="18">
        <v>144</v>
      </c>
      <c r="C147" s="18" t="s">
        <v>709</v>
      </c>
      <c r="D147" s="18" t="s">
        <v>726</v>
      </c>
      <c r="E147" s="23" t="s">
        <v>150</v>
      </c>
      <c r="F147" s="23">
        <v>1</v>
      </c>
      <c r="G147" s="154">
        <v>0.92</v>
      </c>
      <c r="H147" s="469">
        <v>9</v>
      </c>
      <c r="I147" s="465">
        <v>10</v>
      </c>
      <c r="J147" s="23">
        <v>72</v>
      </c>
      <c r="K147" s="23">
        <f t="shared" si="21"/>
        <v>72</v>
      </c>
      <c r="L147" s="23">
        <f t="shared" ref="L147:L152" si="24">K147</f>
        <v>72</v>
      </c>
      <c r="M147" s="23">
        <f t="shared" ref="M147:M152" si="25">K147</f>
        <v>72</v>
      </c>
      <c r="N147" s="215">
        <f>((X147-Z147)/X147)*AB147*AD147*AF147*AH147*AL147*AJ147</f>
        <v>6.1049460431654667</v>
      </c>
      <c r="O147" s="215">
        <f t="shared" si="23"/>
        <v>6.1049460431654667</v>
      </c>
      <c r="P147" s="215">
        <f t="shared" si="23"/>
        <v>6.1049460431654667</v>
      </c>
      <c r="Q147" s="215">
        <f t="shared" si="23"/>
        <v>6.1049460431654667</v>
      </c>
      <c r="R147" s="15" t="s">
        <v>839</v>
      </c>
      <c r="S147" s="15" t="s">
        <v>841</v>
      </c>
      <c r="T147" s="15" t="s">
        <v>367</v>
      </c>
      <c r="U147" s="15" t="s">
        <v>366</v>
      </c>
      <c r="V147" s="412" t="s">
        <v>362</v>
      </c>
      <c r="W147" s="412" t="s">
        <v>359</v>
      </c>
      <c r="X147" s="412">
        <v>1.39</v>
      </c>
      <c r="Y147" s="412" t="s">
        <v>358</v>
      </c>
      <c r="Z147" s="412">
        <v>0.94</v>
      </c>
      <c r="AA147" s="412" t="s">
        <v>357</v>
      </c>
      <c r="AB147" s="412">
        <v>1</v>
      </c>
      <c r="AC147" s="412" t="s">
        <v>368</v>
      </c>
      <c r="AD147" s="414">
        <v>1</v>
      </c>
      <c r="AE147" s="412" t="s">
        <v>364</v>
      </c>
      <c r="AF147" s="412">
        <v>20</v>
      </c>
      <c r="AG147" s="412" t="s">
        <v>363</v>
      </c>
      <c r="AH147" s="412">
        <v>250</v>
      </c>
      <c r="AI147" s="412" t="s">
        <v>355</v>
      </c>
      <c r="AJ147" s="415">
        <v>3.9699999999999996E-3</v>
      </c>
      <c r="AK147" s="412" t="s">
        <v>354</v>
      </c>
      <c r="AL147" s="414">
        <v>0.95</v>
      </c>
      <c r="AM147" s="412"/>
      <c r="AN147" s="412"/>
      <c r="AO147" s="166"/>
      <c r="AP147" s="166"/>
      <c r="AQ147" s="166"/>
      <c r="AR147" s="166"/>
      <c r="AS147" s="166"/>
      <c r="AT147" s="166"/>
      <c r="AU147" s="363"/>
      <c r="AV147" s="363"/>
      <c r="AW147" s="363"/>
      <c r="AX147" s="363"/>
      <c r="AY147" s="364"/>
      <c r="AZ147" s="365"/>
      <c r="BA147" s="366"/>
    </row>
    <row r="148" spans="1:53">
      <c r="A148" s="2" t="str">
        <f t="shared" si="20"/>
        <v>Bus - SB Assessments_Aerator - Kitchen</v>
      </c>
      <c r="B148" s="18">
        <v>145</v>
      </c>
      <c r="C148" s="18" t="s">
        <v>709</v>
      </c>
      <c r="D148" s="18" t="s">
        <v>727</v>
      </c>
      <c r="E148" s="23" t="s">
        <v>150</v>
      </c>
      <c r="F148" s="23">
        <v>1</v>
      </c>
      <c r="G148" s="154">
        <v>0.92</v>
      </c>
      <c r="H148" s="469">
        <v>9</v>
      </c>
      <c r="I148" s="465">
        <v>10</v>
      </c>
      <c r="J148" s="23">
        <v>71</v>
      </c>
      <c r="K148" s="23">
        <f t="shared" si="21"/>
        <v>71</v>
      </c>
      <c r="L148" s="23">
        <f t="shared" si="24"/>
        <v>71</v>
      </c>
      <c r="M148" s="23">
        <f t="shared" si="25"/>
        <v>71</v>
      </c>
      <c r="N148" s="215">
        <f>((X148-Z148)/X148)*AB148*AD148*AF148*AH148*AL148*AJ148</f>
        <v>7.4428057553956819</v>
      </c>
      <c r="O148" s="215">
        <f t="shared" si="23"/>
        <v>7.4428057553956819</v>
      </c>
      <c r="P148" s="215">
        <f t="shared" si="23"/>
        <v>7.4428057553956819</v>
      </c>
      <c r="Q148" s="215">
        <f t="shared" si="23"/>
        <v>7.4428057553956819</v>
      </c>
      <c r="R148" s="15" t="s">
        <v>839</v>
      </c>
      <c r="S148" s="15" t="s">
        <v>841</v>
      </c>
      <c r="T148" s="15" t="s">
        <v>367</v>
      </c>
      <c r="U148" s="15" t="s">
        <v>366</v>
      </c>
      <c r="V148" s="412" t="s">
        <v>362</v>
      </c>
      <c r="W148" s="412" t="s">
        <v>359</v>
      </c>
      <c r="X148" s="412">
        <v>1.39</v>
      </c>
      <c r="Y148" s="412" t="s">
        <v>358</v>
      </c>
      <c r="Z148" s="412">
        <v>0.94</v>
      </c>
      <c r="AA148" s="412" t="s">
        <v>357</v>
      </c>
      <c r="AB148" s="412">
        <v>1</v>
      </c>
      <c r="AC148" s="412" t="s">
        <v>365</v>
      </c>
      <c r="AD148" s="414">
        <v>1</v>
      </c>
      <c r="AE148" s="412" t="s">
        <v>364</v>
      </c>
      <c r="AF148" s="412">
        <v>20</v>
      </c>
      <c r="AG148" s="412" t="s">
        <v>363</v>
      </c>
      <c r="AH148" s="412">
        <v>250</v>
      </c>
      <c r="AI148" s="412" t="s">
        <v>355</v>
      </c>
      <c r="AJ148" s="415">
        <v>4.8399999999999997E-3</v>
      </c>
      <c r="AK148" s="412" t="s">
        <v>354</v>
      </c>
      <c r="AL148" s="414">
        <v>0.95</v>
      </c>
      <c r="AM148" s="412"/>
      <c r="AN148" s="412"/>
      <c r="AO148" s="166"/>
      <c r="AP148" s="166"/>
      <c r="AQ148" s="166"/>
      <c r="AR148" s="166"/>
      <c r="AS148" s="166"/>
      <c r="AT148" s="166"/>
      <c r="AU148" s="363"/>
      <c r="AV148" s="363"/>
      <c r="AW148" s="363"/>
      <c r="AX148" s="363"/>
      <c r="AY148" s="364"/>
      <c r="AZ148" s="365"/>
      <c r="BA148" s="366"/>
    </row>
    <row r="149" spans="1:53">
      <c r="A149" s="2" t="str">
        <f t="shared" si="20"/>
        <v>Bus - SB Assessments_Showerhead</v>
      </c>
      <c r="B149" s="18">
        <v>146</v>
      </c>
      <c r="C149" s="18" t="s">
        <v>709</v>
      </c>
      <c r="D149" s="18" t="s">
        <v>731</v>
      </c>
      <c r="E149" s="23" t="s">
        <v>150</v>
      </c>
      <c r="F149" s="23">
        <v>1</v>
      </c>
      <c r="G149" s="154">
        <v>0.92</v>
      </c>
      <c r="H149" s="469">
        <v>10</v>
      </c>
      <c r="I149" s="458">
        <v>10</v>
      </c>
      <c r="J149" s="23">
        <v>32</v>
      </c>
      <c r="K149" s="23">
        <f t="shared" si="21"/>
        <v>32</v>
      </c>
      <c r="L149" s="23">
        <f t="shared" si="24"/>
        <v>32</v>
      </c>
      <c r="M149" s="23">
        <f t="shared" si="25"/>
        <v>32</v>
      </c>
      <c r="N149" s="215">
        <f>100%*((X149*AB149-Z149*AB149)*AD149*365.25)*AF149*AH149</f>
        <v>19.917921113999995</v>
      </c>
      <c r="O149" s="215">
        <f t="shared" si="23"/>
        <v>19.917921113999995</v>
      </c>
      <c r="P149" s="215">
        <f t="shared" si="23"/>
        <v>19.917921113999995</v>
      </c>
      <c r="Q149" s="215">
        <f t="shared" si="23"/>
        <v>19.917921113999995</v>
      </c>
      <c r="R149" s="15" t="s">
        <v>839</v>
      </c>
      <c r="S149" s="15" t="s">
        <v>841</v>
      </c>
      <c r="T149" s="15" t="s">
        <v>361</v>
      </c>
      <c r="U149" s="15" t="s">
        <v>360</v>
      </c>
      <c r="V149" s="412" t="s">
        <v>353</v>
      </c>
      <c r="W149" s="412" t="s">
        <v>359</v>
      </c>
      <c r="X149" s="412">
        <v>2.67</v>
      </c>
      <c r="Y149" s="412" t="s">
        <v>358</v>
      </c>
      <c r="Z149" s="412">
        <v>1.5</v>
      </c>
      <c r="AA149" s="412" t="s">
        <v>357</v>
      </c>
      <c r="AB149" s="412">
        <v>8.1999999999999993</v>
      </c>
      <c r="AC149" s="412" t="s">
        <v>356</v>
      </c>
      <c r="AD149" s="412">
        <v>1</v>
      </c>
      <c r="AE149" s="412" t="s">
        <v>355</v>
      </c>
      <c r="AF149" s="489">
        <v>5.7999999999999996E-3</v>
      </c>
      <c r="AG149" s="412" t="s">
        <v>354</v>
      </c>
      <c r="AH149" s="414">
        <v>0.98</v>
      </c>
      <c r="AI149" s="412"/>
      <c r="AJ149" s="412"/>
      <c r="AK149" s="412"/>
      <c r="AL149" s="412"/>
      <c r="AM149" s="412"/>
      <c r="AN149" s="412"/>
      <c r="AO149" s="166"/>
      <c r="AP149" s="166"/>
      <c r="AQ149" s="166"/>
      <c r="AR149" s="166"/>
      <c r="AS149" s="166"/>
      <c r="AT149" s="166"/>
      <c r="AU149" s="363"/>
      <c r="AV149" s="363"/>
      <c r="AW149" s="363"/>
      <c r="AX149" s="363"/>
      <c r="AY149" s="364"/>
      <c r="AZ149" s="365"/>
      <c r="BA149" s="366"/>
    </row>
    <row r="150" spans="1:53">
      <c r="A150" s="2" t="str">
        <f t="shared" si="20"/>
        <v>Bus - SB Assessments_Pipe Insulation - DHW</v>
      </c>
      <c r="B150" s="18">
        <v>147</v>
      </c>
      <c r="C150" s="18" t="s">
        <v>709</v>
      </c>
      <c r="D150" s="18" t="s">
        <v>681</v>
      </c>
      <c r="E150" s="23" t="s">
        <v>150</v>
      </c>
      <c r="F150" s="23">
        <v>1</v>
      </c>
      <c r="G150" s="154">
        <v>0.92</v>
      </c>
      <c r="H150" s="469">
        <v>15</v>
      </c>
      <c r="I150" s="458">
        <v>15</v>
      </c>
      <c r="J150" s="23">
        <v>675</v>
      </c>
      <c r="K150" s="23">
        <f t="shared" si="21"/>
        <v>675</v>
      </c>
      <c r="L150" s="23">
        <f t="shared" si="24"/>
        <v>675</v>
      </c>
      <c r="M150" s="23">
        <f t="shared" si="25"/>
        <v>675</v>
      </c>
      <c r="N150" s="216">
        <f>'Pipe Insulation Detail'!$B$48</f>
        <v>5.2492031493764015</v>
      </c>
      <c r="O150" s="215">
        <f t="shared" si="23"/>
        <v>5.2492031493764015</v>
      </c>
      <c r="P150" s="215">
        <f t="shared" si="23"/>
        <v>5.2492031493764015</v>
      </c>
      <c r="Q150" s="215">
        <f t="shared" si="23"/>
        <v>5.2492031493764015</v>
      </c>
      <c r="R150" s="15" t="s">
        <v>839</v>
      </c>
      <c r="S150" s="15" t="s">
        <v>841</v>
      </c>
      <c r="T150" s="15" t="s">
        <v>201</v>
      </c>
      <c r="U150" s="15" t="s">
        <v>200</v>
      </c>
      <c r="V150" s="435" t="s">
        <v>853</v>
      </c>
      <c r="W150" s="166"/>
      <c r="X150" s="166"/>
      <c r="Y150" s="166"/>
      <c r="Z150" s="166"/>
      <c r="AA150" s="158"/>
      <c r="AB150" s="166"/>
      <c r="AC150" s="158"/>
      <c r="AD150" s="166"/>
      <c r="AE150" s="158"/>
      <c r="AF150" s="166"/>
      <c r="AG150" s="166"/>
      <c r="AH150" s="166"/>
      <c r="AI150" s="166"/>
      <c r="AJ150" s="166"/>
      <c r="AK150" s="166"/>
      <c r="AL150" s="166"/>
      <c r="AM150" s="166"/>
      <c r="AN150" s="166"/>
      <c r="AO150" s="166"/>
      <c r="AP150" s="166"/>
      <c r="AQ150" s="166"/>
      <c r="AR150" s="166"/>
      <c r="AS150" s="166"/>
      <c r="AT150" s="166"/>
      <c r="AU150" s="363"/>
      <c r="AV150" s="363"/>
      <c r="AW150" s="363"/>
      <c r="AX150" s="363"/>
      <c r="AY150" s="364"/>
      <c r="AZ150" s="365"/>
      <c r="BA150" s="366"/>
    </row>
    <row r="151" spans="1:53">
      <c r="A151" s="2" t="str">
        <f t="shared" si="20"/>
        <v>Bus - SB Assessments_Pre Rinse Sprayer</v>
      </c>
      <c r="B151" s="18">
        <v>148</v>
      </c>
      <c r="C151" s="18" t="s">
        <v>709</v>
      </c>
      <c r="D151" s="18" t="s">
        <v>710</v>
      </c>
      <c r="E151" s="23" t="s">
        <v>150</v>
      </c>
      <c r="F151" s="23">
        <v>1</v>
      </c>
      <c r="G151" s="154">
        <v>0.92</v>
      </c>
      <c r="H151" s="469">
        <v>5</v>
      </c>
      <c r="I151" s="458">
        <v>5</v>
      </c>
      <c r="J151" s="23">
        <v>15</v>
      </c>
      <c r="K151" s="23">
        <f t="shared" si="21"/>
        <v>15</v>
      </c>
      <c r="L151" s="23">
        <f t="shared" si="24"/>
        <v>15</v>
      </c>
      <c r="M151" s="23">
        <f t="shared" si="25"/>
        <v>15</v>
      </c>
      <c r="N151" s="215">
        <f>(X151-Z151)*60*AB151*AD151*8.33*1*(AF151-AH151)*(1/AJ151)/100000</f>
        <v>237.414996</v>
      </c>
      <c r="O151" s="215">
        <f t="shared" si="23"/>
        <v>237.414996</v>
      </c>
      <c r="P151" s="215">
        <f t="shared" si="23"/>
        <v>237.414996</v>
      </c>
      <c r="Q151" s="215">
        <f t="shared" si="23"/>
        <v>237.414996</v>
      </c>
      <c r="R151" s="15" t="s">
        <v>839</v>
      </c>
      <c r="S151" s="15" t="s">
        <v>841</v>
      </c>
      <c r="T151" s="15" t="s">
        <v>351</v>
      </c>
      <c r="U151" s="15" t="s">
        <v>350</v>
      </c>
      <c r="V151" s="157" t="s">
        <v>344</v>
      </c>
      <c r="W151" s="412" t="s">
        <v>349</v>
      </c>
      <c r="X151" s="485">
        <v>2.14</v>
      </c>
      <c r="Y151" s="412" t="s">
        <v>348</v>
      </c>
      <c r="Z151" s="486">
        <v>0.98</v>
      </c>
      <c r="AA151" s="412" t="s">
        <v>347</v>
      </c>
      <c r="AB151" s="440">
        <v>1.5</v>
      </c>
      <c r="AC151" s="412" t="s">
        <v>346</v>
      </c>
      <c r="AD151" s="412">
        <v>312</v>
      </c>
      <c r="AE151" s="412" t="s">
        <v>251</v>
      </c>
      <c r="AF151" s="441">
        <f>70+AH151</f>
        <v>124.1</v>
      </c>
      <c r="AG151" s="412" t="s">
        <v>250</v>
      </c>
      <c r="AH151" s="487">
        <v>54.1</v>
      </c>
      <c r="AI151" s="412" t="s">
        <v>345</v>
      </c>
      <c r="AJ151" s="414">
        <v>0.8</v>
      </c>
      <c r="AK151" s="166"/>
      <c r="AL151" s="166"/>
      <c r="AM151" s="166"/>
      <c r="AN151" s="166"/>
      <c r="AO151" s="166"/>
      <c r="AP151" s="166"/>
      <c r="AQ151" s="166"/>
      <c r="AR151" s="166"/>
      <c r="AS151" s="166"/>
      <c r="AT151" s="166"/>
      <c r="AU151" s="363"/>
      <c r="AV151" s="363"/>
      <c r="AW151" s="363"/>
      <c r="AX151" s="363"/>
      <c r="AY151" s="364"/>
      <c r="AZ151" s="365"/>
      <c r="BA151" s="366"/>
    </row>
    <row r="152" spans="1:53">
      <c r="A152" s="2" t="str">
        <f t="shared" si="20"/>
        <v>Bus - SB Assessments_Thermostat - Programmable</v>
      </c>
      <c r="B152" s="18">
        <v>149</v>
      </c>
      <c r="C152" s="395" t="s">
        <v>709</v>
      </c>
      <c r="D152" s="395" t="s">
        <v>226</v>
      </c>
      <c r="E152" s="23" t="s">
        <v>150</v>
      </c>
      <c r="F152" s="23">
        <v>1</v>
      </c>
      <c r="G152" s="154">
        <v>0.92</v>
      </c>
      <c r="H152" s="469">
        <v>4</v>
      </c>
      <c r="I152" s="458">
        <v>4</v>
      </c>
      <c r="J152" s="23">
        <v>1</v>
      </c>
      <c r="K152" s="23">
        <f t="shared" si="21"/>
        <v>1</v>
      </c>
      <c r="L152" s="23">
        <f t="shared" si="24"/>
        <v>1</v>
      </c>
      <c r="M152" s="23">
        <f t="shared" si="25"/>
        <v>1</v>
      </c>
      <c r="N152" s="29">
        <f>'Thermostat Detail'!L13</f>
        <v>124.68584320000001</v>
      </c>
      <c r="O152" s="215">
        <f t="shared" si="23"/>
        <v>124.68584320000001</v>
      </c>
      <c r="P152" s="215">
        <f t="shared" si="23"/>
        <v>124.68584320000001</v>
      </c>
      <c r="Q152" s="215">
        <f t="shared" si="23"/>
        <v>124.68584320000001</v>
      </c>
      <c r="R152" s="15" t="s">
        <v>840</v>
      </c>
      <c r="S152" s="15" t="s">
        <v>841</v>
      </c>
      <c r="T152" s="15" t="str">
        <f>T140</f>
        <v>4.4.18</v>
      </c>
      <c r="U152" s="15" t="str">
        <f>U140</f>
        <v>CI-HVC-PROG-V02-150601</v>
      </c>
      <c r="V152" s="157" t="s">
        <v>834</v>
      </c>
      <c r="W152" s="412"/>
      <c r="X152" s="412"/>
      <c r="Y152" s="412"/>
      <c r="Z152" s="439"/>
      <c r="AA152" s="412"/>
      <c r="AB152" s="440"/>
      <c r="AC152" s="412"/>
      <c r="AD152" s="412"/>
      <c r="AE152" s="412"/>
      <c r="AF152" s="441"/>
      <c r="AG152" s="412"/>
      <c r="AH152" s="441"/>
      <c r="AI152" s="412"/>
      <c r="AJ152" s="414"/>
      <c r="AK152" s="166"/>
      <c r="AL152" s="166"/>
      <c r="AM152" s="166"/>
      <c r="AN152" s="166"/>
      <c r="AO152" s="166"/>
      <c r="AP152" s="166"/>
      <c r="AQ152" s="166"/>
      <c r="AR152" s="166"/>
      <c r="AS152" s="166"/>
      <c r="AT152" s="166"/>
      <c r="AU152" s="363"/>
      <c r="AV152" s="363"/>
      <c r="AW152" s="363"/>
      <c r="AX152" s="363"/>
      <c r="AY152" s="364"/>
      <c r="AZ152" s="365"/>
      <c r="BA152" s="366"/>
    </row>
    <row r="153" spans="1:53">
      <c r="A153" s="2" t="str">
        <f t="shared" si="20"/>
        <v>Bus - CI Assessments_Gas Optimization</v>
      </c>
      <c r="B153" s="18">
        <v>150</v>
      </c>
      <c r="C153" s="18" t="s">
        <v>708</v>
      </c>
      <c r="D153" s="18" t="s">
        <v>670</v>
      </c>
      <c r="E153" s="23" t="s">
        <v>150</v>
      </c>
      <c r="F153" s="23">
        <v>1</v>
      </c>
      <c r="G153" s="154">
        <v>1.02</v>
      </c>
      <c r="H153" s="469">
        <v>15</v>
      </c>
      <c r="I153" s="458">
        <v>15</v>
      </c>
      <c r="J153" s="23">
        <v>7</v>
      </c>
      <c r="K153" s="23">
        <f t="shared" si="21"/>
        <v>7</v>
      </c>
      <c r="L153" s="23">
        <v>5</v>
      </c>
      <c r="M153" s="23">
        <v>7</v>
      </c>
      <c r="N153" s="215">
        <v>35300</v>
      </c>
      <c r="O153" s="215">
        <f t="shared" si="23"/>
        <v>35300</v>
      </c>
      <c r="P153" s="215">
        <f t="shared" si="23"/>
        <v>35300</v>
      </c>
      <c r="Q153" s="215">
        <f t="shared" si="23"/>
        <v>35300</v>
      </c>
      <c r="R153" s="15" t="s">
        <v>140</v>
      </c>
      <c r="S153" s="15" t="s">
        <v>140</v>
      </c>
      <c r="T153" s="15" t="s">
        <v>140</v>
      </c>
      <c r="U153" s="15" t="s">
        <v>140</v>
      </c>
      <c r="V153" s="412" t="s">
        <v>140</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363"/>
      <c r="AV153" s="363"/>
      <c r="AW153" s="363"/>
      <c r="AX153" s="363"/>
      <c r="AY153" s="364"/>
      <c r="AZ153" s="365"/>
      <c r="BA153" s="366"/>
    </row>
    <row r="154" spans="1:53">
      <c r="A154" s="2" t="str">
        <f t="shared" si="20"/>
        <v>Bus - CI Assessments_Retrocommissioning</v>
      </c>
      <c r="B154" s="18">
        <v>151</v>
      </c>
      <c r="C154" s="18" t="s">
        <v>708</v>
      </c>
      <c r="D154" s="18" t="s">
        <v>671</v>
      </c>
      <c r="E154" s="23" t="s">
        <v>150</v>
      </c>
      <c r="F154" s="23">
        <v>1</v>
      </c>
      <c r="G154" s="154">
        <v>1.02</v>
      </c>
      <c r="H154" s="469">
        <v>15</v>
      </c>
      <c r="I154" s="458">
        <v>15</v>
      </c>
      <c r="J154" s="23">
        <v>2</v>
      </c>
      <c r="K154" s="23">
        <f t="shared" si="21"/>
        <v>2</v>
      </c>
      <c r="L154" s="23">
        <f>K154</f>
        <v>2</v>
      </c>
      <c r="M154" s="23">
        <f>L154</f>
        <v>2</v>
      </c>
      <c r="N154" s="215">
        <v>19700</v>
      </c>
      <c r="O154" s="215">
        <f t="shared" si="23"/>
        <v>19700</v>
      </c>
      <c r="P154" s="215">
        <f t="shared" si="23"/>
        <v>19700</v>
      </c>
      <c r="Q154" s="215">
        <f t="shared" si="23"/>
        <v>19700</v>
      </c>
      <c r="R154" s="15" t="s">
        <v>140</v>
      </c>
      <c r="S154" s="15" t="s">
        <v>140</v>
      </c>
      <c r="T154" s="15" t="s">
        <v>140</v>
      </c>
      <c r="U154" s="15" t="s">
        <v>140</v>
      </c>
      <c r="V154" s="412" t="s">
        <v>140</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363"/>
      <c r="AV154" s="363"/>
      <c r="AW154" s="363"/>
      <c r="AX154" s="363"/>
      <c r="AY154" s="364"/>
      <c r="AZ154" s="365"/>
      <c r="BA154" s="366"/>
    </row>
    <row r="155" spans="1:53">
      <c r="A155" s="2" t="str">
        <f t="shared" si="20"/>
        <v>Bus - CI Assessments_Engineering Study</v>
      </c>
      <c r="B155" s="18">
        <v>152</v>
      </c>
      <c r="C155" s="18" t="s">
        <v>708</v>
      </c>
      <c r="D155" s="18" t="s">
        <v>672</v>
      </c>
      <c r="E155" s="23" t="s">
        <v>150</v>
      </c>
      <c r="F155" s="23">
        <v>1</v>
      </c>
      <c r="G155" s="154">
        <v>1.02</v>
      </c>
      <c r="H155" s="469">
        <v>0</v>
      </c>
      <c r="I155" s="458">
        <v>0</v>
      </c>
      <c r="J155" s="23">
        <v>0</v>
      </c>
      <c r="K155" s="23">
        <f t="shared" si="21"/>
        <v>0</v>
      </c>
      <c r="L155" s="23">
        <f>K155</f>
        <v>0</v>
      </c>
      <c r="M155" s="23">
        <f>L155</f>
        <v>0</v>
      </c>
      <c r="N155" s="215">
        <v>1</v>
      </c>
      <c r="O155" s="215">
        <f t="shared" si="23"/>
        <v>1</v>
      </c>
      <c r="P155" s="215">
        <f t="shared" si="23"/>
        <v>1</v>
      </c>
      <c r="Q155" s="215">
        <f t="shared" si="23"/>
        <v>1</v>
      </c>
      <c r="R155" s="15" t="s">
        <v>140</v>
      </c>
      <c r="S155" s="15" t="s">
        <v>140</v>
      </c>
      <c r="T155" s="15" t="s">
        <v>140</v>
      </c>
      <c r="U155" s="15" t="s">
        <v>140</v>
      </c>
      <c r="V155" s="412" t="s">
        <v>140</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363"/>
      <c r="AV155" s="363"/>
      <c r="AW155" s="363"/>
      <c r="AX155" s="363"/>
      <c r="AY155" s="364"/>
      <c r="AZ155" s="365"/>
      <c r="BA155" s="366"/>
    </row>
    <row r="156" spans="1:53">
      <c r="A156" s="2" t="str">
        <f t="shared" si="20"/>
        <v>Bus - CI Rebates_Staffing</v>
      </c>
      <c r="B156" s="18">
        <v>153</v>
      </c>
      <c r="C156" s="18" t="s">
        <v>711</v>
      </c>
      <c r="D156" s="18" t="s">
        <v>673</v>
      </c>
      <c r="E156" s="23" t="s">
        <v>150</v>
      </c>
      <c r="F156" s="23">
        <v>1</v>
      </c>
      <c r="G156" s="154">
        <v>1.02</v>
      </c>
      <c r="H156" s="469">
        <v>0</v>
      </c>
      <c r="I156" s="458">
        <v>0</v>
      </c>
      <c r="J156" s="23"/>
      <c r="K156" s="23">
        <v>0</v>
      </c>
      <c r="L156" s="23">
        <v>0</v>
      </c>
      <c r="M156" s="23">
        <v>0</v>
      </c>
      <c r="N156" s="217">
        <v>1</v>
      </c>
      <c r="O156" s="215">
        <f t="shared" si="23"/>
        <v>1</v>
      </c>
      <c r="P156" s="215">
        <f t="shared" si="23"/>
        <v>1</v>
      </c>
      <c r="Q156" s="215">
        <f t="shared" si="23"/>
        <v>1</v>
      </c>
      <c r="R156" s="15" t="s">
        <v>140</v>
      </c>
      <c r="S156" s="15" t="s">
        <v>140</v>
      </c>
      <c r="T156" s="15" t="s">
        <v>140</v>
      </c>
      <c r="U156" s="15" t="s">
        <v>140</v>
      </c>
      <c r="V156" s="412" t="s">
        <v>140</v>
      </c>
      <c r="W156" s="169"/>
      <c r="X156" s="169"/>
      <c r="Y156" s="412"/>
      <c r="Z156" s="412"/>
      <c r="AA156" s="170"/>
      <c r="AB156" s="412"/>
      <c r="AC156" s="157"/>
      <c r="AD156" s="412"/>
      <c r="AE156" s="157"/>
      <c r="AF156" s="412"/>
      <c r="AG156" s="412"/>
      <c r="AH156" s="412"/>
      <c r="AI156" s="412"/>
      <c r="AJ156" s="412"/>
      <c r="AK156" s="412"/>
      <c r="AL156" s="412"/>
      <c r="AM156" s="412"/>
      <c r="AN156" s="412"/>
      <c r="AO156" s="412"/>
      <c r="AP156" s="412"/>
      <c r="AQ156" s="412"/>
      <c r="AR156" s="412"/>
      <c r="AS156" s="412"/>
      <c r="AT156" s="412"/>
      <c r="AU156" s="363"/>
      <c r="AV156" s="363"/>
      <c r="AW156" s="363"/>
      <c r="AX156" s="363"/>
      <c r="AY156" s="364"/>
      <c r="AZ156" s="365"/>
      <c r="BA156" s="366"/>
    </row>
    <row r="157" spans="1:53">
      <c r="A157" s="2" t="str">
        <f t="shared" si="20"/>
        <v>Bus - SB Rebates_Boiler ≥88% AFUE, &lt;300MBh</v>
      </c>
      <c r="B157" s="18">
        <v>154</v>
      </c>
      <c r="C157" s="23" t="s">
        <v>712</v>
      </c>
      <c r="D157" s="18" t="s">
        <v>718</v>
      </c>
      <c r="E157" s="23" t="s">
        <v>240</v>
      </c>
      <c r="F157" s="23">
        <v>150</v>
      </c>
      <c r="G157" s="154">
        <v>0.92</v>
      </c>
      <c r="H157" s="469">
        <v>20</v>
      </c>
      <c r="I157" s="458">
        <v>20</v>
      </c>
      <c r="J157" s="23">
        <v>0</v>
      </c>
      <c r="K157" s="23">
        <v>0</v>
      </c>
      <c r="L157" s="23">
        <v>0</v>
      </c>
      <c r="M157" s="23">
        <v>0</v>
      </c>
      <c r="N157" s="216">
        <f>X157*Z157*((AB157-AD157)/AD157)/100000/F157</f>
        <v>1.1919512195121962</v>
      </c>
      <c r="O157" s="215">
        <f t="shared" si="23"/>
        <v>1.1919512195121962</v>
      </c>
      <c r="P157" s="215">
        <f t="shared" si="23"/>
        <v>1.1919512195121962</v>
      </c>
      <c r="Q157" s="215">
        <f t="shared" si="23"/>
        <v>1.1919512195121962</v>
      </c>
      <c r="R157" s="15" t="s">
        <v>839</v>
      </c>
      <c r="S157" s="15" t="s">
        <v>841</v>
      </c>
      <c r="T157" s="15" t="s">
        <v>343</v>
      </c>
      <c r="U157" s="15" t="s">
        <v>342</v>
      </c>
      <c r="V157" s="166" t="s">
        <v>340</v>
      </c>
      <c r="W157" s="492" t="s">
        <v>1433</v>
      </c>
      <c r="X157" s="491">
        <v>1629</v>
      </c>
      <c r="Y157" s="158" t="s">
        <v>273</v>
      </c>
      <c r="Z157" s="420">
        <v>150000</v>
      </c>
      <c r="AA157" s="158" t="s">
        <v>341</v>
      </c>
      <c r="AB157" s="419">
        <v>0.88</v>
      </c>
      <c r="AC157" s="166" t="s">
        <v>248</v>
      </c>
      <c r="AD157" s="419">
        <v>0.82</v>
      </c>
      <c r="AE157" s="166"/>
      <c r="AF157" s="166"/>
      <c r="AG157" s="166"/>
      <c r="AH157" s="166"/>
      <c r="AI157" s="166"/>
      <c r="AJ157" s="166"/>
      <c r="AK157" s="166"/>
      <c r="AL157" s="166"/>
      <c r="AM157" s="166"/>
      <c r="AN157" s="166"/>
      <c r="AO157" s="166"/>
      <c r="AP157" s="166"/>
      <c r="AQ157" s="166"/>
      <c r="AR157" s="166"/>
      <c r="AS157" s="166"/>
      <c r="AT157" s="166"/>
      <c r="AU157" s="363"/>
      <c r="AV157" s="363"/>
      <c r="AW157" s="363"/>
      <c r="AX157" s="363"/>
      <c r="AY157" s="364"/>
      <c r="AZ157" s="367"/>
      <c r="BA157" s="366"/>
    </row>
    <row r="158" spans="1:53">
      <c r="A158" s="2" t="str">
        <f t="shared" si="20"/>
        <v>Bus - SB Rebates_Boiler ≥88% AFUE, ≥300MBh TE</v>
      </c>
      <c r="B158" s="18">
        <v>155</v>
      </c>
      <c r="C158" s="23" t="s">
        <v>712</v>
      </c>
      <c r="D158" s="18" t="s">
        <v>719</v>
      </c>
      <c r="E158" s="23" t="s">
        <v>240</v>
      </c>
      <c r="F158" s="23">
        <v>350</v>
      </c>
      <c r="G158" s="154">
        <v>0.92</v>
      </c>
      <c r="H158" s="469">
        <v>20</v>
      </c>
      <c r="I158" s="458">
        <v>20</v>
      </c>
      <c r="J158" s="23">
        <v>0</v>
      </c>
      <c r="K158" s="23">
        <v>0</v>
      </c>
      <c r="L158" s="23">
        <v>0</v>
      </c>
      <c r="M158" s="23">
        <v>0</v>
      </c>
      <c r="N158" s="216">
        <f>X158*Z158*((AB158-AD158)/AD158)/100000/F158</f>
        <v>1.6289999999999993</v>
      </c>
      <c r="O158" s="215">
        <f t="shared" si="23"/>
        <v>1.6289999999999993</v>
      </c>
      <c r="P158" s="215">
        <f t="shared" si="23"/>
        <v>1.6289999999999993</v>
      </c>
      <c r="Q158" s="215">
        <f t="shared" si="23"/>
        <v>1.6289999999999993</v>
      </c>
      <c r="R158" s="15" t="s">
        <v>839</v>
      </c>
      <c r="S158" s="15" t="s">
        <v>841</v>
      </c>
      <c r="T158" s="15" t="s">
        <v>343</v>
      </c>
      <c r="U158" s="15" t="s">
        <v>342</v>
      </c>
      <c r="V158" s="166" t="s">
        <v>340</v>
      </c>
      <c r="W158" s="492" t="s">
        <v>1433</v>
      </c>
      <c r="X158" s="491">
        <v>1629</v>
      </c>
      <c r="Y158" s="158" t="s">
        <v>273</v>
      </c>
      <c r="Z158" s="420">
        <v>350000</v>
      </c>
      <c r="AA158" s="158" t="s">
        <v>341</v>
      </c>
      <c r="AB158" s="419">
        <v>0.88</v>
      </c>
      <c r="AC158" s="166" t="s">
        <v>248</v>
      </c>
      <c r="AD158" s="419">
        <v>0.8</v>
      </c>
      <c r="AE158" s="166"/>
      <c r="AF158" s="166"/>
      <c r="AG158" s="166"/>
      <c r="AH158" s="166"/>
      <c r="AI158" s="166"/>
      <c r="AJ158" s="166"/>
      <c r="AK158" s="166"/>
      <c r="AL158" s="166"/>
      <c r="AM158" s="166"/>
      <c r="AN158" s="166"/>
      <c r="AO158" s="166"/>
      <c r="AP158" s="166"/>
      <c r="AQ158" s="166"/>
      <c r="AR158" s="166"/>
      <c r="AS158" s="166"/>
      <c r="AT158" s="166"/>
      <c r="AU158" s="363"/>
      <c r="AV158" s="363"/>
      <c r="AW158" s="363"/>
      <c r="AX158" s="363"/>
      <c r="AY158" s="364"/>
      <c r="AZ158" s="367"/>
      <c r="BA158" s="366"/>
    </row>
    <row r="159" spans="1:53">
      <c r="A159" s="2" t="str">
        <f t="shared" si="20"/>
        <v>Bus - SB Rebates_Boiler Reset Controls</v>
      </c>
      <c r="B159" s="18">
        <v>156</v>
      </c>
      <c r="C159" s="23" t="s">
        <v>712</v>
      </c>
      <c r="D159" s="18" t="s">
        <v>1062</v>
      </c>
      <c r="E159" s="23" t="s">
        <v>150</v>
      </c>
      <c r="F159" s="23">
        <v>200</v>
      </c>
      <c r="G159" s="154">
        <v>0.92</v>
      </c>
      <c r="H159" s="469">
        <v>20</v>
      </c>
      <c r="I159" s="458">
        <v>20</v>
      </c>
      <c r="J159" s="23">
        <v>0</v>
      </c>
      <c r="K159" s="23">
        <v>0</v>
      </c>
      <c r="L159" s="23">
        <v>0</v>
      </c>
      <c r="M159" s="23">
        <v>0</v>
      </c>
      <c r="N159" s="216">
        <f>X159*Z159/100</f>
        <v>1.3031999999999999</v>
      </c>
      <c r="O159" s="215">
        <f t="shared" si="23"/>
        <v>1.3031999999999999</v>
      </c>
      <c r="P159" s="215">
        <f t="shared" si="23"/>
        <v>1.3031999999999999</v>
      </c>
      <c r="Q159" s="215">
        <f t="shared" si="23"/>
        <v>1.3031999999999999</v>
      </c>
      <c r="R159" s="15" t="s">
        <v>839</v>
      </c>
      <c r="S159" s="15" t="s">
        <v>841</v>
      </c>
      <c r="T159" s="15" t="s">
        <v>339</v>
      </c>
      <c r="U159" s="15" t="s">
        <v>338</v>
      </c>
      <c r="V159" s="166" t="s">
        <v>336</v>
      </c>
      <c r="W159" s="492" t="s">
        <v>1433</v>
      </c>
      <c r="X159" s="491">
        <v>1629</v>
      </c>
      <c r="Y159" s="158" t="s">
        <v>337</v>
      </c>
      <c r="Z159" s="421">
        <v>0.08</v>
      </c>
      <c r="AA159" s="158"/>
      <c r="AB159" s="158"/>
      <c r="AC159" s="158"/>
      <c r="AD159" s="158"/>
      <c r="AE159" s="158"/>
      <c r="AF159" s="166"/>
      <c r="AG159" s="166"/>
      <c r="AH159" s="166"/>
      <c r="AI159" s="166"/>
      <c r="AJ159" s="166"/>
      <c r="AK159" s="166"/>
      <c r="AL159" s="166"/>
      <c r="AM159" s="166"/>
      <c r="AN159" s="166"/>
      <c r="AO159" s="166"/>
      <c r="AP159" s="166"/>
      <c r="AQ159" s="166"/>
      <c r="AR159" s="166"/>
      <c r="AS159" s="166"/>
      <c r="AT159" s="166"/>
      <c r="AU159" s="363"/>
      <c r="AV159" s="363"/>
      <c r="AW159" s="363"/>
      <c r="AX159" s="363"/>
      <c r="AY159" s="364"/>
      <c r="AZ159" s="365"/>
      <c r="BA159" s="366"/>
    </row>
    <row r="160" spans="1:53">
      <c r="A160" s="2" t="str">
        <f t="shared" si="20"/>
        <v>Bus - SB Rebates_Boiler Tune Up - Process</v>
      </c>
      <c r="B160" s="18">
        <v>157</v>
      </c>
      <c r="C160" s="23" t="s">
        <v>712</v>
      </c>
      <c r="D160" s="18" t="s">
        <v>335</v>
      </c>
      <c r="E160" s="23" t="s">
        <v>240</v>
      </c>
      <c r="F160" s="23">
        <v>200</v>
      </c>
      <c r="G160" s="154">
        <v>0.92</v>
      </c>
      <c r="H160" s="469">
        <v>3</v>
      </c>
      <c r="I160" s="458">
        <v>3</v>
      </c>
      <c r="J160" s="23">
        <v>0</v>
      </c>
      <c r="K160" s="23">
        <v>0</v>
      </c>
      <c r="L160" s="23">
        <v>0</v>
      </c>
      <c r="M160" s="23">
        <v>0</v>
      </c>
      <c r="N160" s="216">
        <f>(X160*8766*Z160)/100*(1-AB160/AD160)</f>
        <v>0.83823507428978783</v>
      </c>
      <c r="O160" s="215">
        <f t="shared" si="23"/>
        <v>0.83823507428978783</v>
      </c>
      <c r="P160" s="215">
        <f t="shared" si="23"/>
        <v>0.83823507428978783</v>
      </c>
      <c r="Q160" s="215">
        <f t="shared" si="23"/>
        <v>0.83823507428978783</v>
      </c>
      <c r="R160" s="15" t="s">
        <v>839</v>
      </c>
      <c r="S160" s="15" t="s">
        <v>841</v>
      </c>
      <c r="T160" s="15" t="s">
        <v>334</v>
      </c>
      <c r="U160" s="15" t="s">
        <v>333</v>
      </c>
      <c r="V160" s="166" t="s">
        <v>328</v>
      </c>
      <c r="W160" s="166" t="s">
        <v>332</v>
      </c>
      <c r="X160" s="420">
        <v>1</v>
      </c>
      <c r="Y160" s="166" t="s">
        <v>331</v>
      </c>
      <c r="Z160" s="427">
        <v>0.41899999999999998</v>
      </c>
      <c r="AA160" s="158" t="s">
        <v>330</v>
      </c>
      <c r="AB160" s="428">
        <v>0.82210000000000005</v>
      </c>
      <c r="AC160" s="158" t="s">
        <v>329</v>
      </c>
      <c r="AD160" s="428">
        <v>0.84130000000000005</v>
      </c>
      <c r="AE160" s="158"/>
      <c r="AF160" s="166"/>
      <c r="AG160" s="166"/>
      <c r="AH160" s="166"/>
      <c r="AI160" s="166"/>
      <c r="AJ160" s="166"/>
      <c r="AK160" s="166"/>
      <c r="AL160" s="166"/>
      <c r="AM160" s="166"/>
      <c r="AN160" s="166"/>
      <c r="AO160" s="166"/>
      <c r="AP160" s="166"/>
      <c r="AQ160" s="166"/>
      <c r="AR160" s="166"/>
      <c r="AS160" s="166"/>
      <c r="AT160" s="166"/>
      <c r="AU160" s="363"/>
      <c r="AV160" s="363"/>
      <c r="AW160" s="363"/>
      <c r="AX160" s="363"/>
      <c r="AY160" s="364"/>
      <c r="AZ160" s="365"/>
      <c r="BA160" s="366"/>
    </row>
    <row r="161" spans="1:53">
      <c r="A161" s="2" t="str">
        <f t="shared" si="20"/>
        <v>Bus - SB Rebates_Boiler Tune Up - Space Heating</v>
      </c>
      <c r="B161" s="18">
        <v>158</v>
      </c>
      <c r="C161" s="23" t="s">
        <v>712</v>
      </c>
      <c r="D161" s="18" t="s">
        <v>724</v>
      </c>
      <c r="E161" s="23" t="s">
        <v>240</v>
      </c>
      <c r="F161" s="23">
        <v>200</v>
      </c>
      <c r="G161" s="154">
        <v>0.92</v>
      </c>
      <c r="H161" s="469">
        <v>3</v>
      </c>
      <c r="I161" s="458">
        <v>3</v>
      </c>
      <c r="J161" s="23">
        <v>0</v>
      </c>
      <c r="K161" s="23">
        <v>0</v>
      </c>
      <c r="L161" s="23">
        <v>0</v>
      </c>
      <c r="M161" s="23">
        <v>0</v>
      </c>
      <c r="N161" s="216">
        <f>AD161*(X161*((AB161/Z161)-1))/100000</f>
        <v>0.38045006690183525</v>
      </c>
      <c r="O161" s="215">
        <f t="shared" si="23"/>
        <v>0.38045006690183525</v>
      </c>
      <c r="P161" s="215">
        <f t="shared" si="23"/>
        <v>0.38045006690183525</v>
      </c>
      <c r="Q161" s="215">
        <f t="shared" si="23"/>
        <v>0.38045006690183525</v>
      </c>
      <c r="R161" s="15" t="s">
        <v>839</v>
      </c>
      <c r="S161" s="15" t="s">
        <v>841</v>
      </c>
      <c r="T161" s="15" t="s">
        <v>327</v>
      </c>
      <c r="U161" s="15" t="s">
        <v>326</v>
      </c>
      <c r="V161" s="166" t="s">
        <v>322</v>
      </c>
      <c r="W161" s="492" t="s">
        <v>1433</v>
      </c>
      <c r="X161" s="491">
        <v>1629</v>
      </c>
      <c r="Y161" s="158" t="s">
        <v>325</v>
      </c>
      <c r="Z161" s="428">
        <v>0.82210000000000005</v>
      </c>
      <c r="AA161" s="158" t="s">
        <v>324</v>
      </c>
      <c r="AB161" s="428">
        <v>0.84130000000000005</v>
      </c>
      <c r="AC161" s="166" t="s">
        <v>323</v>
      </c>
      <c r="AD161" s="429">
        <v>1000</v>
      </c>
      <c r="AE161" s="166"/>
      <c r="AF161" s="166"/>
      <c r="AG161" s="166"/>
      <c r="AH161" s="166"/>
      <c r="AI161" s="166"/>
      <c r="AJ161" s="166"/>
      <c r="AK161" s="166"/>
      <c r="AL161" s="166"/>
      <c r="AM161" s="166"/>
      <c r="AN161" s="166"/>
      <c r="AO161" s="166"/>
      <c r="AP161" s="166"/>
      <c r="AQ161" s="166"/>
      <c r="AR161" s="166"/>
      <c r="AS161" s="166"/>
      <c r="AT161" s="166"/>
      <c r="AU161" s="363"/>
      <c r="AV161" s="363"/>
      <c r="AW161" s="363"/>
      <c r="AX161" s="363"/>
      <c r="AY161" s="364"/>
      <c r="AZ161" s="365"/>
      <c r="BA161" s="366"/>
    </row>
    <row r="162" spans="1:53">
      <c r="A162" s="2" t="str">
        <f t="shared" si="20"/>
        <v>Bus - SB Rebates_Condensing Unit Heater</v>
      </c>
      <c r="B162" s="18">
        <v>159</v>
      </c>
      <c r="C162" s="23" t="s">
        <v>712</v>
      </c>
      <c r="D162" s="18" t="s">
        <v>321</v>
      </c>
      <c r="E162" s="23" t="s">
        <v>240</v>
      </c>
      <c r="F162" s="23">
        <v>150</v>
      </c>
      <c r="G162" s="154">
        <v>0.92</v>
      </c>
      <c r="H162" s="469">
        <v>12</v>
      </c>
      <c r="I162" s="458">
        <v>12</v>
      </c>
      <c r="J162" s="23">
        <v>0</v>
      </c>
      <c r="K162" s="23">
        <v>0</v>
      </c>
      <c r="L162" s="23">
        <v>0</v>
      </c>
      <c r="M162" s="23">
        <v>0</v>
      </c>
      <c r="N162" s="216">
        <f>266/F162</f>
        <v>1.7733333333333334</v>
      </c>
      <c r="O162" s="215">
        <f t="shared" si="23"/>
        <v>1.7733333333333334</v>
      </c>
      <c r="P162" s="215">
        <f t="shared" si="23"/>
        <v>1.7733333333333334</v>
      </c>
      <c r="Q162" s="215">
        <f t="shared" si="23"/>
        <v>1.7733333333333334</v>
      </c>
      <c r="R162" s="15" t="s">
        <v>839</v>
      </c>
      <c r="S162" s="15" t="s">
        <v>841</v>
      </c>
      <c r="T162" s="15" t="s">
        <v>320</v>
      </c>
      <c r="U162" s="15" t="s">
        <v>319</v>
      </c>
      <c r="V162" s="166" t="s">
        <v>318</v>
      </c>
      <c r="W162" s="166"/>
      <c r="X162" s="166"/>
      <c r="Y162" s="166"/>
      <c r="Z162" s="166"/>
      <c r="AA162" s="158"/>
      <c r="AB162" s="166"/>
      <c r="AC162" s="158"/>
      <c r="AD162" s="166"/>
      <c r="AE162" s="158"/>
      <c r="AF162" s="166"/>
      <c r="AG162" s="166"/>
      <c r="AH162" s="166"/>
      <c r="AI162" s="166"/>
      <c r="AJ162" s="166"/>
      <c r="AK162" s="166"/>
      <c r="AL162" s="166"/>
      <c r="AM162" s="166"/>
      <c r="AN162" s="166"/>
      <c r="AO162" s="166"/>
      <c r="AP162" s="166"/>
      <c r="AQ162" s="166"/>
      <c r="AR162" s="166"/>
      <c r="AS162" s="166"/>
      <c r="AT162" s="166"/>
      <c r="AU162" s="363"/>
      <c r="AV162" s="363"/>
      <c r="AW162" s="363"/>
      <c r="AX162" s="363"/>
      <c r="AY162" s="364"/>
      <c r="AZ162" s="365"/>
      <c r="BA162" s="366"/>
    </row>
    <row r="163" spans="1:53">
      <c r="A163" s="2" t="str">
        <f t="shared" si="20"/>
        <v>Bus - SB Rebates_DCV - Kitchen</v>
      </c>
      <c r="B163" s="18">
        <v>160</v>
      </c>
      <c r="C163" s="23" t="s">
        <v>712</v>
      </c>
      <c r="D163" s="18" t="s">
        <v>312</v>
      </c>
      <c r="E163" s="23" t="s">
        <v>150</v>
      </c>
      <c r="F163" s="23">
        <v>1</v>
      </c>
      <c r="G163" s="154">
        <v>0.92</v>
      </c>
      <c r="H163" s="469">
        <v>15</v>
      </c>
      <c r="I163" s="458">
        <v>15</v>
      </c>
      <c r="J163" s="23">
        <v>0</v>
      </c>
      <c r="K163" s="23">
        <v>0</v>
      </c>
      <c r="L163" s="23">
        <v>0</v>
      </c>
      <c r="M163" s="23">
        <v>0</v>
      </c>
      <c r="N163" s="216">
        <f>X163*Z163*AB163/(AD163*100000)</f>
        <v>5998.5</v>
      </c>
      <c r="O163" s="215">
        <f t="shared" si="23"/>
        <v>5998.5</v>
      </c>
      <c r="P163" s="215">
        <f t="shared" si="23"/>
        <v>5998.5</v>
      </c>
      <c r="Q163" s="215">
        <f t="shared" si="23"/>
        <v>5998.5</v>
      </c>
      <c r="R163" s="15" t="s">
        <v>839</v>
      </c>
      <c r="S163" s="15" t="s">
        <v>841</v>
      </c>
      <c r="T163" s="15" t="s">
        <v>311</v>
      </c>
      <c r="U163" s="15" t="s">
        <v>310</v>
      </c>
      <c r="V163" s="166" t="s">
        <v>306</v>
      </c>
      <c r="W163" s="166" t="s">
        <v>305</v>
      </c>
      <c r="X163" s="166">
        <v>430</v>
      </c>
      <c r="Y163" s="166" t="s">
        <v>309</v>
      </c>
      <c r="Z163" s="166">
        <v>7.75</v>
      </c>
      <c r="AA163" s="158" t="s">
        <v>308</v>
      </c>
      <c r="AB163" s="433">
        <v>144000</v>
      </c>
      <c r="AC163" s="158" t="s">
        <v>307</v>
      </c>
      <c r="AD163" s="419">
        <v>0.8</v>
      </c>
      <c r="AE163" s="158"/>
      <c r="AF163" s="166"/>
      <c r="AG163" s="166"/>
      <c r="AH163" s="166"/>
      <c r="AI163" s="166"/>
      <c r="AJ163" s="166"/>
      <c r="AK163" s="166"/>
      <c r="AL163" s="166"/>
      <c r="AM163" s="166"/>
      <c r="AN163" s="166"/>
      <c r="AO163" s="166"/>
      <c r="AP163" s="166"/>
      <c r="AQ163" s="166"/>
      <c r="AR163" s="166"/>
      <c r="AS163" s="166"/>
      <c r="AT163" s="166"/>
      <c r="AU163" s="363"/>
      <c r="AV163" s="363"/>
      <c r="AW163" s="363"/>
      <c r="AX163" s="363"/>
      <c r="AY163" s="364"/>
      <c r="AZ163" s="365"/>
      <c r="BA163" s="366"/>
    </row>
    <row r="164" spans="1:53">
      <c r="A164" s="2" t="str">
        <f t="shared" si="20"/>
        <v>Bus - SB Rebates_Direct Fired Heaters</v>
      </c>
      <c r="B164" s="18">
        <v>161</v>
      </c>
      <c r="C164" s="23" t="s">
        <v>712</v>
      </c>
      <c r="D164" s="18" t="s">
        <v>317</v>
      </c>
      <c r="E164" s="23" t="s">
        <v>240</v>
      </c>
      <c r="F164" s="23">
        <v>150</v>
      </c>
      <c r="G164" s="154">
        <v>0.92</v>
      </c>
      <c r="H164" s="469">
        <v>20</v>
      </c>
      <c r="I164" s="458">
        <v>20</v>
      </c>
      <c r="J164" s="23">
        <v>0</v>
      </c>
      <c r="K164" s="23">
        <v>0</v>
      </c>
      <c r="L164" s="23">
        <v>0</v>
      </c>
      <c r="M164" s="23">
        <v>0</v>
      </c>
      <c r="N164" s="216">
        <f>AF164*X164*(Z164/AB164-1)/100000</f>
        <v>2.5169999999999986</v>
      </c>
      <c r="O164" s="215">
        <f t="shared" si="23"/>
        <v>2.5169999999999986</v>
      </c>
      <c r="P164" s="215">
        <f t="shared" si="23"/>
        <v>2.5169999999999986</v>
      </c>
      <c r="Q164" s="215">
        <f t="shared" si="23"/>
        <v>2.5169999999999986</v>
      </c>
      <c r="R164" s="15" t="s">
        <v>140</v>
      </c>
      <c r="S164" s="15" t="s">
        <v>140</v>
      </c>
      <c r="T164" s="15" t="s">
        <v>140</v>
      </c>
      <c r="U164" s="15" t="s">
        <v>140</v>
      </c>
      <c r="V164" s="166" t="s">
        <v>313</v>
      </c>
      <c r="W164" s="166" t="s">
        <v>273</v>
      </c>
      <c r="X164" s="166">
        <v>1000</v>
      </c>
      <c r="Y164" s="166" t="s">
        <v>316</v>
      </c>
      <c r="Z164" s="419">
        <v>0.92</v>
      </c>
      <c r="AA164" s="158" t="s">
        <v>315</v>
      </c>
      <c r="AB164" s="419">
        <v>0.8</v>
      </c>
      <c r="AC164" s="490" t="s">
        <v>302</v>
      </c>
      <c r="AD164" s="492">
        <f>(1540+1782)/2</f>
        <v>1661</v>
      </c>
      <c r="AE164" s="490" t="s">
        <v>314</v>
      </c>
      <c r="AF164" s="492">
        <v>1678</v>
      </c>
      <c r="AG164" s="166"/>
      <c r="AH164" s="166"/>
      <c r="AI164" s="166"/>
      <c r="AJ164" s="166"/>
      <c r="AK164" s="166"/>
      <c r="AL164" s="166"/>
      <c r="AM164" s="166"/>
      <c r="AN164" s="166"/>
      <c r="AO164" s="166"/>
      <c r="AP164" s="166"/>
      <c r="AQ164" s="166"/>
      <c r="AR164" s="166"/>
      <c r="AS164" s="166"/>
      <c r="AT164" s="166"/>
      <c r="AU164" s="363"/>
      <c r="AV164" s="363"/>
      <c r="AW164" s="363"/>
      <c r="AX164" s="363"/>
      <c r="AY164" s="364"/>
      <c r="AZ164" s="365"/>
      <c r="BA164" s="366"/>
    </row>
    <row r="165" spans="1:53">
      <c r="A165" s="2" t="str">
        <f t="shared" si="20"/>
        <v>Bus - SB Rebates_Double Rack Oven</v>
      </c>
      <c r="B165" s="18">
        <v>162</v>
      </c>
      <c r="C165" s="23" t="s">
        <v>712</v>
      </c>
      <c r="D165" s="18" t="s">
        <v>186</v>
      </c>
      <c r="E165" s="23" t="s">
        <v>150</v>
      </c>
      <c r="F165" s="23">
        <v>1</v>
      </c>
      <c r="G165" s="154">
        <v>0.92</v>
      </c>
      <c r="H165" s="469">
        <v>12</v>
      </c>
      <c r="I165" s="458">
        <v>12</v>
      </c>
      <c r="J165" s="23">
        <v>0</v>
      </c>
      <c r="K165" s="23">
        <v>0</v>
      </c>
      <c r="L165" s="23">
        <v>0</v>
      </c>
      <c r="M165" s="23">
        <v>0</v>
      </c>
      <c r="N165" s="216">
        <v>1930</v>
      </c>
      <c r="O165" s="215">
        <f t="shared" ref="O165:Q184" si="26">N165</f>
        <v>1930</v>
      </c>
      <c r="P165" s="215">
        <f t="shared" si="26"/>
        <v>1930</v>
      </c>
      <c r="Q165" s="215">
        <f t="shared" si="26"/>
        <v>1930</v>
      </c>
      <c r="R165" s="15" t="s">
        <v>839</v>
      </c>
      <c r="S165" s="15" t="s">
        <v>841</v>
      </c>
      <c r="T165" s="15" t="s">
        <v>185</v>
      </c>
      <c r="U165" s="15" t="s">
        <v>184</v>
      </c>
      <c r="V165" s="166"/>
      <c r="W165" s="166"/>
      <c r="X165" s="166"/>
      <c r="Y165" s="166"/>
      <c r="Z165" s="166"/>
      <c r="AA165" s="158"/>
      <c r="AB165" s="166"/>
      <c r="AC165" s="158"/>
      <c r="AD165" s="166"/>
      <c r="AE165" s="158"/>
      <c r="AF165" s="166"/>
      <c r="AG165" s="166"/>
      <c r="AH165" s="166"/>
      <c r="AI165" s="166"/>
      <c r="AJ165" s="166"/>
      <c r="AK165" s="166"/>
      <c r="AL165" s="166"/>
      <c r="AM165" s="166"/>
      <c r="AN165" s="166"/>
      <c r="AO165" s="166"/>
      <c r="AP165" s="166"/>
      <c r="AQ165" s="166"/>
      <c r="AR165" s="166"/>
      <c r="AS165" s="166"/>
      <c r="AT165" s="166"/>
      <c r="AU165" s="363"/>
      <c r="AV165" s="363"/>
      <c r="AW165" s="363"/>
      <c r="AX165" s="363"/>
      <c r="AY165" s="364"/>
    </row>
    <row r="166" spans="1:53">
      <c r="A166" s="2" t="str">
        <f t="shared" si="20"/>
        <v>Bus - SB Rebates_Energy Star Convection Oven</v>
      </c>
      <c r="B166" s="18">
        <v>163</v>
      </c>
      <c r="C166" s="23" t="s">
        <v>712</v>
      </c>
      <c r="D166" s="18" t="s">
        <v>196</v>
      </c>
      <c r="E166" s="23" t="s">
        <v>150</v>
      </c>
      <c r="F166" s="23">
        <v>1</v>
      </c>
      <c r="G166" s="154">
        <v>0.92</v>
      </c>
      <c r="H166" s="469">
        <v>12</v>
      </c>
      <c r="I166" s="458">
        <v>12</v>
      </c>
      <c r="J166" s="23">
        <v>0</v>
      </c>
      <c r="K166" s="23">
        <v>0</v>
      </c>
      <c r="L166" s="23">
        <v>0</v>
      </c>
      <c r="M166" s="23">
        <v>0</v>
      </c>
      <c r="N166" s="394">
        <f>(X166+Z166+AB166)*365.35/100000</f>
        <v>352.14445072463781</v>
      </c>
      <c r="O166" s="215">
        <f t="shared" si="26"/>
        <v>352.14445072463781</v>
      </c>
      <c r="P166" s="215">
        <f t="shared" si="26"/>
        <v>352.14445072463781</v>
      </c>
      <c r="Q166" s="215">
        <f t="shared" si="26"/>
        <v>352.14445072463781</v>
      </c>
      <c r="R166" s="15" t="s">
        <v>839</v>
      </c>
      <c r="S166" s="15" t="s">
        <v>841</v>
      </c>
      <c r="T166" s="15" t="s">
        <v>195</v>
      </c>
      <c r="U166" s="15" t="s">
        <v>194</v>
      </c>
      <c r="V166" s="166" t="s">
        <v>187</v>
      </c>
      <c r="W166" s="166" t="s">
        <v>190</v>
      </c>
      <c r="X166" s="420">
        <f>18000*10.3-12000*10.5</f>
        <v>59400</v>
      </c>
      <c r="Y166" s="166" t="s">
        <v>189</v>
      </c>
      <c r="Z166" s="420">
        <f>1*15/60*76000-1*15/60*44000</f>
        <v>8000</v>
      </c>
      <c r="AA166" s="158" t="s">
        <v>188</v>
      </c>
      <c r="AB166" s="420">
        <f>100*250/30%-100*250/46%</f>
        <v>28985.507246376823</v>
      </c>
      <c r="AC166" s="158"/>
      <c r="AD166" s="166"/>
      <c r="AE166" s="158"/>
      <c r="AF166" s="166"/>
      <c r="AG166" s="166"/>
      <c r="AH166" s="166"/>
      <c r="AI166" s="166"/>
      <c r="AJ166" s="166"/>
      <c r="AK166" s="166"/>
      <c r="AL166" s="166"/>
      <c r="AM166" s="166"/>
      <c r="AN166" s="166"/>
      <c r="AO166" s="166"/>
      <c r="AP166" s="166"/>
      <c r="AQ166" s="166"/>
      <c r="AR166" s="166"/>
      <c r="AS166" s="166"/>
      <c r="AT166" s="166"/>
      <c r="AU166" s="363"/>
      <c r="AV166" s="363"/>
      <c r="AW166" s="363"/>
      <c r="AX166" s="363"/>
      <c r="AY166" s="364"/>
    </row>
    <row r="167" spans="1:53">
      <c r="A167" s="2" t="str">
        <f t="shared" si="20"/>
        <v>Bus - SB Rebates_Energy Star Conveyer Oven</v>
      </c>
      <c r="B167" s="18">
        <v>164</v>
      </c>
      <c r="C167" s="23" t="s">
        <v>712</v>
      </c>
      <c r="D167" s="18" t="s">
        <v>199</v>
      </c>
      <c r="E167" s="23" t="s">
        <v>150</v>
      </c>
      <c r="F167" s="23">
        <v>1</v>
      </c>
      <c r="G167" s="154">
        <v>0.92</v>
      </c>
      <c r="H167" s="469">
        <v>17</v>
      </c>
      <c r="I167" s="458">
        <v>17</v>
      </c>
      <c r="J167" s="23">
        <v>0</v>
      </c>
      <c r="K167" s="23">
        <v>0</v>
      </c>
      <c r="L167" s="23">
        <v>0</v>
      </c>
      <c r="M167" s="23">
        <v>0</v>
      </c>
      <c r="N167" s="394">
        <v>884</v>
      </c>
      <c r="O167" s="215">
        <f t="shared" si="26"/>
        <v>884</v>
      </c>
      <c r="P167" s="215">
        <f t="shared" si="26"/>
        <v>884</v>
      </c>
      <c r="Q167" s="215">
        <f t="shared" si="26"/>
        <v>884</v>
      </c>
      <c r="R167" s="15" t="s">
        <v>839</v>
      </c>
      <c r="S167" s="15" t="s">
        <v>841</v>
      </c>
      <c r="T167" s="15" t="s">
        <v>198</v>
      </c>
      <c r="U167" s="15" t="s">
        <v>197</v>
      </c>
      <c r="V167" s="166" t="s">
        <v>187</v>
      </c>
      <c r="W167" s="166"/>
      <c r="X167" s="420"/>
      <c r="Y167" s="166"/>
      <c r="Z167" s="420"/>
      <c r="AA167" s="158"/>
      <c r="AB167" s="420"/>
      <c r="AC167" s="158"/>
      <c r="AD167" s="166"/>
      <c r="AE167" s="158"/>
      <c r="AF167" s="166"/>
      <c r="AG167" s="166"/>
      <c r="AH167" s="166"/>
      <c r="AI167" s="166"/>
      <c r="AJ167" s="166"/>
      <c r="AK167" s="166"/>
      <c r="AL167" s="166"/>
      <c r="AM167" s="166"/>
      <c r="AN167" s="166"/>
      <c r="AO167" s="166"/>
      <c r="AP167" s="166"/>
      <c r="AQ167" s="166"/>
      <c r="AR167" s="166"/>
      <c r="AS167" s="166"/>
      <c r="AT167" s="166"/>
      <c r="AU167" s="363"/>
      <c r="AV167" s="363"/>
      <c r="AW167" s="363"/>
      <c r="AX167" s="363"/>
      <c r="AY167" s="364"/>
    </row>
    <row r="168" spans="1:53">
      <c r="A168" s="2" t="str">
        <f t="shared" si="20"/>
        <v>Bus - SB Rebates_Energy Star Fryer</v>
      </c>
      <c r="B168" s="18">
        <v>165</v>
      </c>
      <c r="C168" s="23" t="s">
        <v>712</v>
      </c>
      <c r="D168" s="18" t="s">
        <v>193</v>
      </c>
      <c r="E168" s="23" t="s">
        <v>150</v>
      </c>
      <c r="F168" s="23">
        <v>1</v>
      </c>
      <c r="G168" s="154">
        <v>0.92</v>
      </c>
      <c r="H168" s="469">
        <v>15</v>
      </c>
      <c r="I168" s="465">
        <v>12</v>
      </c>
      <c r="J168" s="23">
        <v>0</v>
      </c>
      <c r="K168" s="23">
        <v>0</v>
      </c>
      <c r="L168" s="23">
        <v>0</v>
      </c>
      <c r="M168" s="23">
        <v>0</v>
      </c>
      <c r="N168" s="394">
        <f>(X168+Z168+AB168)*365.35/100000</f>
        <v>505.37299714285717</v>
      </c>
      <c r="O168" s="215">
        <f t="shared" si="26"/>
        <v>505.37299714285717</v>
      </c>
      <c r="P168" s="215">
        <f t="shared" si="26"/>
        <v>505.37299714285717</v>
      </c>
      <c r="Q168" s="215">
        <f t="shared" si="26"/>
        <v>505.37299714285717</v>
      </c>
      <c r="R168" s="15" t="s">
        <v>839</v>
      </c>
      <c r="S168" s="15" t="s">
        <v>841</v>
      </c>
      <c r="T168" s="15" t="s">
        <v>192</v>
      </c>
      <c r="U168" s="15" t="s">
        <v>191</v>
      </c>
      <c r="V168" s="166" t="s">
        <v>187</v>
      </c>
      <c r="W168" s="166" t="s">
        <v>190</v>
      </c>
      <c r="X168" s="420">
        <f>14000*13.25-9000*13.44</f>
        <v>64540</v>
      </c>
      <c r="Y168" s="166" t="s">
        <v>189</v>
      </c>
      <c r="Z168" s="166">
        <f>1*15/60*64000-1*15/60*62000</f>
        <v>500</v>
      </c>
      <c r="AA168" s="158" t="s">
        <v>188</v>
      </c>
      <c r="AB168" s="420">
        <f>150*570/35%-150*570/50%</f>
        <v>73285.71428571429</v>
      </c>
      <c r="AC168" s="158"/>
      <c r="AD168" s="166"/>
      <c r="AE168" s="158"/>
      <c r="AF168" s="166"/>
      <c r="AG168" s="166"/>
      <c r="AH168" s="166"/>
      <c r="AI168" s="166"/>
      <c r="AJ168" s="166"/>
      <c r="AK168" s="166"/>
      <c r="AL168" s="166"/>
      <c r="AM168" s="166"/>
      <c r="AN168" s="166"/>
      <c r="AO168" s="166"/>
      <c r="AP168" s="166"/>
      <c r="AQ168" s="166"/>
      <c r="AR168" s="166"/>
      <c r="AS168" s="166"/>
      <c r="AT168" s="166"/>
      <c r="AU168" s="363"/>
      <c r="AV168" s="363"/>
      <c r="AW168" s="363"/>
      <c r="AX168" s="363"/>
      <c r="AY168" s="364"/>
    </row>
    <row r="169" spans="1:53">
      <c r="A169" s="2" t="str">
        <f t="shared" si="20"/>
        <v>Bus - SB Rebates_Energy Star Steamer - 3 Pans</v>
      </c>
      <c r="B169" s="18">
        <v>166</v>
      </c>
      <c r="C169" s="23" t="s">
        <v>712</v>
      </c>
      <c r="D169" s="18" t="s">
        <v>183</v>
      </c>
      <c r="E169" s="23" t="s">
        <v>150</v>
      </c>
      <c r="F169" s="23">
        <v>1</v>
      </c>
      <c r="G169" s="154">
        <v>0.92</v>
      </c>
      <c r="H169" s="469">
        <v>12</v>
      </c>
      <c r="I169" s="458">
        <v>12</v>
      </c>
      <c r="J169" s="23">
        <v>0</v>
      </c>
      <c r="K169" s="23">
        <v>0</v>
      </c>
      <c r="L169" s="23">
        <v>0</v>
      </c>
      <c r="M169" s="23">
        <v>0</v>
      </c>
      <c r="N169" s="394">
        <f>'Food Equipment Detail'!$C$62</f>
        <v>752.01231086676478</v>
      </c>
      <c r="O169" s="215">
        <f t="shared" si="26"/>
        <v>752.01231086676478</v>
      </c>
      <c r="P169" s="215">
        <f t="shared" si="26"/>
        <v>752.01231086676478</v>
      </c>
      <c r="Q169" s="215">
        <f t="shared" si="26"/>
        <v>752.01231086676478</v>
      </c>
      <c r="R169" s="15" t="s">
        <v>836</v>
      </c>
      <c r="S169" s="15" t="s">
        <v>841</v>
      </c>
      <c r="T169" s="15" t="s">
        <v>179</v>
      </c>
      <c r="U169" s="15" t="s">
        <v>178</v>
      </c>
      <c r="V169" s="442"/>
      <c r="W169" s="166" t="s">
        <v>177</v>
      </c>
      <c r="X169" s="166">
        <v>40</v>
      </c>
      <c r="Y169" s="166" t="s">
        <v>176</v>
      </c>
      <c r="Z169" s="166">
        <v>15</v>
      </c>
      <c r="AA169" s="158" t="s">
        <v>153</v>
      </c>
      <c r="AB169" s="166">
        <v>6</v>
      </c>
      <c r="AC169" s="158" t="s">
        <v>175</v>
      </c>
      <c r="AD169" s="166">
        <v>365.25</v>
      </c>
      <c r="AE169" s="158"/>
      <c r="AF169" s="166"/>
      <c r="AG169" s="166"/>
      <c r="AH169" s="166"/>
      <c r="AI169" s="166"/>
      <c r="AJ169" s="166"/>
      <c r="AK169" s="166"/>
      <c r="AL169" s="166"/>
      <c r="AM169" s="166"/>
      <c r="AN169" s="166"/>
      <c r="AO169" s="166"/>
      <c r="AP169" s="166"/>
      <c r="AQ169" s="166"/>
      <c r="AR169" s="166"/>
      <c r="AS169" s="166"/>
      <c r="AT169" s="166"/>
      <c r="AU169" s="363"/>
      <c r="AV169" s="363"/>
      <c r="AW169" s="363"/>
      <c r="AX169" s="363"/>
      <c r="AY169" s="364"/>
    </row>
    <row r="170" spans="1:53">
      <c r="A170" s="2" t="str">
        <f t="shared" si="20"/>
        <v>Bus - SB Rebates_Energy Star Steamer - 4 Pans</v>
      </c>
      <c r="B170" s="18">
        <v>167</v>
      </c>
      <c r="C170" s="23" t="s">
        <v>712</v>
      </c>
      <c r="D170" s="18" t="s">
        <v>182</v>
      </c>
      <c r="E170" s="23" t="s">
        <v>150</v>
      </c>
      <c r="F170" s="23">
        <v>1</v>
      </c>
      <c r="G170" s="154">
        <v>0.92</v>
      </c>
      <c r="H170" s="469">
        <v>12</v>
      </c>
      <c r="I170" s="458">
        <v>12</v>
      </c>
      <c r="J170" s="23">
        <v>0</v>
      </c>
      <c r="K170" s="23">
        <v>0</v>
      </c>
      <c r="L170" s="23">
        <v>0</v>
      </c>
      <c r="M170" s="23">
        <v>0</v>
      </c>
      <c r="N170" s="394">
        <f>'Food Equipment Detail'!$D$62</f>
        <v>1007.2641787965732</v>
      </c>
      <c r="O170" s="215">
        <f t="shared" si="26"/>
        <v>1007.2641787965732</v>
      </c>
      <c r="P170" s="215">
        <f t="shared" si="26"/>
        <v>1007.2641787965732</v>
      </c>
      <c r="Q170" s="215">
        <f t="shared" si="26"/>
        <v>1007.2641787965732</v>
      </c>
      <c r="R170" s="15" t="s">
        <v>836</v>
      </c>
      <c r="S170" s="15" t="s">
        <v>841</v>
      </c>
      <c r="T170" s="15" t="s">
        <v>179</v>
      </c>
      <c r="U170" s="15" t="s">
        <v>178</v>
      </c>
      <c r="V170" s="442"/>
      <c r="W170" s="166" t="s">
        <v>177</v>
      </c>
      <c r="X170" s="166">
        <v>40</v>
      </c>
      <c r="Y170" s="166" t="s">
        <v>176</v>
      </c>
      <c r="Z170" s="166">
        <v>15</v>
      </c>
      <c r="AA170" s="158" t="s">
        <v>153</v>
      </c>
      <c r="AB170" s="166">
        <v>6</v>
      </c>
      <c r="AC170" s="158" t="s">
        <v>175</v>
      </c>
      <c r="AD170" s="166">
        <v>365.25</v>
      </c>
      <c r="AE170" s="158"/>
      <c r="AF170" s="166"/>
      <c r="AG170" s="166"/>
      <c r="AH170" s="166"/>
      <c r="AI170" s="166"/>
      <c r="AJ170" s="166"/>
      <c r="AK170" s="166"/>
      <c r="AL170" s="166"/>
      <c r="AM170" s="166"/>
      <c r="AN170" s="166"/>
      <c r="AO170" s="166"/>
      <c r="AP170" s="166"/>
      <c r="AQ170" s="166"/>
      <c r="AR170" s="166"/>
      <c r="AS170" s="166"/>
      <c r="AT170" s="166"/>
      <c r="AU170" s="363"/>
      <c r="AV170" s="363"/>
      <c r="AW170" s="363"/>
      <c r="AX170" s="363"/>
      <c r="AY170" s="364"/>
    </row>
    <row r="171" spans="1:53">
      <c r="A171" s="2" t="str">
        <f t="shared" si="20"/>
        <v>Bus - SB Rebates_Energy Star Steamer - 5 Pans</v>
      </c>
      <c r="B171" s="18">
        <v>168</v>
      </c>
      <c r="C171" s="23" t="s">
        <v>712</v>
      </c>
      <c r="D171" s="18" t="s">
        <v>181</v>
      </c>
      <c r="E171" s="23" t="s">
        <v>150</v>
      </c>
      <c r="F171" s="23">
        <v>1</v>
      </c>
      <c r="G171" s="154">
        <v>0.92</v>
      </c>
      <c r="H171" s="469">
        <v>12</v>
      </c>
      <c r="I171" s="458">
        <v>12</v>
      </c>
      <c r="J171" s="23">
        <v>0</v>
      </c>
      <c r="K171" s="23">
        <v>0</v>
      </c>
      <c r="L171" s="23">
        <v>0</v>
      </c>
      <c r="M171" s="23">
        <v>0</v>
      </c>
      <c r="N171" s="394">
        <f>'Food Equipment Detail'!$E$62</f>
        <v>1248.6709419898457</v>
      </c>
      <c r="O171" s="215">
        <f t="shared" si="26"/>
        <v>1248.6709419898457</v>
      </c>
      <c r="P171" s="215">
        <f t="shared" si="26"/>
        <v>1248.6709419898457</v>
      </c>
      <c r="Q171" s="215">
        <f t="shared" si="26"/>
        <v>1248.6709419898457</v>
      </c>
      <c r="R171" s="15" t="s">
        <v>836</v>
      </c>
      <c r="S171" s="15" t="s">
        <v>841</v>
      </c>
      <c r="T171" s="15" t="s">
        <v>179</v>
      </c>
      <c r="U171" s="15" t="s">
        <v>178</v>
      </c>
      <c r="V171" s="442"/>
      <c r="W171" s="166" t="s">
        <v>177</v>
      </c>
      <c r="X171" s="166">
        <v>40</v>
      </c>
      <c r="Y171" s="166" t="s">
        <v>176</v>
      </c>
      <c r="Z171" s="166">
        <v>15</v>
      </c>
      <c r="AA171" s="158" t="s">
        <v>153</v>
      </c>
      <c r="AB171" s="166">
        <v>6</v>
      </c>
      <c r="AC171" s="158" t="s">
        <v>175</v>
      </c>
      <c r="AD171" s="166">
        <v>365.25</v>
      </c>
      <c r="AE171" s="158"/>
      <c r="AF171" s="166"/>
      <c r="AG171" s="166"/>
      <c r="AH171" s="166"/>
      <c r="AI171" s="166"/>
      <c r="AJ171" s="166"/>
      <c r="AK171" s="166"/>
      <c r="AL171" s="166"/>
      <c r="AM171" s="166"/>
      <c r="AN171" s="166"/>
      <c r="AO171" s="166"/>
      <c r="AP171" s="166"/>
      <c r="AQ171" s="166"/>
      <c r="AR171" s="166"/>
      <c r="AS171" s="166"/>
      <c r="AT171" s="166"/>
      <c r="AU171" s="363"/>
      <c r="AV171" s="363"/>
      <c r="AW171" s="363"/>
      <c r="AX171" s="363"/>
      <c r="AY171" s="364"/>
    </row>
    <row r="172" spans="1:53">
      <c r="A172" s="2" t="str">
        <f t="shared" si="20"/>
        <v>Bus - SB Rebates_Energy Star Steamer - 6 Pans</v>
      </c>
      <c r="B172" s="18">
        <v>169</v>
      </c>
      <c r="C172" s="23" t="s">
        <v>712</v>
      </c>
      <c r="D172" s="18" t="s">
        <v>180</v>
      </c>
      <c r="E172" s="23" t="s">
        <v>150</v>
      </c>
      <c r="F172" s="23">
        <v>1</v>
      </c>
      <c r="G172" s="154">
        <v>0.92</v>
      </c>
      <c r="H172" s="469">
        <v>12</v>
      </c>
      <c r="I172" s="458">
        <v>12</v>
      </c>
      <c r="J172" s="23">
        <v>0</v>
      </c>
      <c r="K172" s="23">
        <v>0</v>
      </c>
      <c r="L172" s="23">
        <v>0</v>
      </c>
      <c r="M172" s="23">
        <v>0</v>
      </c>
      <c r="N172" s="394">
        <f>'Food Equipment Detail'!$F$62</f>
        <v>1503.8794358667649</v>
      </c>
      <c r="O172" s="215">
        <f t="shared" si="26"/>
        <v>1503.8794358667649</v>
      </c>
      <c r="P172" s="215">
        <f t="shared" si="26"/>
        <v>1503.8794358667649</v>
      </c>
      <c r="Q172" s="215">
        <f t="shared" si="26"/>
        <v>1503.8794358667649</v>
      </c>
      <c r="R172" s="15" t="s">
        <v>836</v>
      </c>
      <c r="S172" s="15" t="s">
        <v>841</v>
      </c>
      <c r="T172" s="15" t="s">
        <v>179</v>
      </c>
      <c r="U172" s="15" t="s">
        <v>178</v>
      </c>
      <c r="V172" s="442"/>
      <c r="W172" s="166" t="s">
        <v>177</v>
      </c>
      <c r="X172" s="166">
        <v>40</v>
      </c>
      <c r="Y172" s="166" t="s">
        <v>176</v>
      </c>
      <c r="Z172" s="166">
        <v>15</v>
      </c>
      <c r="AA172" s="158" t="s">
        <v>153</v>
      </c>
      <c r="AB172" s="166">
        <v>6</v>
      </c>
      <c r="AC172" s="158" t="s">
        <v>175</v>
      </c>
      <c r="AD172" s="166">
        <v>365.25</v>
      </c>
      <c r="AE172" s="158"/>
      <c r="AF172" s="166"/>
      <c r="AG172" s="166"/>
      <c r="AH172" s="166"/>
      <c r="AI172" s="166"/>
      <c r="AJ172" s="166"/>
      <c r="AK172" s="166"/>
      <c r="AL172" s="166"/>
      <c r="AM172" s="166"/>
      <c r="AN172" s="166"/>
      <c r="AO172" s="166"/>
      <c r="AP172" s="166"/>
      <c r="AQ172" s="166"/>
      <c r="AR172" s="166"/>
      <c r="AS172" s="166"/>
      <c r="AT172" s="166"/>
      <c r="AU172" s="363"/>
      <c r="AV172" s="363"/>
      <c r="AW172" s="363"/>
      <c r="AX172" s="363"/>
      <c r="AY172" s="364"/>
    </row>
    <row r="173" spans="1:53">
      <c r="A173" s="2" t="str">
        <f t="shared" si="20"/>
        <v>Bus - SB Rebates_Heat Recovery Grease Trap Filter</v>
      </c>
      <c r="B173" s="18">
        <v>170</v>
      </c>
      <c r="C173" s="23" t="s">
        <v>712</v>
      </c>
      <c r="D173" s="18" t="s">
        <v>151</v>
      </c>
      <c r="E173" s="23" t="s">
        <v>150</v>
      </c>
      <c r="F173" s="23">
        <v>1</v>
      </c>
      <c r="G173" s="154">
        <v>0.92</v>
      </c>
      <c r="H173" s="469">
        <v>15</v>
      </c>
      <c r="I173" s="458">
        <v>15</v>
      </c>
      <c r="J173" s="23">
        <v>0</v>
      </c>
      <c r="K173" s="23">
        <v>0</v>
      </c>
      <c r="L173" s="23">
        <v>0</v>
      </c>
      <c r="M173" s="23">
        <v>0</v>
      </c>
      <c r="N173" s="394">
        <f>((X173*Z173*AB173)*8.3*1*(AD173*AF173))/(AH173*100000)</f>
        <v>1757.3025600000001</v>
      </c>
      <c r="O173" s="215">
        <f t="shared" si="26"/>
        <v>1757.3025600000001</v>
      </c>
      <c r="P173" s="215">
        <f t="shared" si="26"/>
        <v>1757.3025600000001</v>
      </c>
      <c r="Q173" s="215">
        <f t="shared" si="26"/>
        <v>1757.3025600000001</v>
      </c>
      <c r="R173" s="15" t="s">
        <v>839</v>
      </c>
      <c r="S173" s="15" t="s">
        <v>841</v>
      </c>
      <c r="T173" s="15" t="s">
        <v>149</v>
      </c>
      <c r="U173" s="15" t="s">
        <v>148</v>
      </c>
      <c r="V173" s="166" t="s">
        <v>141</v>
      </c>
      <c r="W173" s="166" t="s">
        <v>147</v>
      </c>
      <c r="X173" s="166">
        <v>780</v>
      </c>
      <c r="Y173" s="166" t="s">
        <v>146</v>
      </c>
      <c r="Z173" s="166">
        <v>3</v>
      </c>
      <c r="AA173" s="158" t="s">
        <v>145</v>
      </c>
      <c r="AB173" s="166">
        <v>312</v>
      </c>
      <c r="AC173" s="158" t="s">
        <v>144</v>
      </c>
      <c r="AD173" s="166">
        <v>5.8</v>
      </c>
      <c r="AE173" s="158" t="s">
        <v>143</v>
      </c>
      <c r="AF173" s="166">
        <v>4</v>
      </c>
      <c r="AG173" s="166" t="s">
        <v>142</v>
      </c>
      <c r="AH173" s="419">
        <v>0.8</v>
      </c>
      <c r="AI173" s="166"/>
      <c r="AJ173" s="166"/>
      <c r="AK173" s="166"/>
      <c r="AL173" s="166"/>
      <c r="AM173" s="166"/>
      <c r="AN173" s="166"/>
      <c r="AO173" s="166"/>
      <c r="AP173" s="166"/>
      <c r="AQ173" s="166"/>
      <c r="AR173" s="166"/>
      <c r="AS173" s="166"/>
      <c r="AT173" s="166"/>
      <c r="AU173" s="363"/>
      <c r="AV173" s="363"/>
      <c r="AW173" s="363"/>
      <c r="AX173" s="363"/>
      <c r="AY173" s="364"/>
    </row>
    <row r="174" spans="1:53">
      <c r="A174" s="2" t="str">
        <f t="shared" si="20"/>
        <v>Bus - SB Rebates_Infrared Charbroiler</v>
      </c>
      <c r="B174" s="18">
        <v>171</v>
      </c>
      <c r="C174" s="23" t="s">
        <v>712</v>
      </c>
      <c r="D174" s="18" t="s">
        <v>174</v>
      </c>
      <c r="E174" s="23" t="s">
        <v>150</v>
      </c>
      <c r="F174" s="23">
        <v>1</v>
      </c>
      <c r="G174" s="154">
        <v>0.92</v>
      </c>
      <c r="H174" s="469">
        <v>12</v>
      </c>
      <c r="I174" s="458">
        <v>12</v>
      </c>
      <c r="J174" s="23">
        <v>0</v>
      </c>
      <c r="K174" s="23">
        <v>0</v>
      </c>
      <c r="L174" s="23">
        <v>0</v>
      </c>
      <c r="M174" s="23">
        <v>0</v>
      </c>
      <c r="N174" s="216">
        <f>((X174-Z174)*AB174*AD174/60+((AF174-AH174)*AJ174*AL174))*312/100000</f>
        <v>706.68</v>
      </c>
      <c r="O174" s="215">
        <f t="shared" si="26"/>
        <v>706.68</v>
      </c>
      <c r="P174" s="215">
        <f t="shared" si="26"/>
        <v>706.68</v>
      </c>
      <c r="Q174" s="215">
        <f t="shared" si="26"/>
        <v>706.68</v>
      </c>
      <c r="R174" s="15" t="s">
        <v>839</v>
      </c>
      <c r="S174" s="15" t="s">
        <v>841</v>
      </c>
      <c r="T174" s="15" t="s">
        <v>173</v>
      </c>
      <c r="U174" s="15" t="s">
        <v>172</v>
      </c>
      <c r="V174" s="166" t="s">
        <v>166</v>
      </c>
      <c r="W174" s="166" t="s">
        <v>171</v>
      </c>
      <c r="X174" s="166">
        <v>64000</v>
      </c>
      <c r="Y174" s="166" t="s">
        <v>170</v>
      </c>
      <c r="Z174" s="166">
        <v>54000</v>
      </c>
      <c r="AA174" s="158" t="s">
        <v>169</v>
      </c>
      <c r="AB174" s="166">
        <v>1</v>
      </c>
      <c r="AC174" s="158" t="s">
        <v>168</v>
      </c>
      <c r="AD174" s="166">
        <v>15</v>
      </c>
      <c r="AE174" s="158" t="s">
        <v>167</v>
      </c>
      <c r="AF174" s="166">
        <v>140000</v>
      </c>
      <c r="AG174" s="166" t="s">
        <v>155</v>
      </c>
      <c r="AH174" s="166">
        <v>105000</v>
      </c>
      <c r="AI174" s="166" t="s">
        <v>154</v>
      </c>
      <c r="AJ174" s="425">
        <v>0.8</v>
      </c>
      <c r="AK174" s="166" t="s">
        <v>153</v>
      </c>
      <c r="AL174" s="166">
        <v>8</v>
      </c>
      <c r="AM174" s="166"/>
      <c r="AN174" s="166"/>
      <c r="AO174" s="166"/>
      <c r="AP174" s="166"/>
      <c r="AQ174" s="166"/>
      <c r="AR174" s="166"/>
      <c r="AS174" s="166"/>
      <c r="AT174" s="166"/>
      <c r="AU174" s="363"/>
      <c r="AV174" s="363"/>
      <c r="AW174" s="363"/>
      <c r="AX174" s="363"/>
      <c r="AY174" s="364"/>
    </row>
    <row r="175" spans="1:53">
      <c r="A175" s="2" t="str">
        <f t="shared" si="20"/>
        <v>Bus - SB Rebates_Infrared Rotisserie Oven</v>
      </c>
      <c r="B175" s="18">
        <v>172</v>
      </c>
      <c r="C175" s="23" t="s">
        <v>712</v>
      </c>
      <c r="D175" s="18" t="s">
        <v>165</v>
      </c>
      <c r="E175" s="23" t="s">
        <v>150</v>
      </c>
      <c r="F175" s="23">
        <v>1</v>
      </c>
      <c r="G175" s="154">
        <v>0.92</v>
      </c>
      <c r="H175" s="469">
        <v>12</v>
      </c>
      <c r="I175" s="458">
        <v>12</v>
      </c>
      <c r="J175" s="23">
        <v>0</v>
      </c>
      <c r="K175" s="23">
        <v>0</v>
      </c>
      <c r="L175" s="23">
        <v>0</v>
      </c>
      <c r="M175" s="23">
        <v>0</v>
      </c>
      <c r="N175" s="216">
        <f>(X175-Z175)*AB175*AD175/100000</f>
        <v>599.04</v>
      </c>
      <c r="O175" s="215">
        <f t="shared" si="26"/>
        <v>599.04</v>
      </c>
      <c r="P175" s="215">
        <f t="shared" si="26"/>
        <v>599.04</v>
      </c>
      <c r="Q175" s="215">
        <f t="shared" si="26"/>
        <v>599.04</v>
      </c>
      <c r="R175" s="15" t="s">
        <v>839</v>
      </c>
      <c r="S175" s="15" t="s">
        <v>841</v>
      </c>
      <c r="T175" s="15" t="s">
        <v>164</v>
      </c>
      <c r="U175" s="15" t="s">
        <v>163</v>
      </c>
      <c r="V175" s="166" t="s">
        <v>152</v>
      </c>
      <c r="W175" s="166" t="s">
        <v>156</v>
      </c>
      <c r="X175" s="166">
        <v>90000</v>
      </c>
      <c r="Y175" s="166" t="s">
        <v>155</v>
      </c>
      <c r="Z175" s="166">
        <v>50000</v>
      </c>
      <c r="AA175" s="158" t="s">
        <v>154</v>
      </c>
      <c r="AB175" s="425">
        <v>0.6</v>
      </c>
      <c r="AC175" s="158" t="s">
        <v>153</v>
      </c>
      <c r="AD175" s="166">
        <v>2496</v>
      </c>
      <c r="AE175" s="158"/>
      <c r="AF175" s="166"/>
      <c r="AG175" s="166"/>
      <c r="AH175" s="166"/>
      <c r="AI175" s="166"/>
      <c r="AJ175" s="166"/>
      <c r="AK175" s="166"/>
      <c r="AL175" s="166"/>
      <c r="AM175" s="166"/>
      <c r="AN175" s="166"/>
      <c r="AO175" s="166"/>
      <c r="AP175" s="166"/>
      <c r="AQ175" s="166"/>
      <c r="AR175" s="166"/>
      <c r="AS175" s="166"/>
      <c r="AT175" s="166"/>
      <c r="AU175" s="363"/>
      <c r="AV175" s="363"/>
      <c r="AW175" s="363"/>
      <c r="AX175" s="363"/>
      <c r="AY175" s="364"/>
    </row>
    <row r="176" spans="1:53">
      <c r="A176" s="2" t="str">
        <f t="shared" si="20"/>
        <v>Bus - SB Rebates_Infrared Salamander Broiler</v>
      </c>
      <c r="B176" s="18">
        <v>173</v>
      </c>
      <c r="C176" s="23" t="s">
        <v>712</v>
      </c>
      <c r="D176" s="18" t="s">
        <v>162</v>
      </c>
      <c r="E176" s="23" t="s">
        <v>150</v>
      </c>
      <c r="F176" s="23">
        <v>1</v>
      </c>
      <c r="G176" s="154">
        <v>0.92</v>
      </c>
      <c r="H176" s="469">
        <v>12</v>
      </c>
      <c r="I176" s="458">
        <v>12</v>
      </c>
      <c r="J176" s="23">
        <v>0</v>
      </c>
      <c r="K176" s="23">
        <v>0</v>
      </c>
      <c r="L176" s="23">
        <v>0</v>
      </c>
      <c r="M176" s="23">
        <v>0</v>
      </c>
      <c r="N176" s="216">
        <f>(X176-Z176)*AB176*AD176/100000</f>
        <v>240.24</v>
      </c>
      <c r="O176" s="215">
        <f t="shared" si="26"/>
        <v>240.24</v>
      </c>
      <c r="P176" s="215">
        <f t="shared" si="26"/>
        <v>240.24</v>
      </c>
      <c r="Q176" s="215">
        <f t="shared" si="26"/>
        <v>240.24</v>
      </c>
      <c r="R176" s="15" t="s">
        <v>839</v>
      </c>
      <c r="S176" s="15" t="s">
        <v>841</v>
      </c>
      <c r="T176" s="15" t="s">
        <v>161</v>
      </c>
      <c r="U176" s="15" t="s">
        <v>160</v>
      </c>
      <c r="V176" s="166" t="s">
        <v>152</v>
      </c>
      <c r="W176" s="166" t="s">
        <v>156</v>
      </c>
      <c r="X176" s="166">
        <v>38500</v>
      </c>
      <c r="Y176" s="166" t="s">
        <v>155</v>
      </c>
      <c r="Z176" s="166">
        <v>24750</v>
      </c>
      <c r="AA176" s="158" t="s">
        <v>154</v>
      </c>
      <c r="AB176" s="425">
        <v>0.7</v>
      </c>
      <c r="AC176" s="158" t="s">
        <v>153</v>
      </c>
      <c r="AD176" s="166">
        <v>2496</v>
      </c>
      <c r="AE176" s="158"/>
      <c r="AF176" s="166"/>
      <c r="AG176" s="166"/>
      <c r="AH176" s="166"/>
      <c r="AI176" s="166"/>
      <c r="AJ176" s="166"/>
      <c r="AK176" s="166"/>
      <c r="AL176" s="166"/>
      <c r="AM176" s="166"/>
      <c r="AN176" s="166"/>
      <c r="AO176" s="166"/>
      <c r="AP176" s="166"/>
      <c r="AQ176" s="166"/>
      <c r="AR176" s="166"/>
      <c r="AS176" s="166"/>
      <c r="AT176" s="166"/>
      <c r="AU176" s="363"/>
      <c r="AV176" s="363"/>
      <c r="AW176" s="363"/>
      <c r="AX176" s="363"/>
      <c r="AY176" s="364"/>
    </row>
    <row r="177" spans="1:53">
      <c r="A177" s="2" t="str">
        <f t="shared" si="20"/>
        <v>Bus - SB Rebates_Infrared Upright Broiler</v>
      </c>
      <c r="B177" s="18">
        <v>174</v>
      </c>
      <c r="C177" s="23" t="s">
        <v>712</v>
      </c>
      <c r="D177" s="18" t="s">
        <v>159</v>
      </c>
      <c r="E177" s="23" t="s">
        <v>150</v>
      </c>
      <c r="F177" s="23">
        <v>1</v>
      </c>
      <c r="G177" s="154">
        <v>0.92</v>
      </c>
      <c r="H177" s="469">
        <v>12</v>
      </c>
      <c r="I177" s="458">
        <v>12</v>
      </c>
      <c r="J177" s="23">
        <v>0</v>
      </c>
      <c r="K177" s="23">
        <v>0</v>
      </c>
      <c r="L177" s="23">
        <v>0</v>
      </c>
      <c r="M177" s="23">
        <v>0</v>
      </c>
      <c r="N177" s="216">
        <f>(X177-Z177)*AB177*AD177/100000</f>
        <v>943.48800000000006</v>
      </c>
      <c r="O177" s="215">
        <f t="shared" si="26"/>
        <v>943.48800000000006</v>
      </c>
      <c r="P177" s="215">
        <f t="shared" si="26"/>
        <v>943.48800000000006</v>
      </c>
      <c r="Q177" s="215">
        <f t="shared" si="26"/>
        <v>943.48800000000006</v>
      </c>
      <c r="R177" s="15" t="s">
        <v>839</v>
      </c>
      <c r="S177" s="15" t="s">
        <v>841</v>
      </c>
      <c r="T177" s="15" t="s">
        <v>158</v>
      </c>
      <c r="U177" s="15" t="s">
        <v>157</v>
      </c>
      <c r="V177" s="166" t="s">
        <v>152</v>
      </c>
      <c r="W177" s="166" t="s">
        <v>156</v>
      </c>
      <c r="X177" s="166">
        <v>144000</v>
      </c>
      <c r="Y177" s="166" t="s">
        <v>155</v>
      </c>
      <c r="Z177" s="166">
        <v>90000</v>
      </c>
      <c r="AA177" s="158" t="s">
        <v>154</v>
      </c>
      <c r="AB177" s="425">
        <v>0.7</v>
      </c>
      <c r="AC177" s="158" t="s">
        <v>153</v>
      </c>
      <c r="AD177" s="166">
        <v>2496</v>
      </c>
      <c r="AE177" s="158"/>
      <c r="AF177" s="166"/>
      <c r="AG177" s="166"/>
      <c r="AH177" s="166"/>
      <c r="AI177" s="166"/>
      <c r="AJ177" s="166"/>
      <c r="AK177" s="166"/>
      <c r="AL177" s="166"/>
      <c r="AM177" s="166"/>
      <c r="AN177" s="166"/>
      <c r="AO177" s="166"/>
      <c r="AP177" s="166"/>
      <c r="AQ177" s="166"/>
      <c r="AR177" s="166"/>
      <c r="AS177" s="166"/>
      <c r="AT177" s="166"/>
      <c r="AU177" s="363"/>
      <c r="AV177" s="363"/>
      <c r="AW177" s="363"/>
      <c r="AX177" s="363"/>
      <c r="AY177" s="364"/>
    </row>
    <row r="178" spans="1:53">
      <c r="A178" s="2" t="str">
        <f t="shared" si="20"/>
        <v>Bus - SB Rebates_High Speed Washer - Hotel/Motel/Hospital</v>
      </c>
      <c r="B178" s="18">
        <v>175</v>
      </c>
      <c r="C178" s="23" t="s">
        <v>712</v>
      </c>
      <c r="D178" s="18" t="s">
        <v>238</v>
      </c>
      <c r="E178" s="23" t="s">
        <v>237</v>
      </c>
      <c r="F178" s="23">
        <v>250</v>
      </c>
      <c r="G178" s="154">
        <v>0.92</v>
      </c>
      <c r="H178" s="469">
        <v>7</v>
      </c>
      <c r="I178" s="458">
        <v>7</v>
      </c>
      <c r="J178" s="23">
        <v>2</v>
      </c>
      <c r="K178" s="23">
        <f t="shared" ref="K178:M204" si="27">J178</f>
        <v>2</v>
      </c>
      <c r="L178" s="23">
        <f t="shared" si="27"/>
        <v>2</v>
      </c>
      <c r="M178" s="23">
        <f t="shared" si="27"/>
        <v>2</v>
      </c>
      <c r="N178" s="216">
        <f>X178*Z178*AB178*AD178*AF178/AH178/100000*AJ178*AL178/F178</f>
        <v>11.243232000000003</v>
      </c>
      <c r="O178" s="215">
        <f t="shared" si="26"/>
        <v>11.243232000000003</v>
      </c>
      <c r="P178" s="215">
        <f t="shared" si="26"/>
        <v>11.243232000000003</v>
      </c>
      <c r="Q178" s="215">
        <f t="shared" si="26"/>
        <v>11.243232000000003</v>
      </c>
      <c r="R178" s="15" t="s">
        <v>839</v>
      </c>
      <c r="S178" s="15" t="s">
        <v>841</v>
      </c>
      <c r="T178" s="15" t="s">
        <v>236</v>
      </c>
      <c r="U178" s="15" t="s">
        <v>235</v>
      </c>
      <c r="V178" s="432"/>
      <c r="W178" s="166" t="s">
        <v>234</v>
      </c>
      <c r="X178" s="166">
        <v>10.4</v>
      </c>
      <c r="Y178" s="166" t="s">
        <v>233</v>
      </c>
      <c r="Z178" s="166">
        <v>360</v>
      </c>
      <c r="AA178" s="158" t="s">
        <v>232</v>
      </c>
      <c r="AB178" s="420">
        <v>250</v>
      </c>
      <c r="AC178" s="158" t="s">
        <v>231</v>
      </c>
      <c r="AD178" s="425">
        <v>0.25</v>
      </c>
      <c r="AE178" s="158" t="s">
        <v>230</v>
      </c>
      <c r="AF178" s="420">
        <v>1200</v>
      </c>
      <c r="AG178" s="419" t="s">
        <v>229</v>
      </c>
      <c r="AH178" s="419">
        <v>0.6</v>
      </c>
      <c r="AI178" s="166" t="s">
        <v>228</v>
      </c>
      <c r="AJ178" s="419">
        <v>0.91</v>
      </c>
      <c r="AK178" s="166" t="s">
        <v>227</v>
      </c>
      <c r="AL178" s="425">
        <v>0.66</v>
      </c>
      <c r="AM178" s="166"/>
      <c r="AN178" s="166"/>
      <c r="AO178" s="166"/>
      <c r="AP178" s="166"/>
      <c r="AQ178" s="166"/>
      <c r="AR178" s="166"/>
      <c r="AS178" s="166"/>
      <c r="AT178" s="166"/>
      <c r="AU178" s="363"/>
      <c r="AV178" s="363"/>
      <c r="AW178" s="363"/>
      <c r="AX178" s="363"/>
      <c r="AY178" s="364"/>
      <c r="AZ178" s="365"/>
      <c r="BA178" s="366"/>
    </row>
    <row r="179" spans="1:53">
      <c r="A179" s="2" t="str">
        <f t="shared" si="20"/>
        <v>Bus - SB Rebates_High Speed Washer - Laundromat</v>
      </c>
      <c r="B179" s="18">
        <v>176</v>
      </c>
      <c r="C179" s="23" t="s">
        <v>712</v>
      </c>
      <c r="D179" s="18" t="s">
        <v>239</v>
      </c>
      <c r="E179" s="23" t="s">
        <v>237</v>
      </c>
      <c r="F179" s="23">
        <v>250</v>
      </c>
      <c r="G179" s="154">
        <v>0.92</v>
      </c>
      <c r="H179" s="469">
        <v>7</v>
      </c>
      <c r="I179" s="458">
        <v>7</v>
      </c>
      <c r="J179" s="23">
        <v>2</v>
      </c>
      <c r="K179" s="23">
        <f t="shared" si="27"/>
        <v>2</v>
      </c>
      <c r="L179" s="23">
        <f t="shared" si="27"/>
        <v>2</v>
      </c>
      <c r="M179" s="23">
        <f t="shared" si="27"/>
        <v>2</v>
      </c>
      <c r="N179" s="216">
        <f>X179*Z179*AB179*AD179*AF179/AH179/100000*AJ179*AL179/F179</f>
        <v>4.648644</v>
      </c>
      <c r="O179" s="215">
        <f t="shared" si="26"/>
        <v>4.648644</v>
      </c>
      <c r="P179" s="215">
        <f t="shared" si="26"/>
        <v>4.648644</v>
      </c>
      <c r="Q179" s="215">
        <f t="shared" si="26"/>
        <v>4.648644</v>
      </c>
      <c r="R179" s="15" t="s">
        <v>839</v>
      </c>
      <c r="S179" s="15" t="s">
        <v>841</v>
      </c>
      <c r="T179" s="15" t="s">
        <v>236</v>
      </c>
      <c r="U179" s="15" t="s">
        <v>235</v>
      </c>
      <c r="V179" s="432"/>
      <c r="W179" s="166" t="s">
        <v>234</v>
      </c>
      <c r="X179" s="166">
        <v>4.3</v>
      </c>
      <c r="Y179" s="166" t="s">
        <v>233</v>
      </c>
      <c r="Z179" s="166">
        <v>360</v>
      </c>
      <c r="AA179" s="158" t="s">
        <v>232</v>
      </c>
      <c r="AB179" s="420">
        <v>250</v>
      </c>
      <c r="AC179" s="158" t="s">
        <v>231</v>
      </c>
      <c r="AD179" s="425">
        <v>0.25</v>
      </c>
      <c r="AE179" s="158" t="s">
        <v>230</v>
      </c>
      <c r="AF179" s="420">
        <v>1200</v>
      </c>
      <c r="AG179" s="419" t="s">
        <v>229</v>
      </c>
      <c r="AH179" s="419">
        <v>0.6</v>
      </c>
      <c r="AI179" s="166" t="s">
        <v>228</v>
      </c>
      <c r="AJ179" s="419">
        <v>0.91</v>
      </c>
      <c r="AK179" s="166" t="s">
        <v>227</v>
      </c>
      <c r="AL179" s="425">
        <v>0.66</v>
      </c>
      <c r="AM179" s="166"/>
      <c r="AN179" s="166"/>
      <c r="AO179" s="166"/>
      <c r="AP179" s="166"/>
      <c r="AQ179" s="166"/>
      <c r="AR179" s="166"/>
      <c r="AS179" s="166"/>
      <c r="AT179" s="166"/>
      <c r="AU179" s="363"/>
      <c r="AV179" s="363"/>
      <c r="AW179" s="363"/>
      <c r="AX179" s="363"/>
      <c r="AY179" s="364"/>
      <c r="AZ179" s="365"/>
      <c r="BA179" s="366"/>
    </row>
    <row r="180" spans="1:53">
      <c r="A180" s="2" t="str">
        <f t="shared" si="20"/>
        <v>Bus - SB Rebates_Infrared Heater</v>
      </c>
      <c r="B180" s="18">
        <v>177</v>
      </c>
      <c r="C180" s="23" t="s">
        <v>712</v>
      </c>
      <c r="D180" s="18" t="s">
        <v>295</v>
      </c>
      <c r="E180" s="23" t="s">
        <v>240</v>
      </c>
      <c r="F180" s="23">
        <v>150</v>
      </c>
      <c r="G180" s="154">
        <v>0.92</v>
      </c>
      <c r="H180" s="469">
        <v>12</v>
      </c>
      <c r="I180" s="458">
        <v>12</v>
      </c>
      <c r="J180" s="23">
        <v>0</v>
      </c>
      <c r="K180" s="23">
        <f t="shared" si="27"/>
        <v>0</v>
      </c>
      <c r="L180" s="23">
        <f t="shared" si="27"/>
        <v>0</v>
      </c>
      <c r="M180" s="23">
        <f t="shared" si="27"/>
        <v>0</v>
      </c>
      <c r="N180" s="216">
        <f>451/F180</f>
        <v>3.0066666666666668</v>
      </c>
      <c r="O180" s="215">
        <f t="shared" si="26"/>
        <v>3.0066666666666668</v>
      </c>
      <c r="P180" s="215">
        <f t="shared" si="26"/>
        <v>3.0066666666666668</v>
      </c>
      <c r="Q180" s="215">
        <f t="shared" si="26"/>
        <v>3.0066666666666668</v>
      </c>
      <c r="R180" s="15" t="s">
        <v>839</v>
      </c>
      <c r="S180" s="15" t="s">
        <v>841</v>
      </c>
      <c r="T180" s="15" t="s">
        <v>294</v>
      </c>
      <c r="U180" s="15" t="s">
        <v>293</v>
      </c>
      <c r="V180" s="166" t="s">
        <v>291</v>
      </c>
      <c r="W180" s="166" t="s">
        <v>292</v>
      </c>
      <c r="X180" s="433">
        <v>150</v>
      </c>
      <c r="Y180" s="166"/>
      <c r="Z180" s="166"/>
      <c r="AA180" s="158"/>
      <c r="AB180" s="166"/>
      <c r="AC180" s="158"/>
      <c r="AD180" s="166"/>
      <c r="AE180" s="158"/>
      <c r="AF180" s="166"/>
      <c r="AG180" s="166"/>
      <c r="AH180" s="166"/>
      <c r="AI180" s="166"/>
      <c r="AJ180" s="166"/>
      <c r="AK180" s="166"/>
      <c r="AL180" s="166"/>
      <c r="AM180" s="166"/>
      <c r="AN180" s="166"/>
      <c r="AO180" s="166"/>
      <c r="AP180" s="166"/>
      <c r="AQ180" s="166"/>
      <c r="AR180" s="166"/>
      <c r="AS180" s="166"/>
      <c r="AT180" s="166"/>
      <c r="AU180" s="363"/>
      <c r="AV180" s="363"/>
      <c r="AW180" s="363"/>
      <c r="AX180" s="363"/>
      <c r="AY180" s="364"/>
      <c r="AZ180" s="365"/>
      <c r="BA180" s="366"/>
    </row>
    <row r="181" spans="1:53">
      <c r="A181" s="2" t="str">
        <f t="shared" si="20"/>
        <v>Bus - SB Rebates_Modulating Commercial Gas Clothes Dryer</v>
      </c>
      <c r="B181" s="18">
        <v>178</v>
      </c>
      <c r="C181" s="23" t="s">
        <v>712</v>
      </c>
      <c r="D181" s="18" t="s">
        <v>290</v>
      </c>
      <c r="E181" s="23" t="s">
        <v>150</v>
      </c>
      <c r="F181" s="23">
        <v>1</v>
      </c>
      <c r="G181" s="154">
        <v>0.92</v>
      </c>
      <c r="H181" s="469">
        <v>14</v>
      </c>
      <c r="I181" s="458">
        <v>14</v>
      </c>
      <c r="J181" s="23">
        <v>0</v>
      </c>
      <c r="K181" s="23">
        <f t="shared" si="27"/>
        <v>0</v>
      </c>
      <c r="L181" s="23">
        <f t="shared" si="27"/>
        <v>0</v>
      </c>
      <c r="M181" s="23">
        <f t="shared" si="27"/>
        <v>0</v>
      </c>
      <c r="N181" s="216">
        <f>1483*0.18</f>
        <v>266.94</v>
      </c>
      <c r="O181" s="215">
        <f t="shared" si="26"/>
        <v>266.94</v>
      </c>
      <c r="P181" s="215">
        <f t="shared" si="26"/>
        <v>266.94</v>
      </c>
      <c r="Q181" s="215">
        <f t="shared" si="26"/>
        <v>266.94</v>
      </c>
      <c r="R181" s="15" t="s">
        <v>839</v>
      </c>
      <c r="S181" s="15" t="s">
        <v>841</v>
      </c>
      <c r="T181" s="15" t="s">
        <v>289</v>
      </c>
      <c r="U181" s="15" t="s">
        <v>288</v>
      </c>
      <c r="V181" s="166" t="s">
        <v>187</v>
      </c>
      <c r="W181" s="166"/>
      <c r="X181" s="166"/>
      <c r="Y181" s="166"/>
      <c r="Z181" s="166"/>
      <c r="AA181" s="158"/>
      <c r="AB181" s="166"/>
      <c r="AC181" s="158"/>
      <c r="AD181" s="166"/>
      <c r="AE181" s="158"/>
      <c r="AF181" s="166"/>
      <c r="AG181" s="166"/>
      <c r="AH181" s="166"/>
      <c r="AI181" s="166"/>
      <c r="AJ181" s="166"/>
      <c r="AK181" s="166"/>
      <c r="AL181" s="166"/>
      <c r="AM181" s="166"/>
      <c r="AN181" s="166"/>
      <c r="AO181" s="166"/>
      <c r="AP181" s="166"/>
      <c r="AQ181" s="166"/>
      <c r="AR181" s="166"/>
      <c r="AS181" s="166"/>
      <c r="AT181" s="166"/>
      <c r="AU181" s="363"/>
      <c r="AV181" s="363"/>
      <c r="AW181" s="363"/>
      <c r="AX181" s="363"/>
      <c r="AY181" s="364"/>
      <c r="AZ181" s="365"/>
      <c r="BA181" s="366"/>
    </row>
    <row r="182" spans="1:53">
      <c r="A182" s="2" t="str">
        <f t="shared" si="20"/>
        <v>Bus - SB Rebates_Ozone Laundry</v>
      </c>
      <c r="B182" s="18">
        <v>179</v>
      </c>
      <c r="C182" s="23" t="s">
        <v>712</v>
      </c>
      <c r="D182" s="18" t="s">
        <v>287</v>
      </c>
      <c r="E182" s="23" t="s">
        <v>237</v>
      </c>
      <c r="F182" s="23">
        <v>250</v>
      </c>
      <c r="G182" s="154">
        <v>0.92</v>
      </c>
      <c r="H182" s="469">
        <v>10</v>
      </c>
      <c r="I182" s="458">
        <v>10</v>
      </c>
      <c r="J182" s="23">
        <v>0</v>
      </c>
      <c r="K182" s="23">
        <f t="shared" si="27"/>
        <v>0</v>
      </c>
      <c r="L182" s="23">
        <f t="shared" si="27"/>
        <v>0</v>
      </c>
      <c r="M182" s="23">
        <f t="shared" si="27"/>
        <v>0</v>
      </c>
      <c r="N182" s="216">
        <f>X182*Z182*AB182*AD182/AF182</f>
        <v>30.722664192350027</v>
      </c>
      <c r="O182" s="215">
        <f t="shared" si="26"/>
        <v>30.722664192350027</v>
      </c>
      <c r="P182" s="215">
        <f t="shared" si="26"/>
        <v>30.722664192350027</v>
      </c>
      <c r="Q182" s="215">
        <f t="shared" si="26"/>
        <v>30.722664192350027</v>
      </c>
      <c r="R182" s="15" t="s">
        <v>839</v>
      </c>
      <c r="S182" s="15" t="s">
        <v>841</v>
      </c>
      <c r="T182" s="15" t="s">
        <v>286</v>
      </c>
      <c r="U182" s="15" t="s">
        <v>285</v>
      </c>
      <c r="V182" s="166" t="s">
        <v>278</v>
      </c>
      <c r="W182" s="166" t="s">
        <v>284</v>
      </c>
      <c r="X182" s="434">
        <v>8.8500000000000002E-3</v>
      </c>
      <c r="Y182" s="166" t="s">
        <v>283</v>
      </c>
      <c r="Z182" s="420">
        <v>916150</v>
      </c>
      <c r="AA182" s="158" t="s">
        <v>282</v>
      </c>
      <c r="AB182" s="166">
        <v>1.19</v>
      </c>
      <c r="AC182" s="158" t="s">
        <v>281</v>
      </c>
      <c r="AD182" s="419">
        <v>0.81</v>
      </c>
      <c r="AE182" s="158" t="s">
        <v>237</v>
      </c>
      <c r="AF182" s="166">
        <v>254.38</v>
      </c>
      <c r="AG182" s="166" t="s">
        <v>280</v>
      </c>
      <c r="AH182" s="425">
        <v>0.25</v>
      </c>
      <c r="AI182" s="166" t="s">
        <v>279</v>
      </c>
      <c r="AJ182" s="166">
        <v>2.0299999999999998</v>
      </c>
      <c r="AK182" s="166"/>
      <c r="AL182" s="166"/>
      <c r="AM182" s="166"/>
      <c r="AN182" s="166"/>
      <c r="AO182" s="166"/>
      <c r="AP182" s="166"/>
      <c r="AQ182" s="166"/>
      <c r="AR182" s="166"/>
      <c r="AS182" s="166"/>
      <c r="AT182" s="166"/>
      <c r="AU182" s="363"/>
      <c r="AV182" s="363"/>
      <c r="AW182" s="363"/>
      <c r="AX182" s="363"/>
      <c r="AY182" s="364"/>
      <c r="AZ182" s="365"/>
      <c r="BA182" s="366"/>
    </row>
    <row r="183" spans="1:53">
      <c r="A183" s="2" t="str">
        <f t="shared" si="20"/>
        <v>Bus - SB Rebates_Pipe Insulation - Dry Cleaners</v>
      </c>
      <c r="B183" s="18">
        <v>180</v>
      </c>
      <c r="C183" s="23" t="s">
        <v>712</v>
      </c>
      <c r="D183" s="18" t="s">
        <v>223</v>
      </c>
      <c r="E183" s="23" t="s">
        <v>210</v>
      </c>
      <c r="F183" s="23">
        <v>75</v>
      </c>
      <c r="G183" s="154">
        <v>0.92</v>
      </c>
      <c r="H183" s="469">
        <v>15</v>
      </c>
      <c r="I183" s="458">
        <v>15</v>
      </c>
      <c r="J183" s="23">
        <v>0</v>
      </c>
      <c r="K183" s="23">
        <f t="shared" si="27"/>
        <v>0</v>
      </c>
      <c r="L183" s="23">
        <f t="shared" si="27"/>
        <v>0</v>
      </c>
      <c r="M183" s="23">
        <f t="shared" si="27"/>
        <v>0</v>
      </c>
      <c r="N183" s="216">
        <f>'Pipe Insulation Detail'!$E$84</f>
        <v>4.1509563815028345</v>
      </c>
      <c r="O183" s="215">
        <f t="shared" si="26"/>
        <v>4.1509563815028345</v>
      </c>
      <c r="P183" s="215">
        <f t="shared" si="26"/>
        <v>4.1509563815028345</v>
      </c>
      <c r="Q183" s="215">
        <f t="shared" si="26"/>
        <v>4.1509563815028345</v>
      </c>
      <c r="R183" s="15" t="s">
        <v>838</v>
      </c>
      <c r="S183" s="15" t="s">
        <v>841</v>
      </c>
      <c r="T183" s="15" t="s">
        <v>201</v>
      </c>
      <c r="U183" s="15" t="s">
        <v>200</v>
      </c>
      <c r="V183" s="435" t="s">
        <v>853</v>
      </c>
      <c r="W183" s="166"/>
      <c r="X183" s="166"/>
      <c r="Y183" s="166"/>
      <c r="Z183" s="166"/>
      <c r="AA183" s="158"/>
      <c r="AB183" s="166"/>
      <c r="AC183" s="158"/>
      <c r="AD183" s="166"/>
      <c r="AE183" s="158"/>
      <c r="AF183" s="166"/>
      <c r="AG183" s="166"/>
      <c r="AH183" s="166"/>
      <c r="AI183" s="166"/>
      <c r="AJ183" s="166"/>
      <c r="AK183" s="166"/>
      <c r="AL183" s="166"/>
      <c r="AM183" s="166"/>
      <c r="AN183" s="166"/>
      <c r="AO183" s="166"/>
      <c r="AP183" s="166"/>
      <c r="AQ183" s="166"/>
      <c r="AR183" s="166"/>
      <c r="AS183" s="166"/>
      <c r="AT183" s="166"/>
      <c r="AU183" s="363"/>
      <c r="AV183" s="363"/>
      <c r="AW183" s="363"/>
      <c r="AX183" s="363"/>
      <c r="AY183" s="364"/>
      <c r="AZ183" s="365"/>
      <c r="BA183" s="366"/>
    </row>
    <row r="184" spans="1:53">
      <c r="A184" s="2" t="str">
        <f t="shared" si="20"/>
        <v>Bus - SB Rebates_Pipe Insulation - Dry Cleaners -Elbows</v>
      </c>
      <c r="B184" s="18">
        <v>181</v>
      </c>
      <c r="C184" s="23" t="s">
        <v>712</v>
      </c>
      <c r="D184" s="18" t="s">
        <v>222</v>
      </c>
      <c r="E184" s="23" t="s">
        <v>210</v>
      </c>
      <c r="F184" s="23">
        <v>75</v>
      </c>
      <c r="G184" s="154">
        <v>0.92</v>
      </c>
      <c r="H184" s="469">
        <v>15</v>
      </c>
      <c r="I184" s="458">
        <v>15</v>
      </c>
      <c r="J184" s="23">
        <v>0</v>
      </c>
      <c r="K184" s="23">
        <f t="shared" si="27"/>
        <v>0</v>
      </c>
      <c r="L184" s="23">
        <f t="shared" si="27"/>
        <v>0</v>
      </c>
      <c r="M184" s="23">
        <f t="shared" si="27"/>
        <v>0</v>
      </c>
      <c r="N184" s="216">
        <f>'Pipe Insulation Detail'!$C$84</f>
        <v>1.9924590631213606</v>
      </c>
      <c r="O184" s="215">
        <f t="shared" si="26"/>
        <v>1.9924590631213606</v>
      </c>
      <c r="P184" s="215">
        <f t="shared" si="26"/>
        <v>1.9924590631213606</v>
      </c>
      <c r="Q184" s="215">
        <f t="shared" si="26"/>
        <v>1.9924590631213606</v>
      </c>
      <c r="R184" s="15" t="s">
        <v>838</v>
      </c>
      <c r="S184" s="15" t="s">
        <v>841</v>
      </c>
      <c r="T184" s="15" t="s">
        <v>201</v>
      </c>
      <c r="U184" s="15" t="s">
        <v>200</v>
      </c>
      <c r="V184" s="435" t="s">
        <v>853</v>
      </c>
      <c r="W184" s="166"/>
      <c r="X184" s="166"/>
      <c r="Y184" s="166"/>
      <c r="Z184" s="166"/>
      <c r="AA184" s="158"/>
      <c r="AB184" s="166"/>
      <c r="AC184" s="158"/>
      <c r="AD184" s="166"/>
      <c r="AE184" s="158"/>
      <c r="AF184" s="166"/>
      <c r="AG184" s="166"/>
      <c r="AH184" s="166"/>
      <c r="AI184" s="166"/>
      <c r="AJ184" s="166"/>
      <c r="AK184" s="166"/>
      <c r="AL184" s="166"/>
      <c r="AM184" s="166"/>
      <c r="AN184" s="166"/>
      <c r="AO184" s="166"/>
      <c r="AP184" s="166"/>
      <c r="AQ184" s="166"/>
      <c r="AR184" s="166"/>
      <c r="AS184" s="166"/>
      <c r="AT184" s="166"/>
      <c r="AU184" s="363"/>
      <c r="AV184" s="363"/>
      <c r="AW184" s="363"/>
      <c r="AX184" s="363"/>
      <c r="AY184" s="364"/>
      <c r="AZ184" s="365"/>
      <c r="BA184" s="366"/>
    </row>
    <row r="185" spans="1:53">
      <c r="A185" s="2" t="str">
        <f t="shared" si="20"/>
        <v>Bus - SB Rebates_Pipe Insulation - HW Small 1" to 2"</v>
      </c>
      <c r="B185" s="18">
        <v>182</v>
      </c>
      <c r="C185" s="23" t="s">
        <v>712</v>
      </c>
      <c r="D185" s="18" t="s">
        <v>217</v>
      </c>
      <c r="E185" s="23" t="s">
        <v>210</v>
      </c>
      <c r="F185" s="23">
        <v>75</v>
      </c>
      <c r="G185" s="154">
        <v>0.92</v>
      </c>
      <c r="H185" s="469">
        <v>15</v>
      </c>
      <c r="I185" s="458">
        <v>15</v>
      </c>
      <c r="J185" s="23">
        <v>0</v>
      </c>
      <c r="K185" s="23">
        <f t="shared" si="27"/>
        <v>0</v>
      </c>
      <c r="L185" s="23">
        <f t="shared" si="27"/>
        <v>0</v>
      </c>
      <c r="M185" s="23">
        <f t="shared" si="27"/>
        <v>0</v>
      </c>
      <c r="N185" s="216">
        <f>'Pipe Insulation Detail'!$B$47</f>
        <v>2.6588140926267867</v>
      </c>
      <c r="O185" s="215">
        <f t="shared" ref="O185:Q204" si="28">N185</f>
        <v>2.6588140926267867</v>
      </c>
      <c r="P185" s="215">
        <f t="shared" si="28"/>
        <v>2.6588140926267867</v>
      </c>
      <c r="Q185" s="215">
        <f t="shared" si="28"/>
        <v>2.6588140926267867</v>
      </c>
      <c r="R185" s="15" t="s">
        <v>838</v>
      </c>
      <c r="S185" s="15" t="s">
        <v>841</v>
      </c>
      <c r="T185" s="15" t="s">
        <v>201</v>
      </c>
      <c r="U185" s="15" t="s">
        <v>200</v>
      </c>
      <c r="V185" s="435" t="s">
        <v>853</v>
      </c>
      <c r="W185" s="166"/>
      <c r="X185" s="166"/>
      <c r="Y185" s="166"/>
      <c r="Z185" s="166"/>
      <c r="AA185" s="158"/>
      <c r="AB185" s="166"/>
      <c r="AC185" s="158"/>
      <c r="AD185" s="166"/>
      <c r="AE185" s="158"/>
      <c r="AF185" s="166"/>
      <c r="AG185" s="166"/>
      <c r="AH185" s="166"/>
      <c r="AI185" s="166"/>
      <c r="AJ185" s="166"/>
      <c r="AK185" s="166"/>
      <c r="AL185" s="166"/>
      <c r="AM185" s="166"/>
      <c r="AN185" s="166"/>
      <c r="AO185" s="166"/>
      <c r="AP185" s="166"/>
      <c r="AQ185" s="166"/>
      <c r="AR185" s="166"/>
      <c r="AS185" s="166"/>
      <c r="AT185" s="166"/>
      <c r="AU185" s="363"/>
      <c r="AV185" s="363"/>
      <c r="AW185" s="363"/>
      <c r="AX185" s="363"/>
      <c r="AY185" s="364"/>
      <c r="AZ185" s="365"/>
      <c r="BA185" s="366"/>
    </row>
    <row r="186" spans="1:53">
      <c r="A186" s="2" t="str">
        <f t="shared" si="20"/>
        <v>Bus - SB Rebates_Pipe Insulation - HW Medium 2.1" to 4"</v>
      </c>
      <c r="B186" s="18">
        <v>183</v>
      </c>
      <c r="C186" s="23" t="s">
        <v>712</v>
      </c>
      <c r="D186" s="18" t="s">
        <v>216</v>
      </c>
      <c r="E186" s="23" t="s">
        <v>210</v>
      </c>
      <c r="F186" s="23">
        <v>75</v>
      </c>
      <c r="G186" s="154">
        <v>0.92</v>
      </c>
      <c r="H186" s="469">
        <v>15</v>
      </c>
      <c r="I186" s="458">
        <v>15</v>
      </c>
      <c r="J186" s="23">
        <v>0</v>
      </c>
      <c r="K186" s="23">
        <f t="shared" si="27"/>
        <v>0</v>
      </c>
      <c r="L186" s="23">
        <f t="shared" si="27"/>
        <v>0</v>
      </c>
      <c r="M186" s="23">
        <f t="shared" si="27"/>
        <v>0</v>
      </c>
      <c r="N186" s="216">
        <f>'Pipe Insulation Detail'!$B$48</f>
        <v>5.2492031493764015</v>
      </c>
      <c r="O186" s="215">
        <f t="shared" si="28"/>
        <v>5.2492031493764015</v>
      </c>
      <c r="P186" s="215">
        <f t="shared" si="28"/>
        <v>5.2492031493764015</v>
      </c>
      <c r="Q186" s="215">
        <f t="shared" si="28"/>
        <v>5.2492031493764015</v>
      </c>
      <c r="R186" s="15" t="s">
        <v>838</v>
      </c>
      <c r="S186" s="15" t="s">
        <v>841</v>
      </c>
      <c r="T186" s="15" t="s">
        <v>201</v>
      </c>
      <c r="U186" s="15" t="s">
        <v>200</v>
      </c>
      <c r="V186" s="435" t="s">
        <v>853</v>
      </c>
      <c r="W186" s="166"/>
      <c r="X186" s="166"/>
      <c r="Y186" s="166"/>
      <c r="Z186" s="166"/>
      <c r="AA186" s="158"/>
      <c r="AB186" s="166"/>
      <c r="AC186" s="158"/>
      <c r="AD186" s="166"/>
      <c r="AE186" s="158"/>
      <c r="AF186" s="166"/>
      <c r="AG186" s="166"/>
      <c r="AH186" s="166"/>
      <c r="AI186" s="166"/>
      <c r="AJ186" s="166"/>
      <c r="AK186" s="166"/>
      <c r="AL186" s="166"/>
      <c r="AM186" s="166"/>
      <c r="AN186" s="166"/>
      <c r="AO186" s="166"/>
      <c r="AP186" s="166"/>
      <c r="AQ186" s="166"/>
      <c r="AR186" s="166"/>
      <c r="AS186" s="166"/>
      <c r="AT186" s="166"/>
      <c r="AU186" s="363"/>
      <c r="AV186" s="363"/>
      <c r="AW186" s="363"/>
      <c r="AX186" s="363"/>
      <c r="AY186" s="364"/>
      <c r="AZ186" s="365"/>
      <c r="BA186" s="366"/>
    </row>
    <row r="187" spans="1:53">
      <c r="A187" s="2" t="str">
        <f t="shared" si="20"/>
        <v>Bus - SB Rebates_Pipe Insulation - HW Large &gt;4"</v>
      </c>
      <c r="B187" s="18">
        <v>184</v>
      </c>
      <c r="C187" s="23" t="s">
        <v>712</v>
      </c>
      <c r="D187" s="18" t="s">
        <v>215</v>
      </c>
      <c r="E187" s="23" t="s">
        <v>210</v>
      </c>
      <c r="F187" s="23">
        <v>75</v>
      </c>
      <c r="G187" s="154">
        <v>0.92</v>
      </c>
      <c r="H187" s="469">
        <v>15</v>
      </c>
      <c r="I187" s="458">
        <v>15</v>
      </c>
      <c r="J187" s="23">
        <v>0</v>
      </c>
      <c r="K187" s="23">
        <f t="shared" si="27"/>
        <v>0</v>
      </c>
      <c r="L187" s="23">
        <f t="shared" si="27"/>
        <v>0</v>
      </c>
      <c r="M187" s="23">
        <f t="shared" si="27"/>
        <v>0</v>
      </c>
      <c r="N187" s="216">
        <f>'Pipe Insulation Detail'!$B$49</f>
        <v>9.0407613085908682</v>
      </c>
      <c r="O187" s="215">
        <f t="shared" si="28"/>
        <v>9.0407613085908682</v>
      </c>
      <c r="P187" s="215">
        <f t="shared" si="28"/>
        <v>9.0407613085908682</v>
      </c>
      <c r="Q187" s="215">
        <f t="shared" si="28"/>
        <v>9.0407613085908682</v>
      </c>
      <c r="R187" s="15" t="s">
        <v>838</v>
      </c>
      <c r="S187" s="15" t="s">
        <v>841</v>
      </c>
      <c r="T187" s="15" t="s">
        <v>201</v>
      </c>
      <c r="U187" s="15" t="s">
        <v>200</v>
      </c>
      <c r="V187" s="435" t="s">
        <v>853</v>
      </c>
      <c r="W187" s="166"/>
      <c r="X187" s="166"/>
      <c r="Y187" s="166"/>
      <c r="Z187" s="166"/>
      <c r="AA187" s="158"/>
      <c r="AB187" s="166"/>
      <c r="AC187" s="158"/>
      <c r="AD187" s="166"/>
      <c r="AE187" s="158"/>
      <c r="AF187" s="166"/>
      <c r="AG187" s="166"/>
      <c r="AH187" s="166"/>
      <c r="AI187" s="166"/>
      <c r="AJ187" s="166"/>
      <c r="AK187" s="166"/>
      <c r="AL187" s="166"/>
      <c r="AM187" s="166"/>
      <c r="AN187" s="166"/>
      <c r="AO187" s="166"/>
      <c r="AP187" s="166"/>
      <c r="AQ187" s="166"/>
      <c r="AR187" s="166"/>
      <c r="AS187" s="166"/>
      <c r="AT187" s="166"/>
      <c r="AU187" s="363"/>
      <c r="AV187" s="363"/>
      <c r="AW187" s="363"/>
      <c r="AX187" s="363"/>
      <c r="AY187" s="364"/>
      <c r="AZ187" s="365"/>
      <c r="BA187" s="366"/>
    </row>
    <row r="188" spans="1:53">
      <c r="A188" s="2" t="str">
        <f t="shared" si="20"/>
        <v>Bus - SB Rebates_Pipe Insulation - Steam - Small 1" to 2"</v>
      </c>
      <c r="B188" s="18">
        <v>185</v>
      </c>
      <c r="C188" s="23" t="s">
        <v>712</v>
      </c>
      <c r="D188" s="18" t="s">
        <v>214</v>
      </c>
      <c r="E188" s="23" t="s">
        <v>210</v>
      </c>
      <c r="F188" s="23">
        <v>75</v>
      </c>
      <c r="G188" s="154">
        <v>0.92</v>
      </c>
      <c r="H188" s="469">
        <v>15</v>
      </c>
      <c r="I188" s="458">
        <v>15</v>
      </c>
      <c r="J188" s="23">
        <v>6</v>
      </c>
      <c r="K188" s="23">
        <f t="shared" si="27"/>
        <v>6</v>
      </c>
      <c r="L188" s="23">
        <f t="shared" si="27"/>
        <v>6</v>
      </c>
      <c r="M188" s="23">
        <f t="shared" si="27"/>
        <v>6</v>
      </c>
      <c r="N188" s="216">
        <f>'Pipe Insulation Detail'!$B$50</f>
        <v>3.1854757047967208</v>
      </c>
      <c r="O188" s="215">
        <f t="shared" si="28"/>
        <v>3.1854757047967208</v>
      </c>
      <c r="P188" s="215">
        <f t="shared" si="28"/>
        <v>3.1854757047967208</v>
      </c>
      <c r="Q188" s="215">
        <f t="shared" si="28"/>
        <v>3.1854757047967208</v>
      </c>
      <c r="R188" s="15" t="s">
        <v>838</v>
      </c>
      <c r="S188" s="15" t="s">
        <v>841</v>
      </c>
      <c r="T188" s="15" t="s">
        <v>201</v>
      </c>
      <c r="U188" s="15" t="s">
        <v>200</v>
      </c>
      <c r="V188" s="435" t="s">
        <v>853</v>
      </c>
      <c r="W188" s="166"/>
      <c r="X188" s="166"/>
      <c r="Y188" s="166"/>
      <c r="Z188" s="166"/>
      <c r="AA188" s="158"/>
      <c r="AB188" s="166"/>
      <c r="AC188" s="158"/>
      <c r="AD188" s="166"/>
      <c r="AE188" s="158"/>
      <c r="AF188" s="166"/>
      <c r="AG188" s="166"/>
      <c r="AH188" s="166"/>
      <c r="AI188" s="166"/>
      <c r="AJ188" s="166"/>
      <c r="AK188" s="166"/>
      <c r="AL188" s="166"/>
      <c r="AM188" s="166"/>
      <c r="AN188" s="166"/>
      <c r="AO188" s="166"/>
      <c r="AP188" s="166"/>
      <c r="AQ188" s="166"/>
      <c r="AR188" s="166"/>
      <c r="AS188" s="166"/>
      <c r="AT188" s="166"/>
      <c r="AU188" s="363"/>
      <c r="AV188" s="363"/>
      <c r="AW188" s="363"/>
      <c r="AX188" s="363"/>
      <c r="AY188" s="364"/>
      <c r="AZ188" s="365"/>
      <c r="BA188" s="366"/>
    </row>
    <row r="189" spans="1:53">
      <c r="A189" s="2" t="str">
        <f t="shared" si="20"/>
        <v>Bus - SB Rebates_Pipe Insulation - Steam - Med 2.1" to 5"</v>
      </c>
      <c r="B189" s="18">
        <v>186</v>
      </c>
      <c r="C189" s="23" t="s">
        <v>712</v>
      </c>
      <c r="D189" s="18" t="s">
        <v>213</v>
      </c>
      <c r="E189" s="23" t="s">
        <v>210</v>
      </c>
      <c r="F189" s="23">
        <v>75</v>
      </c>
      <c r="G189" s="154">
        <v>0.92</v>
      </c>
      <c r="H189" s="469">
        <v>15</v>
      </c>
      <c r="I189" s="458">
        <v>15</v>
      </c>
      <c r="J189" s="23">
        <v>5</v>
      </c>
      <c r="K189" s="23">
        <f t="shared" si="27"/>
        <v>5</v>
      </c>
      <c r="L189" s="23">
        <f t="shared" si="27"/>
        <v>5</v>
      </c>
      <c r="M189" s="23">
        <f t="shared" si="27"/>
        <v>5</v>
      </c>
      <c r="N189" s="216">
        <f>'Pipe Insulation Detail'!$B$51</f>
        <v>13.148126788517139</v>
      </c>
      <c r="O189" s="215">
        <f t="shared" si="28"/>
        <v>13.148126788517139</v>
      </c>
      <c r="P189" s="215">
        <f t="shared" si="28"/>
        <v>13.148126788517139</v>
      </c>
      <c r="Q189" s="215">
        <f t="shared" si="28"/>
        <v>13.148126788517139</v>
      </c>
      <c r="R189" s="15" t="s">
        <v>838</v>
      </c>
      <c r="S189" s="15" t="s">
        <v>841</v>
      </c>
      <c r="T189" s="15" t="s">
        <v>201</v>
      </c>
      <c r="U189" s="15" t="s">
        <v>200</v>
      </c>
      <c r="V189" s="435" t="s">
        <v>853</v>
      </c>
      <c r="W189" s="166"/>
      <c r="X189" s="166"/>
      <c r="Y189" s="166"/>
      <c r="Z189" s="166"/>
      <c r="AA189" s="158"/>
      <c r="AB189" s="166"/>
      <c r="AC189" s="158"/>
      <c r="AD189" s="166"/>
      <c r="AE189" s="158"/>
      <c r="AF189" s="166"/>
      <c r="AG189" s="166"/>
      <c r="AH189" s="166"/>
      <c r="AI189" s="166"/>
      <c r="AJ189" s="166"/>
      <c r="AK189" s="166"/>
      <c r="AL189" s="166"/>
      <c r="AM189" s="166"/>
      <c r="AN189" s="166"/>
      <c r="AO189" s="166"/>
      <c r="AP189" s="166"/>
      <c r="AQ189" s="166"/>
      <c r="AR189" s="166"/>
      <c r="AS189" s="166"/>
      <c r="AT189" s="166"/>
      <c r="AU189" s="363"/>
      <c r="AV189" s="363"/>
      <c r="AW189" s="363"/>
      <c r="AX189" s="363"/>
      <c r="AY189" s="364"/>
      <c r="AZ189" s="365"/>
      <c r="BA189" s="366"/>
    </row>
    <row r="190" spans="1:53">
      <c r="A190" s="2" t="str">
        <f t="shared" si="20"/>
        <v>Bus - SB Rebates_Pipe Insulation - Steam - Large 5.1" to 8"</v>
      </c>
      <c r="B190" s="18">
        <v>187</v>
      </c>
      <c r="C190" s="23" t="s">
        <v>712</v>
      </c>
      <c r="D190" s="18" t="s">
        <v>212</v>
      </c>
      <c r="E190" s="23" t="s">
        <v>210</v>
      </c>
      <c r="F190" s="23">
        <v>75</v>
      </c>
      <c r="G190" s="154">
        <v>0.92</v>
      </c>
      <c r="H190" s="469">
        <v>15</v>
      </c>
      <c r="I190" s="458">
        <v>15</v>
      </c>
      <c r="J190" s="23">
        <v>0</v>
      </c>
      <c r="K190" s="23">
        <f t="shared" si="27"/>
        <v>0</v>
      </c>
      <c r="L190" s="23">
        <f t="shared" si="27"/>
        <v>0</v>
      </c>
      <c r="M190" s="23">
        <f t="shared" si="27"/>
        <v>0</v>
      </c>
      <c r="N190" s="216">
        <f>'Pipe Insulation Detail'!$B$52</f>
        <v>24.25563238537794</v>
      </c>
      <c r="O190" s="215">
        <f t="shared" si="28"/>
        <v>24.25563238537794</v>
      </c>
      <c r="P190" s="215">
        <f t="shared" si="28"/>
        <v>24.25563238537794</v>
      </c>
      <c r="Q190" s="215">
        <f t="shared" si="28"/>
        <v>24.25563238537794</v>
      </c>
      <c r="R190" s="15" t="s">
        <v>838</v>
      </c>
      <c r="S190" s="15" t="s">
        <v>841</v>
      </c>
      <c r="T190" s="15" t="s">
        <v>201</v>
      </c>
      <c r="U190" s="15" t="s">
        <v>200</v>
      </c>
      <c r="V190" s="435" t="s">
        <v>853</v>
      </c>
      <c r="W190" s="166"/>
      <c r="X190" s="166"/>
      <c r="Y190" s="166"/>
      <c r="Z190" s="166"/>
      <c r="AA190" s="158"/>
      <c r="AB190" s="166"/>
      <c r="AC190" s="158"/>
      <c r="AD190" s="166"/>
      <c r="AE190" s="158"/>
      <c r="AF190" s="166"/>
      <c r="AG190" s="166"/>
      <c r="AH190" s="166"/>
      <c r="AI190" s="166"/>
      <c r="AJ190" s="166"/>
      <c r="AK190" s="166"/>
      <c r="AL190" s="166"/>
      <c r="AM190" s="166"/>
      <c r="AN190" s="166"/>
      <c r="AO190" s="166"/>
      <c r="AP190" s="166"/>
      <c r="AQ190" s="166"/>
      <c r="AR190" s="166"/>
      <c r="AS190" s="166"/>
      <c r="AT190" s="166"/>
      <c r="AU190" s="363"/>
      <c r="AV190" s="363"/>
      <c r="AW190" s="363"/>
      <c r="AX190" s="363"/>
      <c r="AY190" s="364"/>
      <c r="AZ190" s="365"/>
      <c r="BA190" s="366"/>
    </row>
    <row r="191" spans="1:53">
      <c r="A191" s="2" t="str">
        <f t="shared" si="20"/>
        <v>Bus - SB Rebates_Pipe Insulation - Steam - X-Large &gt;8"</v>
      </c>
      <c r="B191" s="18">
        <v>188</v>
      </c>
      <c r="C191" s="23" t="s">
        <v>712</v>
      </c>
      <c r="D191" s="18" t="s">
        <v>211</v>
      </c>
      <c r="E191" s="23" t="s">
        <v>210</v>
      </c>
      <c r="F191" s="23">
        <v>75</v>
      </c>
      <c r="G191" s="154">
        <v>0.92</v>
      </c>
      <c r="H191" s="469">
        <v>15</v>
      </c>
      <c r="I191" s="458">
        <v>15</v>
      </c>
      <c r="J191" s="23">
        <v>0</v>
      </c>
      <c r="K191" s="23">
        <f t="shared" si="27"/>
        <v>0</v>
      </c>
      <c r="L191" s="23">
        <f t="shared" si="27"/>
        <v>0</v>
      </c>
      <c r="M191" s="23">
        <f t="shared" si="27"/>
        <v>0</v>
      </c>
      <c r="N191" s="216">
        <f>'Pipe Insulation Detail'!$B$53</f>
        <v>35.984797966765058</v>
      </c>
      <c r="O191" s="215">
        <f t="shared" si="28"/>
        <v>35.984797966765058</v>
      </c>
      <c r="P191" s="215">
        <f t="shared" si="28"/>
        <v>35.984797966765058</v>
      </c>
      <c r="Q191" s="215">
        <f t="shared" si="28"/>
        <v>35.984797966765058</v>
      </c>
      <c r="R191" s="15" t="s">
        <v>838</v>
      </c>
      <c r="S191" s="15" t="s">
        <v>841</v>
      </c>
      <c r="T191" s="15" t="s">
        <v>201</v>
      </c>
      <c r="U191" s="15" t="s">
        <v>200</v>
      </c>
      <c r="V191" s="435" t="s">
        <v>853</v>
      </c>
      <c r="W191" s="166"/>
      <c r="X191" s="166"/>
      <c r="Y191" s="166"/>
      <c r="Z191" s="166"/>
      <c r="AA191" s="158"/>
      <c r="AB191" s="166"/>
      <c r="AC191" s="158"/>
      <c r="AD191" s="166"/>
      <c r="AE191" s="158"/>
      <c r="AF191" s="166"/>
      <c r="AG191" s="166"/>
      <c r="AH191" s="166"/>
      <c r="AI191" s="166"/>
      <c r="AJ191" s="166"/>
      <c r="AK191" s="166"/>
      <c r="AL191" s="166"/>
      <c r="AM191" s="166"/>
      <c r="AN191" s="166"/>
      <c r="AO191" s="166"/>
      <c r="AP191" s="166"/>
      <c r="AQ191" s="166"/>
      <c r="AR191" s="166"/>
      <c r="AS191" s="166"/>
      <c r="AT191" s="166"/>
      <c r="AU191" s="363"/>
      <c r="AV191" s="363"/>
      <c r="AW191" s="363"/>
      <c r="AX191" s="363"/>
      <c r="AY191" s="364"/>
      <c r="AZ191" s="365"/>
      <c r="BA191" s="366"/>
    </row>
    <row r="192" spans="1:53">
      <c r="A192" s="2" t="str">
        <f t="shared" si="20"/>
        <v>Bus - SB Rebates_Pipe Insulation - Steam Med Fitting</v>
      </c>
      <c r="B192" s="18">
        <v>189</v>
      </c>
      <c r="C192" s="23" t="s">
        <v>712</v>
      </c>
      <c r="D192" s="18" t="s">
        <v>208</v>
      </c>
      <c r="E192" s="23" t="s">
        <v>150</v>
      </c>
      <c r="F192" s="23">
        <v>1</v>
      </c>
      <c r="G192" s="154">
        <v>0.92</v>
      </c>
      <c r="H192" s="469">
        <v>15</v>
      </c>
      <c r="I192" s="458">
        <v>15</v>
      </c>
      <c r="J192" s="23">
        <v>5</v>
      </c>
      <c r="K192" s="23">
        <f t="shared" si="27"/>
        <v>5</v>
      </c>
      <c r="L192" s="23">
        <f t="shared" si="27"/>
        <v>5</v>
      </c>
      <c r="M192" s="23">
        <f t="shared" si="27"/>
        <v>5</v>
      </c>
      <c r="N192" s="216">
        <f>'Pipe Insulation Detail'!$B$55</f>
        <v>12.515179237984789</v>
      </c>
      <c r="O192" s="215">
        <f t="shared" si="28"/>
        <v>12.515179237984789</v>
      </c>
      <c r="P192" s="215">
        <f t="shared" si="28"/>
        <v>12.515179237984789</v>
      </c>
      <c r="Q192" s="215">
        <f t="shared" si="28"/>
        <v>12.515179237984789</v>
      </c>
      <c r="R192" s="15" t="s">
        <v>838</v>
      </c>
      <c r="S192" s="15" t="s">
        <v>841</v>
      </c>
      <c r="T192" s="15" t="s">
        <v>201</v>
      </c>
      <c r="U192" s="15" t="s">
        <v>200</v>
      </c>
      <c r="V192" s="435" t="s">
        <v>853</v>
      </c>
      <c r="W192" s="166"/>
      <c r="X192" s="166"/>
      <c r="Y192" s="166"/>
      <c r="Z192" s="166"/>
      <c r="AA192" s="158"/>
      <c r="AB192" s="166"/>
      <c r="AC192" s="158"/>
      <c r="AD192" s="166"/>
      <c r="AE192" s="158"/>
      <c r="AF192" s="166"/>
      <c r="AG192" s="166"/>
      <c r="AH192" s="166"/>
      <c r="AI192" s="166"/>
      <c r="AJ192" s="166"/>
      <c r="AK192" s="166"/>
      <c r="AL192" s="166"/>
      <c r="AM192" s="166"/>
      <c r="AN192" s="166"/>
      <c r="AO192" s="166"/>
      <c r="AP192" s="166"/>
      <c r="AQ192" s="166"/>
      <c r="AR192" s="166"/>
      <c r="AS192" s="166"/>
      <c r="AT192" s="166"/>
      <c r="AU192" s="363"/>
      <c r="AV192" s="363"/>
      <c r="AW192" s="363"/>
      <c r="AX192" s="363"/>
      <c r="AY192" s="364"/>
      <c r="AZ192" s="365"/>
      <c r="BA192" s="366"/>
    </row>
    <row r="193" spans="1:53">
      <c r="A193" s="2" t="str">
        <f t="shared" si="20"/>
        <v>Bus - SB Rebates_Pipe Insulation - Steam Large Fitting</v>
      </c>
      <c r="B193" s="18">
        <v>190</v>
      </c>
      <c r="C193" s="23" t="s">
        <v>712</v>
      </c>
      <c r="D193" s="18" t="s">
        <v>207</v>
      </c>
      <c r="E193" s="23" t="s">
        <v>150</v>
      </c>
      <c r="F193" s="23">
        <v>1</v>
      </c>
      <c r="G193" s="154">
        <v>0.92</v>
      </c>
      <c r="H193" s="469">
        <v>15</v>
      </c>
      <c r="I193" s="458">
        <v>15</v>
      </c>
      <c r="J193" s="23">
        <v>0</v>
      </c>
      <c r="K193" s="23">
        <f t="shared" si="27"/>
        <v>0</v>
      </c>
      <c r="L193" s="23">
        <f t="shared" si="27"/>
        <v>0</v>
      </c>
      <c r="M193" s="23">
        <f t="shared" si="27"/>
        <v>0</v>
      </c>
      <c r="N193" s="216">
        <f>'Pipe Insulation Detail'!$B$56</f>
        <v>51.249515380658096</v>
      </c>
      <c r="O193" s="215">
        <f t="shared" si="28"/>
        <v>51.249515380658096</v>
      </c>
      <c r="P193" s="215">
        <f t="shared" si="28"/>
        <v>51.249515380658096</v>
      </c>
      <c r="Q193" s="215">
        <f t="shared" si="28"/>
        <v>51.249515380658096</v>
      </c>
      <c r="R193" s="15" t="s">
        <v>838</v>
      </c>
      <c r="S193" s="15" t="s">
        <v>841</v>
      </c>
      <c r="T193" s="15" t="s">
        <v>201</v>
      </c>
      <c r="U193" s="15" t="s">
        <v>200</v>
      </c>
      <c r="V193" s="435" t="s">
        <v>853</v>
      </c>
      <c r="W193" s="166"/>
      <c r="X193" s="166"/>
      <c r="Y193" s="166"/>
      <c r="Z193" s="166"/>
      <c r="AA193" s="158"/>
      <c r="AB193" s="166"/>
      <c r="AC193" s="158"/>
      <c r="AD193" s="166"/>
      <c r="AE193" s="158"/>
      <c r="AF193" s="166"/>
      <c r="AG193" s="166"/>
      <c r="AH193" s="166"/>
      <c r="AI193" s="166"/>
      <c r="AJ193" s="166"/>
      <c r="AK193" s="166"/>
      <c r="AL193" s="166"/>
      <c r="AM193" s="166"/>
      <c r="AN193" s="166"/>
      <c r="AO193" s="166"/>
      <c r="AP193" s="166"/>
      <c r="AQ193" s="166"/>
      <c r="AR193" s="166"/>
      <c r="AS193" s="166"/>
      <c r="AT193" s="166"/>
      <c r="AU193" s="363"/>
      <c r="AV193" s="363"/>
      <c r="AW193" s="363"/>
      <c r="AX193" s="363"/>
      <c r="AY193" s="364"/>
      <c r="AZ193" s="365"/>
      <c r="BA193" s="366"/>
    </row>
    <row r="194" spans="1:53">
      <c r="A194" s="2" t="str">
        <f t="shared" si="20"/>
        <v>Bus - SB Rebates_Pipe Insulation - Steam X-Large Fitting</v>
      </c>
      <c r="B194" s="18">
        <v>191</v>
      </c>
      <c r="C194" s="23" t="s">
        <v>712</v>
      </c>
      <c r="D194" s="18" t="s">
        <v>206</v>
      </c>
      <c r="E194" s="23" t="s">
        <v>150</v>
      </c>
      <c r="F194" s="23">
        <v>1</v>
      </c>
      <c r="G194" s="154">
        <v>0.92</v>
      </c>
      <c r="H194" s="469">
        <v>15</v>
      </c>
      <c r="I194" s="458">
        <v>15</v>
      </c>
      <c r="J194" s="23">
        <v>0</v>
      </c>
      <c r="K194" s="23">
        <f t="shared" si="27"/>
        <v>0</v>
      </c>
      <c r="L194" s="23">
        <f t="shared" si="27"/>
        <v>0</v>
      </c>
      <c r="M194" s="23">
        <f t="shared" si="27"/>
        <v>0</v>
      </c>
      <c r="N194" s="216">
        <f>'Pipe Insulation Detail'!$B$57</f>
        <v>99.138118398437726</v>
      </c>
      <c r="O194" s="215">
        <f t="shared" si="28"/>
        <v>99.138118398437726</v>
      </c>
      <c r="P194" s="215">
        <f t="shared" si="28"/>
        <v>99.138118398437726</v>
      </c>
      <c r="Q194" s="215">
        <f t="shared" si="28"/>
        <v>99.138118398437726</v>
      </c>
      <c r="R194" s="15" t="s">
        <v>838</v>
      </c>
      <c r="S194" s="15" t="s">
        <v>841</v>
      </c>
      <c r="T194" s="15" t="s">
        <v>201</v>
      </c>
      <c r="U194" s="15" t="s">
        <v>200</v>
      </c>
      <c r="V194" s="435" t="s">
        <v>853</v>
      </c>
      <c r="W194" s="166"/>
      <c r="X194" s="166"/>
      <c r="Y194" s="166"/>
      <c r="Z194" s="166"/>
      <c r="AA194" s="158"/>
      <c r="AB194" s="166"/>
      <c r="AC194" s="158"/>
      <c r="AD194" s="166"/>
      <c r="AE194" s="158"/>
      <c r="AF194" s="166"/>
      <c r="AG194" s="166"/>
      <c r="AH194" s="166"/>
      <c r="AI194" s="166"/>
      <c r="AJ194" s="166"/>
      <c r="AK194" s="166"/>
      <c r="AL194" s="166"/>
      <c r="AM194" s="166"/>
      <c r="AN194" s="166"/>
      <c r="AO194" s="166"/>
      <c r="AP194" s="166"/>
      <c r="AQ194" s="166"/>
      <c r="AR194" s="166"/>
      <c r="AS194" s="166"/>
      <c r="AT194" s="166"/>
      <c r="AU194" s="363"/>
      <c r="AV194" s="363"/>
      <c r="AW194" s="363"/>
      <c r="AX194" s="363"/>
      <c r="AY194" s="364"/>
      <c r="AZ194" s="365"/>
      <c r="BA194" s="366"/>
    </row>
    <row r="195" spans="1:53">
      <c r="A195" s="2" t="str">
        <f t="shared" si="20"/>
        <v>Bus - SB Rebates_Pipe Insulation - Steam Med Valve</v>
      </c>
      <c r="B195" s="18">
        <v>192</v>
      </c>
      <c r="C195" s="23" t="s">
        <v>712</v>
      </c>
      <c r="D195" s="18" t="s">
        <v>204</v>
      </c>
      <c r="E195" s="23" t="s">
        <v>150</v>
      </c>
      <c r="F195" s="23">
        <v>1</v>
      </c>
      <c r="G195" s="154">
        <v>0.92</v>
      </c>
      <c r="H195" s="469">
        <v>15</v>
      </c>
      <c r="I195" s="458">
        <v>15</v>
      </c>
      <c r="J195" s="23">
        <v>0</v>
      </c>
      <c r="K195" s="23">
        <f t="shared" si="27"/>
        <v>0</v>
      </c>
      <c r="L195" s="23">
        <f t="shared" si="27"/>
        <v>0</v>
      </c>
      <c r="M195" s="23">
        <f t="shared" si="27"/>
        <v>0</v>
      </c>
      <c r="N195" s="216">
        <f>'Pipe Insulation Detail'!$B$59</f>
        <v>37.423389683572815</v>
      </c>
      <c r="O195" s="215">
        <f t="shared" si="28"/>
        <v>37.423389683572815</v>
      </c>
      <c r="P195" s="215">
        <f t="shared" si="28"/>
        <v>37.423389683572815</v>
      </c>
      <c r="Q195" s="215">
        <f t="shared" si="28"/>
        <v>37.423389683572815</v>
      </c>
      <c r="R195" s="15" t="s">
        <v>838</v>
      </c>
      <c r="S195" s="15" t="s">
        <v>841</v>
      </c>
      <c r="T195" s="15" t="s">
        <v>201</v>
      </c>
      <c r="U195" s="15" t="s">
        <v>200</v>
      </c>
      <c r="V195" s="435" t="s">
        <v>853</v>
      </c>
      <c r="W195" s="166"/>
      <c r="X195" s="166"/>
      <c r="Y195" s="166"/>
      <c r="Z195" s="166"/>
      <c r="AA195" s="158"/>
      <c r="AB195" s="166"/>
      <c r="AC195" s="158"/>
      <c r="AD195" s="166"/>
      <c r="AE195" s="158"/>
      <c r="AF195" s="166"/>
      <c r="AG195" s="166"/>
      <c r="AH195" s="166"/>
      <c r="AI195" s="166"/>
      <c r="AJ195" s="166"/>
      <c r="AK195" s="166"/>
      <c r="AL195" s="166"/>
      <c r="AM195" s="166"/>
      <c r="AN195" s="166"/>
      <c r="AO195" s="166"/>
      <c r="AP195" s="166"/>
      <c r="AQ195" s="166"/>
      <c r="AR195" s="166"/>
      <c r="AS195" s="166"/>
      <c r="AT195" s="166"/>
      <c r="AU195" s="363"/>
      <c r="AV195" s="363"/>
      <c r="AW195" s="363"/>
      <c r="AX195" s="363"/>
      <c r="AY195" s="364"/>
      <c r="AZ195" s="365"/>
      <c r="BA195" s="366"/>
    </row>
    <row r="196" spans="1:53">
      <c r="A196" s="2" t="str">
        <f t="shared" si="20"/>
        <v>Bus - SB Rebates_Pipe Insulation - Steam Large Valve</v>
      </c>
      <c r="B196" s="18">
        <v>193</v>
      </c>
      <c r="C196" s="23" t="s">
        <v>712</v>
      </c>
      <c r="D196" s="18" t="s">
        <v>203</v>
      </c>
      <c r="E196" s="23" t="s">
        <v>150</v>
      </c>
      <c r="F196" s="23">
        <v>1</v>
      </c>
      <c r="G196" s="154">
        <v>0.92</v>
      </c>
      <c r="H196" s="469">
        <v>15</v>
      </c>
      <c r="I196" s="458">
        <v>15</v>
      </c>
      <c r="J196" s="23">
        <v>0</v>
      </c>
      <c r="K196" s="23">
        <f t="shared" si="27"/>
        <v>0</v>
      </c>
      <c r="L196" s="23">
        <f t="shared" si="27"/>
        <v>0</v>
      </c>
      <c r="M196" s="23">
        <f t="shared" si="27"/>
        <v>0</v>
      </c>
      <c r="N196" s="216">
        <f>'Pipe Insulation Detail'!$B$60</f>
        <v>107.52607289087437</v>
      </c>
      <c r="O196" s="215">
        <f t="shared" si="28"/>
        <v>107.52607289087437</v>
      </c>
      <c r="P196" s="215">
        <f t="shared" si="28"/>
        <v>107.52607289087437</v>
      </c>
      <c r="Q196" s="215">
        <f t="shared" si="28"/>
        <v>107.52607289087437</v>
      </c>
      <c r="R196" s="15" t="s">
        <v>838</v>
      </c>
      <c r="S196" s="15" t="s">
        <v>841</v>
      </c>
      <c r="T196" s="15" t="s">
        <v>201</v>
      </c>
      <c r="U196" s="15" t="s">
        <v>200</v>
      </c>
      <c r="V196" s="435" t="s">
        <v>853</v>
      </c>
      <c r="W196" s="166"/>
      <c r="X196" s="166"/>
      <c r="Y196" s="166"/>
      <c r="Z196" s="166"/>
      <c r="AA196" s="158"/>
      <c r="AB196" s="166"/>
      <c r="AC196" s="158"/>
      <c r="AD196" s="166"/>
      <c r="AE196" s="158"/>
      <c r="AF196" s="166"/>
      <c r="AG196" s="166"/>
      <c r="AH196" s="166"/>
      <c r="AI196" s="166"/>
      <c r="AJ196" s="166"/>
      <c r="AK196" s="166"/>
      <c r="AL196" s="166"/>
      <c r="AM196" s="166"/>
      <c r="AN196" s="166"/>
      <c r="AO196" s="166"/>
      <c r="AP196" s="166"/>
      <c r="AQ196" s="166"/>
      <c r="AR196" s="166"/>
      <c r="AS196" s="166"/>
      <c r="AT196" s="166"/>
      <c r="AU196" s="363"/>
      <c r="AV196" s="363"/>
      <c r="AW196" s="363"/>
      <c r="AX196" s="363"/>
      <c r="AY196" s="364"/>
      <c r="AZ196" s="365"/>
      <c r="BA196" s="366"/>
    </row>
    <row r="197" spans="1:53">
      <c r="A197" s="2" t="str">
        <f t="shared" ref="A197:A260" si="29">C197&amp;"_"&amp;D197</f>
        <v>Bus - SB Rebates_Pipe Insulation - Steam X-Large Valve</v>
      </c>
      <c r="B197" s="18">
        <v>194</v>
      </c>
      <c r="C197" s="23" t="s">
        <v>712</v>
      </c>
      <c r="D197" s="18" t="s">
        <v>202</v>
      </c>
      <c r="E197" s="23" t="s">
        <v>150</v>
      </c>
      <c r="F197" s="23">
        <v>1</v>
      </c>
      <c r="G197" s="154">
        <v>0.92</v>
      </c>
      <c r="H197" s="469">
        <v>15</v>
      </c>
      <c r="I197" s="458">
        <v>15</v>
      </c>
      <c r="J197" s="23">
        <v>0</v>
      </c>
      <c r="K197" s="23">
        <f t="shared" si="27"/>
        <v>0</v>
      </c>
      <c r="L197" s="23">
        <f t="shared" si="27"/>
        <v>0</v>
      </c>
      <c r="M197" s="23">
        <f t="shared" si="27"/>
        <v>0</v>
      </c>
      <c r="N197" s="216">
        <f>'Pipe Insulation Detail'!$B$61</f>
        <v>175.06254164158375</v>
      </c>
      <c r="O197" s="215">
        <f t="shared" si="28"/>
        <v>175.06254164158375</v>
      </c>
      <c r="P197" s="215">
        <f t="shared" si="28"/>
        <v>175.06254164158375</v>
      </c>
      <c r="Q197" s="215">
        <f t="shared" si="28"/>
        <v>175.06254164158375</v>
      </c>
      <c r="R197" s="15" t="s">
        <v>838</v>
      </c>
      <c r="S197" s="15" t="s">
        <v>841</v>
      </c>
      <c r="T197" s="15" t="s">
        <v>201</v>
      </c>
      <c r="U197" s="15" t="s">
        <v>200</v>
      </c>
      <c r="V197" s="435" t="s">
        <v>853</v>
      </c>
      <c r="W197" s="166"/>
      <c r="X197" s="166"/>
      <c r="Y197" s="166"/>
      <c r="Z197" s="166"/>
      <c r="AA197" s="158"/>
      <c r="AB197" s="166"/>
      <c r="AC197" s="158"/>
      <c r="AD197" s="166"/>
      <c r="AE197" s="158"/>
      <c r="AF197" s="166"/>
      <c r="AG197" s="166"/>
      <c r="AH197" s="166"/>
      <c r="AI197" s="166"/>
      <c r="AJ197" s="166"/>
      <c r="AK197" s="166"/>
      <c r="AL197" s="166"/>
      <c r="AM197" s="166"/>
      <c r="AN197" s="166"/>
      <c r="AO197" s="166"/>
      <c r="AP197" s="166"/>
      <c r="AQ197" s="166"/>
      <c r="AR197" s="166"/>
      <c r="AS197" s="166"/>
      <c r="AT197" s="166"/>
      <c r="AU197" s="363"/>
      <c r="AV197" s="363"/>
      <c r="AW197" s="363"/>
      <c r="AX197" s="363"/>
      <c r="AY197" s="364"/>
      <c r="AZ197" s="365"/>
      <c r="BA197" s="366"/>
    </row>
    <row r="198" spans="1:53">
      <c r="A198" s="2" t="str">
        <f t="shared" si="29"/>
        <v>Bus - SB Rebates_Pre Rinse Sprayer</v>
      </c>
      <c r="B198" s="18">
        <v>195</v>
      </c>
      <c r="C198" s="23" t="s">
        <v>712</v>
      </c>
      <c r="D198" s="18" t="s">
        <v>710</v>
      </c>
      <c r="E198" s="23" t="s">
        <v>150</v>
      </c>
      <c r="F198" s="23">
        <v>1</v>
      </c>
      <c r="G198" s="154">
        <v>0.92</v>
      </c>
      <c r="H198" s="469">
        <v>5</v>
      </c>
      <c r="I198" s="458">
        <v>5</v>
      </c>
      <c r="J198" s="23">
        <v>5</v>
      </c>
      <c r="K198" s="23">
        <f t="shared" si="27"/>
        <v>5</v>
      </c>
      <c r="L198" s="23">
        <f t="shared" si="27"/>
        <v>5</v>
      </c>
      <c r="M198" s="23">
        <f t="shared" si="27"/>
        <v>5</v>
      </c>
      <c r="N198" s="215">
        <f>(X198-Z198)*60*AB198*AD198*8.33*1*(AF198-AH198)*(1/AJ198)/100000</f>
        <v>51.167025000000002</v>
      </c>
      <c r="O198" s="215">
        <f t="shared" si="28"/>
        <v>51.167025000000002</v>
      </c>
      <c r="P198" s="215">
        <f t="shared" si="28"/>
        <v>51.167025000000002</v>
      </c>
      <c r="Q198" s="215">
        <f t="shared" si="28"/>
        <v>51.167025000000002</v>
      </c>
      <c r="R198" s="15" t="s">
        <v>838</v>
      </c>
      <c r="S198" s="15" t="s">
        <v>841</v>
      </c>
      <c r="T198" s="15" t="s">
        <v>351</v>
      </c>
      <c r="U198" s="15" t="s">
        <v>350</v>
      </c>
      <c r="V198" s="157" t="s">
        <v>344</v>
      </c>
      <c r="W198" s="412" t="s">
        <v>349</v>
      </c>
      <c r="X198" s="485">
        <v>1.23</v>
      </c>
      <c r="Y198" s="412" t="s">
        <v>348</v>
      </c>
      <c r="Z198" s="486">
        <v>0.98</v>
      </c>
      <c r="AA198" s="412" t="s">
        <v>347</v>
      </c>
      <c r="AB198" s="440">
        <v>1.5</v>
      </c>
      <c r="AC198" s="412" t="s">
        <v>346</v>
      </c>
      <c r="AD198" s="412">
        <v>312</v>
      </c>
      <c r="AE198" s="412" t="s">
        <v>251</v>
      </c>
      <c r="AF198" s="441">
        <f>70+AH198</f>
        <v>124.1</v>
      </c>
      <c r="AG198" s="412" t="s">
        <v>250</v>
      </c>
      <c r="AH198" s="487">
        <v>54.1</v>
      </c>
      <c r="AI198" s="412" t="s">
        <v>345</v>
      </c>
      <c r="AJ198" s="414">
        <v>0.8</v>
      </c>
      <c r="AK198" s="166"/>
      <c r="AL198" s="166"/>
      <c r="AM198" s="166"/>
      <c r="AN198" s="166"/>
      <c r="AO198" s="166"/>
      <c r="AP198" s="166"/>
      <c r="AQ198" s="166"/>
      <c r="AR198" s="166"/>
      <c r="AS198" s="166"/>
      <c r="AT198" s="166"/>
      <c r="AU198" s="363"/>
      <c r="AV198" s="363"/>
      <c r="AW198" s="363"/>
      <c r="AX198" s="363"/>
      <c r="AY198" s="364"/>
      <c r="AZ198" s="365"/>
      <c r="BA198" s="366"/>
    </row>
    <row r="199" spans="1:53">
      <c r="A199" s="2" t="str">
        <f t="shared" si="29"/>
        <v>Bus - SB Rebates_Steam Boiler ≥82% AFUE, &gt;300MBh TE</v>
      </c>
      <c r="B199" s="18">
        <v>196</v>
      </c>
      <c r="C199" s="23" t="s">
        <v>712</v>
      </c>
      <c r="D199" s="18" t="s">
        <v>723</v>
      </c>
      <c r="E199" s="23" t="s">
        <v>240</v>
      </c>
      <c r="F199" s="23">
        <v>450</v>
      </c>
      <c r="G199" s="154">
        <v>0.92</v>
      </c>
      <c r="H199" s="469">
        <v>20</v>
      </c>
      <c r="I199" s="458">
        <v>20</v>
      </c>
      <c r="J199" s="23">
        <v>0</v>
      </c>
      <c r="K199" s="23">
        <f t="shared" si="27"/>
        <v>0</v>
      </c>
      <c r="L199" s="23">
        <f t="shared" si="27"/>
        <v>0</v>
      </c>
      <c r="M199" s="23">
        <f t="shared" si="27"/>
        <v>0</v>
      </c>
      <c r="N199" s="216">
        <f>X199*Z199*((AB199-AD199)/AD199)/100000/F199</f>
        <v>0.61860759493670714</v>
      </c>
      <c r="O199" s="215">
        <f t="shared" si="28"/>
        <v>0.61860759493670714</v>
      </c>
      <c r="P199" s="215">
        <f t="shared" si="28"/>
        <v>0.61860759493670714</v>
      </c>
      <c r="Q199" s="215">
        <f t="shared" si="28"/>
        <v>0.61860759493670714</v>
      </c>
      <c r="R199" s="15" t="s">
        <v>839</v>
      </c>
      <c r="S199" s="15" t="s">
        <v>841</v>
      </c>
      <c r="T199" s="15" t="s">
        <v>343</v>
      </c>
      <c r="U199" s="15" t="s">
        <v>342</v>
      </c>
      <c r="V199" s="166" t="s">
        <v>340</v>
      </c>
      <c r="W199" s="492" t="s">
        <v>1433</v>
      </c>
      <c r="X199" s="491">
        <v>1629</v>
      </c>
      <c r="Y199" s="158" t="s">
        <v>273</v>
      </c>
      <c r="Z199" s="420">
        <v>450000</v>
      </c>
      <c r="AA199" s="158" t="s">
        <v>341</v>
      </c>
      <c r="AB199" s="430">
        <v>0.82</v>
      </c>
      <c r="AC199" s="166" t="s">
        <v>248</v>
      </c>
      <c r="AD199" s="419">
        <v>0.79</v>
      </c>
      <c r="AE199" s="166"/>
      <c r="AF199" s="166"/>
      <c r="AG199" s="166"/>
      <c r="AH199" s="166"/>
      <c r="AI199" s="436"/>
      <c r="AJ199" s="437"/>
      <c r="AK199" s="436"/>
      <c r="AL199" s="419"/>
      <c r="AM199" s="166"/>
      <c r="AN199" s="166"/>
      <c r="AO199" s="166"/>
      <c r="AP199" s="166"/>
      <c r="AQ199" s="166"/>
      <c r="AR199" s="166"/>
      <c r="AS199" s="166"/>
      <c r="AT199" s="166"/>
      <c r="AU199" s="363"/>
      <c r="AV199" s="363"/>
      <c r="AW199" s="363"/>
      <c r="AX199" s="363"/>
      <c r="AY199" s="364"/>
      <c r="AZ199" s="365"/>
      <c r="BA199" s="366"/>
    </row>
    <row r="200" spans="1:53">
      <c r="A200" s="2" t="str">
        <f t="shared" si="29"/>
        <v>Bus - SB Rebates_Steam Traps - Dry Cleaner/Industrial</v>
      </c>
      <c r="B200" s="18">
        <v>197</v>
      </c>
      <c r="C200" s="23" t="s">
        <v>712</v>
      </c>
      <c r="D200" s="18" t="s">
        <v>269</v>
      </c>
      <c r="E200" s="23" t="s">
        <v>150</v>
      </c>
      <c r="F200" s="23">
        <v>1</v>
      </c>
      <c r="G200" s="154">
        <v>0.92</v>
      </c>
      <c r="H200" s="469">
        <v>6</v>
      </c>
      <c r="I200" s="458">
        <v>6</v>
      </c>
      <c r="J200" s="23">
        <v>0</v>
      </c>
      <c r="K200" s="23">
        <f t="shared" si="27"/>
        <v>0</v>
      </c>
      <c r="L200" s="23">
        <f t="shared" si="27"/>
        <v>0</v>
      </c>
      <c r="M200" s="23">
        <f t="shared" si="27"/>
        <v>0</v>
      </c>
      <c r="N200" s="216">
        <f>X200*(Z200/AB200)*AD200*AF200/100000</f>
        <v>137.91939591078068</v>
      </c>
      <c r="O200" s="215">
        <f t="shared" si="28"/>
        <v>137.91939591078068</v>
      </c>
      <c r="P200" s="215">
        <f t="shared" si="28"/>
        <v>137.91939591078068</v>
      </c>
      <c r="Q200" s="215">
        <f t="shared" si="28"/>
        <v>137.91939591078068</v>
      </c>
      <c r="R200" s="15" t="s">
        <v>839</v>
      </c>
      <c r="S200" s="15" t="s">
        <v>841</v>
      </c>
      <c r="T200" s="15" t="s">
        <v>266</v>
      </c>
      <c r="U200" s="15" t="s">
        <v>265</v>
      </c>
      <c r="V200" s="166" t="s">
        <v>259</v>
      </c>
      <c r="W200" s="166" t="s">
        <v>264</v>
      </c>
      <c r="X200" s="166">
        <v>19.100000000000001</v>
      </c>
      <c r="Y200" s="166" t="s">
        <v>263</v>
      </c>
      <c r="Z200" s="166">
        <v>890</v>
      </c>
      <c r="AA200" s="158" t="s">
        <v>262</v>
      </c>
      <c r="AB200" s="421">
        <v>0.80700000000000005</v>
      </c>
      <c r="AC200" s="158" t="s">
        <v>153</v>
      </c>
      <c r="AD200" s="166">
        <v>2425</v>
      </c>
      <c r="AE200" s="166" t="s">
        <v>260</v>
      </c>
      <c r="AF200" s="419">
        <v>0.27</v>
      </c>
      <c r="AG200" s="166"/>
      <c r="AH200" s="166"/>
      <c r="AI200" s="166"/>
      <c r="AJ200" s="166"/>
      <c r="AK200" s="166"/>
      <c r="AL200" s="166"/>
      <c r="AM200" s="166"/>
      <c r="AN200" s="166"/>
      <c r="AO200" s="166"/>
      <c r="AP200" s="166"/>
      <c r="AQ200" s="166"/>
      <c r="AR200" s="166"/>
      <c r="AS200" s="166"/>
      <c r="AT200" s="166"/>
      <c r="AU200" s="363"/>
      <c r="AV200" s="363"/>
      <c r="AW200" s="363"/>
      <c r="AX200" s="363"/>
      <c r="AY200" s="364"/>
      <c r="AZ200" s="365"/>
      <c r="BA200" s="366"/>
    </row>
    <row r="201" spans="1:53">
      <c r="A201" s="2" t="str">
        <f t="shared" si="29"/>
        <v>Bus - SB Rebates_Steam Traps - HVAC Repair/Rep - Audit</v>
      </c>
      <c r="B201" s="18">
        <v>198</v>
      </c>
      <c r="C201" s="23" t="s">
        <v>712</v>
      </c>
      <c r="D201" s="18" t="s">
        <v>268</v>
      </c>
      <c r="E201" s="23" t="s">
        <v>150</v>
      </c>
      <c r="F201" s="23">
        <v>1</v>
      </c>
      <c r="G201" s="154">
        <v>0.92</v>
      </c>
      <c r="H201" s="469">
        <v>6</v>
      </c>
      <c r="I201" s="458">
        <v>6</v>
      </c>
      <c r="J201" s="23">
        <v>7</v>
      </c>
      <c r="K201" s="23">
        <f t="shared" si="27"/>
        <v>7</v>
      </c>
      <c r="L201" s="23">
        <f t="shared" si="27"/>
        <v>7</v>
      </c>
      <c r="M201" s="23">
        <f t="shared" si="27"/>
        <v>7</v>
      </c>
      <c r="N201" s="216">
        <f>X201*(Z201/AB201)*AD201*AF201/100000</f>
        <v>88.453924126394057</v>
      </c>
      <c r="O201" s="215">
        <f t="shared" si="28"/>
        <v>88.453924126394057</v>
      </c>
      <c r="P201" s="215">
        <f t="shared" si="28"/>
        <v>88.453924126394057</v>
      </c>
      <c r="Q201" s="215">
        <f t="shared" si="28"/>
        <v>88.453924126394057</v>
      </c>
      <c r="R201" s="15" t="s">
        <v>839</v>
      </c>
      <c r="S201" s="15" t="s">
        <v>841</v>
      </c>
      <c r="T201" s="15" t="s">
        <v>266</v>
      </c>
      <c r="U201" s="15" t="s">
        <v>265</v>
      </c>
      <c r="V201" s="166" t="s">
        <v>259</v>
      </c>
      <c r="W201" s="166" t="s">
        <v>264</v>
      </c>
      <c r="X201" s="166">
        <v>6.9</v>
      </c>
      <c r="Y201" s="166" t="s">
        <v>263</v>
      </c>
      <c r="Z201" s="166">
        <v>951</v>
      </c>
      <c r="AA201" s="158" t="s">
        <v>262</v>
      </c>
      <c r="AB201" s="421">
        <v>0.80700000000000005</v>
      </c>
      <c r="AC201" s="158" t="s">
        <v>261</v>
      </c>
      <c r="AD201" s="166">
        <v>4029</v>
      </c>
      <c r="AE201" s="166" t="s">
        <v>260</v>
      </c>
      <c r="AF201" s="419">
        <v>0.27</v>
      </c>
      <c r="AG201" s="166"/>
      <c r="AH201" s="166"/>
      <c r="AI201" s="166"/>
      <c r="AJ201" s="166"/>
      <c r="AK201" s="166"/>
      <c r="AL201" s="166"/>
      <c r="AM201" s="166"/>
      <c r="AN201" s="166"/>
      <c r="AO201" s="166"/>
      <c r="AP201" s="166"/>
      <c r="AQ201" s="166"/>
      <c r="AR201" s="166"/>
      <c r="AS201" s="166"/>
      <c r="AT201" s="166"/>
      <c r="AU201" s="363"/>
      <c r="AV201" s="363"/>
      <c r="AW201" s="363"/>
      <c r="AX201" s="363"/>
      <c r="AY201" s="364"/>
      <c r="AZ201" s="365"/>
      <c r="BA201" s="366"/>
    </row>
    <row r="202" spans="1:53">
      <c r="A202" s="2" t="str">
        <f t="shared" si="29"/>
        <v>Bus - SB Rebates_Steam Traps - HVAC Repair/Rep - No Audit</v>
      </c>
      <c r="B202" s="18">
        <v>199</v>
      </c>
      <c r="C202" s="23" t="s">
        <v>712</v>
      </c>
      <c r="D202" s="18" t="s">
        <v>267</v>
      </c>
      <c r="E202" s="23" t="s">
        <v>150</v>
      </c>
      <c r="F202" s="23">
        <v>1</v>
      </c>
      <c r="G202" s="154">
        <v>0.92</v>
      </c>
      <c r="H202" s="469">
        <v>6</v>
      </c>
      <c r="I202" s="458">
        <v>6</v>
      </c>
      <c r="J202" s="23">
        <v>2</v>
      </c>
      <c r="K202" s="23">
        <f t="shared" si="27"/>
        <v>2</v>
      </c>
      <c r="L202" s="23">
        <f t="shared" si="27"/>
        <v>2</v>
      </c>
      <c r="M202" s="23">
        <f t="shared" si="27"/>
        <v>2</v>
      </c>
      <c r="N202" s="216">
        <f>X202*(Z202/AB202)*AD202*AF202/100000</f>
        <v>88.453924126394057</v>
      </c>
      <c r="O202" s="215">
        <f t="shared" si="28"/>
        <v>88.453924126394057</v>
      </c>
      <c r="P202" s="215">
        <f t="shared" si="28"/>
        <v>88.453924126394057</v>
      </c>
      <c r="Q202" s="215">
        <f t="shared" si="28"/>
        <v>88.453924126394057</v>
      </c>
      <c r="R202" s="15" t="s">
        <v>839</v>
      </c>
      <c r="S202" s="15" t="s">
        <v>841</v>
      </c>
      <c r="T202" s="15" t="s">
        <v>266</v>
      </c>
      <c r="U202" s="15" t="s">
        <v>265</v>
      </c>
      <c r="V202" s="166" t="s">
        <v>259</v>
      </c>
      <c r="W202" s="166" t="s">
        <v>264</v>
      </c>
      <c r="X202" s="166">
        <v>6.9</v>
      </c>
      <c r="Y202" s="166" t="s">
        <v>263</v>
      </c>
      <c r="Z202" s="166">
        <v>951</v>
      </c>
      <c r="AA202" s="158" t="s">
        <v>262</v>
      </c>
      <c r="AB202" s="421">
        <v>0.80700000000000005</v>
      </c>
      <c r="AC202" s="158" t="s">
        <v>261</v>
      </c>
      <c r="AD202" s="166">
        <v>4029</v>
      </c>
      <c r="AE202" s="166" t="s">
        <v>260</v>
      </c>
      <c r="AF202" s="419">
        <v>0.27</v>
      </c>
      <c r="AG202" s="166"/>
      <c r="AH202" s="166"/>
      <c r="AI202" s="166"/>
      <c r="AJ202" s="421"/>
      <c r="AK202" s="166"/>
      <c r="AL202" s="166"/>
      <c r="AM202" s="166"/>
      <c r="AN202" s="166"/>
      <c r="AO202" s="166"/>
      <c r="AP202" s="166"/>
      <c r="AQ202" s="166"/>
      <c r="AR202" s="166"/>
      <c r="AS202" s="166"/>
      <c r="AT202" s="166"/>
      <c r="AU202" s="363"/>
      <c r="AV202" s="363"/>
      <c r="AW202" s="363"/>
      <c r="AX202" s="363"/>
      <c r="AY202" s="364"/>
      <c r="AZ202" s="365"/>
      <c r="BA202" s="366"/>
    </row>
    <row r="203" spans="1:53">
      <c r="A203" s="2" t="str">
        <f t="shared" si="29"/>
        <v>Bus - SB Rebates_Steam Traps - Test</v>
      </c>
      <c r="B203" s="18">
        <v>200</v>
      </c>
      <c r="C203" s="23" t="s">
        <v>712</v>
      </c>
      <c r="D203" s="18" t="s">
        <v>258</v>
      </c>
      <c r="E203" s="23" t="s">
        <v>150</v>
      </c>
      <c r="F203" s="23">
        <v>1</v>
      </c>
      <c r="G203" s="154">
        <v>0.92</v>
      </c>
      <c r="H203" s="469">
        <v>3</v>
      </c>
      <c r="I203" s="458">
        <v>3</v>
      </c>
      <c r="J203" s="23">
        <v>3</v>
      </c>
      <c r="K203" s="23">
        <f t="shared" si="27"/>
        <v>3</v>
      </c>
      <c r="L203" s="23">
        <f t="shared" si="27"/>
        <v>3</v>
      </c>
      <c r="M203" s="23">
        <f t="shared" si="27"/>
        <v>3</v>
      </c>
      <c r="N203" s="216">
        <v>0</v>
      </c>
      <c r="O203" s="215">
        <f t="shared" si="28"/>
        <v>0</v>
      </c>
      <c r="P203" s="215">
        <f t="shared" si="28"/>
        <v>0</v>
      </c>
      <c r="Q203" s="215">
        <f t="shared" si="28"/>
        <v>0</v>
      </c>
      <c r="R203" s="15" t="s">
        <v>140</v>
      </c>
      <c r="S203" s="15" t="s">
        <v>140</v>
      </c>
      <c r="T203" s="15" t="s">
        <v>140</v>
      </c>
      <c r="U203" s="15" t="s">
        <v>140</v>
      </c>
      <c r="V203" s="412" t="s">
        <v>140</v>
      </c>
      <c r="W203" s="166"/>
      <c r="X203" s="166"/>
      <c r="Y203" s="166"/>
      <c r="Z203" s="166"/>
      <c r="AA203" s="158"/>
      <c r="AB203" s="419"/>
      <c r="AC203" s="158"/>
      <c r="AD203" s="166"/>
      <c r="AE203" s="158"/>
      <c r="AF203" s="419"/>
      <c r="AG203" s="166"/>
      <c r="AH203" s="419"/>
      <c r="AI203" s="166"/>
      <c r="AJ203" s="419"/>
      <c r="AK203" s="166"/>
      <c r="AL203" s="166"/>
      <c r="AM203" s="166"/>
      <c r="AN203" s="166"/>
      <c r="AO203" s="166"/>
      <c r="AP203" s="166"/>
      <c r="AQ203" s="166"/>
      <c r="AR203" s="166"/>
      <c r="AS203" s="166"/>
      <c r="AT203" s="166"/>
      <c r="AU203" s="363"/>
      <c r="AV203" s="363"/>
      <c r="AW203" s="363"/>
      <c r="AX203" s="363"/>
      <c r="AY203" s="364"/>
      <c r="AZ203" s="365"/>
      <c r="BA203" s="366"/>
    </row>
    <row r="204" spans="1:53">
      <c r="A204" s="2" t="str">
        <f t="shared" si="29"/>
        <v>Bus - SB Rebates_Thermostat - Programmable</v>
      </c>
      <c r="B204" s="18">
        <v>201</v>
      </c>
      <c r="C204" s="23" t="s">
        <v>712</v>
      </c>
      <c r="D204" s="18" t="s">
        <v>226</v>
      </c>
      <c r="E204" s="23" t="s">
        <v>150</v>
      </c>
      <c r="F204" s="23">
        <v>1</v>
      </c>
      <c r="G204" s="154">
        <v>0.92</v>
      </c>
      <c r="H204" s="469">
        <v>4</v>
      </c>
      <c r="I204" s="458">
        <v>4</v>
      </c>
      <c r="J204" s="23">
        <v>5</v>
      </c>
      <c r="K204" s="23">
        <f t="shared" si="27"/>
        <v>5</v>
      </c>
      <c r="L204" s="23">
        <f t="shared" si="27"/>
        <v>5</v>
      </c>
      <c r="M204" s="23">
        <f t="shared" si="27"/>
        <v>5</v>
      </c>
      <c r="N204" s="361">
        <f>'Thermostat Detail'!$L$13</f>
        <v>124.68584320000001</v>
      </c>
      <c r="O204" s="215">
        <f t="shared" si="28"/>
        <v>124.68584320000001</v>
      </c>
      <c r="P204" s="215">
        <f t="shared" si="28"/>
        <v>124.68584320000001</v>
      </c>
      <c r="Q204" s="215">
        <f t="shared" si="28"/>
        <v>124.68584320000001</v>
      </c>
      <c r="R204" s="15" t="s">
        <v>840</v>
      </c>
      <c r="S204" s="15" t="s">
        <v>841</v>
      </c>
      <c r="T204" s="15" t="s">
        <v>225</v>
      </c>
      <c r="U204" s="15" t="s">
        <v>224</v>
      </c>
      <c r="V204" s="435" t="s">
        <v>834</v>
      </c>
      <c r="W204" s="166"/>
      <c r="X204" s="166"/>
      <c r="Y204" s="166"/>
      <c r="Z204" s="166"/>
      <c r="AA204" s="158"/>
      <c r="AB204" s="419"/>
      <c r="AC204" s="158"/>
      <c r="AD204" s="166"/>
      <c r="AE204" s="158"/>
      <c r="AF204" s="419"/>
      <c r="AG204" s="166"/>
      <c r="AH204" s="419"/>
      <c r="AI204" s="166"/>
      <c r="AJ204" s="419"/>
      <c r="AK204" s="166"/>
      <c r="AL204" s="166"/>
      <c r="AM204" s="166"/>
      <c r="AN204" s="166"/>
      <c r="AO204" s="166"/>
      <c r="AP204" s="166"/>
      <c r="AQ204" s="166"/>
      <c r="AR204" s="166"/>
      <c r="AS204" s="166"/>
      <c r="AT204" s="166"/>
      <c r="AU204" s="363"/>
      <c r="AV204" s="363"/>
      <c r="AW204" s="363"/>
      <c r="AX204" s="363"/>
      <c r="AY204" s="364"/>
      <c r="AZ204" s="365"/>
      <c r="BA204" s="366"/>
    </row>
    <row r="205" spans="1:53">
      <c r="A205" s="2" t="str">
        <f t="shared" si="29"/>
        <v>Bus - SB Rebates_Water Heater - Storage 88% TE ≥75MBh</v>
      </c>
      <c r="B205" s="18">
        <v>202</v>
      </c>
      <c r="C205" s="23" t="s">
        <v>712</v>
      </c>
      <c r="D205" s="18" t="s">
        <v>254</v>
      </c>
      <c r="E205" s="23" t="s">
        <v>150</v>
      </c>
      <c r="F205" s="23">
        <v>1</v>
      </c>
      <c r="G205" s="154">
        <v>0.92</v>
      </c>
      <c r="H205" s="469">
        <v>15</v>
      </c>
      <c r="I205" s="458">
        <v>15</v>
      </c>
      <c r="J205" s="23">
        <v>0</v>
      </c>
      <c r="K205" s="23">
        <v>0</v>
      </c>
      <c r="L205" s="23">
        <v>0</v>
      </c>
      <c r="M205" s="23">
        <v>0</v>
      </c>
      <c r="N205" s="216">
        <f>(X205-Z205)*AB205*8.33*(1/AD205-1/AF205)/100000+((AJ205-AL205)*8766/100000)</f>
        <v>1514.573584976577</v>
      </c>
      <c r="O205" s="215">
        <f t="shared" ref="O205:Q207" si="30">N205</f>
        <v>1514.573584976577</v>
      </c>
      <c r="P205" s="215">
        <f t="shared" si="30"/>
        <v>1514.573584976577</v>
      </c>
      <c r="Q205" s="215">
        <f t="shared" si="30"/>
        <v>1514.573584976577</v>
      </c>
      <c r="R205" s="15" t="s">
        <v>839</v>
      </c>
      <c r="S205" s="15" t="s">
        <v>841</v>
      </c>
      <c r="T205" s="15" t="s">
        <v>253</v>
      </c>
      <c r="U205" s="15" t="s">
        <v>252</v>
      </c>
      <c r="V205" s="166" t="s">
        <v>243</v>
      </c>
      <c r="W205" s="166" t="s">
        <v>251</v>
      </c>
      <c r="X205" s="166">
        <v>125</v>
      </c>
      <c r="Y205" s="166" t="s">
        <v>250</v>
      </c>
      <c r="Z205" s="166">
        <v>54</v>
      </c>
      <c r="AA205" s="158" t="s">
        <v>249</v>
      </c>
      <c r="AB205" s="420">
        <f>511*AH205</f>
        <v>127750</v>
      </c>
      <c r="AC205" s="417" t="s">
        <v>248</v>
      </c>
      <c r="AD205" s="426">
        <f xml:space="preserve"> 0.6002 - (0.0011 * AH205)</f>
        <v>0.32519999999999993</v>
      </c>
      <c r="AE205" s="416" t="s">
        <v>247</v>
      </c>
      <c r="AF205" s="166">
        <v>0.88</v>
      </c>
      <c r="AG205" s="166" t="s">
        <v>246</v>
      </c>
      <c r="AH205" s="166">
        <v>250</v>
      </c>
      <c r="AI205" s="166" t="s">
        <v>245</v>
      </c>
      <c r="AJ205" s="420">
        <f>200000/800+110*SQRT(150)</f>
        <v>1597.219358530748</v>
      </c>
      <c r="AK205" s="166" t="s">
        <v>244</v>
      </c>
      <c r="AL205" s="166">
        <v>1029</v>
      </c>
      <c r="AM205" s="166"/>
      <c r="AN205" s="166"/>
      <c r="AO205" s="166"/>
      <c r="AP205" s="166"/>
      <c r="AQ205" s="166"/>
      <c r="AR205" s="166"/>
      <c r="AS205" s="166"/>
      <c r="AT205" s="166"/>
      <c r="AU205" s="363"/>
      <c r="AV205" s="363"/>
      <c r="AW205" s="363"/>
      <c r="AX205" s="363"/>
      <c r="AY205" s="364"/>
      <c r="AZ205" s="365"/>
      <c r="BA205" s="366"/>
    </row>
    <row r="206" spans="1:53">
      <c r="A206" s="2" t="str">
        <f t="shared" si="29"/>
        <v>Bus - SB Rebates_Water Heater 88% TE - Laundromat</v>
      </c>
      <c r="B206" s="18">
        <v>203</v>
      </c>
      <c r="C206" s="23" t="s">
        <v>712</v>
      </c>
      <c r="D206" s="18" t="s">
        <v>242</v>
      </c>
      <c r="E206" s="23" t="s">
        <v>240</v>
      </c>
      <c r="F206" s="23">
        <v>75</v>
      </c>
      <c r="G206" s="154">
        <v>0.92</v>
      </c>
      <c r="H206" s="469">
        <v>15</v>
      </c>
      <c r="I206" s="458">
        <v>15</v>
      </c>
      <c r="J206" s="23">
        <v>0</v>
      </c>
      <c r="K206" s="23">
        <v>0</v>
      </c>
      <c r="L206" s="23">
        <v>0</v>
      </c>
      <c r="M206" s="23">
        <v>0</v>
      </c>
      <c r="N206" s="216">
        <f>'Laundromat Boiler Detail'!B23</f>
        <v>1.0567132867132856</v>
      </c>
      <c r="O206" s="215">
        <f t="shared" si="30"/>
        <v>1.0567132867132856</v>
      </c>
      <c r="P206" s="215">
        <f t="shared" si="30"/>
        <v>1.0567132867132856</v>
      </c>
      <c r="Q206" s="215">
        <f t="shared" si="30"/>
        <v>1.0567132867132856</v>
      </c>
      <c r="R206" s="15" t="s">
        <v>837</v>
      </c>
      <c r="S206" s="15" t="s">
        <v>140</v>
      </c>
      <c r="T206" s="15" t="s">
        <v>140</v>
      </c>
      <c r="U206" s="15" t="s">
        <v>140</v>
      </c>
      <c r="V206" s="432" t="s">
        <v>854</v>
      </c>
      <c r="W206" s="166"/>
      <c r="X206" s="166"/>
      <c r="Y206" s="166"/>
      <c r="Z206" s="166"/>
      <c r="AA206" s="158"/>
      <c r="AB206" s="166"/>
      <c r="AC206" s="158"/>
      <c r="AD206" s="166"/>
      <c r="AE206" s="158"/>
      <c r="AF206" s="166"/>
      <c r="AG206" s="166"/>
      <c r="AH206" s="166"/>
      <c r="AI206" s="166"/>
      <c r="AJ206" s="166"/>
      <c r="AK206" s="166"/>
      <c r="AL206" s="166"/>
      <c r="AM206" s="166"/>
      <c r="AN206" s="166"/>
      <c r="AO206" s="166"/>
      <c r="AP206" s="166"/>
      <c r="AQ206" s="166"/>
      <c r="AR206" s="166"/>
      <c r="AS206" s="166"/>
      <c r="AT206" s="166"/>
      <c r="AU206" s="363"/>
      <c r="AV206" s="363"/>
      <c r="AW206" s="363"/>
      <c r="AX206" s="363"/>
      <c r="AY206" s="364"/>
      <c r="AZ206" s="365"/>
      <c r="BA206" s="366"/>
    </row>
    <row r="207" spans="1:53">
      <c r="A207" s="2" t="str">
        <f t="shared" si="29"/>
        <v>Bus - SB Rebates_Water Heater 95% TE - Laundromat</v>
      </c>
      <c r="B207" s="18">
        <v>204</v>
      </c>
      <c r="C207" s="23" t="s">
        <v>712</v>
      </c>
      <c r="D207" s="18" t="s">
        <v>241</v>
      </c>
      <c r="E207" s="23" t="s">
        <v>240</v>
      </c>
      <c r="F207" s="23">
        <v>75</v>
      </c>
      <c r="G207" s="154">
        <v>0.92</v>
      </c>
      <c r="H207" s="469">
        <v>15</v>
      </c>
      <c r="I207" s="458">
        <v>15</v>
      </c>
      <c r="J207" s="23">
        <v>0</v>
      </c>
      <c r="K207" s="23">
        <v>0</v>
      </c>
      <c r="L207" s="23">
        <v>0</v>
      </c>
      <c r="M207" s="23">
        <v>0</v>
      </c>
      <c r="N207" s="216">
        <f>'Laundromat Boiler Detail'!C23</f>
        <v>1.8353441295546562</v>
      </c>
      <c r="O207" s="215">
        <f t="shared" si="30"/>
        <v>1.8353441295546562</v>
      </c>
      <c r="P207" s="215">
        <f t="shared" si="30"/>
        <v>1.8353441295546562</v>
      </c>
      <c r="Q207" s="215">
        <f t="shared" si="30"/>
        <v>1.8353441295546562</v>
      </c>
      <c r="R207" s="15" t="s">
        <v>837</v>
      </c>
      <c r="S207" s="15" t="s">
        <v>140</v>
      </c>
      <c r="T207" s="15" t="s">
        <v>140</v>
      </c>
      <c r="U207" s="15" t="s">
        <v>140</v>
      </c>
      <c r="V207" s="432" t="s">
        <v>854</v>
      </c>
      <c r="W207" s="166"/>
      <c r="X207" s="166"/>
      <c r="Y207" s="166"/>
      <c r="Z207" s="166"/>
      <c r="AA207" s="158"/>
      <c r="AB207" s="166"/>
      <c r="AC207" s="158"/>
      <c r="AD207" s="166"/>
      <c r="AE207" s="158"/>
      <c r="AF207" s="166"/>
      <c r="AG207" s="166"/>
      <c r="AH207" s="166"/>
      <c r="AI207" s="166"/>
      <c r="AJ207" s="166"/>
      <c r="AK207" s="166"/>
      <c r="AL207" s="166"/>
      <c r="AM207" s="166"/>
      <c r="AN207" s="166"/>
      <c r="AO207" s="166"/>
      <c r="AP207" s="166"/>
      <c r="AQ207" s="166"/>
      <c r="AR207" s="166"/>
      <c r="AS207" s="166"/>
      <c r="AT207" s="166"/>
      <c r="AU207" s="363"/>
      <c r="AV207" s="363"/>
      <c r="AW207" s="363"/>
      <c r="AX207" s="363"/>
      <c r="AY207" s="364"/>
      <c r="AZ207" s="365"/>
      <c r="BA207" s="366"/>
    </row>
    <row r="208" spans="1:53" ht="14.25" customHeight="1">
      <c r="A208" s="2" t="str">
        <f t="shared" si="29"/>
        <v>Bus - SB Rebates -PTA_Boiler ≥88% AFUE, &lt;300MBh (SB)</v>
      </c>
      <c r="B208" s="18">
        <v>205</v>
      </c>
      <c r="C208" s="23" t="s">
        <v>792</v>
      </c>
      <c r="D208" s="18" t="s">
        <v>786</v>
      </c>
      <c r="E208" s="23" t="s">
        <v>240</v>
      </c>
      <c r="F208" s="23">
        <v>150</v>
      </c>
      <c r="G208" s="154">
        <v>0.92</v>
      </c>
      <c r="H208" s="469">
        <v>20</v>
      </c>
      <c r="I208" s="458">
        <v>20</v>
      </c>
      <c r="J208" s="23"/>
      <c r="K208" s="23">
        <f t="shared" ref="K208:M227" si="31">J208</f>
        <v>0</v>
      </c>
      <c r="L208" s="23">
        <f t="shared" si="31"/>
        <v>0</v>
      </c>
      <c r="M208" s="23">
        <f t="shared" si="31"/>
        <v>0</v>
      </c>
      <c r="N208" s="216">
        <f t="shared" ref="N208:Q215" si="32">N157</f>
        <v>1.1919512195121962</v>
      </c>
      <c r="O208" s="216">
        <f t="shared" si="32"/>
        <v>1.1919512195121962</v>
      </c>
      <c r="P208" s="216">
        <f t="shared" si="32"/>
        <v>1.1919512195121962</v>
      </c>
      <c r="Q208" s="216">
        <f t="shared" si="32"/>
        <v>1.1919512195121962</v>
      </c>
      <c r="R208" s="15" t="s">
        <v>839</v>
      </c>
      <c r="S208" s="401" t="s">
        <v>841</v>
      </c>
      <c r="T208" s="401" t="str">
        <f>T157</f>
        <v>4.4.10</v>
      </c>
      <c r="U208" s="401" t="str">
        <f>U157</f>
        <v>CI-HVC-BOIL-V05-150601</v>
      </c>
      <c r="V208" s="432" t="str">
        <f>V157</f>
        <v>ΔTherms = EFLH * Capacity * ((Eff_actual - Eff_base)/Eff_base)) / 100,000</v>
      </c>
      <c r="W208" s="166"/>
      <c r="X208" s="166"/>
      <c r="Y208" s="166"/>
      <c r="Z208" s="166"/>
      <c r="AA208" s="158"/>
      <c r="AB208" s="166"/>
      <c r="AC208" s="158"/>
      <c r="AD208" s="166"/>
      <c r="AE208" s="158"/>
      <c r="AF208" s="166"/>
      <c r="AG208" s="166"/>
      <c r="AH208" s="166"/>
      <c r="AI208" s="166"/>
      <c r="AJ208" s="166"/>
      <c r="AK208" s="166"/>
      <c r="AL208" s="166"/>
      <c r="AM208" s="166"/>
      <c r="AN208" s="166"/>
      <c r="AO208" s="166"/>
      <c r="AP208" s="166"/>
      <c r="AQ208" s="166"/>
      <c r="AR208" s="166"/>
      <c r="AS208" s="166"/>
      <c r="AT208" s="166"/>
      <c r="AU208" s="363"/>
      <c r="AV208" s="363"/>
      <c r="AW208" s="363"/>
      <c r="AX208" s="363"/>
      <c r="AY208" s="364"/>
      <c r="AZ208" s="365"/>
      <c r="BA208" s="366"/>
    </row>
    <row r="209" spans="1:53" ht="14.25" customHeight="1">
      <c r="A209" s="2" t="str">
        <f t="shared" si="29"/>
        <v>Bus - SB Rebates -PTA_Boiler ≥88% AFUE, ≥300MBh TE (SB)</v>
      </c>
      <c r="B209" s="18">
        <v>206</v>
      </c>
      <c r="C209" s="23" t="s">
        <v>792</v>
      </c>
      <c r="D209" s="18" t="s">
        <v>787</v>
      </c>
      <c r="E209" s="23" t="s">
        <v>240</v>
      </c>
      <c r="F209" s="23">
        <v>350</v>
      </c>
      <c r="G209" s="154">
        <v>0.92</v>
      </c>
      <c r="H209" s="469">
        <v>20</v>
      </c>
      <c r="I209" s="458">
        <v>20</v>
      </c>
      <c r="J209" s="23">
        <v>2</v>
      </c>
      <c r="K209" s="23">
        <f t="shared" si="31"/>
        <v>2</v>
      </c>
      <c r="L209" s="23">
        <f t="shared" si="31"/>
        <v>2</v>
      </c>
      <c r="M209" s="23">
        <f t="shared" si="31"/>
        <v>2</v>
      </c>
      <c r="N209" s="216">
        <f t="shared" si="32"/>
        <v>1.6289999999999993</v>
      </c>
      <c r="O209" s="216">
        <f t="shared" si="32"/>
        <v>1.6289999999999993</v>
      </c>
      <c r="P209" s="216">
        <f t="shared" si="32"/>
        <v>1.6289999999999993</v>
      </c>
      <c r="Q209" s="216">
        <f t="shared" si="32"/>
        <v>1.6289999999999993</v>
      </c>
      <c r="R209" s="15" t="s">
        <v>839</v>
      </c>
      <c r="S209" s="401" t="s">
        <v>841</v>
      </c>
      <c r="T209" s="401" t="str">
        <f t="shared" ref="T209:U215" si="33">T158</f>
        <v>4.4.10</v>
      </c>
      <c r="U209" s="401" t="str">
        <f t="shared" si="33"/>
        <v>CI-HVC-BOIL-V05-150601</v>
      </c>
      <c r="V209" s="432" t="str">
        <f t="shared" ref="V209:AT209" si="34">V157</f>
        <v>ΔTherms = EFLH * Capacity * ((Eff_actual - Eff_base)/Eff_base)) / 100,000</v>
      </c>
      <c r="W209" s="432" t="str">
        <f t="shared" si="34"/>
        <v>EFHL_SBES</v>
      </c>
      <c r="X209" s="432">
        <f t="shared" si="34"/>
        <v>1629</v>
      </c>
      <c r="Y209" s="432" t="str">
        <f t="shared" si="34"/>
        <v>Capacity</v>
      </c>
      <c r="Z209" s="432">
        <f t="shared" si="34"/>
        <v>150000</v>
      </c>
      <c r="AA209" s="432" t="str">
        <f t="shared" si="34"/>
        <v>Eff_actual</v>
      </c>
      <c r="AB209" s="432">
        <f t="shared" si="34"/>
        <v>0.88</v>
      </c>
      <c r="AC209" s="432" t="str">
        <f t="shared" si="34"/>
        <v>Eff_base</v>
      </c>
      <c r="AD209" s="432">
        <f t="shared" si="34"/>
        <v>0.82</v>
      </c>
      <c r="AE209" s="432">
        <f t="shared" si="34"/>
        <v>0</v>
      </c>
      <c r="AF209" s="432">
        <f t="shared" si="34"/>
        <v>0</v>
      </c>
      <c r="AG209" s="432">
        <f t="shared" si="34"/>
        <v>0</v>
      </c>
      <c r="AH209" s="432">
        <f t="shared" si="34"/>
        <v>0</v>
      </c>
      <c r="AI209" s="432">
        <f t="shared" si="34"/>
        <v>0</v>
      </c>
      <c r="AJ209" s="432">
        <f t="shared" si="34"/>
        <v>0</v>
      </c>
      <c r="AK209" s="432">
        <f t="shared" si="34"/>
        <v>0</v>
      </c>
      <c r="AL209" s="432">
        <f t="shared" si="34"/>
        <v>0</v>
      </c>
      <c r="AM209" s="432">
        <f t="shared" si="34"/>
        <v>0</v>
      </c>
      <c r="AN209" s="432">
        <f t="shared" si="34"/>
        <v>0</v>
      </c>
      <c r="AO209" s="432">
        <f t="shared" si="34"/>
        <v>0</v>
      </c>
      <c r="AP209" s="432">
        <f t="shared" si="34"/>
        <v>0</v>
      </c>
      <c r="AQ209" s="432">
        <f t="shared" si="34"/>
        <v>0</v>
      </c>
      <c r="AR209" s="432">
        <f t="shared" si="34"/>
        <v>0</v>
      </c>
      <c r="AS209" s="432">
        <f t="shared" si="34"/>
        <v>0</v>
      </c>
      <c r="AT209" s="432">
        <f t="shared" si="34"/>
        <v>0</v>
      </c>
      <c r="AU209" s="363"/>
      <c r="AV209" s="363"/>
      <c r="AW209" s="363"/>
      <c r="AX209" s="363"/>
      <c r="AY209" s="364"/>
      <c r="AZ209" s="365"/>
      <c r="BA209" s="366"/>
    </row>
    <row r="210" spans="1:53" ht="14.25" customHeight="1">
      <c r="A210" s="2" t="str">
        <f t="shared" si="29"/>
        <v>Bus - SB Rebates -PTA_Boiler Reset Controls (SB)</v>
      </c>
      <c r="B210" s="18">
        <v>207</v>
      </c>
      <c r="C210" s="23" t="s">
        <v>792</v>
      </c>
      <c r="D210" s="18" t="s">
        <v>788</v>
      </c>
      <c r="E210" s="23" t="s">
        <v>240</v>
      </c>
      <c r="F210" s="23">
        <v>200</v>
      </c>
      <c r="G210" s="154">
        <v>0.92</v>
      </c>
      <c r="H210" s="469">
        <v>20</v>
      </c>
      <c r="I210" s="458">
        <v>20</v>
      </c>
      <c r="J210" s="23">
        <v>5</v>
      </c>
      <c r="K210" s="23">
        <f t="shared" si="31"/>
        <v>5</v>
      </c>
      <c r="L210" s="23">
        <f t="shared" si="31"/>
        <v>5</v>
      </c>
      <c r="M210" s="23">
        <f t="shared" si="31"/>
        <v>5</v>
      </c>
      <c r="N210" s="216">
        <f t="shared" si="32"/>
        <v>1.3031999999999999</v>
      </c>
      <c r="O210" s="216">
        <f t="shared" si="32"/>
        <v>1.3031999999999999</v>
      </c>
      <c r="P210" s="216">
        <f t="shared" si="32"/>
        <v>1.3031999999999999</v>
      </c>
      <c r="Q210" s="216">
        <f t="shared" si="32"/>
        <v>1.3031999999999999</v>
      </c>
      <c r="R210" s="15" t="s">
        <v>839</v>
      </c>
      <c r="S210" s="401" t="s">
        <v>841</v>
      </c>
      <c r="T210" s="401" t="str">
        <f t="shared" si="33"/>
        <v>4.4.4</v>
      </c>
      <c r="U210" s="401" t="str">
        <f t="shared" si="33"/>
        <v>CI-HVC-BLRC-V03-150601</v>
      </c>
      <c r="V210" s="432" t="str">
        <f t="shared" ref="V210:V215" si="35">V158</f>
        <v>ΔTherms = EFLH * Capacity * ((Eff_actual - Eff_base)/Eff_base)) / 100,000</v>
      </c>
      <c r="W210" s="166"/>
      <c r="X210" s="166"/>
      <c r="Y210" s="166"/>
      <c r="Z210" s="166"/>
      <c r="AA210" s="158"/>
      <c r="AB210" s="166"/>
      <c r="AC210" s="158"/>
      <c r="AD210" s="166"/>
      <c r="AE210" s="158"/>
      <c r="AF210" s="166"/>
      <c r="AG210" s="166"/>
      <c r="AH210" s="166"/>
      <c r="AI210" s="166"/>
      <c r="AJ210" s="166"/>
      <c r="AK210" s="166"/>
      <c r="AL210" s="166"/>
      <c r="AM210" s="166"/>
      <c r="AN210" s="166"/>
      <c r="AO210" s="166"/>
      <c r="AP210" s="166"/>
      <c r="AQ210" s="166"/>
      <c r="AR210" s="166"/>
      <c r="AS210" s="166"/>
      <c r="AT210" s="166"/>
      <c r="AU210" s="363"/>
      <c r="AV210" s="363"/>
      <c r="AW210" s="363"/>
      <c r="AX210" s="363"/>
      <c r="AY210" s="364"/>
      <c r="AZ210" s="365"/>
      <c r="BA210" s="366"/>
    </row>
    <row r="211" spans="1:53" ht="14.25" customHeight="1">
      <c r="A211" s="2" t="str">
        <f t="shared" si="29"/>
        <v>Bus - SB Rebates -PTA_Boiler Tune Up - Process</v>
      </c>
      <c r="B211" s="18">
        <v>208</v>
      </c>
      <c r="C211" s="23" t="s">
        <v>792</v>
      </c>
      <c r="D211" s="18" t="s">
        <v>335</v>
      </c>
      <c r="E211" s="23" t="s">
        <v>240</v>
      </c>
      <c r="F211" s="23">
        <v>200</v>
      </c>
      <c r="G211" s="154">
        <v>0.92</v>
      </c>
      <c r="H211" s="469">
        <v>3</v>
      </c>
      <c r="I211" s="458">
        <v>3</v>
      </c>
      <c r="J211" s="23"/>
      <c r="K211" s="23">
        <f t="shared" si="31"/>
        <v>0</v>
      </c>
      <c r="L211" s="23">
        <f t="shared" si="31"/>
        <v>0</v>
      </c>
      <c r="M211" s="23">
        <f t="shared" si="31"/>
        <v>0</v>
      </c>
      <c r="N211" s="216">
        <f t="shared" si="32"/>
        <v>0.83823507428978783</v>
      </c>
      <c r="O211" s="216">
        <f t="shared" si="32"/>
        <v>0.83823507428978783</v>
      </c>
      <c r="P211" s="216">
        <f t="shared" si="32"/>
        <v>0.83823507428978783</v>
      </c>
      <c r="Q211" s="216">
        <f t="shared" si="32"/>
        <v>0.83823507428978783</v>
      </c>
      <c r="R211" s="15" t="s">
        <v>839</v>
      </c>
      <c r="S211" s="401" t="s">
        <v>841</v>
      </c>
      <c r="T211" s="401" t="str">
        <f t="shared" si="33"/>
        <v>4.4.3</v>
      </c>
      <c r="U211" s="401" t="str">
        <f t="shared" si="33"/>
        <v>CI-HVC-PBTU-V05-160601</v>
      </c>
      <c r="V211" s="432" t="str">
        <f t="shared" si="35"/>
        <v>∆Therms = Boiler_Input_Capacity * Savings_Factor * EFLH / 100</v>
      </c>
      <c r="W211" s="166"/>
      <c r="X211" s="166"/>
      <c r="Y211" s="166"/>
      <c r="Z211" s="166"/>
      <c r="AA211" s="158"/>
      <c r="AB211" s="166"/>
      <c r="AC211" s="158"/>
      <c r="AD211" s="166"/>
      <c r="AE211" s="158"/>
      <c r="AF211" s="166"/>
      <c r="AG211" s="166"/>
      <c r="AH211" s="166"/>
      <c r="AI211" s="166"/>
      <c r="AJ211" s="166"/>
      <c r="AK211" s="166"/>
      <c r="AL211" s="166"/>
      <c r="AM211" s="166"/>
      <c r="AN211" s="166"/>
      <c r="AO211" s="166"/>
      <c r="AP211" s="166"/>
      <c r="AQ211" s="166"/>
      <c r="AR211" s="166"/>
      <c r="AS211" s="166"/>
      <c r="AT211" s="166"/>
      <c r="AU211" s="363"/>
      <c r="AV211" s="363"/>
      <c r="AW211" s="363"/>
      <c r="AX211" s="363"/>
      <c r="AY211" s="364"/>
      <c r="AZ211" s="365"/>
      <c r="BA211" s="366"/>
    </row>
    <row r="212" spans="1:53" ht="14.25" customHeight="1">
      <c r="A212" s="2" t="str">
        <f t="shared" si="29"/>
        <v>Bus - SB Rebates -PTA_Boiler Tune Up - Space Heating (SB)</v>
      </c>
      <c r="B212" s="18">
        <v>209</v>
      </c>
      <c r="C212" s="23" t="s">
        <v>792</v>
      </c>
      <c r="D212" s="18" t="s">
        <v>789</v>
      </c>
      <c r="E212" s="23" t="s">
        <v>240</v>
      </c>
      <c r="F212" s="23">
        <v>200</v>
      </c>
      <c r="G212" s="154">
        <v>0.92</v>
      </c>
      <c r="H212" s="469">
        <v>3</v>
      </c>
      <c r="I212" s="458">
        <v>3</v>
      </c>
      <c r="J212" s="23">
        <v>2</v>
      </c>
      <c r="K212" s="23">
        <f t="shared" si="31"/>
        <v>2</v>
      </c>
      <c r="L212" s="23">
        <f t="shared" si="31"/>
        <v>2</v>
      </c>
      <c r="M212" s="23">
        <f t="shared" si="31"/>
        <v>2</v>
      </c>
      <c r="N212" s="216">
        <f t="shared" si="32"/>
        <v>0.38045006690183525</v>
      </c>
      <c r="O212" s="216">
        <f t="shared" si="32"/>
        <v>0.38045006690183525</v>
      </c>
      <c r="P212" s="216">
        <f t="shared" si="32"/>
        <v>0.38045006690183525</v>
      </c>
      <c r="Q212" s="216">
        <f t="shared" si="32"/>
        <v>0.38045006690183525</v>
      </c>
      <c r="R212" s="15" t="s">
        <v>839</v>
      </c>
      <c r="S212" s="401" t="s">
        <v>841</v>
      </c>
      <c r="T212" s="401" t="str">
        <f t="shared" si="33"/>
        <v>4.4.2</v>
      </c>
      <c r="U212" s="401" t="str">
        <f t="shared" si="33"/>
        <v>CI-HVC-BLRT-V06-160601</v>
      </c>
      <c r="V212" s="432" t="str">
        <f t="shared" si="35"/>
        <v>Δtherms=((Ngi * 8766*UF)/100) * (1- (Effpre/Effmeasured))</v>
      </c>
      <c r="W212" s="166"/>
      <c r="X212" s="166"/>
      <c r="Y212" s="166"/>
      <c r="Z212" s="166"/>
      <c r="AA212" s="158"/>
      <c r="AB212" s="166"/>
      <c r="AC212" s="158"/>
      <c r="AD212" s="166"/>
      <c r="AE212" s="158"/>
      <c r="AF212" s="166"/>
      <c r="AG212" s="166"/>
      <c r="AH212" s="166"/>
      <c r="AI212" s="166"/>
      <c r="AJ212" s="166"/>
      <c r="AK212" s="166"/>
      <c r="AL212" s="166"/>
      <c r="AM212" s="166"/>
      <c r="AN212" s="166"/>
      <c r="AO212" s="166"/>
      <c r="AP212" s="166"/>
      <c r="AQ212" s="166"/>
      <c r="AR212" s="166"/>
      <c r="AS212" s="166"/>
      <c r="AT212" s="166"/>
      <c r="AU212" s="363"/>
      <c r="AV212" s="363"/>
      <c r="AW212" s="363"/>
      <c r="AX212" s="363"/>
      <c r="AY212" s="364"/>
      <c r="AZ212" s="365"/>
      <c r="BA212" s="366"/>
    </row>
    <row r="213" spans="1:53" ht="14.25" customHeight="1">
      <c r="A213" s="2" t="str">
        <f t="shared" si="29"/>
        <v>Bus - SB Rebates -PTA_Condensing Unit Heater</v>
      </c>
      <c r="B213" s="18">
        <v>210</v>
      </c>
      <c r="C213" s="23" t="s">
        <v>792</v>
      </c>
      <c r="D213" s="18" t="s">
        <v>321</v>
      </c>
      <c r="E213" s="23" t="s">
        <v>240</v>
      </c>
      <c r="F213" s="23">
        <v>150</v>
      </c>
      <c r="G213" s="154">
        <v>0.92</v>
      </c>
      <c r="H213" s="469">
        <v>12</v>
      </c>
      <c r="I213" s="458">
        <v>12</v>
      </c>
      <c r="J213" s="23"/>
      <c r="K213" s="23">
        <f t="shared" si="31"/>
        <v>0</v>
      </c>
      <c r="L213" s="23">
        <f t="shared" si="31"/>
        <v>0</v>
      </c>
      <c r="M213" s="23">
        <f t="shared" si="31"/>
        <v>0</v>
      </c>
      <c r="N213" s="216">
        <f t="shared" si="32"/>
        <v>1.7733333333333334</v>
      </c>
      <c r="O213" s="216">
        <f t="shared" si="32"/>
        <v>1.7733333333333334</v>
      </c>
      <c r="P213" s="216">
        <f t="shared" si="32"/>
        <v>1.7733333333333334</v>
      </c>
      <c r="Q213" s="216">
        <f t="shared" si="32"/>
        <v>1.7733333333333334</v>
      </c>
      <c r="R213" s="15" t="s">
        <v>839</v>
      </c>
      <c r="S213" s="401" t="s">
        <v>841</v>
      </c>
      <c r="T213" s="401" t="str">
        <f t="shared" si="33"/>
        <v>4.4.5</v>
      </c>
      <c r="U213" s="401" t="str">
        <f t="shared" si="33"/>
        <v>CI-HVC-CUHT-V01-120601</v>
      </c>
      <c r="V213" s="432" t="str">
        <f t="shared" si="35"/>
        <v>Δtherms=(Capacity * EFLH * (((Effbefore + Ei) / Effbefore) - 1)) / 100,000</v>
      </c>
      <c r="W213" s="166"/>
      <c r="X213" s="166"/>
      <c r="Y213" s="166"/>
      <c r="Z213" s="166"/>
      <c r="AA213" s="158"/>
      <c r="AB213" s="166"/>
      <c r="AC213" s="158"/>
      <c r="AD213" s="166"/>
      <c r="AE213" s="158"/>
      <c r="AF213" s="166"/>
      <c r="AG213" s="166"/>
      <c r="AH213" s="166"/>
      <c r="AI213" s="166"/>
      <c r="AJ213" s="166"/>
      <c r="AK213" s="166"/>
      <c r="AL213" s="166"/>
      <c r="AM213" s="166"/>
      <c r="AN213" s="166"/>
      <c r="AO213" s="166"/>
      <c r="AP213" s="166"/>
      <c r="AQ213" s="166"/>
      <c r="AR213" s="166"/>
      <c r="AS213" s="166"/>
      <c r="AT213" s="166"/>
      <c r="AU213" s="363"/>
      <c r="AV213" s="363"/>
      <c r="AW213" s="363"/>
      <c r="AX213" s="363"/>
      <c r="AY213" s="364"/>
      <c r="AZ213" s="365"/>
      <c r="BA213" s="366"/>
    </row>
    <row r="214" spans="1:53" ht="14.25" customHeight="1">
      <c r="A214" s="2" t="str">
        <f t="shared" si="29"/>
        <v>Bus - SB Rebates -PTA_DCV - Kitchen</v>
      </c>
      <c r="B214" s="18">
        <v>211</v>
      </c>
      <c r="C214" s="402" t="s">
        <v>792</v>
      </c>
      <c r="D214" s="395" t="s">
        <v>312</v>
      </c>
      <c r="E214" s="402" t="s">
        <v>150</v>
      </c>
      <c r="F214" s="402">
        <v>1</v>
      </c>
      <c r="G214" s="403">
        <v>0.92</v>
      </c>
      <c r="H214" s="469">
        <v>15</v>
      </c>
      <c r="I214" s="458">
        <v>15</v>
      </c>
      <c r="J214" s="402"/>
      <c r="K214" s="402">
        <f t="shared" si="31"/>
        <v>0</v>
      </c>
      <c r="L214" s="402">
        <f t="shared" si="31"/>
        <v>0</v>
      </c>
      <c r="M214" s="402">
        <f t="shared" si="31"/>
        <v>0</v>
      </c>
      <c r="N214" s="394">
        <f t="shared" si="32"/>
        <v>5998.5</v>
      </c>
      <c r="O214" s="216">
        <f t="shared" si="32"/>
        <v>5998.5</v>
      </c>
      <c r="P214" s="216">
        <f t="shared" si="32"/>
        <v>5998.5</v>
      </c>
      <c r="Q214" s="216">
        <f t="shared" si="32"/>
        <v>5998.5</v>
      </c>
      <c r="R214" s="15" t="s">
        <v>839</v>
      </c>
      <c r="S214" s="401" t="s">
        <v>841</v>
      </c>
      <c r="T214" s="401" t="str">
        <f t="shared" si="33"/>
        <v>4.2.16</v>
      </c>
      <c r="U214" s="401" t="str">
        <f t="shared" si="33"/>
        <v>CI-FSE-VENT-V03-160601</v>
      </c>
      <c r="V214" s="432" t="str">
        <f t="shared" si="35"/>
        <v>Deemed Savings assumed average size of 150 MBH</v>
      </c>
      <c r="W214" s="166"/>
      <c r="X214" s="166"/>
      <c r="Y214" s="166"/>
      <c r="Z214" s="166"/>
      <c r="AA214" s="158"/>
      <c r="AB214" s="166"/>
      <c r="AC214" s="158"/>
      <c r="AD214" s="166"/>
      <c r="AE214" s="158"/>
      <c r="AF214" s="166"/>
      <c r="AG214" s="166"/>
      <c r="AH214" s="166"/>
      <c r="AI214" s="166"/>
      <c r="AJ214" s="166"/>
      <c r="AK214" s="166"/>
      <c r="AL214" s="166"/>
      <c r="AM214" s="166"/>
      <c r="AN214" s="166"/>
      <c r="AO214" s="166"/>
      <c r="AP214" s="166"/>
      <c r="AQ214" s="166"/>
      <c r="AR214" s="166"/>
      <c r="AS214" s="166"/>
      <c r="AT214" s="166"/>
      <c r="AU214" s="363"/>
      <c r="AV214" s="363"/>
      <c r="AW214" s="363"/>
      <c r="AX214" s="363"/>
      <c r="AY214" s="364"/>
      <c r="AZ214" s="365"/>
      <c r="BA214" s="366"/>
    </row>
    <row r="215" spans="1:53" s="396" customFormat="1" ht="14.25" customHeight="1">
      <c r="A215" s="2" t="str">
        <f t="shared" si="29"/>
        <v>Bus - SB Rebates -PTA_Direct Fired Heaters</v>
      </c>
      <c r="B215" s="18">
        <v>212</v>
      </c>
      <c r="C215" s="402" t="s">
        <v>792</v>
      </c>
      <c r="D215" s="395" t="s">
        <v>317</v>
      </c>
      <c r="E215" s="402" t="s">
        <v>240</v>
      </c>
      <c r="F215" s="402">
        <v>150</v>
      </c>
      <c r="G215" s="403">
        <v>0.92</v>
      </c>
      <c r="H215" s="469">
        <v>20</v>
      </c>
      <c r="I215" s="458">
        <v>20</v>
      </c>
      <c r="J215" s="402"/>
      <c r="K215" s="402">
        <f t="shared" si="31"/>
        <v>0</v>
      </c>
      <c r="L215" s="402">
        <f t="shared" si="31"/>
        <v>0</v>
      </c>
      <c r="M215" s="402">
        <f t="shared" si="31"/>
        <v>0</v>
      </c>
      <c r="N215" s="394">
        <f t="shared" si="32"/>
        <v>2.5169999999999986</v>
      </c>
      <c r="O215" s="216">
        <f t="shared" si="32"/>
        <v>2.5169999999999986</v>
      </c>
      <c r="P215" s="216">
        <f t="shared" si="32"/>
        <v>2.5169999999999986</v>
      </c>
      <c r="Q215" s="216">
        <f t="shared" si="32"/>
        <v>2.5169999999999986</v>
      </c>
      <c r="R215" s="401" t="str">
        <f>R164</f>
        <v>Custom</v>
      </c>
      <c r="S215" s="401" t="str">
        <f>S164</f>
        <v>Custom</v>
      </c>
      <c r="T215" s="401" t="str">
        <f t="shared" si="33"/>
        <v>Custom</v>
      </c>
      <c r="U215" s="401" t="str">
        <f t="shared" si="33"/>
        <v>Custom</v>
      </c>
      <c r="V215" s="432" t="str">
        <f t="shared" si="35"/>
        <v>ΔTherms = CFM * HP* Annual Heating Load /(Eff(heat) * 100,000)</v>
      </c>
      <c r="W215" s="166"/>
      <c r="X215" s="166"/>
      <c r="Y215" s="166"/>
      <c r="Z215" s="166"/>
      <c r="AA215" s="158"/>
      <c r="AB215" s="166"/>
      <c r="AC215" s="158"/>
      <c r="AD215" s="166"/>
      <c r="AE215" s="158"/>
      <c r="AF215" s="166"/>
      <c r="AG215" s="166"/>
      <c r="AH215" s="166"/>
      <c r="AI215" s="166"/>
      <c r="AJ215" s="166"/>
      <c r="AK215" s="166"/>
      <c r="AL215" s="166"/>
      <c r="AM215" s="166"/>
      <c r="AN215" s="166"/>
      <c r="AO215" s="166"/>
      <c r="AP215" s="166"/>
      <c r="AQ215" s="166"/>
      <c r="AR215" s="166"/>
      <c r="AS215" s="166"/>
      <c r="AT215" s="166"/>
      <c r="AU215" s="397"/>
      <c r="AV215" s="397"/>
      <c r="AW215" s="397"/>
      <c r="AX215" s="397"/>
      <c r="AY215" s="398"/>
      <c r="AZ215" s="399"/>
      <c r="BA215" s="400"/>
    </row>
    <row r="216" spans="1:53">
      <c r="A216" s="2" t="str">
        <f t="shared" si="29"/>
        <v>Bus - SB Rebates -PTA_High Speed Washer - Hotel/Motel/Hospital</v>
      </c>
      <c r="B216" s="18">
        <v>213</v>
      </c>
      <c r="C216" s="402" t="s">
        <v>792</v>
      </c>
      <c r="D216" s="395" t="s">
        <v>238</v>
      </c>
      <c r="E216" s="402" t="s">
        <v>237</v>
      </c>
      <c r="F216" s="402">
        <v>250</v>
      </c>
      <c r="G216" s="403">
        <v>0.92</v>
      </c>
      <c r="H216" s="469">
        <v>7</v>
      </c>
      <c r="I216" s="458">
        <v>7</v>
      </c>
      <c r="J216" s="402">
        <v>4</v>
      </c>
      <c r="K216" s="402">
        <f t="shared" si="31"/>
        <v>4</v>
      </c>
      <c r="L216" s="402">
        <f t="shared" si="31"/>
        <v>4</v>
      </c>
      <c r="M216" s="402">
        <f t="shared" si="31"/>
        <v>4</v>
      </c>
      <c r="N216" s="404">
        <f t="shared" ref="N216:Q245" si="36">N178</f>
        <v>11.243232000000003</v>
      </c>
      <c r="O216" s="401">
        <f t="shared" si="36"/>
        <v>11.243232000000003</v>
      </c>
      <c r="P216" s="401">
        <f t="shared" si="36"/>
        <v>11.243232000000003</v>
      </c>
      <c r="Q216" s="401">
        <f t="shared" si="36"/>
        <v>11.243232000000003</v>
      </c>
      <c r="R216" s="15" t="s">
        <v>839</v>
      </c>
      <c r="S216" s="401" t="s">
        <v>841</v>
      </c>
      <c r="T216" s="401" t="str">
        <f t="shared" ref="T216:V220" si="37">T178</f>
        <v>4.8.5</v>
      </c>
      <c r="U216" s="401" t="str">
        <f t="shared" si="37"/>
        <v>CI-MSC-HSCW-V01-180101</v>
      </c>
      <c r="V216" s="432">
        <f t="shared" si="37"/>
        <v>0</v>
      </c>
      <c r="W216" s="166"/>
      <c r="X216" s="166"/>
      <c r="Y216" s="166"/>
      <c r="Z216" s="166"/>
      <c r="AA216" s="158"/>
      <c r="AB216" s="166"/>
      <c r="AC216" s="158"/>
      <c r="AD216" s="166"/>
      <c r="AE216" s="158"/>
      <c r="AF216" s="166"/>
      <c r="AG216" s="166"/>
      <c r="AH216" s="166"/>
      <c r="AI216" s="166"/>
      <c r="AJ216" s="166"/>
      <c r="AK216" s="166"/>
      <c r="AL216" s="166"/>
      <c r="AM216" s="166"/>
      <c r="AN216" s="166"/>
      <c r="AO216" s="166"/>
      <c r="AP216" s="166"/>
      <c r="AQ216" s="166"/>
      <c r="AR216" s="166"/>
      <c r="AS216" s="166"/>
      <c r="AT216" s="166"/>
      <c r="AU216" s="363"/>
      <c r="AV216" s="363"/>
      <c r="AW216" s="363"/>
      <c r="AX216" s="363"/>
      <c r="AY216" s="364"/>
      <c r="AZ216" s="365"/>
      <c r="BA216" s="366"/>
    </row>
    <row r="217" spans="1:53">
      <c r="A217" s="2" t="str">
        <f t="shared" si="29"/>
        <v>Bus - SB Rebates -PTA_High Speed Washer - Laundromat</v>
      </c>
      <c r="B217" s="18">
        <v>214</v>
      </c>
      <c r="C217" s="402" t="s">
        <v>792</v>
      </c>
      <c r="D217" s="395" t="s">
        <v>239</v>
      </c>
      <c r="E217" s="402" t="s">
        <v>237</v>
      </c>
      <c r="F217" s="402">
        <v>250</v>
      </c>
      <c r="G217" s="403">
        <v>0.92</v>
      </c>
      <c r="H217" s="469">
        <v>7</v>
      </c>
      <c r="I217" s="458">
        <v>7</v>
      </c>
      <c r="J217" s="402"/>
      <c r="K217" s="402">
        <f t="shared" si="31"/>
        <v>0</v>
      </c>
      <c r="L217" s="402">
        <f t="shared" si="31"/>
        <v>0</v>
      </c>
      <c r="M217" s="402">
        <f t="shared" si="31"/>
        <v>0</v>
      </c>
      <c r="N217" s="404">
        <f t="shared" si="36"/>
        <v>4.648644</v>
      </c>
      <c r="O217" s="401">
        <f t="shared" si="36"/>
        <v>4.648644</v>
      </c>
      <c r="P217" s="401">
        <f t="shared" si="36"/>
        <v>4.648644</v>
      </c>
      <c r="Q217" s="401">
        <f t="shared" si="36"/>
        <v>4.648644</v>
      </c>
      <c r="R217" s="15" t="s">
        <v>839</v>
      </c>
      <c r="S217" s="401" t="s">
        <v>841</v>
      </c>
      <c r="T217" s="401" t="str">
        <f t="shared" si="37"/>
        <v>4.8.5</v>
      </c>
      <c r="U217" s="401" t="str">
        <f t="shared" si="37"/>
        <v>CI-MSC-HSCW-V01-180101</v>
      </c>
      <c r="V217" s="432">
        <f t="shared" si="37"/>
        <v>0</v>
      </c>
      <c r="W217" s="166"/>
      <c r="X217" s="166"/>
      <c r="Y217" s="166"/>
      <c r="Z217" s="166"/>
      <c r="AA217" s="158"/>
      <c r="AB217" s="166"/>
      <c r="AC217" s="158"/>
      <c r="AD217" s="166"/>
      <c r="AE217" s="158"/>
      <c r="AF217" s="166"/>
      <c r="AG217" s="166"/>
      <c r="AH217" s="166"/>
      <c r="AI217" s="166"/>
      <c r="AJ217" s="166"/>
      <c r="AK217" s="166"/>
      <c r="AL217" s="166"/>
      <c r="AM217" s="166"/>
      <c r="AN217" s="166"/>
      <c r="AO217" s="166"/>
      <c r="AP217" s="166"/>
      <c r="AQ217" s="166"/>
      <c r="AR217" s="166"/>
      <c r="AS217" s="166"/>
      <c r="AT217" s="166"/>
      <c r="AU217" s="363"/>
      <c r="AV217" s="363"/>
      <c r="AW217" s="363"/>
      <c r="AX217" s="363"/>
      <c r="AY217" s="364"/>
      <c r="AZ217" s="365"/>
      <c r="BA217" s="366"/>
    </row>
    <row r="218" spans="1:53">
      <c r="A218" s="2" t="str">
        <f t="shared" si="29"/>
        <v>Bus - SB Rebates -PTA_Infrared Heater</v>
      </c>
      <c r="B218" s="18">
        <v>215</v>
      </c>
      <c r="C218" s="402" t="s">
        <v>792</v>
      </c>
      <c r="D218" s="395" t="s">
        <v>295</v>
      </c>
      <c r="E218" s="402" t="s">
        <v>240</v>
      </c>
      <c r="F218" s="402">
        <v>150</v>
      </c>
      <c r="G218" s="403">
        <v>0.92</v>
      </c>
      <c r="H218" s="469">
        <v>12</v>
      </c>
      <c r="I218" s="458">
        <v>12</v>
      </c>
      <c r="J218" s="402"/>
      <c r="K218" s="402">
        <f t="shared" si="31"/>
        <v>0</v>
      </c>
      <c r="L218" s="402">
        <f t="shared" si="31"/>
        <v>0</v>
      </c>
      <c r="M218" s="402">
        <f t="shared" si="31"/>
        <v>0</v>
      </c>
      <c r="N218" s="404">
        <f t="shared" si="36"/>
        <v>3.0066666666666668</v>
      </c>
      <c r="O218" s="401">
        <f t="shared" si="36"/>
        <v>3.0066666666666668</v>
      </c>
      <c r="P218" s="401">
        <f t="shared" si="36"/>
        <v>3.0066666666666668</v>
      </c>
      <c r="Q218" s="401">
        <f t="shared" si="36"/>
        <v>3.0066666666666668</v>
      </c>
      <c r="R218" s="15" t="s">
        <v>839</v>
      </c>
      <c r="S218" s="401" t="s">
        <v>841</v>
      </c>
      <c r="T218" s="401" t="str">
        <f t="shared" si="37"/>
        <v>4.4.12</v>
      </c>
      <c r="U218" s="401" t="str">
        <f t="shared" si="37"/>
        <v>CI-HVC-IRHT-V01-120601</v>
      </c>
      <c r="V218" s="432" t="str">
        <f t="shared" si="37"/>
        <v>ΔTherms = 451 / (Estimate Size)</v>
      </c>
      <c r="W218" s="166"/>
      <c r="X218" s="166"/>
      <c r="Y218" s="166"/>
      <c r="Z218" s="166"/>
      <c r="AA218" s="158"/>
      <c r="AB218" s="166"/>
      <c r="AC218" s="158"/>
      <c r="AD218" s="166"/>
      <c r="AE218" s="158"/>
      <c r="AF218" s="166"/>
      <c r="AG218" s="166"/>
      <c r="AH218" s="166"/>
      <c r="AI218" s="166"/>
      <c r="AJ218" s="166"/>
      <c r="AK218" s="166"/>
      <c r="AL218" s="166"/>
      <c r="AM218" s="166"/>
      <c r="AN218" s="166"/>
      <c r="AO218" s="166"/>
      <c r="AP218" s="166"/>
      <c r="AQ218" s="166"/>
      <c r="AR218" s="166"/>
      <c r="AS218" s="166"/>
      <c r="AT218" s="166"/>
      <c r="AU218" s="363"/>
      <c r="AV218" s="363"/>
      <c r="AW218" s="363"/>
      <c r="AX218" s="363"/>
      <c r="AY218" s="364"/>
      <c r="AZ218" s="365"/>
      <c r="BA218" s="366"/>
    </row>
    <row r="219" spans="1:53">
      <c r="A219" s="2" t="str">
        <f t="shared" si="29"/>
        <v>Bus - SB Rebates -PTA_Modulating Commercial Gas Clothes Dryer</v>
      </c>
      <c r="B219" s="18">
        <v>216</v>
      </c>
      <c r="C219" s="402" t="s">
        <v>792</v>
      </c>
      <c r="D219" s="395" t="s">
        <v>290</v>
      </c>
      <c r="E219" s="402" t="s">
        <v>150</v>
      </c>
      <c r="F219" s="402">
        <v>1</v>
      </c>
      <c r="G219" s="403">
        <v>0.92</v>
      </c>
      <c r="H219" s="469">
        <v>14</v>
      </c>
      <c r="I219" s="458">
        <v>14</v>
      </c>
      <c r="J219" s="402"/>
      <c r="K219" s="402">
        <f t="shared" si="31"/>
        <v>0</v>
      </c>
      <c r="L219" s="402">
        <f t="shared" si="31"/>
        <v>0</v>
      </c>
      <c r="M219" s="402">
        <f t="shared" si="31"/>
        <v>0</v>
      </c>
      <c r="N219" s="404">
        <f t="shared" si="36"/>
        <v>266.94</v>
      </c>
      <c r="O219" s="401">
        <f t="shared" si="36"/>
        <v>266.94</v>
      </c>
      <c r="P219" s="401">
        <f t="shared" si="36"/>
        <v>266.94</v>
      </c>
      <c r="Q219" s="401">
        <f t="shared" si="36"/>
        <v>266.94</v>
      </c>
      <c r="R219" s="15" t="s">
        <v>839</v>
      </c>
      <c r="S219" s="401" t="s">
        <v>841</v>
      </c>
      <c r="T219" s="401" t="str">
        <f t="shared" si="37"/>
        <v>4.8.4</v>
      </c>
      <c r="U219" s="401" t="str">
        <f t="shared" si="37"/>
        <v>CI-MSC-MODD-V01-160601</v>
      </c>
      <c r="V219" s="432" t="str">
        <f t="shared" si="37"/>
        <v>Deemed Savings</v>
      </c>
      <c r="W219" s="166"/>
      <c r="X219" s="166"/>
      <c r="Y219" s="166"/>
      <c r="Z219" s="166"/>
      <c r="AA219" s="158"/>
      <c r="AB219" s="166"/>
      <c r="AC219" s="158"/>
      <c r="AD219" s="166"/>
      <c r="AE219" s="158"/>
      <c r="AF219" s="166"/>
      <c r="AG219" s="166"/>
      <c r="AH219" s="166"/>
      <c r="AI219" s="166"/>
      <c r="AJ219" s="166"/>
      <c r="AK219" s="166"/>
      <c r="AL219" s="166"/>
      <c r="AM219" s="166"/>
      <c r="AN219" s="166"/>
      <c r="AO219" s="166"/>
      <c r="AP219" s="166"/>
      <c r="AQ219" s="166"/>
      <c r="AR219" s="166"/>
      <c r="AS219" s="166"/>
      <c r="AT219" s="166"/>
      <c r="AU219" s="363"/>
      <c r="AV219" s="363"/>
      <c r="AW219" s="363"/>
      <c r="AX219" s="363"/>
      <c r="AY219" s="364"/>
      <c r="AZ219" s="365"/>
      <c r="BA219" s="366"/>
    </row>
    <row r="220" spans="1:53">
      <c r="A220" s="2" t="str">
        <f t="shared" si="29"/>
        <v>Bus - SB Rebates -PTA_Ozone Laundry</v>
      </c>
      <c r="B220" s="18">
        <v>217</v>
      </c>
      <c r="C220" s="402" t="s">
        <v>792</v>
      </c>
      <c r="D220" s="395" t="s">
        <v>287</v>
      </c>
      <c r="E220" s="402" t="s">
        <v>237</v>
      </c>
      <c r="F220" s="402">
        <v>250</v>
      </c>
      <c r="G220" s="403">
        <v>0.92</v>
      </c>
      <c r="H220" s="469">
        <v>10</v>
      </c>
      <c r="I220" s="458">
        <v>10</v>
      </c>
      <c r="J220" s="402"/>
      <c r="K220" s="402">
        <f t="shared" si="31"/>
        <v>0</v>
      </c>
      <c r="L220" s="402">
        <f t="shared" si="31"/>
        <v>0</v>
      </c>
      <c r="M220" s="402">
        <f t="shared" si="31"/>
        <v>0</v>
      </c>
      <c r="N220" s="404">
        <f t="shared" si="36"/>
        <v>30.722664192350027</v>
      </c>
      <c r="O220" s="401">
        <f t="shared" si="36"/>
        <v>30.722664192350027</v>
      </c>
      <c r="P220" s="401">
        <f t="shared" si="36"/>
        <v>30.722664192350027</v>
      </c>
      <c r="Q220" s="401">
        <f t="shared" si="36"/>
        <v>30.722664192350027</v>
      </c>
      <c r="R220" s="15" t="s">
        <v>839</v>
      </c>
      <c r="S220" s="401" t="s">
        <v>841</v>
      </c>
      <c r="T220" s="401" t="str">
        <f t="shared" si="37"/>
        <v>4.3.6</v>
      </c>
      <c r="U220" s="401" t="str">
        <f t="shared" si="37"/>
        <v>CI-HW-OZLD-VO1-140601</v>
      </c>
      <c r="V220" s="432" t="str">
        <f t="shared" si="37"/>
        <v>ΔTherm = ThermBase * %hot_water_savings, ThermBase = WHE * WUtiliz * WUsage_hot/lb-capacity</v>
      </c>
      <c r="W220" s="166"/>
      <c r="X220" s="166"/>
      <c r="Y220" s="166"/>
      <c r="Z220" s="166"/>
      <c r="AA220" s="158"/>
      <c r="AB220" s="166"/>
      <c r="AC220" s="158"/>
      <c r="AD220" s="166"/>
      <c r="AE220" s="158"/>
      <c r="AF220" s="166"/>
      <c r="AG220" s="166"/>
      <c r="AH220" s="166"/>
      <c r="AI220" s="166"/>
      <c r="AJ220" s="166"/>
      <c r="AK220" s="166"/>
      <c r="AL220" s="166"/>
      <c r="AM220" s="166"/>
      <c r="AN220" s="166"/>
      <c r="AO220" s="166"/>
      <c r="AP220" s="166"/>
      <c r="AQ220" s="166"/>
      <c r="AR220" s="166"/>
      <c r="AS220" s="166"/>
      <c r="AT220" s="166"/>
      <c r="AU220" s="363"/>
      <c r="AV220" s="363"/>
      <c r="AW220" s="363"/>
      <c r="AX220" s="363"/>
      <c r="AY220" s="364"/>
      <c r="AZ220" s="365"/>
      <c r="BA220" s="366"/>
    </row>
    <row r="221" spans="1:53">
      <c r="A221" s="2" t="str">
        <f t="shared" si="29"/>
        <v>Bus - SB Rebates -PTA_Pipe Insulation - Dry Cleaners</v>
      </c>
      <c r="B221" s="18">
        <v>218</v>
      </c>
      <c r="C221" s="402" t="s">
        <v>792</v>
      </c>
      <c r="D221" s="395" t="s">
        <v>223</v>
      </c>
      <c r="E221" s="402" t="s">
        <v>210</v>
      </c>
      <c r="F221" s="402">
        <v>75</v>
      </c>
      <c r="G221" s="403">
        <v>0.92</v>
      </c>
      <c r="H221" s="469">
        <v>15</v>
      </c>
      <c r="I221" s="458">
        <v>15</v>
      </c>
      <c r="J221" s="402"/>
      <c r="K221" s="402">
        <f t="shared" si="31"/>
        <v>0</v>
      </c>
      <c r="L221" s="402">
        <f t="shared" si="31"/>
        <v>0</v>
      </c>
      <c r="M221" s="402">
        <f t="shared" si="31"/>
        <v>0</v>
      </c>
      <c r="N221" s="404">
        <f t="shared" si="36"/>
        <v>4.1509563815028345</v>
      </c>
      <c r="O221" s="401">
        <f t="shared" si="36"/>
        <v>4.1509563815028345</v>
      </c>
      <c r="P221" s="401">
        <f t="shared" si="36"/>
        <v>4.1509563815028345</v>
      </c>
      <c r="Q221" s="401">
        <f t="shared" si="36"/>
        <v>4.1509563815028345</v>
      </c>
      <c r="R221" s="15" t="s">
        <v>838</v>
      </c>
      <c r="S221" s="401" t="s">
        <v>841</v>
      </c>
      <c r="T221" s="401" t="str">
        <f t="shared" ref="T221:U245" si="38">T183</f>
        <v>4.4.14</v>
      </c>
      <c r="U221" s="401" t="str">
        <f t="shared" si="38"/>
        <v>CI-HVC-PINS-V04-160601</v>
      </c>
      <c r="V221" s="435" t="s">
        <v>853</v>
      </c>
      <c r="W221" s="166"/>
      <c r="X221" s="166"/>
      <c r="Y221" s="166"/>
      <c r="Z221" s="166"/>
      <c r="AA221" s="158"/>
      <c r="AB221" s="166"/>
      <c r="AC221" s="158"/>
      <c r="AD221" s="166"/>
      <c r="AE221" s="158"/>
      <c r="AF221" s="166"/>
      <c r="AG221" s="166"/>
      <c r="AH221" s="166"/>
      <c r="AI221" s="166"/>
      <c r="AJ221" s="166"/>
      <c r="AK221" s="166"/>
      <c r="AL221" s="166"/>
      <c r="AM221" s="166"/>
      <c r="AN221" s="166"/>
      <c r="AO221" s="166"/>
      <c r="AP221" s="166"/>
      <c r="AQ221" s="166"/>
      <c r="AR221" s="166"/>
      <c r="AS221" s="166"/>
      <c r="AT221" s="166"/>
      <c r="AU221" s="363"/>
      <c r="AV221" s="363"/>
      <c r="AW221" s="363"/>
      <c r="AX221" s="363"/>
      <c r="AY221" s="364"/>
      <c r="AZ221" s="365"/>
      <c r="BA221" s="366"/>
    </row>
    <row r="222" spans="1:53">
      <c r="A222" s="2" t="str">
        <f t="shared" si="29"/>
        <v>Bus - SB Rebates -PTA_Pipe Insulation - Dry Cleaners -Elbows</v>
      </c>
      <c r="B222" s="18">
        <v>219</v>
      </c>
      <c r="C222" s="402" t="s">
        <v>792</v>
      </c>
      <c r="D222" s="395" t="s">
        <v>222</v>
      </c>
      <c r="E222" s="402" t="s">
        <v>210</v>
      </c>
      <c r="F222" s="402">
        <v>75</v>
      </c>
      <c r="G222" s="403">
        <v>0.92</v>
      </c>
      <c r="H222" s="469">
        <v>15</v>
      </c>
      <c r="I222" s="458">
        <v>15</v>
      </c>
      <c r="J222" s="402"/>
      <c r="K222" s="402">
        <f t="shared" si="31"/>
        <v>0</v>
      </c>
      <c r="L222" s="402">
        <f t="shared" si="31"/>
        <v>0</v>
      </c>
      <c r="M222" s="402">
        <f t="shared" si="31"/>
        <v>0</v>
      </c>
      <c r="N222" s="404">
        <f t="shared" si="36"/>
        <v>1.9924590631213606</v>
      </c>
      <c r="O222" s="401">
        <f t="shared" si="36"/>
        <v>1.9924590631213606</v>
      </c>
      <c r="P222" s="401">
        <f t="shared" si="36"/>
        <v>1.9924590631213606</v>
      </c>
      <c r="Q222" s="401">
        <f t="shared" si="36"/>
        <v>1.9924590631213606</v>
      </c>
      <c r="R222" s="15" t="s">
        <v>838</v>
      </c>
      <c r="S222" s="401" t="s">
        <v>841</v>
      </c>
      <c r="T222" s="401" t="str">
        <f t="shared" si="38"/>
        <v>4.4.14</v>
      </c>
      <c r="U222" s="401" t="str">
        <f t="shared" si="38"/>
        <v>CI-HVC-PINS-V04-160601</v>
      </c>
      <c r="V222" s="435" t="s">
        <v>853</v>
      </c>
      <c r="W222" s="166"/>
      <c r="X222" s="166"/>
      <c r="Y222" s="166"/>
      <c r="Z222" s="166"/>
      <c r="AA222" s="158"/>
      <c r="AB222" s="166"/>
      <c r="AC222" s="158"/>
      <c r="AD222" s="166"/>
      <c r="AE222" s="158"/>
      <c r="AF222" s="166"/>
      <c r="AG222" s="166"/>
      <c r="AH222" s="166"/>
      <c r="AI222" s="166"/>
      <c r="AJ222" s="166"/>
      <c r="AK222" s="166"/>
      <c r="AL222" s="166"/>
      <c r="AM222" s="166"/>
      <c r="AN222" s="166"/>
      <c r="AO222" s="166"/>
      <c r="AP222" s="166"/>
      <c r="AQ222" s="166"/>
      <c r="AR222" s="166"/>
      <c r="AS222" s="166"/>
      <c r="AT222" s="166"/>
      <c r="AU222" s="363"/>
      <c r="AV222" s="363"/>
      <c r="AW222" s="363"/>
      <c r="AX222" s="363"/>
      <c r="AY222" s="364"/>
      <c r="AZ222" s="365"/>
      <c r="BA222" s="366"/>
    </row>
    <row r="223" spans="1:53">
      <c r="A223" s="2" t="str">
        <f t="shared" si="29"/>
        <v>Bus - SB Rebates -PTA_Pipe Insulation - HW Small 1" to 2"</v>
      </c>
      <c r="B223" s="18">
        <v>220</v>
      </c>
      <c r="C223" s="402" t="s">
        <v>792</v>
      </c>
      <c r="D223" s="395" t="s">
        <v>217</v>
      </c>
      <c r="E223" s="402" t="s">
        <v>210</v>
      </c>
      <c r="F223" s="402">
        <v>75</v>
      </c>
      <c r="G223" s="403">
        <v>0.92</v>
      </c>
      <c r="H223" s="469">
        <v>15</v>
      </c>
      <c r="I223" s="458">
        <v>15</v>
      </c>
      <c r="J223" s="402">
        <v>2</v>
      </c>
      <c r="K223" s="402">
        <f t="shared" si="31"/>
        <v>2</v>
      </c>
      <c r="L223" s="402">
        <f t="shared" si="31"/>
        <v>2</v>
      </c>
      <c r="M223" s="402">
        <f t="shared" si="31"/>
        <v>2</v>
      </c>
      <c r="N223" s="404">
        <f t="shared" si="36"/>
        <v>2.6588140926267867</v>
      </c>
      <c r="O223" s="401">
        <f t="shared" si="36"/>
        <v>2.6588140926267867</v>
      </c>
      <c r="P223" s="401">
        <f t="shared" si="36"/>
        <v>2.6588140926267867</v>
      </c>
      <c r="Q223" s="401">
        <f t="shared" si="36"/>
        <v>2.6588140926267867</v>
      </c>
      <c r="R223" s="15" t="s">
        <v>838</v>
      </c>
      <c r="S223" s="401" t="s">
        <v>841</v>
      </c>
      <c r="T223" s="401" t="str">
        <f t="shared" si="38"/>
        <v>4.4.14</v>
      </c>
      <c r="U223" s="401" t="str">
        <f t="shared" si="38"/>
        <v>CI-HVC-PINS-V04-160601</v>
      </c>
      <c r="V223" s="435" t="s">
        <v>853</v>
      </c>
      <c r="W223" s="166"/>
      <c r="X223" s="166"/>
      <c r="Y223" s="166"/>
      <c r="Z223" s="166"/>
      <c r="AA223" s="158"/>
      <c r="AB223" s="166"/>
      <c r="AC223" s="158"/>
      <c r="AD223" s="166"/>
      <c r="AE223" s="158"/>
      <c r="AF223" s="166"/>
      <c r="AG223" s="166"/>
      <c r="AH223" s="166"/>
      <c r="AI223" s="166"/>
      <c r="AJ223" s="166"/>
      <c r="AK223" s="166"/>
      <c r="AL223" s="166"/>
      <c r="AM223" s="166"/>
      <c r="AN223" s="166"/>
      <c r="AO223" s="166"/>
      <c r="AP223" s="166"/>
      <c r="AQ223" s="166"/>
      <c r="AR223" s="166"/>
      <c r="AS223" s="166"/>
      <c r="AT223" s="166"/>
      <c r="AU223" s="363"/>
      <c r="AV223" s="363"/>
      <c r="AW223" s="363"/>
      <c r="AX223" s="363"/>
      <c r="AY223" s="364"/>
      <c r="AZ223" s="365"/>
      <c r="BA223" s="366"/>
    </row>
    <row r="224" spans="1:53">
      <c r="A224" s="2" t="str">
        <f t="shared" si="29"/>
        <v>Bus - SB Rebates -PTA_Pipe Insulation - HW Medium 2.1" to 4"</v>
      </c>
      <c r="B224" s="18">
        <v>221</v>
      </c>
      <c r="C224" s="402" t="s">
        <v>792</v>
      </c>
      <c r="D224" s="395" t="s">
        <v>216</v>
      </c>
      <c r="E224" s="402" t="s">
        <v>210</v>
      </c>
      <c r="F224" s="402">
        <v>75</v>
      </c>
      <c r="G224" s="403">
        <v>0.92</v>
      </c>
      <c r="H224" s="469">
        <v>15</v>
      </c>
      <c r="I224" s="458">
        <v>15</v>
      </c>
      <c r="J224" s="402">
        <v>10</v>
      </c>
      <c r="K224" s="402">
        <f t="shared" si="31"/>
        <v>10</v>
      </c>
      <c r="L224" s="402">
        <f t="shared" si="31"/>
        <v>10</v>
      </c>
      <c r="M224" s="402">
        <f t="shared" si="31"/>
        <v>10</v>
      </c>
      <c r="N224" s="404">
        <f t="shared" si="36"/>
        <v>5.2492031493764015</v>
      </c>
      <c r="O224" s="401">
        <f t="shared" si="36"/>
        <v>5.2492031493764015</v>
      </c>
      <c r="P224" s="401">
        <f t="shared" si="36"/>
        <v>5.2492031493764015</v>
      </c>
      <c r="Q224" s="401">
        <f t="shared" si="36"/>
        <v>5.2492031493764015</v>
      </c>
      <c r="R224" s="15" t="s">
        <v>838</v>
      </c>
      <c r="S224" s="401" t="s">
        <v>841</v>
      </c>
      <c r="T224" s="401" t="str">
        <f t="shared" si="38"/>
        <v>4.4.14</v>
      </c>
      <c r="U224" s="401" t="str">
        <f t="shared" si="38"/>
        <v>CI-HVC-PINS-V04-160601</v>
      </c>
      <c r="V224" s="435" t="s">
        <v>853</v>
      </c>
      <c r="W224" s="166"/>
      <c r="X224" s="166"/>
      <c r="Y224" s="166"/>
      <c r="Z224" s="166"/>
      <c r="AA224" s="158"/>
      <c r="AB224" s="166"/>
      <c r="AC224" s="158"/>
      <c r="AD224" s="166"/>
      <c r="AE224" s="158"/>
      <c r="AF224" s="166"/>
      <c r="AG224" s="166"/>
      <c r="AH224" s="166"/>
      <c r="AI224" s="166"/>
      <c r="AJ224" s="166"/>
      <c r="AK224" s="166"/>
      <c r="AL224" s="166"/>
      <c r="AM224" s="166"/>
      <c r="AN224" s="166"/>
      <c r="AO224" s="166"/>
      <c r="AP224" s="166"/>
      <c r="AQ224" s="166"/>
      <c r="AR224" s="166"/>
      <c r="AS224" s="166"/>
      <c r="AT224" s="166"/>
      <c r="AU224" s="363"/>
      <c r="AV224" s="363"/>
      <c r="AW224" s="363"/>
      <c r="AX224" s="363"/>
      <c r="AY224" s="364"/>
      <c r="AZ224" s="365"/>
      <c r="BA224" s="366"/>
    </row>
    <row r="225" spans="1:53">
      <c r="A225" s="2" t="str">
        <f t="shared" si="29"/>
        <v>Bus - SB Rebates -PTA_Pipe Insulation - HW Large &gt;4"</v>
      </c>
      <c r="B225" s="18">
        <v>222</v>
      </c>
      <c r="C225" s="23" t="s">
        <v>792</v>
      </c>
      <c r="D225" s="18" t="s">
        <v>215</v>
      </c>
      <c r="E225" s="23" t="s">
        <v>210</v>
      </c>
      <c r="F225" s="23">
        <v>75</v>
      </c>
      <c r="G225" s="154">
        <v>0.92</v>
      </c>
      <c r="H225" s="469">
        <v>15</v>
      </c>
      <c r="I225" s="458">
        <v>15</v>
      </c>
      <c r="J225" s="23">
        <v>2</v>
      </c>
      <c r="K225" s="23">
        <f t="shared" si="31"/>
        <v>2</v>
      </c>
      <c r="L225" s="23">
        <f t="shared" si="31"/>
        <v>2</v>
      </c>
      <c r="M225" s="23">
        <f t="shared" si="31"/>
        <v>2</v>
      </c>
      <c r="N225" s="401">
        <f t="shared" si="36"/>
        <v>9.0407613085908682</v>
      </c>
      <c r="O225" s="401">
        <f t="shared" si="36"/>
        <v>9.0407613085908682</v>
      </c>
      <c r="P225" s="401">
        <f t="shared" si="36"/>
        <v>9.0407613085908682</v>
      </c>
      <c r="Q225" s="401">
        <f t="shared" si="36"/>
        <v>9.0407613085908682</v>
      </c>
      <c r="R225" s="15" t="s">
        <v>838</v>
      </c>
      <c r="S225" s="401" t="s">
        <v>841</v>
      </c>
      <c r="T225" s="401" t="str">
        <f t="shared" si="38"/>
        <v>4.4.14</v>
      </c>
      <c r="U225" s="401" t="str">
        <f t="shared" si="38"/>
        <v>CI-HVC-PINS-V04-160601</v>
      </c>
      <c r="V225" s="435" t="s">
        <v>853</v>
      </c>
      <c r="W225" s="166"/>
      <c r="X225" s="166"/>
      <c r="Y225" s="166"/>
      <c r="Z225" s="166"/>
      <c r="AA225" s="158"/>
      <c r="AB225" s="166"/>
      <c r="AC225" s="158"/>
      <c r="AD225" s="166"/>
      <c r="AE225" s="158"/>
      <c r="AF225" s="166"/>
      <c r="AG225" s="166"/>
      <c r="AH225" s="166"/>
      <c r="AI225" s="166"/>
      <c r="AJ225" s="166"/>
      <c r="AK225" s="166"/>
      <c r="AL225" s="166"/>
      <c r="AM225" s="166"/>
      <c r="AN225" s="166"/>
      <c r="AO225" s="166"/>
      <c r="AP225" s="166"/>
      <c r="AQ225" s="166"/>
      <c r="AR225" s="166"/>
      <c r="AS225" s="166"/>
      <c r="AT225" s="166"/>
      <c r="AU225" s="363"/>
      <c r="AV225" s="363"/>
      <c r="AW225" s="363"/>
      <c r="AX225" s="363"/>
      <c r="AY225" s="364"/>
      <c r="AZ225" s="365"/>
      <c r="BA225" s="366"/>
    </row>
    <row r="226" spans="1:53">
      <c r="A226" s="2" t="str">
        <f t="shared" si="29"/>
        <v>Bus - SB Rebates -PTA_Pipe Insulation - Steam - Small 1" to 2"</v>
      </c>
      <c r="B226" s="18">
        <v>223</v>
      </c>
      <c r="C226" s="23" t="s">
        <v>792</v>
      </c>
      <c r="D226" s="18" t="s">
        <v>214</v>
      </c>
      <c r="E226" s="23" t="s">
        <v>210</v>
      </c>
      <c r="F226" s="23">
        <v>75</v>
      </c>
      <c r="G226" s="154">
        <v>0.92</v>
      </c>
      <c r="H226" s="469">
        <v>15</v>
      </c>
      <c r="I226" s="458">
        <v>15</v>
      </c>
      <c r="J226" s="23">
        <v>4</v>
      </c>
      <c r="K226" s="23">
        <f t="shared" si="31"/>
        <v>4</v>
      </c>
      <c r="L226" s="23">
        <f t="shared" si="31"/>
        <v>4</v>
      </c>
      <c r="M226" s="23">
        <f t="shared" si="31"/>
        <v>4</v>
      </c>
      <c r="N226" s="401">
        <f t="shared" si="36"/>
        <v>3.1854757047967208</v>
      </c>
      <c r="O226" s="401">
        <f t="shared" si="36"/>
        <v>3.1854757047967208</v>
      </c>
      <c r="P226" s="401">
        <f t="shared" si="36"/>
        <v>3.1854757047967208</v>
      </c>
      <c r="Q226" s="401">
        <f t="shared" si="36"/>
        <v>3.1854757047967208</v>
      </c>
      <c r="R226" s="15" t="s">
        <v>838</v>
      </c>
      <c r="S226" s="401" t="s">
        <v>841</v>
      </c>
      <c r="T226" s="401" t="str">
        <f t="shared" si="38"/>
        <v>4.4.14</v>
      </c>
      <c r="U226" s="401" t="str">
        <f t="shared" si="38"/>
        <v>CI-HVC-PINS-V04-160601</v>
      </c>
      <c r="V226" s="435" t="s">
        <v>853</v>
      </c>
      <c r="W226" s="166"/>
      <c r="X226" s="166"/>
      <c r="Y226" s="166"/>
      <c r="Z226" s="166"/>
      <c r="AA226" s="158"/>
      <c r="AB226" s="166"/>
      <c r="AC226" s="158"/>
      <c r="AD226" s="166"/>
      <c r="AE226" s="158"/>
      <c r="AF226" s="166"/>
      <c r="AG226" s="166"/>
      <c r="AH226" s="166"/>
      <c r="AI226" s="166"/>
      <c r="AJ226" s="166"/>
      <c r="AK226" s="166"/>
      <c r="AL226" s="166"/>
      <c r="AM226" s="166"/>
      <c r="AN226" s="166"/>
      <c r="AO226" s="166"/>
      <c r="AP226" s="166"/>
      <c r="AQ226" s="166"/>
      <c r="AR226" s="166"/>
      <c r="AS226" s="166"/>
      <c r="AT226" s="166"/>
      <c r="AU226" s="363"/>
      <c r="AV226" s="363"/>
      <c r="AW226" s="363"/>
      <c r="AX226" s="363"/>
      <c r="AY226" s="364"/>
      <c r="AZ226" s="365"/>
      <c r="BA226" s="366"/>
    </row>
    <row r="227" spans="1:53">
      <c r="A227" s="2" t="str">
        <f t="shared" si="29"/>
        <v>Bus - SB Rebates -PTA_Pipe Insulation - Steam - Med 2.1" to 5"</v>
      </c>
      <c r="B227" s="18">
        <v>224</v>
      </c>
      <c r="C227" s="23" t="s">
        <v>792</v>
      </c>
      <c r="D227" s="18" t="s">
        <v>213</v>
      </c>
      <c r="E227" s="23" t="s">
        <v>210</v>
      </c>
      <c r="F227" s="23">
        <v>75</v>
      </c>
      <c r="G227" s="154">
        <v>0.92</v>
      </c>
      <c r="H227" s="469">
        <v>15</v>
      </c>
      <c r="I227" s="458">
        <v>15</v>
      </c>
      <c r="J227" s="23">
        <v>6</v>
      </c>
      <c r="K227" s="23">
        <f t="shared" si="31"/>
        <v>6</v>
      </c>
      <c r="L227" s="23">
        <f t="shared" si="31"/>
        <v>6</v>
      </c>
      <c r="M227" s="23">
        <f t="shared" si="31"/>
        <v>6</v>
      </c>
      <c r="N227" s="401">
        <f t="shared" si="36"/>
        <v>13.148126788517139</v>
      </c>
      <c r="O227" s="401">
        <f t="shared" si="36"/>
        <v>13.148126788517139</v>
      </c>
      <c r="P227" s="401">
        <f t="shared" si="36"/>
        <v>13.148126788517139</v>
      </c>
      <c r="Q227" s="401">
        <f t="shared" si="36"/>
        <v>13.148126788517139</v>
      </c>
      <c r="R227" s="15" t="s">
        <v>838</v>
      </c>
      <c r="S227" s="401" t="s">
        <v>841</v>
      </c>
      <c r="T227" s="401" t="str">
        <f t="shared" si="38"/>
        <v>4.4.14</v>
      </c>
      <c r="U227" s="401" t="str">
        <f t="shared" si="38"/>
        <v>CI-HVC-PINS-V04-160601</v>
      </c>
      <c r="V227" s="435" t="s">
        <v>853</v>
      </c>
      <c r="W227" s="166"/>
      <c r="X227" s="166"/>
      <c r="Y227" s="166"/>
      <c r="Z227" s="166"/>
      <c r="AA227" s="158"/>
      <c r="AB227" s="166"/>
      <c r="AC227" s="158"/>
      <c r="AD227" s="166"/>
      <c r="AE227" s="158"/>
      <c r="AF227" s="166"/>
      <c r="AG227" s="166"/>
      <c r="AH227" s="166"/>
      <c r="AI227" s="166"/>
      <c r="AJ227" s="166"/>
      <c r="AK227" s="166"/>
      <c r="AL227" s="166"/>
      <c r="AM227" s="166"/>
      <c r="AN227" s="166"/>
      <c r="AO227" s="166"/>
      <c r="AP227" s="166"/>
      <c r="AQ227" s="166"/>
      <c r="AR227" s="166"/>
      <c r="AS227" s="166"/>
      <c r="AT227" s="166"/>
      <c r="AU227" s="363"/>
      <c r="AV227" s="363"/>
      <c r="AW227" s="363"/>
      <c r="AX227" s="363"/>
      <c r="AY227" s="364"/>
      <c r="AZ227" s="365"/>
      <c r="BA227" s="366"/>
    </row>
    <row r="228" spans="1:53">
      <c r="A228" s="2" t="str">
        <f t="shared" si="29"/>
        <v>Bus - SB Rebates -PTA_Pipe Insulation - Steam - Large 5.1" to 8"</v>
      </c>
      <c r="B228" s="18">
        <v>225</v>
      </c>
      <c r="C228" s="23" t="s">
        <v>792</v>
      </c>
      <c r="D228" s="18" t="s">
        <v>212</v>
      </c>
      <c r="E228" s="23" t="s">
        <v>210</v>
      </c>
      <c r="F228" s="23">
        <v>75</v>
      </c>
      <c r="G228" s="154">
        <v>0.92</v>
      </c>
      <c r="H228" s="469">
        <v>15</v>
      </c>
      <c r="I228" s="458">
        <v>15</v>
      </c>
      <c r="J228" s="23">
        <v>4</v>
      </c>
      <c r="K228" s="23">
        <f t="shared" ref="K228:M247" si="39">J228</f>
        <v>4</v>
      </c>
      <c r="L228" s="23">
        <f t="shared" si="39"/>
        <v>4</v>
      </c>
      <c r="M228" s="23">
        <f t="shared" si="39"/>
        <v>4</v>
      </c>
      <c r="N228" s="401">
        <f t="shared" si="36"/>
        <v>24.25563238537794</v>
      </c>
      <c r="O228" s="401">
        <f t="shared" si="36"/>
        <v>24.25563238537794</v>
      </c>
      <c r="P228" s="401">
        <f t="shared" si="36"/>
        <v>24.25563238537794</v>
      </c>
      <c r="Q228" s="401">
        <f t="shared" si="36"/>
        <v>24.25563238537794</v>
      </c>
      <c r="R228" s="15" t="s">
        <v>838</v>
      </c>
      <c r="S228" s="401" t="s">
        <v>841</v>
      </c>
      <c r="T228" s="401" t="str">
        <f t="shared" si="38"/>
        <v>4.4.14</v>
      </c>
      <c r="U228" s="401" t="str">
        <f t="shared" si="38"/>
        <v>CI-HVC-PINS-V04-160601</v>
      </c>
      <c r="V228" s="435" t="s">
        <v>853</v>
      </c>
      <c r="W228" s="166"/>
      <c r="X228" s="166"/>
      <c r="Y228" s="166"/>
      <c r="Z228" s="166"/>
      <c r="AA228" s="158"/>
      <c r="AB228" s="166"/>
      <c r="AC228" s="158"/>
      <c r="AD228" s="166"/>
      <c r="AE228" s="158"/>
      <c r="AF228" s="166"/>
      <c r="AG228" s="166"/>
      <c r="AH228" s="166"/>
      <c r="AI228" s="166"/>
      <c r="AJ228" s="166"/>
      <c r="AK228" s="166"/>
      <c r="AL228" s="166"/>
      <c r="AM228" s="166"/>
      <c r="AN228" s="166"/>
      <c r="AO228" s="166"/>
      <c r="AP228" s="166"/>
      <c r="AQ228" s="166"/>
      <c r="AR228" s="166"/>
      <c r="AS228" s="166"/>
      <c r="AT228" s="166"/>
      <c r="AU228" s="363"/>
      <c r="AV228" s="363"/>
      <c r="AW228" s="363"/>
      <c r="AX228" s="363"/>
      <c r="AY228" s="364"/>
      <c r="AZ228" s="365"/>
      <c r="BA228" s="366"/>
    </row>
    <row r="229" spans="1:53">
      <c r="A229" s="2" t="str">
        <f t="shared" si="29"/>
        <v>Bus - SB Rebates -PTA_Pipe Insulation - Steam - X-Large &gt;8"</v>
      </c>
      <c r="B229" s="18">
        <v>226</v>
      </c>
      <c r="C229" s="23" t="s">
        <v>792</v>
      </c>
      <c r="D229" s="18" t="s">
        <v>211</v>
      </c>
      <c r="E229" s="23" t="s">
        <v>210</v>
      </c>
      <c r="F229" s="23">
        <v>75</v>
      </c>
      <c r="G229" s="154">
        <v>0.92</v>
      </c>
      <c r="H229" s="469">
        <v>15</v>
      </c>
      <c r="I229" s="458">
        <v>15</v>
      </c>
      <c r="J229" s="23"/>
      <c r="K229" s="23">
        <f t="shared" si="39"/>
        <v>0</v>
      </c>
      <c r="L229" s="23">
        <f t="shared" si="39"/>
        <v>0</v>
      </c>
      <c r="M229" s="23">
        <f t="shared" si="39"/>
        <v>0</v>
      </c>
      <c r="N229" s="401">
        <f t="shared" si="36"/>
        <v>35.984797966765058</v>
      </c>
      <c r="O229" s="401">
        <f t="shared" si="36"/>
        <v>35.984797966765058</v>
      </c>
      <c r="P229" s="401">
        <f t="shared" si="36"/>
        <v>35.984797966765058</v>
      </c>
      <c r="Q229" s="401">
        <f t="shared" si="36"/>
        <v>35.984797966765058</v>
      </c>
      <c r="R229" s="15" t="s">
        <v>838</v>
      </c>
      <c r="S229" s="401" t="s">
        <v>841</v>
      </c>
      <c r="T229" s="401" t="str">
        <f t="shared" si="38"/>
        <v>4.4.14</v>
      </c>
      <c r="U229" s="401" t="str">
        <f t="shared" si="38"/>
        <v>CI-HVC-PINS-V04-160601</v>
      </c>
      <c r="V229" s="435" t="s">
        <v>853</v>
      </c>
      <c r="W229" s="166"/>
      <c r="X229" s="166"/>
      <c r="Y229" s="166"/>
      <c r="Z229" s="166"/>
      <c r="AA229" s="158"/>
      <c r="AB229" s="166"/>
      <c r="AC229" s="158"/>
      <c r="AD229" s="166"/>
      <c r="AE229" s="158"/>
      <c r="AF229" s="166"/>
      <c r="AG229" s="166"/>
      <c r="AH229" s="166"/>
      <c r="AI229" s="166"/>
      <c r="AJ229" s="166"/>
      <c r="AK229" s="166"/>
      <c r="AL229" s="166"/>
      <c r="AM229" s="166"/>
      <c r="AN229" s="166"/>
      <c r="AO229" s="166"/>
      <c r="AP229" s="166"/>
      <c r="AQ229" s="166"/>
      <c r="AR229" s="166"/>
      <c r="AS229" s="166"/>
      <c r="AT229" s="166"/>
      <c r="AU229" s="363"/>
      <c r="AV229" s="363"/>
      <c r="AW229" s="363"/>
      <c r="AX229" s="363"/>
      <c r="AY229" s="364"/>
      <c r="AZ229" s="365"/>
      <c r="BA229" s="366"/>
    </row>
    <row r="230" spans="1:53">
      <c r="A230" s="2" t="str">
        <f t="shared" si="29"/>
        <v>Bus - SB Rebates -PTA_Pipe Insulation - Steam Med Fitting</v>
      </c>
      <c r="B230" s="18">
        <v>227</v>
      </c>
      <c r="C230" s="23" t="s">
        <v>792</v>
      </c>
      <c r="D230" s="18" t="s">
        <v>208</v>
      </c>
      <c r="E230" s="23" t="s">
        <v>150</v>
      </c>
      <c r="F230" s="23">
        <v>1</v>
      </c>
      <c r="G230" s="154">
        <v>0.92</v>
      </c>
      <c r="H230" s="469">
        <v>15</v>
      </c>
      <c r="I230" s="458">
        <v>15</v>
      </c>
      <c r="J230" s="23"/>
      <c r="K230" s="23">
        <f t="shared" si="39"/>
        <v>0</v>
      </c>
      <c r="L230" s="23">
        <f t="shared" si="39"/>
        <v>0</v>
      </c>
      <c r="M230" s="23">
        <f t="shared" si="39"/>
        <v>0</v>
      </c>
      <c r="N230" s="401">
        <f t="shared" si="36"/>
        <v>12.515179237984789</v>
      </c>
      <c r="O230" s="401">
        <f t="shared" si="36"/>
        <v>12.515179237984789</v>
      </c>
      <c r="P230" s="401">
        <f t="shared" si="36"/>
        <v>12.515179237984789</v>
      </c>
      <c r="Q230" s="401">
        <f t="shared" si="36"/>
        <v>12.515179237984789</v>
      </c>
      <c r="R230" s="15" t="s">
        <v>838</v>
      </c>
      <c r="S230" s="401" t="s">
        <v>841</v>
      </c>
      <c r="T230" s="401" t="str">
        <f t="shared" si="38"/>
        <v>4.4.14</v>
      </c>
      <c r="U230" s="401" t="str">
        <f t="shared" si="38"/>
        <v>CI-HVC-PINS-V04-160601</v>
      </c>
      <c r="V230" s="435" t="s">
        <v>853</v>
      </c>
      <c r="W230" s="166"/>
      <c r="X230" s="166"/>
      <c r="Y230" s="166"/>
      <c r="Z230" s="166"/>
      <c r="AA230" s="158"/>
      <c r="AB230" s="166"/>
      <c r="AC230" s="158"/>
      <c r="AD230" s="166"/>
      <c r="AE230" s="158"/>
      <c r="AF230" s="166"/>
      <c r="AG230" s="166"/>
      <c r="AH230" s="166"/>
      <c r="AI230" s="166"/>
      <c r="AJ230" s="166"/>
      <c r="AK230" s="166"/>
      <c r="AL230" s="166"/>
      <c r="AM230" s="166"/>
      <c r="AN230" s="166"/>
      <c r="AO230" s="166"/>
      <c r="AP230" s="166"/>
      <c r="AQ230" s="166"/>
      <c r="AR230" s="166"/>
      <c r="AS230" s="166"/>
      <c r="AT230" s="166"/>
      <c r="AU230" s="363"/>
      <c r="AV230" s="363"/>
      <c r="AW230" s="363"/>
      <c r="AX230" s="363"/>
      <c r="AY230" s="364"/>
      <c r="AZ230" s="365"/>
      <c r="BA230" s="366"/>
    </row>
    <row r="231" spans="1:53">
      <c r="A231" s="2" t="str">
        <f t="shared" si="29"/>
        <v>Bus - SB Rebates -PTA_Pipe Insulation - Steam Large Fitting</v>
      </c>
      <c r="B231" s="18">
        <v>228</v>
      </c>
      <c r="C231" s="23" t="s">
        <v>792</v>
      </c>
      <c r="D231" s="18" t="s">
        <v>207</v>
      </c>
      <c r="E231" s="23" t="s">
        <v>150</v>
      </c>
      <c r="F231" s="23">
        <v>1</v>
      </c>
      <c r="G231" s="154">
        <v>0.92</v>
      </c>
      <c r="H231" s="469">
        <v>15</v>
      </c>
      <c r="I231" s="458">
        <v>15</v>
      </c>
      <c r="J231" s="23"/>
      <c r="K231" s="23">
        <f t="shared" si="39"/>
        <v>0</v>
      </c>
      <c r="L231" s="23">
        <f t="shared" si="39"/>
        <v>0</v>
      </c>
      <c r="M231" s="23">
        <f t="shared" si="39"/>
        <v>0</v>
      </c>
      <c r="N231" s="401">
        <f t="shared" si="36"/>
        <v>51.249515380658096</v>
      </c>
      <c r="O231" s="401">
        <f t="shared" si="36"/>
        <v>51.249515380658096</v>
      </c>
      <c r="P231" s="401">
        <f t="shared" si="36"/>
        <v>51.249515380658096</v>
      </c>
      <c r="Q231" s="401">
        <f t="shared" si="36"/>
        <v>51.249515380658096</v>
      </c>
      <c r="R231" s="15" t="s">
        <v>838</v>
      </c>
      <c r="S231" s="401" t="s">
        <v>841</v>
      </c>
      <c r="T231" s="401" t="str">
        <f t="shared" si="38"/>
        <v>4.4.14</v>
      </c>
      <c r="U231" s="401" t="str">
        <f t="shared" si="38"/>
        <v>CI-HVC-PINS-V04-160601</v>
      </c>
      <c r="V231" s="435" t="s">
        <v>853</v>
      </c>
      <c r="W231" s="166"/>
      <c r="X231" s="166"/>
      <c r="Y231" s="166"/>
      <c r="Z231" s="166"/>
      <c r="AA231" s="158"/>
      <c r="AB231" s="166"/>
      <c r="AC231" s="158"/>
      <c r="AD231" s="166"/>
      <c r="AE231" s="158"/>
      <c r="AF231" s="166"/>
      <c r="AG231" s="166"/>
      <c r="AH231" s="166"/>
      <c r="AI231" s="166"/>
      <c r="AJ231" s="166"/>
      <c r="AK231" s="166"/>
      <c r="AL231" s="166"/>
      <c r="AM231" s="166"/>
      <c r="AN231" s="166"/>
      <c r="AO231" s="166"/>
      <c r="AP231" s="166"/>
      <c r="AQ231" s="166"/>
      <c r="AR231" s="166"/>
      <c r="AS231" s="166"/>
      <c r="AT231" s="166"/>
      <c r="AU231" s="363"/>
      <c r="AV231" s="363"/>
      <c r="AW231" s="363"/>
      <c r="AX231" s="363"/>
      <c r="AY231" s="364"/>
      <c r="AZ231" s="365"/>
      <c r="BA231" s="366"/>
    </row>
    <row r="232" spans="1:53">
      <c r="A232" s="2" t="str">
        <f t="shared" si="29"/>
        <v>Bus - SB Rebates -PTA_Pipe Insulation - Steam X-Large Fitting</v>
      </c>
      <c r="B232" s="18">
        <v>229</v>
      </c>
      <c r="C232" s="23" t="s">
        <v>792</v>
      </c>
      <c r="D232" s="18" t="s">
        <v>206</v>
      </c>
      <c r="E232" s="23" t="s">
        <v>150</v>
      </c>
      <c r="F232" s="23">
        <v>1</v>
      </c>
      <c r="G232" s="154">
        <v>0.92</v>
      </c>
      <c r="H232" s="469">
        <v>15</v>
      </c>
      <c r="I232" s="458">
        <v>15</v>
      </c>
      <c r="J232" s="23"/>
      <c r="K232" s="23">
        <f t="shared" si="39"/>
        <v>0</v>
      </c>
      <c r="L232" s="23">
        <f t="shared" si="39"/>
        <v>0</v>
      </c>
      <c r="M232" s="23">
        <f t="shared" si="39"/>
        <v>0</v>
      </c>
      <c r="N232" s="401">
        <f t="shared" si="36"/>
        <v>99.138118398437726</v>
      </c>
      <c r="O232" s="401">
        <f t="shared" si="36"/>
        <v>99.138118398437726</v>
      </c>
      <c r="P232" s="401">
        <f t="shared" si="36"/>
        <v>99.138118398437726</v>
      </c>
      <c r="Q232" s="401">
        <f t="shared" si="36"/>
        <v>99.138118398437726</v>
      </c>
      <c r="R232" s="15" t="s">
        <v>838</v>
      </c>
      <c r="S232" s="401" t="s">
        <v>841</v>
      </c>
      <c r="T232" s="401" t="str">
        <f t="shared" si="38"/>
        <v>4.4.14</v>
      </c>
      <c r="U232" s="401" t="str">
        <f t="shared" si="38"/>
        <v>CI-HVC-PINS-V04-160601</v>
      </c>
      <c r="V232" s="435" t="s">
        <v>853</v>
      </c>
      <c r="W232" s="166"/>
      <c r="X232" s="166"/>
      <c r="Y232" s="166"/>
      <c r="Z232" s="166"/>
      <c r="AA232" s="158"/>
      <c r="AB232" s="166"/>
      <c r="AC232" s="158"/>
      <c r="AD232" s="166"/>
      <c r="AE232" s="158"/>
      <c r="AF232" s="166"/>
      <c r="AG232" s="166"/>
      <c r="AH232" s="166"/>
      <c r="AI232" s="166"/>
      <c r="AJ232" s="166"/>
      <c r="AK232" s="166"/>
      <c r="AL232" s="166"/>
      <c r="AM232" s="166"/>
      <c r="AN232" s="166"/>
      <c r="AO232" s="166"/>
      <c r="AP232" s="166"/>
      <c r="AQ232" s="166"/>
      <c r="AR232" s="166"/>
      <c r="AS232" s="166"/>
      <c r="AT232" s="166"/>
      <c r="AU232" s="363"/>
      <c r="AV232" s="363"/>
      <c r="AW232" s="363"/>
      <c r="AX232" s="363"/>
      <c r="AY232" s="364"/>
      <c r="AZ232" s="365"/>
      <c r="BA232" s="366"/>
    </row>
    <row r="233" spans="1:53">
      <c r="A233" s="2" t="str">
        <f t="shared" si="29"/>
        <v>Bus - SB Rebates -PTA_Pipe Insulation - Steam Med Valve</v>
      </c>
      <c r="B233" s="18">
        <v>230</v>
      </c>
      <c r="C233" s="23" t="s">
        <v>792</v>
      </c>
      <c r="D233" s="18" t="s">
        <v>204</v>
      </c>
      <c r="E233" s="23" t="s">
        <v>150</v>
      </c>
      <c r="F233" s="23">
        <v>1</v>
      </c>
      <c r="G233" s="154">
        <v>0.92</v>
      </c>
      <c r="H233" s="469">
        <v>15</v>
      </c>
      <c r="I233" s="458">
        <v>15</v>
      </c>
      <c r="J233" s="23"/>
      <c r="K233" s="23">
        <f t="shared" si="39"/>
        <v>0</v>
      </c>
      <c r="L233" s="23">
        <f t="shared" si="39"/>
        <v>0</v>
      </c>
      <c r="M233" s="23">
        <f t="shared" si="39"/>
        <v>0</v>
      </c>
      <c r="N233" s="401">
        <f t="shared" si="36"/>
        <v>37.423389683572815</v>
      </c>
      <c r="O233" s="401">
        <f t="shared" si="36"/>
        <v>37.423389683572815</v>
      </c>
      <c r="P233" s="401">
        <f t="shared" si="36"/>
        <v>37.423389683572815</v>
      </c>
      <c r="Q233" s="401">
        <f t="shared" si="36"/>
        <v>37.423389683572815</v>
      </c>
      <c r="R233" s="15" t="s">
        <v>838</v>
      </c>
      <c r="S233" s="401" t="s">
        <v>841</v>
      </c>
      <c r="T233" s="401" t="str">
        <f t="shared" si="38"/>
        <v>4.4.14</v>
      </c>
      <c r="U233" s="401" t="str">
        <f t="shared" si="38"/>
        <v>CI-HVC-PINS-V04-160601</v>
      </c>
      <c r="V233" s="435" t="s">
        <v>853</v>
      </c>
      <c r="W233" s="166"/>
      <c r="X233" s="166"/>
      <c r="Y233" s="166"/>
      <c r="Z233" s="166"/>
      <c r="AA233" s="158"/>
      <c r="AB233" s="166"/>
      <c r="AC233" s="158"/>
      <c r="AD233" s="166"/>
      <c r="AE233" s="158"/>
      <c r="AF233" s="166"/>
      <c r="AG233" s="166"/>
      <c r="AH233" s="166"/>
      <c r="AI233" s="166"/>
      <c r="AJ233" s="166"/>
      <c r="AK233" s="166"/>
      <c r="AL233" s="166"/>
      <c r="AM233" s="166"/>
      <c r="AN233" s="166"/>
      <c r="AO233" s="166"/>
      <c r="AP233" s="166"/>
      <c r="AQ233" s="166"/>
      <c r="AR233" s="166"/>
      <c r="AS233" s="166"/>
      <c r="AT233" s="166"/>
    </row>
    <row r="234" spans="1:53">
      <c r="A234" s="2" t="str">
        <f t="shared" si="29"/>
        <v>Bus - SB Rebates -PTA_Pipe Insulation - Steam Large Valve</v>
      </c>
      <c r="B234" s="18">
        <v>231</v>
      </c>
      <c r="C234" s="23" t="s">
        <v>792</v>
      </c>
      <c r="D234" s="18" t="s">
        <v>203</v>
      </c>
      <c r="E234" s="23" t="s">
        <v>150</v>
      </c>
      <c r="F234" s="23">
        <v>1</v>
      </c>
      <c r="G234" s="154">
        <v>0.92</v>
      </c>
      <c r="H234" s="469">
        <v>15</v>
      </c>
      <c r="I234" s="458">
        <v>15</v>
      </c>
      <c r="J234" s="23"/>
      <c r="K234" s="23">
        <f t="shared" si="39"/>
        <v>0</v>
      </c>
      <c r="L234" s="23">
        <f t="shared" si="39"/>
        <v>0</v>
      </c>
      <c r="M234" s="23">
        <f t="shared" si="39"/>
        <v>0</v>
      </c>
      <c r="N234" s="401">
        <f t="shared" si="36"/>
        <v>107.52607289087437</v>
      </c>
      <c r="O234" s="401">
        <f t="shared" si="36"/>
        <v>107.52607289087437</v>
      </c>
      <c r="P234" s="401">
        <f t="shared" si="36"/>
        <v>107.52607289087437</v>
      </c>
      <c r="Q234" s="401">
        <f t="shared" si="36"/>
        <v>107.52607289087437</v>
      </c>
      <c r="R234" s="15" t="s">
        <v>838</v>
      </c>
      <c r="S234" s="401" t="s">
        <v>841</v>
      </c>
      <c r="T234" s="401" t="str">
        <f t="shared" si="38"/>
        <v>4.4.14</v>
      </c>
      <c r="U234" s="401" t="str">
        <f t="shared" si="38"/>
        <v>CI-HVC-PINS-V04-160601</v>
      </c>
      <c r="V234" s="435" t="s">
        <v>853</v>
      </c>
      <c r="W234" s="166"/>
      <c r="X234" s="166"/>
      <c r="Y234" s="166"/>
      <c r="Z234" s="166"/>
      <c r="AA234" s="158"/>
      <c r="AB234" s="166"/>
      <c r="AC234" s="158"/>
      <c r="AD234" s="166"/>
      <c r="AE234" s="158"/>
      <c r="AF234" s="166"/>
      <c r="AG234" s="166"/>
      <c r="AH234" s="166"/>
      <c r="AI234" s="166"/>
      <c r="AJ234" s="166"/>
      <c r="AK234" s="166"/>
      <c r="AL234" s="166"/>
      <c r="AM234" s="166"/>
      <c r="AN234" s="166"/>
      <c r="AO234" s="166"/>
      <c r="AP234" s="166"/>
      <c r="AQ234" s="166"/>
      <c r="AR234" s="166"/>
      <c r="AS234" s="166"/>
      <c r="AT234" s="166"/>
    </row>
    <row r="235" spans="1:53">
      <c r="A235" s="2" t="str">
        <f t="shared" si="29"/>
        <v>Bus - SB Rebates -PTA_Pipe Insulation - Steam X-Large Valve</v>
      </c>
      <c r="B235" s="18">
        <v>232</v>
      </c>
      <c r="C235" s="23" t="s">
        <v>792</v>
      </c>
      <c r="D235" s="18" t="s">
        <v>202</v>
      </c>
      <c r="E235" s="23" t="s">
        <v>150</v>
      </c>
      <c r="F235" s="23">
        <v>1</v>
      </c>
      <c r="G235" s="154">
        <v>0.92</v>
      </c>
      <c r="H235" s="469">
        <v>15</v>
      </c>
      <c r="I235" s="458">
        <v>15</v>
      </c>
      <c r="J235" s="23"/>
      <c r="K235" s="23">
        <f t="shared" si="39"/>
        <v>0</v>
      </c>
      <c r="L235" s="23">
        <f t="shared" si="39"/>
        <v>0</v>
      </c>
      <c r="M235" s="23">
        <f t="shared" si="39"/>
        <v>0</v>
      </c>
      <c r="N235" s="401">
        <f t="shared" si="36"/>
        <v>175.06254164158375</v>
      </c>
      <c r="O235" s="401">
        <f t="shared" si="36"/>
        <v>175.06254164158375</v>
      </c>
      <c r="P235" s="401">
        <f t="shared" si="36"/>
        <v>175.06254164158375</v>
      </c>
      <c r="Q235" s="401">
        <f t="shared" si="36"/>
        <v>175.06254164158375</v>
      </c>
      <c r="R235" s="15" t="s">
        <v>838</v>
      </c>
      <c r="S235" s="401" t="s">
        <v>841</v>
      </c>
      <c r="T235" s="401" t="str">
        <f t="shared" si="38"/>
        <v>4.4.14</v>
      </c>
      <c r="U235" s="401" t="str">
        <f t="shared" si="38"/>
        <v>CI-HVC-PINS-V04-160601</v>
      </c>
      <c r="V235" s="435" t="s">
        <v>853</v>
      </c>
      <c r="W235" s="166"/>
      <c r="X235" s="166"/>
      <c r="Y235" s="166"/>
      <c r="Z235" s="166"/>
      <c r="AA235" s="158"/>
      <c r="AB235" s="166"/>
      <c r="AC235" s="158"/>
      <c r="AD235" s="166"/>
      <c r="AE235" s="158"/>
      <c r="AF235" s="166"/>
      <c r="AG235" s="166"/>
      <c r="AH235" s="166"/>
      <c r="AI235" s="166"/>
      <c r="AJ235" s="166"/>
      <c r="AK235" s="166"/>
      <c r="AL235" s="166"/>
      <c r="AM235" s="166"/>
      <c r="AN235" s="166"/>
      <c r="AO235" s="166"/>
      <c r="AP235" s="166"/>
      <c r="AQ235" s="166"/>
      <c r="AR235" s="166"/>
      <c r="AS235" s="166"/>
      <c r="AT235" s="166"/>
    </row>
    <row r="236" spans="1:53">
      <c r="A236" s="2" t="str">
        <f t="shared" si="29"/>
        <v>Bus - SB Rebates -PTA_Pre Rinse Sprayer (P)</v>
      </c>
      <c r="B236" s="18">
        <v>233</v>
      </c>
      <c r="C236" s="23" t="s">
        <v>792</v>
      </c>
      <c r="D236" s="18" t="s">
        <v>790</v>
      </c>
      <c r="E236" s="23" t="s">
        <v>150</v>
      </c>
      <c r="F236" s="23">
        <v>1</v>
      </c>
      <c r="G236" s="154">
        <v>0.92</v>
      </c>
      <c r="H236" s="469">
        <v>5</v>
      </c>
      <c r="I236" s="458">
        <v>5</v>
      </c>
      <c r="J236" s="23"/>
      <c r="K236" s="23">
        <f t="shared" si="39"/>
        <v>0</v>
      </c>
      <c r="L236" s="23">
        <f t="shared" si="39"/>
        <v>0</v>
      </c>
      <c r="M236" s="23">
        <f t="shared" si="39"/>
        <v>0</v>
      </c>
      <c r="N236" s="401">
        <f t="shared" si="36"/>
        <v>51.167025000000002</v>
      </c>
      <c r="O236" s="401">
        <f t="shared" si="36"/>
        <v>51.167025000000002</v>
      </c>
      <c r="P236" s="401">
        <f t="shared" si="36"/>
        <v>51.167025000000002</v>
      </c>
      <c r="Q236" s="401">
        <f t="shared" si="36"/>
        <v>51.167025000000002</v>
      </c>
      <c r="R236" s="15" t="s">
        <v>838</v>
      </c>
      <c r="S236" s="401" t="s">
        <v>841</v>
      </c>
      <c r="T236" s="401" t="str">
        <f t="shared" si="38"/>
        <v>4.2.11</v>
      </c>
      <c r="U236" s="401" t="str">
        <f t="shared" si="38"/>
        <v>CI-FSE-SPRY-V04-180101</v>
      </c>
      <c r="V236" s="432" t="str">
        <f>V198</f>
        <v>ΔTherms = (FLObase - FLOeff)gal/min x 60 min/hr x HOURSday x DAYSyear x 8.33 x 1 x (Tout - Tin) x (1/EFF) /100,000</v>
      </c>
      <c r="W236" s="166"/>
      <c r="X236" s="166"/>
      <c r="Y236" s="166"/>
      <c r="Z236" s="166"/>
      <c r="AA236" s="158"/>
      <c r="AB236" s="166"/>
      <c r="AC236" s="158"/>
      <c r="AD236" s="166"/>
      <c r="AE236" s="158"/>
      <c r="AF236" s="166"/>
      <c r="AG236" s="166"/>
      <c r="AH236" s="166"/>
      <c r="AI236" s="166"/>
      <c r="AJ236" s="166"/>
      <c r="AK236" s="166"/>
      <c r="AL236" s="166"/>
      <c r="AM236" s="166"/>
      <c r="AN236" s="166"/>
      <c r="AO236" s="166"/>
      <c r="AP236" s="166"/>
      <c r="AQ236" s="166"/>
      <c r="AR236" s="166"/>
      <c r="AS236" s="166"/>
      <c r="AT236" s="166"/>
    </row>
    <row r="237" spans="1:53">
      <c r="A237" s="2" t="str">
        <f t="shared" si="29"/>
        <v>Bus - SB Rebates -PTA_Steam Boiler ≥82% AFUE, &gt;300MBh TE (SB)</v>
      </c>
      <c r="B237" s="18">
        <v>234</v>
      </c>
      <c r="C237" s="23" t="s">
        <v>792</v>
      </c>
      <c r="D237" s="18" t="s">
        <v>791</v>
      </c>
      <c r="E237" s="23" t="s">
        <v>240</v>
      </c>
      <c r="F237" s="23">
        <v>450</v>
      </c>
      <c r="G237" s="154">
        <v>0.92</v>
      </c>
      <c r="H237" s="469">
        <v>20</v>
      </c>
      <c r="I237" s="458">
        <v>20</v>
      </c>
      <c r="J237" s="23"/>
      <c r="K237" s="23">
        <f t="shared" si="39"/>
        <v>0</v>
      </c>
      <c r="L237" s="23">
        <f t="shared" si="39"/>
        <v>0</v>
      </c>
      <c r="M237" s="23">
        <f t="shared" si="39"/>
        <v>0</v>
      </c>
      <c r="N237" s="401">
        <f t="shared" si="36"/>
        <v>0.61860759493670714</v>
      </c>
      <c r="O237" s="401">
        <f t="shared" si="36"/>
        <v>0.61860759493670714</v>
      </c>
      <c r="P237" s="401">
        <f t="shared" si="36"/>
        <v>0.61860759493670714</v>
      </c>
      <c r="Q237" s="401">
        <f t="shared" si="36"/>
        <v>0.61860759493670714</v>
      </c>
      <c r="R237" s="15" t="s">
        <v>839</v>
      </c>
      <c r="S237" s="401" t="s">
        <v>841</v>
      </c>
      <c r="T237" s="401" t="str">
        <f t="shared" si="38"/>
        <v>4.4.10</v>
      </c>
      <c r="U237" s="401" t="str">
        <f t="shared" si="38"/>
        <v>CI-HVC-BOIL-V05-150601</v>
      </c>
      <c r="V237" s="432" t="str">
        <f>V199</f>
        <v>ΔTherms = EFLH * Capacity * ((Eff_actual - Eff_base)/Eff_base)) / 100,000</v>
      </c>
      <c r="W237" s="166"/>
      <c r="X237" s="166"/>
      <c r="Y237" s="166"/>
      <c r="Z237" s="166"/>
      <c r="AA237" s="158"/>
      <c r="AB237" s="166"/>
      <c r="AC237" s="158"/>
      <c r="AD237" s="166"/>
      <c r="AE237" s="158"/>
      <c r="AF237" s="166"/>
      <c r="AG237" s="166"/>
      <c r="AH237" s="166"/>
      <c r="AI237" s="166"/>
      <c r="AJ237" s="166"/>
      <c r="AK237" s="166"/>
      <c r="AL237" s="166"/>
      <c r="AM237" s="166"/>
      <c r="AN237" s="166"/>
      <c r="AO237" s="166"/>
      <c r="AP237" s="166"/>
      <c r="AQ237" s="166"/>
      <c r="AR237" s="166"/>
      <c r="AS237" s="166"/>
      <c r="AT237" s="166"/>
    </row>
    <row r="238" spans="1:53">
      <c r="A238" s="2" t="str">
        <f t="shared" si="29"/>
        <v>Bus - SB Rebates -PTA_Steam Traps - Dry Cleaner/Industrial</v>
      </c>
      <c r="B238" s="18">
        <v>235</v>
      </c>
      <c r="C238" s="23" t="s">
        <v>792</v>
      </c>
      <c r="D238" s="18" t="s">
        <v>269</v>
      </c>
      <c r="E238" s="23" t="s">
        <v>150</v>
      </c>
      <c r="F238" s="23">
        <v>1</v>
      </c>
      <c r="G238" s="154">
        <v>0.92</v>
      </c>
      <c r="H238" s="469">
        <v>6</v>
      </c>
      <c r="I238" s="458">
        <v>6</v>
      </c>
      <c r="J238" s="23">
        <v>5</v>
      </c>
      <c r="K238" s="23">
        <f t="shared" si="39"/>
        <v>5</v>
      </c>
      <c r="L238" s="23">
        <f t="shared" si="39"/>
        <v>5</v>
      </c>
      <c r="M238" s="23">
        <f t="shared" si="39"/>
        <v>5</v>
      </c>
      <c r="N238" s="401">
        <f t="shared" si="36"/>
        <v>137.91939591078068</v>
      </c>
      <c r="O238" s="401">
        <f t="shared" si="36"/>
        <v>137.91939591078068</v>
      </c>
      <c r="P238" s="401">
        <f t="shared" si="36"/>
        <v>137.91939591078068</v>
      </c>
      <c r="Q238" s="401">
        <f t="shared" si="36"/>
        <v>137.91939591078068</v>
      </c>
      <c r="R238" s="15" t="s">
        <v>839</v>
      </c>
      <c r="S238" s="401" t="s">
        <v>841</v>
      </c>
      <c r="T238" s="401" t="str">
        <f t="shared" si="38"/>
        <v>4.4.16</v>
      </c>
      <c r="U238" s="401" t="str">
        <f t="shared" si="38"/>
        <v>CI-HVC-STRE-V05-180101</v>
      </c>
      <c r="V238" s="432" t="str">
        <f>V200</f>
        <v>ΔTherm = Sa * (Hv/B) * Hours * A * L / 100,000</v>
      </c>
      <c r="W238" s="166"/>
      <c r="X238" s="166"/>
      <c r="Y238" s="166"/>
      <c r="Z238" s="166"/>
      <c r="AA238" s="158"/>
      <c r="AB238" s="166"/>
      <c r="AC238" s="158"/>
      <c r="AD238" s="166"/>
      <c r="AE238" s="158"/>
      <c r="AF238" s="166"/>
      <c r="AG238" s="166"/>
      <c r="AH238" s="166"/>
      <c r="AI238" s="166"/>
      <c r="AJ238" s="166"/>
      <c r="AK238" s="166"/>
      <c r="AL238" s="166"/>
      <c r="AM238" s="166"/>
      <c r="AN238" s="166"/>
      <c r="AO238" s="166"/>
      <c r="AP238" s="166"/>
      <c r="AQ238" s="166"/>
      <c r="AR238" s="166"/>
      <c r="AS238" s="166"/>
      <c r="AT238" s="166"/>
    </row>
    <row r="239" spans="1:53">
      <c r="A239" s="2" t="str">
        <f t="shared" si="29"/>
        <v>Bus - SB Rebates -PTA_Steam Traps - HVAC Repair/Rep - Audit</v>
      </c>
      <c r="B239" s="18">
        <v>236</v>
      </c>
      <c r="C239" s="23" t="s">
        <v>792</v>
      </c>
      <c r="D239" s="18" t="s">
        <v>268</v>
      </c>
      <c r="E239" s="23" t="s">
        <v>150</v>
      </c>
      <c r="F239" s="23">
        <v>1</v>
      </c>
      <c r="G239" s="154">
        <v>0.92</v>
      </c>
      <c r="H239" s="469">
        <v>6</v>
      </c>
      <c r="I239" s="458">
        <v>6</v>
      </c>
      <c r="J239" s="23">
        <v>2</v>
      </c>
      <c r="K239" s="23">
        <f t="shared" si="39"/>
        <v>2</v>
      </c>
      <c r="L239" s="23">
        <f t="shared" si="39"/>
        <v>2</v>
      </c>
      <c r="M239" s="23">
        <f t="shared" si="39"/>
        <v>2</v>
      </c>
      <c r="N239" s="401">
        <f t="shared" si="36"/>
        <v>88.453924126394057</v>
      </c>
      <c r="O239" s="401">
        <f t="shared" si="36"/>
        <v>88.453924126394057</v>
      </c>
      <c r="P239" s="401">
        <f t="shared" si="36"/>
        <v>88.453924126394057</v>
      </c>
      <c r="Q239" s="401">
        <f t="shared" si="36"/>
        <v>88.453924126394057</v>
      </c>
      <c r="R239" s="15" t="s">
        <v>839</v>
      </c>
      <c r="S239" s="401" t="s">
        <v>841</v>
      </c>
      <c r="T239" s="401" t="str">
        <f t="shared" si="38"/>
        <v>4.4.16</v>
      </c>
      <c r="U239" s="401" t="str">
        <f t="shared" si="38"/>
        <v>CI-HVC-STRE-V05-180101</v>
      </c>
      <c r="V239" s="432" t="str">
        <f>V201</f>
        <v>ΔTherm = Sa * (Hv/B) * Hours * A * L / 100,000</v>
      </c>
      <c r="W239" s="166"/>
      <c r="X239" s="166"/>
      <c r="Y239" s="166"/>
      <c r="Z239" s="166"/>
      <c r="AA239" s="158"/>
      <c r="AB239" s="166"/>
      <c r="AC239" s="158"/>
      <c r="AD239" s="166"/>
      <c r="AE239" s="158"/>
      <c r="AF239" s="166"/>
      <c r="AG239" s="166"/>
      <c r="AH239" s="166"/>
      <c r="AI239" s="166"/>
      <c r="AJ239" s="166"/>
      <c r="AK239" s="166"/>
      <c r="AL239" s="166"/>
      <c r="AM239" s="166"/>
      <c r="AN239" s="166"/>
      <c r="AO239" s="166"/>
      <c r="AP239" s="166"/>
      <c r="AQ239" s="166"/>
      <c r="AR239" s="166"/>
      <c r="AS239" s="166"/>
      <c r="AT239" s="166"/>
    </row>
    <row r="240" spans="1:53">
      <c r="A240" s="2" t="str">
        <f t="shared" si="29"/>
        <v>Bus - SB Rebates -PTA_Steam Traps - HVAC Repair/Rep - No Audit</v>
      </c>
      <c r="B240" s="18">
        <v>237</v>
      </c>
      <c r="C240" s="23" t="s">
        <v>792</v>
      </c>
      <c r="D240" s="18" t="s">
        <v>267</v>
      </c>
      <c r="E240" s="23" t="s">
        <v>150</v>
      </c>
      <c r="F240" s="23">
        <v>1</v>
      </c>
      <c r="G240" s="154">
        <v>0.92</v>
      </c>
      <c r="H240" s="469">
        <v>6</v>
      </c>
      <c r="I240" s="458">
        <v>6</v>
      </c>
      <c r="J240" s="23">
        <v>2</v>
      </c>
      <c r="K240" s="23">
        <f t="shared" si="39"/>
        <v>2</v>
      </c>
      <c r="L240" s="23">
        <f t="shared" si="39"/>
        <v>2</v>
      </c>
      <c r="M240" s="23">
        <f t="shared" si="39"/>
        <v>2</v>
      </c>
      <c r="N240" s="401">
        <f t="shared" si="36"/>
        <v>88.453924126394057</v>
      </c>
      <c r="O240" s="401">
        <f t="shared" si="36"/>
        <v>88.453924126394057</v>
      </c>
      <c r="P240" s="401">
        <f t="shared" si="36"/>
        <v>88.453924126394057</v>
      </c>
      <c r="Q240" s="401">
        <f t="shared" si="36"/>
        <v>88.453924126394057</v>
      </c>
      <c r="R240" s="15" t="s">
        <v>839</v>
      </c>
      <c r="S240" s="401" t="s">
        <v>841</v>
      </c>
      <c r="T240" s="401" t="str">
        <f t="shared" si="38"/>
        <v>4.4.16</v>
      </c>
      <c r="U240" s="401" t="str">
        <f t="shared" si="38"/>
        <v>CI-HVC-STRE-V05-180101</v>
      </c>
      <c r="V240" s="432" t="str">
        <f>V202</f>
        <v>ΔTherm = Sa * (Hv/B) * Hours * A * L / 100,000</v>
      </c>
      <c r="W240" s="166"/>
      <c r="X240" s="166"/>
      <c r="Y240" s="166"/>
      <c r="Z240" s="166"/>
      <c r="AA240" s="158"/>
      <c r="AB240" s="166"/>
      <c r="AC240" s="158"/>
      <c r="AD240" s="166"/>
      <c r="AE240" s="158"/>
      <c r="AF240" s="166"/>
      <c r="AG240" s="166"/>
      <c r="AH240" s="166"/>
      <c r="AI240" s="166"/>
      <c r="AJ240" s="166"/>
      <c r="AK240" s="166"/>
      <c r="AL240" s="166"/>
      <c r="AM240" s="166"/>
      <c r="AN240" s="166"/>
      <c r="AO240" s="166"/>
      <c r="AP240" s="166"/>
      <c r="AQ240" s="166"/>
      <c r="AR240" s="166"/>
      <c r="AS240" s="166"/>
      <c r="AT240" s="166"/>
    </row>
    <row r="241" spans="1:54">
      <c r="A241" s="2" t="str">
        <f t="shared" si="29"/>
        <v>Bus - SB Rebates -PTA_Steam Traps - Test</v>
      </c>
      <c r="B241" s="18">
        <v>238</v>
      </c>
      <c r="C241" s="23" t="s">
        <v>792</v>
      </c>
      <c r="D241" s="18" t="s">
        <v>258</v>
      </c>
      <c r="E241" s="23" t="s">
        <v>150</v>
      </c>
      <c r="F241" s="23">
        <v>1</v>
      </c>
      <c r="G241" s="154">
        <v>0.92</v>
      </c>
      <c r="H241" s="469">
        <v>3</v>
      </c>
      <c r="I241" s="458">
        <v>3</v>
      </c>
      <c r="J241" s="23"/>
      <c r="K241" s="23">
        <f t="shared" si="39"/>
        <v>0</v>
      </c>
      <c r="L241" s="23">
        <f t="shared" si="39"/>
        <v>0</v>
      </c>
      <c r="M241" s="23">
        <f t="shared" si="39"/>
        <v>0</v>
      </c>
      <c r="N241" s="401">
        <f t="shared" si="36"/>
        <v>0</v>
      </c>
      <c r="O241" s="401">
        <f t="shared" si="36"/>
        <v>0</v>
      </c>
      <c r="P241" s="401">
        <f t="shared" si="36"/>
        <v>0</v>
      </c>
      <c r="Q241" s="401">
        <f t="shared" si="36"/>
        <v>0</v>
      </c>
      <c r="R241" s="401" t="str">
        <f>R203</f>
        <v>Custom</v>
      </c>
      <c r="S241" s="401" t="str">
        <f>S203</f>
        <v>Custom</v>
      </c>
      <c r="T241" s="401" t="str">
        <f t="shared" si="38"/>
        <v>Custom</v>
      </c>
      <c r="U241" s="401" t="str">
        <f t="shared" si="38"/>
        <v>Custom</v>
      </c>
      <c r="V241" s="412" t="s">
        <v>140</v>
      </c>
      <c r="W241" s="166"/>
      <c r="X241" s="166"/>
      <c r="Y241" s="166"/>
      <c r="Z241" s="166"/>
      <c r="AA241" s="158"/>
      <c r="AB241" s="166"/>
      <c r="AC241" s="158"/>
      <c r="AD241" s="166"/>
      <c r="AE241" s="158"/>
      <c r="AF241" s="166"/>
      <c r="AG241" s="166"/>
      <c r="AH241" s="166"/>
      <c r="AI241" s="166"/>
      <c r="AJ241" s="166"/>
      <c r="AK241" s="166"/>
      <c r="AL241" s="166"/>
      <c r="AM241" s="166"/>
      <c r="AN241" s="166"/>
      <c r="AO241" s="166"/>
      <c r="AP241" s="166"/>
      <c r="AQ241" s="166"/>
      <c r="AR241" s="166"/>
      <c r="AS241" s="166"/>
      <c r="AT241" s="166"/>
    </row>
    <row r="242" spans="1:54">
      <c r="A242" s="2" t="str">
        <f t="shared" si="29"/>
        <v>Bus - SB Rebates -PTA_Thermostat - Programmable</v>
      </c>
      <c r="B242" s="18">
        <v>239</v>
      </c>
      <c r="C242" s="23" t="s">
        <v>792</v>
      </c>
      <c r="D242" s="18" t="s">
        <v>226</v>
      </c>
      <c r="E242" s="23" t="s">
        <v>150</v>
      </c>
      <c r="F242" s="23">
        <v>1</v>
      </c>
      <c r="G242" s="154">
        <v>0.92</v>
      </c>
      <c r="H242" s="469">
        <v>4</v>
      </c>
      <c r="I242" s="458">
        <v>4</v>
      </c>
      <c r="J242" s="23"/>
      <c r="K242" s="23">
        <f t="shared" si="39"/>
        <v>0</v>
      </c>
      <c r="L242" s="23">
        <f t="shared" si="39"/>
        <v>0</v>
      </c>
      <c r="M242" s="23">
        <f t="shared" si="39"/>
        <v>0</v>
      </c>
      <c r="N242" s="401">
        <f t="shared" si="36"/>
        <v>124.68584320000001</v>
      </c>
      <c r="O242" s="401">
        <f t="shared" si="36"/>
        <v>124.68584320000001</v>
      </c>
      <c r="P242" s="401">
        <f t="shared" si="36"/>
        <v>124.68584320000001</v>
      </c>
      <c r="Q242" s="401">
        <f t="shared" si="36"/>
        <v>124.68584320000001</v>
      </c>
      <c r="R242" s="15" t="s">
        <v>840</v>
      </c>
      <c r="S242" s="401" t="s">
        <v>841</v>
      </c>
      <c r="T242" s="401" t="str">
        <f t="shared" si="38"/>
        <v>4.4.18</v>
      </c>
      <c r="U242" s="401" t="str">
        <f t="shared" si="38"/>
        <v>CI-HVC-PROG-V02-150601</v>
      </c>
      <c r="V242" s="435" t="s">
        <v>834</v>
      </c>
      <c r="W242" s="166"/>
      <c r="X242" s="166"/>
      <c r="Y242" s="166"/>
      <c r="Z242" s="166"/>
      <c r="AA242" s="158"/>
      <c r="AB242" s="166"/>
      <c r="AC242" s="158"/>
      <c r="AD242" s="166"/>
      <c r="AE242" s="158"/>
      <c r="AF242" s="166"/>
      <c r="AG242" s="166"/>
      <c r="AH242" s="166"/>
      <c r="AI242" s="166"/>
      <c r="AJ242" s="166"/>
      <c r="AK242" s="166"/>
      <c r="AL242" s="166"/>
      <c r="AM242" s="166"/>
      <c r="AN242" s="166"/>
      <c r="AO242" s="166"/>
      <c r="AP242" s="166"/>
      <c r="AQ242" s="166"/>
      <c r="AR242" s="166"/>
      <c r="AS242" s="166"/>
      <c r="AT242" s="166"/>
    </row>
    <row r="243" spans="1:54">
      <c r="A243" s="2" t="str">
        <f t="shared" si="29"/>
        <v>Bus - SB Rebates -PTA_Water Heater - Storage 88% TE ≥75MBh</v>
      </c>
      <c r="B243" s="18">
        <v>240</v>
      </c>
      <c r="C243" s="23" t="s">
        <v>792</v>
      </c>
      <c r="D243" s="18" t="s">
        <v>254</v>
      </c>
      <c r="E243" s="23" t="s">
        <v>150</v>
      </c>
      <c r="F243" s="23">
        <v>1</v>
      </c>
      <c r="G243" s="154">
        <v>0.92</v>
      </c>
      <c r="H243" s="469">
        <v>15</v>
      </c>
      <c r="I243" s="458">
        <v>15</v>
      </c>
      <c r="J243" s="23"/>
      <c r="K243" s="23">
        <f t="shared" si="39"/>
        <v>0</v>
      </c>
      <c r="L243" s="23">
        <f t="shared" si="39"/>
        <v>0</v>
      </c>
      <c r="M243" s="23">
        <f t="shared" si="39"/>
        <v>0</v>
      </c>
      <c r="N243" s="401">
        <f t="shared" si="36"/>
        <v>1514.573584976577</v>
      </c>
      <c r="O243" s="401">
        <f t="shared" si="36"/>
        <v>1514.573584976577</v>
      </c>
      <c r="P243" s="401">
        <f t="shared" si="36"/>
        <v>1514.573584976577</v>
      </c>
      <c r="Q243" s="401">
        <f t="shared" si="36"/>
        <v>1514.573584976577</v>
      </c>
      <c r="R243" s="15" t="s">
        <v>839</v>
      </c>
      <c r="S243" s="401" t="s">
        <v>841</v>
      </c>
      <c r="T243" s="401" t="str">
        <f t="shared" si="38"/>
        <v>4.3.1</v>
      </c>
      <c r="U243" s="401" t="str">
        <f t="shared" si="38"/>
        <v>CI-HW-STWH-V03-180101</v>
      </c>
      <c r="V243" s="432" t="str">
        <f>V205</f>
        <v>ΔTherms = ((T_out - T_in) * HotWaterUse_Gal * γWater * 1 * (1/EF_gasbase - 1/EF_Eff))/100000 + ((SL_gasbase - SL_eff) * 8766)/100000</v>
      </c>
      <c r="W243" s="166"/>
      <c r="X243" s="166"/>
      <c r="Y243" s="166"/>
      <c r="Z243" s="166"/>
      <c r="AA243" s="158"/>
      <c r="AB243" s="166"/>
      <c r="AC243" s="158"/>
      <c r="AD243" s="166"/>
      <c r="AE243" s="158"/>
      <c r="AF243" s="166"/>
      <c r="AG243" s="166"/>
      <c r="AH243" s="166"/>
      <c r="AI243" s="166"/>
      <c r="AJ243" s="166"/>
      <c r="AK243" s="166"/>
      <c r="AL243" s="166"/>
      <c r="AM243" s="166"/>
      <c r="AN243" s="166"/>
      <c r="AO243" s="166"/>
      <c r="AP243" s="166"/>
      <c r="AQ243" s="166"/>
      <c r="AR243" s="166"/>
      <c r="AS243" s="166"/>
      <c r="AT243" s="166"/>
    </row>
    <row r="244" spans="1:54">
      <c r="A244" s="2" t="str">
        <f t="shared" si="29"/>
        <v>Bus - SB Rebates -PTA_Water Heater 88% TE - Laundromat</v>
      </c>
      <c r="B244" s="18">
        <v>241</v>
      </c>
      <c r="C244" s="23" t="s">
        <v>792</v>
      </c>
      <c r="D244" s="18" t="s">
        <v>242</v>
      </c>
      <c r="E244" s="23" t="s">
        <v>240</v>
      </c>
      <c r="F244" s="23">
        <v>75</v>
      </c>
      <c r="G244" s="154">
        <v>0.92</v>
      </c>
      <c r="H244" s="469">
        <v>15</v>
      </c>
      <c r="I244" s="458">
        <v>15</v>
      </c>
      <c r="J244" s="23"/>
      <c r="K244" s="23">
        <f t="shared" si="39"/>
        <v>0</v>
      </c>
      <c r="L244" s="23">
        <f t="shared" si="39"/>
        <v>0</v>
      </c>
      <c r="M244" s="23">
        <f t="shared" si="39"/>
        <v>0</v>
      </c>
      <c r="N244" s="401">
        <f t="shared" si="36"/>
        <v>1.0567132867132856</v>
      </c>
      <c r="O244" s="401">
        <f t="shared" si="36"/>
        <v>1.0567132867132856</v>
      </c>
      <c r="P244" s="401">
        <f t="shared" si="36"/>
        <v>1.0567132867132856</v>
      </c>
      <c r="Q244" s="401">
        <f t="shared" si="36"/>
        <v>1.0567132867132856</v>
      </c>
      <c r="R244" s="15" t="s">
        <v>837</v>
      </c>
      <c r="S244" s="401" t="str">
        <f>S206</f>
        <v>Custom</v>
      </c>
      <c r="T244" s="401" t="str">
        <f t="shared" si="38"/>
        <v>Custom</v>
      </c>
      <c r="U244" s="401" t="str">
        <f t="shared" si="38"/>
        <v>Custom</v>
      </c>
      <c r="V244" s="432" t="s">
        <v>854</v>
      </c>
      <c r="W244" s="166"/>
      <c r="X244" s="166"/>
      <c r="Y244" s="166"/>
      <c r="Z244" s="166"/>
      <c r="AA244" s="158"/>
      <c r="AB244" s="166"/>
      <c r="AC244" s="158"/>
      <c r="AD244" s="166"/>
      <c r="AE244" s="158"/>
      <c r="AF244" s="166"/>
      <c r="AG244" s="166"/>
      <c r="AH244" s="166"/>
      <c r="AI244" s="166"/>
      <c r="AJ244" s="166"/>
      <c r="AK244" s="166"/>
      <c r="AL244" s="166"/>
      <c r="AM244" s="166"/>
      <c r="AN244" s="166"/>
      <c r="AO244" s="166"/>
      <c r="AP244" s="166"/>
      <c r="AQ244" s="166"/>
      <c r="AR244" s="166"/>
      <c r="AS244" s="166"/>
      <c r="AT244" s="166"/>
    </row>
    <row r="245" spans="1:54">
      <c r="A245" s="2" t="str">
        <f t="shared" si="29"/>
        <v>Bus - SB Rebates -PTA_Water Heater 95% TE - Laundromat</v>
      </c>
      <c r="B245" s="18">
        <v>242</v>
      </c>
      <c r="C245" s="23" t="s">
        <v>792</v>
      </c>
      <c r="D245" s="18" t="s">
        <v>241</v>
      </c>
      <c r="E245" s="23" t="s">
        <v>240</v>
      </c>
      <c r="F245" s="23">
        <v>75</v>
      </c>
      <c r="G245" s="154">
        <v>0.92</v>
      </c>
      <c r="H245" s="469">
        <v>15</v>
      </c>
      <c r="I245" s="458">
        <v>15</v>
      </c>
      <c r="J245" s="23"/>
      <c r="K245" s="23">
        <f t="shared" si="39"/>
        <v>0</v>
      </c>
      <c r="L245" s="23">
        <f t="shared" si="39"/>
        <v>0</v>
      </c>
      <c r="M245" s="23">
        <f t="shared" si="39"/>
        <v>0</v>
      </c>
      <c r="N245" s="401">
        <f t="shared" si="36"/>
        <v>1.8353441295546562</v>
      </c>
      <c r="O245" s="401">
        <f t="shared" si="36"/>
        <v>1.8353441295546562</v>
      </c>
      <c r="P245" s="401">
        <f t="shared" si="36"/>
        <v>1.8353441295546562</v>
      </c>
      <c r="Q245" s="401">
        <f t="shared" si="36"/>
        <v>1.8353441295546562</v>
      </c>
      <c r="R245" s="15" t="s">
        <v>837</v>
      </c>
      <c r="S245" s="401" t="str">
        <f>S207</f>
        <v>Custom</v>
      </c>
      <c r="T245" s="401" t="str">
        <f t="shared" si="38"/>
        <v>Custom</v>
      </c>
      <c r="U245" s="401" t="str">
        <f t="shared" si="38"/>
        <v>Custom</v>
      </c>
      <c r="V245" s="432" t="str">
        <f>V207</f>
        <v>See 'Laudromat Broiler Detail' Tab</v>
      </c>
      <c r="W245" s="166"/>
      <c r="X245" s="166"/>
      <c r="Y245" s="166"/>
      <c r="Z245" s="166"/>
      <c r="AA245" s="158"/>
      <c r="AB245" s="166"/>
      <c r="AC245" s="158"/>
      <c r="AD245" s="166"/>
      <c r="AE245" s="158"/>
      <c r="AF245" s="166"/>
      <c r="AG245" s="166"/>
      <c r="AH245" s="166"/>
      <c r="AI245" s="166"/>
      <c r="AJ245" s="166"/>
      <c r="AK245" s="166"/>
      <c r="AL245" s="166"/>
      <c r="AM245" s="166"/>
      <c r="AN245" s="166"/>
      <c r="AO245" s="166"/>
      <c r="AP245" s="166"/>
      <c r="AQ245" s="166"/>
      <c r="AR245" s="166"/>
      <c r="AS245" s="166"/>
      <c r="AT245" s="166"/>
    </row>
    <row r="246" spans="1:54">
      <c r="A246" s="2" t="str">
        <f t="shared" si="29"/>
        <v>Bus - CI Rebates_Boiler ≥88% AFUE, &lt;300MBh</v>
      </c>
      <c r="B246" s="18">
        <v>243</v>
      </c>
      <c r="C246" s="18" t="s">
        <v>711</v>
      </c>
      <c r="D246" s="18" t="s">
        <v>718</v>
      </c>
      <c r="E246" s="23" t="s">
        <v>240</v>
      </c>
      <c r="F246" s="23">
        <v>200</v>
      </c>
      <c r="G246" s="154">
        <v>0.79</v>
      </c>
      <c r="H246" s="469">
        <v>20</v>
      </c>
      <c r="I246" s="458">
        <v>20</v>
      </c>
      <c r="J246" s="23">
        <v>3</v>
      </c>
      <c r="K246" s="23">
        <f t="shared" si="39"/>
        <v>3</v>
      </c>
      <c r="L246" s="23">
        <f t="shared" si="39"/>
        <v>3</v>
      </c>
      <c r="M246" s="23">
        <f t="shared" si="39"/>
        <v>3</v>
      </c>
      <c r="N246" s="216">
        <f>X246*Z246*((AB246-AD246)/AD246)/100000/F246</f>
        <v>1.2278048780487816</v>
      </c>
      <c r="O246" s="215">
        <f t="shared" ref="O246:Q265" si="40">N246</f>
        <v>1.2278048780487816</v>
      </c>
      <c r="P246" s="215">
        <f t="shared" si="40"/>
        <v>1.2278048780487816</v>
      </c>
      <c r="Q246" s="215">
        <f t="shared" si="40"/>
        <v>1.2278048780487816</v>
      </c>
      <c r="R246" s="15" t="s">
        <v>839</v>
      </c>
      <c r="S246" s="15" t="s">
        <v>841</v>
      </c>
      <c r="T246" s="15" t="s">
        <v>343</v>
      </c>
      <c r="U246" s="15" t="s">
        <v>342</v>
      </c>
      <c r="V246" s="166" t="s">
        <v>340</v>
      </c>
      <c r="W246" s="492" t="s">
        <v>271</v>
      </c>
      <c r="X246" s="491">
        <v>1678</v>
      </c>
      <c r="Y246" s="158" t="s">
        <v>273</v>
      </c>
      <c r="Z246" s="420">
        <v>200000</v>
      </c>
      <c r="AA246" s="158" t="s">
        <v>341</v>
      </c>
      <c r="AB246" s="419">
        <v>0.88</v>
      </c>
      <c r="AC246" s="166" t="s">
        <v>248</v>
      </c>
      <c r="AD246" s="419">
        <v>0.82</v>
      </c>
      <c r="AE246" s="166"/>
      <c r="AF246" s="166"/>
      <c r="AG246" s="166"/>
      <c r="AH246" s="166"/>
      <c r="AI246" s="166"/>
      <c r="AJ246" s="166"/>
      <c r="AK246" s="166"/>
      <c r="AL246" s="166"/>
      <c r="AM246" s="166"/>
      <c r="AN246" s="166"/>
      <c r="AO246" s="166"/>
      <c r="AP246" s="166"/>
      <c r="AQ246" s="166"/>
      <c r="AR246" s="166"/>
      <c r="AS246" s="166"/>
      <c r="AT246" s="166"/>
      <c r="AU246" s="363"/>
      <c r="AV246" s="363"/>
      <c r="AW246" s="363"/>
      <c r="AX246" s="363"/>
      <c r="AY246" s="364"/>
      <c r="AZ246" s="365"/>
      <c r="BA246" s="366"/>
      <c r="BB246" s="27"/>
    </row>
    <row r="247" spans="1:54">
      <c r="A247" s="2" t="str">
        <f t="shared" si="29"/>
        <v>Bus - CI Rebates_Boiler ≥88% AFUE, ≥300MBh TE</v>
      </c>
      <c r="B247" s="18">
        <v>244</v>
      </c>
      <c r="C247" s="18" t="s">
        <v>711</v>
      </c>
      <c r="D247" s="18" t="s">
        <v>719</v>
      </c>
      <c r="E247" s="23" t="s">
        <v>240</v>
      </c>
      <c r="F247" s="23">
        <v>400</v>
      </c>
      <c r="G247" s="154">
        <v>0.79</v>
      </c>
      <c r="H247" s="469">
        <v>20</v>
      </c>
      <c r="I247" s="458">
        <v>20</v>
      </c>
      <c r="J247" s="23">
        <v>5</v>
      </c>
      <c r="K247" s="23">
        <f t="shared" si="39"/>
        <v>5</v>
      </c>
      <c r="L247" s="23">
        <f t="shared" si="39"/>
        <v>5</v>
      </c>
      <c r="M247" s="23">
        <f t="shared" si="39"/>
        <v>5</v>
      </c>
      <c r="N247" s="216">
        <f>X247*Z247*((AB247-AD247)/AD247)/100000/F247</f>
        <v>1.6779999999999993</v>
      </c>
      <c r="O247" s="215">
        <f t="shared" si="40"/>
        <v>1.6779999999999993</v>
      </c>
      <c r="P247" s="215">
        <f t="shared" si="40"/>
        <v>1.6779999999999993</v>
      </c>
      <c r="Q247" s="215">
        <f t="shared" si="40"/>
        <v>1.6779999999999993</v>
      </c>
      <c r="R247" s="15" t="s">
        <v>839</v>
      </c>
      <c r="S247" s="15" t="s">
        <v>841</v>
      </c>
      <c r="T247" s="15" t="s">
        <v>343</v>
      </c>
      <c r="U247" s="15" t="s">
        <v>342</v>
      </c>
      <c r="V247" s="166" t="s">
        <v>340</v>
      </c>
      <c r="W247" s="492" t="s">
        <v>271</v>
      </c>
      <c r="X247" s="491">
        <v>1678</v>
      </c>
      <c r="Y247" s="158" t="s">
        <v>273</v>
      </c>
      <c r="Z247" s="420">
        <v>400000</v>
      </c>
      <c r="AA247" s="158" t="s">
        <v>341</v>
      </c>
      <c r="AB247" s="419">
        <v>0.88</v>
      </c>
      <c r="AC247" s="166" t="s">
        <v>248</v>
      </c>
      <c r="AD247" s="419">
        <v>0.8</v>
      </c>
      <c r="AE247" s="166"/>
      <c r="AF247" s="166"/>
      <c r="AG247" s="166"/>
      <c r="AH247" s="166"/>
      <c r="AI247" s="166"/>
      <c r="AJ247" s="166"/>
      <c r="AK247" s="166"/>
      <c r="AL247" s="166"/>
      <c r="AM247" s="166"/>
      <c r="AN247" s="166"/>
      <c r="AO247" s="166"/>
      <c r="AP247" s="166"/>
      <c r="AQ247" s="166"/>
      <c r="AR247" s="166"/>
      <c r="AS247" s="166"/>
      <c r="AT247" s="166"/>
      <c r="AU247" s="363"/>
      <c r="AV247" s="363"/>
      <c r="AW247" s="363"/>
      <c r="AX247" s="363"/>
      <c r="AY247" s="364"/>
      <c r="AZ247" s="365"/>
      <c r="BA247" s="366"/>
      <c r="BB247" s="27"/>
    </row>
    <row r="248" spans="1:54">
      <c r="A248" s="2" t="str">
        <f t="shared" si="29"/>
        <v>Bus - CI Rebates_Boiler Reset Controls</v>
      </c>
      <c r="B248" s="18">
        <v>245</v>
      </c>
      <c r="C248" s="18" t="s">
        <v>711</v>
      </c>
      <c r="D248" s="18" t="s">
        <v>1062</v>
      </c>
      <c r="E248" s="23" t="s">
        <v>150</v>
      </c>
      <c r="F248" s="23">
        <v>200</v>
      </c>
      <c r="G248" s="154">
        <v>0.79</v>
      </c>
      <c r="H248" s="469">
        <v>20</v>
      </c>
      <c r="I248" s="458">
        <v>20</v>
      </c>
      <c r="J248" s="23">
        <v>12</v>
      </c>
      <c r="K248" s="23">
        <f t="shared" ref="K248:M267" si="41">J248</f>
        <v>12</v>
      </c>
      <c r="L248" s="23">
        <f t="shared" si="41"/>
        <v>12</v>
      </c>
      <c r="M248" s="23">
        <f t="shared" si="41"/>
        <v>12</v>
      </c>
      <c r="N248" s="216">
        <f>X248*Z248/100</f>
        <v>1.3424</v>
      </c>
      <c r="O248" s="215">
        <f t="shared" si="40"/>
        <v>1.3424</v>
      </c>
      <c r="P248" s="215">
        <f t="shared" si="40"/>
        <v>1.3424</v>
      </c>
      <c r="Q248" s="215">
        <f t="shared" si="40"/>
        <v>1.3424</v>
      </c>
      <c r="R248" s="15" t="s">
        <v>839</v>
      </c>
      <c r="S248" s="15" t="s">
        <v>841</v>
      </c>
      <c r="T248" s="15" t="s">
        <v>339</v>
      </c>
      <c r="U248" s="15" t="s">
        <v>338</v>
      </c>
      <c r="V248" s="166" t="s">
        <v>336</v>
      </c>
      <c r="W248" s="492" t="s">
        <v>271</v>
      </c>
      <c r="X248" s="491">
        <v>1678</v>
      </c>
      <c r="Y248" s="158" t="s">
        <v>337</v>
      </c>
      <c r="Z248" s="421">
        <v>0.08</v>
      </c>
      <c r="AA248" s="158"/>
      <c r="AB248" s="158"/>
      <c r="AC248" s="158"/>
      <c r="AD248" s="158"/>
      <c r="AE248" s="158"/>
      <c r="AF248" s="166"/>
      <c r="AG248" s="166"/>
      <c r="AH248" s="166"/>
      <c r="AI248" s="166"/>
      <c r="AJ248" s="166"/>
      <c r="AK248" s="166"/>
      <c r="AL248" s="166"/>
      <c r="AM248" s="166"/>
      <c r="AN248" s="166"/>
      <c r="AO248" s="166"/>
      <c r="AP248" s="166"/>
      <c r="AQ248" s="166"/>
      <c r="AR248" s="166"/>
      <c r="AS248" s="166"/>
      <c r="AT248" s="166"/>
      <c r="AU248" s="363"/>
      <c r="AV248" s="363"/>
      <c r="AW248" s="363"/>
      <c r="AX248" s="363"/>
      <c r="AY248" s="364"/>
      <c r="AZ248" s="365"/>
      <c r="BA248" s="366"/>
      <c r="BB248" s="27"/>
    </row>
    <row r="249" spans="1:54">
      <c r="A249" s="2" t="str">
        <f t="shared" si="29"/>
        <v>Bus - CI Rebates_Boiler Tune Up - Process</v>
      </c>
      <c r="B249" s="18">
        <v>246</v>
      </c>
      <c r="C249" s="18" t="s">
        <v>711</v>
      </c>
      <c r="D249" s="18" t="s">
        <v>335</v>
      </c>
      <c r="E249" s="23" t="s">
        <v>240</v>
      </c>
      <c r="F249" s="23">
        <v>2500</v>
      </c>
      <c r="G249" s="154">
        <v>0.79</v>
      </c>
      <c r="H249" s="469">
        <v>3</v>
      </c>
      <c r="I249" s="458">
        <v>3</v>
      </c>
      <c r="J249" s="23">
        <v>18</v>
      </c>
      <c r="K249" s="23">
        <f t="shared" si="41"/>
        <v>18</v>
      </c>
      <c r="L249" s="23">
        <f t="shared" si="41"/>
        <v>18</v>
      </c>
      <c r="M249" s="23">
        <f t="shared" si="41"/>
        <v>18</v>
      </c>
      <c r="N249" s="216">
        <f>(X249*8766*Z249)/100*(1-AB249/AD249)</f>
        <v>0.83823507428978783</v>
      </c>
      <c r="O249" s="215">
        <f t="shared" si="40"/>
        <v>0.83823507428978783</v>
      </c>
      <c r="P249" s="215">
        <f t="shared" si="40"/>
        <v>0.83823507428978783</v>
      </c>
      <c r="Q249" s="215">
        <f t="shared" si="40"/>
        <v>0.83823507428978783</v>
      </c>
      <c r="R249" s="15" t="s">
        <v>839</v>
      </c>
      <c r="S249" s="15" t="s">
        <v>841</v>
      </c>
      <c r="T249" s="15" t="s">
        <v>334</v>
      </c>
      <c r="U249" s="15" t="s">
        <v>333</v>
      </c>
      <c r="V249" s="166" t="s">
        <v>328</v>
      </c>
      <c r="W249" s="166" t="s">
        <v>332</v>
      </c>
      <c r="X249" s="420">
        <v>1</v>
      </c>
      <c r="Y249" s="166" t="s">
        <v>331</v>
      </c>
      <c r="Z249" s="427">
        <v>0.41899999999999998</v>
      </c>
      <c r="AA249" s="158" t="s">
        <v>330</v>
      </c>
      <c r="AB249" s="428">
        <v>0.82210000000000005</v>
      </c>
      <c r="AC249" s="158" t="s">
        <v>329</v>
      </c>
      <c r="AD249" s="428">
        <v>0.84130000000000005</v>
      </c>
      <c r="AE249" s="158"/>
      <c r="AF249" s="166"/>
      <c r="AG249" s="166"/>
      <c r="AH249" s="166"/>
      <c r="AI249" s="166"/>
      <c r="AJ249" s="166"/>
      <c r="AK249" s="166"/>
      <c r="AL249" s="166"/>
      <c r="AM249" s="166"/>
      <c r="AN249" s="166"/>
      <c r="AO249" s="166"/>
      <c r="AP249" s="166"/>
      <c r="AQ249" s="166"/>
      <c r="AR249" s="166"/>
      <c r="AS249" s="166"/>
      <c r="AT249" s="166"/>
      <c r="AU249" s="363"/>
      <c r="AV249" s="363"/>
      <c r="AW249" s="363"/>
      <c r="AX249" s="363"/>
      <c r="AY249" s="364"/>
      <c r="AZ249" s="365"/>
      <c r="BA249" s="366"/>
      <c r="BB249" s="27"/>
    </row>
    <row r="250" spans="1:54">
      <c r="A250" s="2" t="str">
        <f t="shared" si="29"/>
        <v>Bus - CI Rebates_Boiler Tune Up - Space Heating</v>
      </c>
      <c r="B250" s="18">
        <v>247</v>
      </c>
      <c r="C250" s="18" t="s">
        <v>711</v>
      </c>
      <c r="D250" s="18" t="s">
        <v>724</v>
      </c>
      <c r="E250" s="23" t="s">
        <v>240</v>
      </c>
      <c r="F250" s="23">
        <v>2500</v>
      </c>
      <c r="G250" s="154">
        <v>0.79</v>
      </c>
      <c r="H250" s="469">
        <v>3</v>
      </c>
      <c r="I250" s="458">
        <v>3</v>
      </c>
      <c r="J250" s="23">
        <v>2</v>
      </c>
      <c r="K250" s="23">
        <f t="shared" si="41"/>
        <v>2</v>
      </c>
      <c r="L250" s="23">
        <f t="shared" si="41"/>
        <v>2</v>
      </c>
      <c r="M250" s="23">
        <f t="shared" si="41"/>
        <v>2</v>
      </c>
      <c r="N250" s="216">
        <f>AD250*(X250*((AB250/Z250)-1))/100000</f>
        <v>0.3918939301788088</v>
      </c>
      <c r="O250" s="215">
        <f t="shared" si="40"/>
        <v>0.3918939301788088</v>
      </c>
      <c r="P250" s="215">
        <f t="shared" si="40"/>
        <v>0.3918939301788088</v>
      </c>
      <c r="Q250" s="215">
        <f t="shared" si="40"/>
        <v>0.3918939301788088</v>
      </c>
      <c r="R250" s="15" t="s">
        <v>839</v>
      </c>
      <c r="S250" s="15" t="s">
        <v>841</v>
      </c>
      <c r="T250" s="15" t="s">
        <v>327</v>
      </c>
      <c r="U250" s="15" t="s">
        <v>326</v>
      </c>
      <c r="V250" s="166" t="s">
        <v>322</v>
      </c>
      <c r="W250" s="492" t="s">
        <v>271</v>
      </c>
      <c r="X250" s="491">
        <v>1678</v>
      </c>
      <c r="Y250" s="158" t="s">
        <v>325</v>
      </c>
      <c r="Z250" s="428">
        <v>0.82210000000000005</v>
      </c>
      <c r="AA250" s="158" t="s">
        <v>324</v>
      </c>
      <c r="AB250" s="428">
        <v>0.84130000000000005</v>
      </c>
      <c r="AC250" s="166" t="s">
        <v>323</v>
      </c>
      <c r="AD250" s="429">
        <v>1000</v>
      </c>
      <c r="AE250" s="166"/>
      <c r="AF250" s="166"/>
      <c r="AG250" s="166"/>
      <c r="AH250" s="166"/>
      <c r="AI250" s="166"/>
      <c r="AJ250" s="166"/>
      <c r="AK250" s="166"/>
      <c r="AL250" s="166"/>
      <c r="AM250" s="166"/>
      <c r="AN250" s="166"/>
      <c r="AO250" s="166"/>
      <c r="AP250" s="166"/>
      <c r="AQ250" s="166"/>
      <c r="AR250" s="166"/>
      <c r="AS250" s="166"/>
      <c r="AT250" s="166"/>
      <c r="AU250" s="363"/>
      <c r="AV250" s="363"/>
      <c r="AW250" s="363"/>
      <c r="AX250" s="363"/>
      <c r="AY250" s="364"/>
      <c r="AZ250" s="365"/>
      <c r="BA250" s="366"/>
      <c r="BB250" s="27"/>
    </row>
    <row r="251" spans="1:54">
      <c r="A251" s="2" t="str">
        <f t="shared" si="29"/>
        <v>Bus - CI Rebates_Condensing Unit Heater</v>
      </c>
      <c r="B251" s="18">
        <v>248</v>
      </c>
      <c r="C251" s="18" t="s">
        <v>711</v>
      </c>
      <c r="D251" s="18" t="s">
        <v>321</v>
      </c>
      <c r="E251" s="23" t="s">
        <v>240</v>
      </c>
      <c r="F251" s="23">
        <v>150</v>
      </c>
      <c r="G251" s="154">
        <v>0.79</v>
      </c>
      <c r="H251" s="469">
        <v>12</v>
      </c>
      <c r="I251" s="458">
        <v>12</v>
      </c>
      <c r="J251" s="23">
        <v>0</v>
      </c>
      <c r="K251" s="23">
        <f t="shared" si="41"/>
        <v>0</v>
      </c>
      <c r="L251" s="23">
        <f t="shared" si="41"/>
        <v>0</v>
      </c>
      <c r="M251" s="23">
        <f t="shared" si="41"/>
        <v>0</v>
      </c>
      <c r="N251" s="216">
        <f>266/F251</f>
        <v>1.7733333333333334</v>
      </c>
      <c r="O251" s="215">
        <f t="shared" si="40"/>
        <v>1.7733333333333334</v>
      </c>
      <c r="P251" s="215">
        <f t="shared" si="40"/>
        <v>1.7733333333333334</v>
      </c>
      <c r="Q251" s="215">
        <f t="shared" si="40"/>
        <v>1.7733333333333334</v>
      </c>
      <c r="R251" s="15" t="s">
        <v>839</v>
      </c>
      <c r="S251" s="15" t="s">
        <v>841</v>
      </c>
      <c r="T251" s="15" t="s">
        <v>320</v>
      </c>
      <c r="U251" s="15" t="s">
        <v>319</v>
      </c>
      <c r="V251" s="166" t="s">
        <v>318</v>
      </c>
      <c r="W251" s="166"/>
      <c r="X251" s="166"/>
      <c r="Y251" s="166"/>
      <c r="Z251" s="166"/>
      <c r="AA251" s="158"/>
      <c r="AB251" s="166"/>
      <c r="AC251" s="158"/>
      <c r="AD251" s="166"/>
      <c r="AE251" s="158"/>
      <c r="AF251" s="166"/>
      <c r="AG251" s="166"/>
      <c r="AH251" s="166"/>
      <c r="AI251" s="166"/>
      <c r="AJ251" s="166"/>
      <c r="AK251" s="166"/>
      <c r="AL251" s="166"/>
      <c r="AM251" s="166"/>
      <c r="AN251" s="166"/>
      <c r="AO251" s="166"/>
      <c r="AP251" s="166"/>
      <c r="AQ251" s="166"/>
      <c r="AR251" s="166"/>
      <c r="AS251" s="166"/>
      <c r="AT251" s="166"/>
      <c r="AU251" s="363"/>
      <c r="AV251" s="363"/>
      <c r="AW251" s="363"/>
      <c r="AX251" s="363"/>
      <c r="AY251" s="364"/>
      <c r="AZ251" s="365"/>
      <c r="BA251" s="366"/>
      <c r="BB251" s="27"/>
    </row>
    <row r="252" spans="1:54">
      <c r="A252" s="2" t="str">
        <f t="shared" si="29"/>
        <v>Bus - CI Rebates_DCV - Kitchen</v>
      </c>
      <c r="B252" s="18">
        <v>249</v>
      </c>
      <c r="C252" s="18" t="s">
        <v>711</v>
      </c>
      <c r="D252" s="18" t="s">
        <v>312</v>
      </c>
      <c r="E252" s="23" t="s">
        <v>150</v>
      </c>
      <c r="F252" s="23">
        <v>1</v>
      </c>
      <c r="G252" s="154">
        <v>0.79</v>
      </c>
      <c r="H252" s="469">
        <v>15</v>
      </c>
      <c r="I252" s="458">
        <v>15</v>
      </c>
      <c r="J252" s="23">
        <v>5</v>
      </c>
      <c r="K252" s="23">
        <f t="shared" si="41"/>
        <v>5</v>
      </c>
      <c r="L252" s="23">
        <f t="shared" si="41"/>
        <v>5</v>
      </c>
      <c r="M252" s="23">
        <f t="shared" si="41"/>
        <v>5</v>
      </c>
      <c r="N252" s="216">
        <f>X252*Z252*AB252/(AD252*100000)</f>
        <v>5998.5</v>
      </c>
      <c r="O252" s="215">
        <f t="shared" si="40"/>
        <v>5998.5</v>
      </c>
      <c r="P252" s="215">
        <f t="shared" si="40"/>
        <v>5998.5</v>
      </c>
      <c r="Q252" s="215">
        <f t="shared" si="40"/>
        <v>5998.5</v>
      </c>
      <c r="R252" s="15" t="s">
        <v>839</v>
      </c>
      <c r="S252" s="15" t="s">
        <v>841</v>
      </c>
      <c r="T252" s="15" t="s">
        <v>311</v>
      </c>
      <c r="U252" s="15" t="s">
        <v>310</v>
      </c>
      <c r="V252" s="166" t="s">
        <v>306</v>
      </c>
      <c r="W252" s="166" t="s">
        <v>305</v>
      </c>
      <c r="X252" s="166">
        <v>430</v>
      </c>
      <c r="Y252" s="166" t="s">
        <v>309</v>
      </c>
      <c r="Z252" s="166">
        <v>7.75</v>
      </c>
      <c r="AA252" s="158" t="s">
        <v>308</v>
      </c>
      <c r="AB252" s="433">
        <v>144000</v>
      </c>
      <c r="AC252" s="158" t="s">
        <v>307</v>
      </c>
      <c r="AD252" s="419">
        <v>0.8</v>
      </c>
      <c r="AE252" s="158"/>
      <c r="AF252" s="166"/>
      <c r="AG252" s="166"/>
      <c r="AH252" s="166"/>
      <c r="AI252" s="166"/>
      <c r="AJ252" s="166"/>
      <c r="AK252" s="166"/>
      <c r="AL252" s="166"/>
      <c r="AM252" s="166"/>
      <c r="AN252" s="166"/>
      <c r="AO252" s="166"/>
      <c r="AP252" s="166"/>
      <c r="AQ252" s="166"/>
      <c r="AR252" s="166"/>
      <c r="AS252" s="166"/>
      <c r="AT252" s="166"/>
      <c r="AU252" s="363"/>
      <c r="AV252" s="363"/>
      <c r="AW252" s="363"/>
      <c r="AX252" s="363"/>
      <c r="AY252" s="364"/>
      <c r="AZ252" s="365"/>
      <c r="BA252" s="366"/>
      <c r="BB252" s="27"/>
    </row>
    <row r="253" spans="1:54">
      <c r="A253" s="2" t="str">
        <f t="shared" si="29"/>
        <v>Bus - CI Rebates_Direct Fired Heaters</v>
      </c>
      <c r="B253" s="18">
        <v>250</v>
      </c>
      <c r="C253" s="18" t="s">
        <v>711</v>
      </c>
      <c r="D253" s="18" t="s">
        <v>317</v>
      </c>
      <c r="E253" s="23" t="s">
        <v>240</v>
      </c>
      <c r="F253" s="23">
        <v>150</v>
      </c>
      <c r="G253" s="154">
        <v>0.79</v>
      </c>
      <c r="H253" s="469">
        <v>20</v>
      </c>
      <c r="I253" s="458">
        <v>20</v>
      </c>
      <c r="J253" s="23">
        <v>0</v>
      </c>
      <c r="K253" s="23">
        <f t="shared" si="41"/>
        <v>0</v>
      </c>
      <c r="L253" s="23">
        <f t="shared" si="41"/>
        <v>0</v>
      </c>
      <c r="M253" s="23">
        <f t="shared" si="41"/>
        <v>0</v>
      </c>
      <c r="N253" s="216">
        <f>AF253*X253*(Z253/AB253-1)/100000</f>
        <v>2.5169999999999986</v>
      </c>
      <c r="O253" s="215">
        <f t="shared" si="40"/>
        <v>2.5169999999999986</v>
      </c>
      <c r="P253" s="215">
        <f t="shared" si="40"/>
        <v>2.5169999999999986</v>
      </c>
      <c r="Q253" s="215">
        <f t="shared" si="40"/>
        <v>2.5169999999999986</v>
      </c>
      <c r="R253" s="15" t="s">
        <v>140</v>
      </c>
      <c r="S253" s="15" t="s">
        <v>140</v>
      </c>
      <c r="T253" s="15" t="s">
        <v>140</v>
      </c>
      <c r="U253" s="15" t="s">
        <v>140</v>
      </c>
      <c r="V253" s="166" t="s">
        <v>313</v>
      </c>
      <c r="W253" s="166" t="s">
        <v>273</v>
      </c>
      <c r="X253" s="166">
        <v>1000</v>
      </c>
      <c r="Y253" s="166" t="s">
        <v>316</v>
      </c>
      <c r="Z253" s="419">
        <v>0.92</v>
      </c>
      <c r="AA253" s="158" t="s">
        <v>315</v>
      </c>
      <c r="AB253" s="419">
        <v>0.8</v>
      </c>
      <c r="AC253" s="490" t="s">
        <v>302</v>
      </c>
      <c r="AD253" s="492">
        <f>(1540+1782)/2</f>
        <v>1661</v>
      </c>
      <c r="AE253" s="490" t="s">
        <v>314</v>
      </c>
      <c r="AF253" s="492">
        <v>1678</v>
      </c>
      <c r="AG253" s="166"/>
      <c r="AH253" s="166"/>
      <c r="AI253" s="166"/>
      <c r="AJ253" s="166"/>
      <c r="AK253" s="166"/>
      <c r="AL253" s="166"/>
      <c r="AM253" s="166"/>
      <c r="AN253" s="166"/>
      <c r="AO253" s="166"/>
      <c r="AP253" s="166"/>
      <c r="AQ253" s="166"/>
      <c r="AR253" s="166"/>
      <c r="AS253" s="166"/>
      <c r="AT253" s="166"/>
      <c r="AU253" s="363"/>
      <c r="AV253" s="363"/>
      <c r="AW253" s="363"/>
      <c r="AX253" s="363"/>
      <c r="AY253" s="364"/>
      <c r="AZ253" s="365"/>
      <c r="BA253" s="366"/>
      <c r="BB253" s="27"/>
    </row>
    <row r="254" spans="1:54">
      <c r="A254" s="2" t="str">
        <f t="shared" si="29"/>
        <v>Bus - CI Rebates_High Speed Washer - Hotel/Motel/Hospital</v>
      </c>
      <c r="B254" s="18">
        <v>251</v>
      </c>
      <c r="C254" s="18" t="s">
        <v>711</v>
      </c>
      <c r="D254" s="18" t="s">
        <v>238</v>
      </c>
      <c r="E254" s="23" t="s">
        <v>237</v>
      </c>
      <c r="F254" s="23">
        <v>250</v>
      </c>
      <c r="G254" s="154">
        <v>0.79</v>
      </c>
      <c r="H254" s="469">
        <v>7</v>
      </c>
      <c r="I254" s="458">
        <v>7</v>
      </c>
      <c r="J254" s="23">
        <v>2</v>
      </c>
      <c r="K254" s="23">
        <f t="shared" si="41"/>
        <v>2</v>
      </c>
      <c r="L254" s="23">
        <f t="shared" si="41"/>
        <v>2</v>
      </c>
      <c r="M254" s="23">
        <f t="shared" si="41"/>
        <v>2</v>
      </c>
      <c r="N254" s="216">
        <f>X254*Z254*AB254*AD254*AF254/AH254/100000*AJ254*AL254/F254</f>
        <v>11.243232000000003</v>
      </c>
      <c r="O254" s="215">
        <f t="shared" si="40"/>
        <v>11.243232000000003</v>
      </c>
      <c r="P254" s="215">
        <f t="shared" si="40"/>
        <v>11.243232000000003</v>
      </c>
      <c r="Q254" s="215">
        <f t="shared" si="40"/>
        <v>11.243232000000003</v>
      </c>
      <c r="R254" s="15" t="s">
        <v>839</v>
      </c>
      <c r="S254" s="15" t="s">
        <v>841</v>
      </c>
      <c r="T254" s="15" t="s">
        <v>236</v>
      </c>
      <c r="U254" s="15" t="s">
        <v>235</v>
      </c>
      <c r="V254" s="432"/>
      <c r="W254" s="166" t="s">
        <v>234</v>
      </c>
      <c r="X254" s="166">
        <v>10.4</v>
      </c>
      <c r="Y254" s="166" t="s">
        <v>233</v>
      </c>
      <c r="Z254" s="166">
        <v>360</v>
      </c>
      <c r="AA254" s="158" t="s">
        <v>232</v>
      </c>
      <c r="AB254" s="420">
        <v>250</v>
      </c>
      <c r="AC254" s="158" t="s">
        <v>231</v>
      </c>
      <c r="AD254" s="425">
        <v>0.25</v>
      </c>
      <c r="AE254" s="158" t="s">
        <v>230</v>
      </c>
      <c r="AF254" s="420">
        <v>1200</v>
      </c>
      <c r="AG254" s="419" t="s">
        <v>229</v>
      </c>
      <c r="AH254" s="419">
        <v>0.6</v>
      </c>
      <c r="AI254" s="166" t="s">
        <v>228</v>
      </c>
      <c r="AJ254" s="419">
        <v>0.91</v>
      </c>
      <c r="AK254" s="166" t="s">
        <v>227</v>
      </c>
      <c r="AL254" s="425">
        <v>0.66</v>
      </c>
      <c r="AM254" s="166"/>
      <c r="AN254" s="166"/>
      <c r="AO254" s="166"/>
      <c r="AP254" s="166"/>
      <c r="AQ254" s="166"/>
      <c r="AR254" s="166"/>
      <c r="AS254" s="166"/>
      <c r="AT254" s="166"/>
      <c r="AU254" s="363"/>
      <c r="AV254" s="363"/>
      <c r="AW254" s="363"/>
      <c r="AX254" s="363"/>
      <c r="AY254" s="364"/>
      <c r="AZ254" s="365"/>
      <c r="BA254" s="366"/>
      <c r="BB254" s="27"/>
    </row>
    <row r="255" spans="1:54">
      <c r="A255" s="2" t="str">
        <f t="shared" si="29"/>
        <v>Bus - CI Rebates_Infrared Heater</v>
      </c>
      <c r="B255" s="18">
        <v>252</v>
      </c>
      <c r="C255" s="18" t="s">
        <v>711</v>
      </c>
      <c r="D255" s="18" t="s">
        <v>295</v>
      </c>
      <c r="E255" s="23" t="s">
        <v>240</v>
      </c>
      <c r="F255" s="23">
        <v>150</v>
      </c>
      <c r="G255" s="154">
        <v>0.79</v>
      </c>
      <c r="H255" s="469">
        <v>12</v>
      </c>
      <c r="I255" s="458">
        <v>12</v>
      </c>
      <c r="J255" s="23">
        <v>0</v>
      </c>
      <c r="K255" s="23">
        <f t="shared" si="41"/>
        <v>0</v>
      </c>
      <c r="L255" s="23">
        <f t="shared" si="41"/>
        <v>0</v>
      </c>
      <c r="M255" s="23">
        <f t="shared" si="41"/>
        <v>0</v>
      </c>
      <c r="N255" s="216">
        <f>451/F255</f>
        <v>3.0066666666666668</v>
      </c>
      <c r="O255" s="215">
        <f t="shared" si="40"/>
        <v>3.0066666666666668</v>
      </c>
      <c r="P255" s="215">
        <f t="shared" si="40"/>
        <v>3.0066666666666668</v>
      </c>
      <c r="Q255" s="215">
        <f t="shared" si="40"/>
        <v>3.0066666666666668</v>
      </c>
      <c r="R255" s="15" t="s">
        <v>839</v>
      </c>
      <c r="S255" s="15" t="s">
        <v>841</v>
      </c>
      <c r="T255" s="15" t="s">
        <v>294</v>
      </c>
      <c r="U255" s="15" t="s">
        <v>293</v>
      </c>
      <c r="V255" s="166" t="s">
        <v>291</v>
      </c>
      <c r="W255" s="166" t="s">
        <v>292</v>
      </c>
      <c r="X255" s="433">
        <v>150</v>
      </c>
      <c r="Y255" s="166"/>
      <c r="Z255" s="166"/>
      <c r="AA255" s="158"/>
      <c r="AB255" s="166"/>
      <c r="AC255" s="158"/>
      <c r="AD255" s="166"/>
      <c r="AE255" s="158"/>
      <c r="AF255" s="166"/>
      <c r="AG255" s="166"/>
      <c r="AH255" s="166"/>
      <c r="AI255" s="166"/>
      <c r="AJ255" s="166"/>
      <c r="AK255" s="166"/>
      <c r="AL255" s="166"/>
      <c r="AM255" s="166"/>
      <c r="AN255" s="166"/>
      <c r="AO255" s="166"/>
      <c r="AP255" s="166"/>
      <c r="AQ255" s="166"/>
      <c r="AR255" s="166"/>
      <c r="AS255" s="166"/>
      <c r="AT255" s="166"/>
      <c r="AU255" s="363"/>
      <c r="AV255" s="363"/>
      <c r="AW255" s="363"/>
      <c r="AX255" s="363"/>
      <c r="AY255" s="364"/>
      <c r="AZ255" s="365"/>
      <c r="BA255" s="366"/>
      <c r="BB255" s="27"/>
    </row>
    <row r="256" spans="1:54">
      <c r="A256" s="2" t="str">
        <f t="shared" si="29"/>
        <v>Bus - CI Rebates_Modulating Commercial Gas Clothes Dryer</v>
      </c>
      <c r="B256" s="18">
        <v>253</v>
      </c>
      <c r="C256" s="18" t="s">
        <v>711</v>
      </c>
      <c r="D256" s="18" t="s">
        <v>290</v>
      </c>
      <c r="E256" s="23" t="s">
        <v>150</v>
      </c>
      <c r="F256" s="23">
        <v>1</v>
      </c>
      <c r="G256" s="154">
        <v>0.79</v>
      </c>
      <c r="H256" s="469">
        <v>14</v>
      </c>
      <c r="I256" s="458">
        <v>14</v>
      </c>
      <c r="J256" s="23">
        <v>0</v>
      </c>
      <c r="K256" s="23">
        <f t="shared" si="41"/>
        <v>0</v>
      </c>
      <c r="L256" s="23">
        <f t="shared" si="41"/>
        <v>0</v>
      </c>
      <c r="M256" s="23">
        <f t="shared" si="41"/>
        <v>0</v>
      </c>
      <c r="N256" s="216">
        <f>1483*0.18</f>
        <v>266.94</v>
      </c>
      <c r="O256" s="215">
        <f t="shared" si="40"/>
        <v>266.94</v>
      </c>
      <c r="P256" s="215">
        <f t="shared" si="40"/>
        <v>266.94</v>
      </c>
      <c r="Q256" s="215">
        <f t="shared" si="40"/>
        <v>266.94</v>
      </c>
      <c r="R256" s="15" t="s">
        <v>839</v>
      </c>
      <c r="S256" s="15" t="s">
        <v>841</v>
      </c>
      <c r="T256" s="15" t="s">
        <v>289</v>
      </c>
      <c r="U256" s="15" t="s">
        <v>288</v>
      </c>
      <c r="V256" s="166" t="s">
        <v>187</v>
      </c>
      <c r="W256" s="166"/>
      <c r="X256" s="166"/>
      <c r="Y256" s="166"/>
      <c r="Z256" s="166"/>
      <c r="AA256" s="158"/>
      <c r="AB256" s="166"/>
      <c r="AC256" s="158"/>
      <c r="AD256" s="166"/>
      <c r="AE256" s="158"/>
      <c r="AF256" s="166"/>
      <c r="AG256" s="166"/>
      <c r="AH256" s="166"/>
      <c r="AI256" s="166"/>
      <c r="AJ256" s="166"/>
      <c r="AK256" s="166"/>
      <c r="AL256" s="166"/>
      <c r="AM256" s="166"/>
      <c r="AN256" s="166"/>
      <c r="AO256" s="166"/>
      <c r="AP256" s="166"/>
      <c r="AQ256" s="166"/>
      <c r="AR256" s="166"/>
      <c r="AS256" s="166"/>
      <c r="AT256" s="166"/>
      <c r="AU256" s="363"/>
      <c r="AV256" s="363"/>
      <c r="AW256" s="363"/>
      <c r="AX256" s="363"/>
      <c r="AY256" s="364"/>
      <c r="AZ256" s="365"/>
      <c r="BA256" s="366"/>
      <c r="BB256" s="27"/>
    </row>
    <row r="257" spans="1:54">
      <c r="A257" s="2" t="str">
        <f t="shared" si="29"/>
        <v>Bus - CI Rebates_Ozone Laundry</v>
      </c>
      <c r="B257" s="18">
        <v>254</v>
      </c>
      <c r="C257" s="18" t="s">
        <v>711</v>
      </c>
      <c r="D257" s="18" t="s">
        <v>287</v>
      </c>
      <c r="E257" s="23" t="s">
        <v>237</v>
      </c>
      <c r="F257" s="23">
        <v>250</v>
      </c>
      <c r="G257" s="154">
        <v>0.79</v>
      </c>
      <c r="H257" s="469">
        <v>10</v>
      </c>
      <c r="I257" s="458">
        <v>10</v>
      </c>
      <c r="J257" s="23">
        <v>0</v>
      </c>
      <c r="K257" s="23">
        <f t="shared" si="41"/>
        <v>0</v>
      </c>
      <c r="L257" s="23">
        <f t="shared" si="41"/>
        <v>0</v>
      </c>
      <c r="M257" s="23">
        <f t="shared" si="41"/>
        <v>0</v>
      </c>
      <c r="N257" s="216">
        <f>X257*Z257*AB257*AD257/AF257</f>
        <v>30.722664192350027</v>
      </c>
      <c r="O257" s="215">
        <f t="shared" si="40"/>
        <v>30.722664192350027</v>
      </c>
      <c r="P257" s="215">
        <f t="shared" si="40"/>
        <v>30.722664192350027</v>
      </c>
      <c r="Q257" s="215">
        <f t="shared" si="40"/>
        <v>30.722664192350027</v>
      </c>
      <c r="R257" s="15" t="s">
        <v>839</v>
      </c>
      <c r="S257" s="15" t="s">
        <v>841</v>
      </c>
      <c r="T257" s="15" t="s">
        <v>286</v>
      </c>
      <c r="U257" s="15" t="s">
        <v>285</v>
      </c>
      <c r="V257" s="166" t="s">
        <v>278</v>
      </c>
      <c r="W257" s="166" t="s">
        <v>284</v>
      </c>
      <c r="X257" s="434">
        <v>8.8500000000000002E-3</v>
      </c>
      <c r="Y257" s="166" t="s">
        <v>283</v>
      </c>
      <c r="Z257" s="420">
        <v>916150</v>
      </c>
      <c r="AA257" s="158" t="s">
        <v>282</v>
      </c>
      <c r="AB257" s="166">
        <v>1.19</v>
      </c>
      <c r="AC257" s="158" t="s">
        <v>281</v>
      </c>
      <c r="AD257" s="419">
        <v>0.81</v>
      </c>
      <c r="AE257" s="158" t="s">
        <v>237</v>
      </c>
      <c r="AF257" s="166">
        <v>254.38</v>
      </c>
      <c r="AG257" s="166" t="s">
        <v>280</v>
      </c>
      <c r="AH257" s="425">
        <v>0.25</v>
      </c>
      <c r="AI257" s="166" t="s">
        <v>279</v>
      </c>
      <c r="AJ257" s="166">
        <v>2.0299999999999998</v>
      </c>
      <c r="AK257" s="166"/>
      <c r="AL257" s="166"/>
      <c r="AM257" s="166"/>
      <c r="AN257" s="166"/>
      <c r="AO257" s="166"/>
      <c r="AP257" s="166"/>
      <c r="AQ257" s="166"/>
      <c r="AR257" s="166"/>
      <c r="AS257" s="166"/>
      <c r="AT257" s="166"/>
      <c r="AU257" s="363"/>
      <c r="AV257" s="363"/>
      <c r="AW257" s="363"/>
      <c r="AX257" s="363"/>
      <c r="AY257" s="364"/>
      <c r="AZ257" s="365"/>
      <c r="BA257" s="366"/>
      <c r="BB257" s="27"/>
    </row>
    <row r="258" spans="1:54">
      <c r="A258" s="2" t="str">
        <f t="shared" si="29"/>
        <v>Bus - CI Rebates_Pipe Insulation - HW Small 1" to 2"</v>
      </c>
      <c r="B258" s="18">
        <v>255</v>
      </c>
      <c r="C258" s="18" t="s">
        <v>711</v>
      </c>
      <c r="D258" s="18" t="s">
        <v>217</v>
      </c>
      <c r="E258" s="23" t="s">
        <v>210</v>
      </c>
      <c r="F258" s="23">
        <v>75</v>
      </c>
      <c r="G258" s="154">
        <v>0.79</v>
      </c>
      <c r="H258" s="469">
        <v>15</v>
      </c>
      <c r="I258" s="458">
        <v>15</v>
      </c>
      <c r="J258" s="23">
        <v>35</v>
      </c>
      <c r="K258" s="23">
        <f t="shared" si="41"/>
        <v>35</v>
      </c>
      <c r="L258" s="23">
        <f t="shared" si="41"/>
        <v>35</v>
      </c>
      <c r="M258" s="23">
        <f t="shared" si="41"/>
        <v>35</v>
      </c>
      <c r="N258" s="216">
        <f>'Pipe Insulation Detail'!$B$47</f>
        <v>2.6588140926267867</v>
      </c>
      <c r="O258" s="215">
        <f t="shared" si="40"/>
        <v>2.6588140926267867</v>
      </c>
      <c r="P258" s="215">
        <f t="shared" si="40"/>
        <v>2.6588140926267867</v>
      </c>
      <c r="Q258" s="215">
        <f t="shared" si="40"/>
        <v>2.6588140926267867</v>
      </c>
      <c r="R258" s="15" t="s">
        <v>838</v>
      </c>
      <c r="S258" s="15" t="s">
        <v>841</v>
      </c>
      <c r="T258" s="15" t="s">
        <v>201</v>
      </c>
      <c r="U258" s="15" t="s">
        <v>200</v>
      </c>
      <c r="V258" s="435" t="s">
        <v>853</v>
      </c>
      <c r="W258" s="166"/>
      <c r="X258" s="166"/>
      <c r="Y258" s="166"/>
      <c r="Z258" s="166"/>
      <c r="AA258" s="158"/>
      <c r="AB258" s="166"/>
      <c r="AC258" s="158"/>
      <c r="AD258" s="166"/>
      <c r="AE258" s="158"/>
      <c r="AF258" s="166"/>
      <c r="AG258" s="166"/>
      <c r="AH258" s="166"/>
      <c r="AI258" s="166"/>
      <c r="AJ258" s="166"/>
      <c r="AK258" s="166"/>
      <c r="AL258" s="166"/>
      <c r="AM258" s="166"/>
      <c r="AN258" s="166"/>
      <c r="AO258" s="166"/>
      <c r="AP258" s="166"/>
      <c r="AQ258" s="166"/>
      <c r="AR258" s="166"/>
      <c r="AS258" s="166"/>
      <c r="AT258" s="166"/>
      <c r="AU258" s="363"/>
      <c r="AV258" s="363"/>
      <c r="AW258" s="363"/>
      <c r="AX258" s="363"/>
      <c r="AY258" s="364"/>
      <c r="AZ258" s="365"/>
      <c r="BA258" s="366"/>
      <c r="BB258" s="27"/>
    </row>
    <row r="259" spans="1:54">
      <c r="A259" s="2" t="str">
        <f t="shared" si="29"/>
        <v>Bus - CI Rebates_Pipe Insulation - HW Medium 2.1" to 4"</v>
      </c>
      <c r="B259" s="18">
        <v>256</v>
      </c>
      <c r="C259" s="18" t="s">
        <v>711</v>
      </c>
      <c r="D259" s="18" t="s">
        <v>216</v>
      </c>
      <c r="E259" s="23" t="s">
        <v>210</v>
      </c>
      <c r="F259" s="23">
        <v>75</v>
      </c>
      <c r="G259" s="154">
        <v>0.79</v>
      </c>
      <c r="H259" s="469">
        <v>15</v>
      </c>
      <c r="I259" s="458">
        <v>15</v>
      </c>
      <c r="J259" s="23">
        <v>35</v>
      </c>
      <c r="K259" s="23">
        <f t="shared" si="41"/>
        <v>35</v>
      </c>
      <c r="L259" s="23">
        <f t="shared" si="41"/>
        <v>35</v>
      </c>
      <c r="M259" s="23">
        <f t="shared" si="41"/>
        <v>35</v>
      </c>
      <c r="N259" s="216">
        <f>'Pipe Insulation Detail'!$B$48</f>
        <v>5.2492031493764015</v>
      </c>
      <c r="O259" s="215">
        <f t="shared" si="40"/>
        <v>5.2492031493764015</v>
      </c>
      <c r="P259" s="215">
        <f t="shared" si="40"/>
        <v>5.2492031493764015</v>
      </c>
      <c r="Q259" s="215">
        <f t="shared" si="40"/>
        <v>5.2492031493764015</v>
      </c>
      <c r="R259" s="15" t="s">
        <v>838</v>
      </c>
      <c r="S259" s="15" t="s">
        <v>841</v>
      </c>
      <c r="T259" s="15" t="s">
        <v>201</v>
      </c>
      <c r="U259" s="15" t="s">
        <v>200</v>
      </c>
      <c r="V259" s="435" t="s">
        <v>853</v>
      </c>
      <c r="W259" s="166"/>
      <c r="X259" s="166"/>
      <c r="Y259" s="166"/>
      <c r="Z259" s="166"/>
      <c r="AA259" s="158"/>
      <c r="AB259" s="166"/>
      <c r="AC259" s="158"/>
      <c r="AD259" s="166"/>
      <c r="AE259" s="158"/>
      <c r="AF259" s="166"/>
      <c r="AG259" s="166"/>
      <c r="AH259" s="166"/>
      <c r="AI259" s="166"/>
      <c r="AJ259" s="166"/>
      <c r="AK259" s="166"/>
      <c r="AL259" s="166"/>
      <c r="AM259" s="166"/>
      <c r="AN259" s="166"/>
      <c r="AO259" s="166"/>
      <c r="AP259" s="166"/>
      <c r="AQ259" s="166"/>
      <c r="AR259" s="166"/>
      <c r="AS259" s="166"/>
      <c r="AT259" s="166"/>
      <c r="AU259" s="363"/>
      <c r="AV259" s="363"/>
      <c r="AW259" s="363"/>
      <c r="AX259" s="363"/>
      <c r="AY259" s="364"/>
      <c r="AZ259" s="365"/>
      <c r="BA259" s="366"/>
      <c r="BB259" s="27"/>
    </row>
    <row r="260" spans="1:54">
      <c r="A260" s="2" t="str">
        <f t="shared" si="29"/>
        <v>Bus - CI Rebates_Pipe Insulation - HW Large &gt;4"</v>
      </c>
      <c r="B260" s="18">
        <v>257</v>
      </c>
      <c r="C260" s="18" t="s">
        <v>711</v>
      </c>
      <c r="D260" s="18" t="s">
        <v>215</v>
      </c>
      <c r="E260" s="23" t="s">
        <v>210</v>
      </c>
      <c r="F260" s="23">
        <v>75</v>
      </c>
      <c r="G260" s="154">
        <v>0.79</v>
      </c>
      <c r="H260" s="469">
        <v>15</v>
      </c>
      <c r="I260" s="458">
        <v>15</v>
      </c>
      <c r="J260" s="23">
        <v>12</v>
      </c>
      <c r="K260" s="23">
        <f t="shared" si="41"/>
        <v>12</v>
      </c>
      <c r="L260" s="23">
        <f t="shared" si="41"/>
        <v>12</v>
      </c>
      <c r="M260" s="23">
        <f t="shared" si="41"/>
        <v>12</v>
      </c>
      <c r="N260" s="216">
        <f>'Pipe Insulation Detail'!$B$49</f>
        <v>9.0407613085908682</v>
      </c>
      <c r="O260" s="215">
        <f t="shared" si="40"/>
        <v>9.0407613085908682</v>
      </c>
      <c r="P260" s="215">
        <f t="shared" si="40"/>
        <v>9.0407613085908682</v>
      </c>
      <c r="Q260" s="215">
        <f t="shared" si="40"/>
        <v>9.0407613085908682</v>
      </c>
      <c r="R260" s="15" t="s">
        <v>838</v>
      </c>
      <c r="S260" s="15" t="s">
        <v>841</v>
      </c>
      <c r="T260" s="15" t="s">
        <v>201</v>
      </c>
      <c r="U260" s="15" t="s">
        <v>200</v>
      </c>
      <c r="V260" s="435" t="s">
        <v>853</v>
      </c>
      <c r="W260" s="166"/>
      <c r="X260" s="166"/>
      <c r="Y260" s="166"/>
      <c r="Z260" s="166"/>
      <c r="AA260" s="158"/>
      <c r="AB260" s="166"/>
      <c r="AC260" s="158"/>
      <c r="AD260" s="166"/>
      <c r="AE260" s="158"/>
      <c r="AF260" s="166"/>
      <c r="AG260" s="166"/>
      <c r="AH260" s="166"/>
      <c r="AI260" s="166"/>
      <c r="AJ260" s="166"/>
      <c r="AK260" s="166"/>
      <c r="AL260" s="166"/>
      <c r="AM260" s="166"/>
      <c r="AN260" s="166"/>
      <c r="AO260" s="166"/>
      <c r="AP260" s="166"/>
      <c r="AQ260" s="166"/>
      <c r="AR260" s="166"/>
      <c r="AS260" s="166"/>
      <c r="AT260" s="166"/>
      <c r="AU260" s="363"/>
      <c r="AV260" s="363"/>
      <c r="AW260" s="363"/>
      <c r="AX260" s="363"/>
      <c r="AY260" s="364"/>
      <c r="AZ260" s="365"/>
      <c r="BA260" s="366"/>
      <c r="BB260" s="27"/>
    </row>
    <row r="261" spans="1:54">
      <c r="A261" s="2" t="str">
        <f t="shared" ref="A261:A324" si="42">C261&amp;"_"&amp;D261</f>
        <v>Bus - CI Rebates_Pipe Insulation - Steam - Small 1" to 2"</v>
      </c>
      <c r="B261" s="18">
        <v>258</v>
      </c>
      <c r="C261" s="18" t="s">
        <v>711</v>
      </c>
      <c r="D261" s="18" t="s">
        <v>214</v>
      </c>
      <c r="E261" s="23" t="s">
        <v>210</v>
      </c>
      <c r="F261" s="23">
        <v>75</v>
      </c>
      <c r="G261" s="154">
        <v>0.79</v>
      </c>
      <c r="H261" s="469">
        <v>15</v>
      </c>
      <c r="I261" s="458">
        <v>15</v>
      </c>
      <c r="J261" s="23">
        <v>0</v>
      </c>
      <c r="K261" s="23">
        <f t="shared" si="41"/>
        <v>0</v>
      </c>
      <c r="L261" s="23">
        <f t="shared" si="41"/>
        <v>0</v>
      </c>
      <c r="M261" s="23">
        <f t="shared" si="41"/>
        <v>0</v>
      </c>
      <c r="N261" s="216">
        <f>'Pipe Insulation Detail'!$B$50</f>
        <v>3.1854757047967208</v>
      </c>
      <c r="O261" s="215">
        <f t="shared" si="40"/>
        <v>3.1854757047967208</v>
      </c>
      <c r="P261" s="215">
        <f t="shared" si="40"/>
        <v>3.1854757047967208</v>
      </c>
      <c r="Q261" s="215">
        <f t="shared" si="40"/>
        <v>3.1854757047967208</v>
      </c>
      <c r="R261" s="15" t="s">
        <v>838</v>
      </c>
      <c r="S261" s="15" t="s">
        <v>841</v>
      </c>
      <c r="T261" s="15" t="s">
        <v>201</v>
      </c>
      <c r="U261" s="15" t="s">
        <v>200</v>
      </c>
      <c r="V261" s="435" t="s">
        <v>853</v>
      </c>
      <c r="W261" s="166"/>
      <c r="X261" s="166"/>
      <c r="Y261" s="166"/>
      <c r="Z261" s="166"/>
      <c r="AA261" s="158"/>
      <c r="AB261" s="166"/>
      <c r="AC261" s="158"/>
      <c r="AD261" s="166"/>
      <c r="AE261" s="158"/>
      <c r="AF261" s="166"/>
      <c r="AG261" s="166"/>
      <c r="AH261" s="166"/>
      <c r="AI261" s="166"/>
      <c r="AJ261" s="166"/>
      <c r="AK261" s="166"/>
      <c r="AL261" s="166"/>
      <c r="AM261" s="166"/>
      <c r="AN261" s="166"/>
      <c r="AO261" s="166"/>
      <c r="AP261" s="166"/>
      <c r="AQ261" s="166"/>
      <c r="AR261" s="166"/>
      <c r="AS261" s="166"/>
      <c r="AT261" s="166"/>
      <c r="AU261" s="363"/>
      <c r="AV261" s="363"/>
      <c r="AW261" s="363"/>
      <c r="AX261" s="363"/>
      <c r="AY261" s="364"/>
      <c r="AZ261" s="365"/>
      <c r="BA261" s="366"/>
      <c r="BB261" s="27"/>
    </row>
    <row r="262" spans="1:54">
      <c r="A262" s="2" t="str">
        <f t="shared" si="42"/>
        <v>Bus - CI Rebates_Pipe Insulation - Steam - Med 2.1" to 5"</v>
      </c>
      <c r="B262" s="18">
        <v>259</v>
      </c>
      <c r="C262" s="18" t="s">
        <v>711</v>
      </c>
      <c r="D262" s="18" t="s">
        <v>213</v>
      </c>
      <c r="E262" s="23" t="s">
        <v>210</v>
      </c>
      <c r="F262" s="23">
        <v>75</v>
      </c>
      <c r="G262" s="154">
        <v>0.79</v>
      </c>
      <c r="H262" s="469">
        <v>15</v>
      </c>
      <c r="I262" s="458">
        <v>15</v>
      </c>
      <c r="J262" s="23">
        <v>35</v>
      </c>
      <c r="K262" s="23">
        <f t="shared" si="41"/>
        <v>35</v>
      </c>
      <c r="L262" s="23">
        <f t="shared" si="41"/>
        <v>35</v>
      </c>
      <c r="M262" s="23">
        <f t="shared" si="41"/>
        <v>35</v>
      </c>
      <c r="N262" s="216">
        <f>'Pipe Insulation Detail'!$B$51</f>
        <v>13.148126788517139</v>
      </c>
      <c r="O262" s="215">
        <f t="shared" si="40"/>
        <v>13.148126788517139</v>
      </c>
      <c r="P262" s="215">
        <f t="shared" si="40"/>
        <v>13.148126788517139</v>
      </c>
      <c r="Q262" s="215">
        <f t="shared" si="40"/>
        <v>13.148126788517139</v>
      </c>
      <c r="R262" s="15" t="s">
        <v>838</v>
      </c>
      <c r="S262" s="15" t="s">
        <v>841</v>
      </c>
      <c r="T262" s="15" t="s">
        <v>201</v>
      </c>
      <c r="U262" s="15" t="s">
        <v>200</v>
      </c>
      <c r="V262" s="435" t="s">
        <v>853</v>
      </c>
      <c r="W262" s="166"/>
      <c r="X262" s="166"/>
      <c r="Y262" s="166"/>
      <c r="Z262" s="166"/>
      <c r="AA262" s="158"/>
      <c r="AB262" s="166"/>
      <c r="AC262" s="158"/>
      <c r="AD262" s="166"/>
      <c r="AE262" s="158"/>
      <c r="AF262" s="166"/>
      <c r="AG262" s="166"/>
      <c r="AH262" s="166"/>
      <c r="AI262" s="166"/>
      <c r="AJ262" s="166"/>
      <c r="AK262" s="166"/>
      <c r="AL262" s="166"/>
      <c r="AM262" s="166"/>
      <c r="AN262" s="166"/>
      <c r="AO262" s="166"/>
      <c r="AP262" s="166"/>
      <c r="AQ262" s="166"/>
      <c r="AR262" s="166"/>
      <c r="AS262" s="166"/>
      <c r="AT262" s="166"/>
      <c r="AU262" s="363"/>
      <c r="AV262" s="363"/>
      <c r="AW262" s="363"/>
      <c r="AX262" s="363"/>
      <c r="AY262" s="364"/>
      <c r="AZ262" s="365"/>
      <c r="BA262" s="366"/>
      <c r="BB262" s="27"/>
    </row>
    <row r="263" spans="1:54">
      <c r="A263" s="2" t="str">
        <f t="shared" si="42"/>
        <v>Bus - CI Rebates_Pipe Insulation - Steam - Large 5.1" to 8"</v>
      </c>
      <c r="B263" s="18">
        <v>260</v>
      </c>
      <c r="C263" s="18" t="s">
        <v>711</v>
      </c>
      <c r="D263" s="18" t="s">
        <v>212</v>
      </c>
      <c r="E263" s="23" t="s">
        <v>210</v>
      </c>
      <c r="F263" s="23">
        <v>75</v>
      </c>
      <c r="G263" s="154">
        <v>0.79</v>
      </c>
      <c r="H263" s="469">
        <v>15</v>
      </c>
      <c r="I263" s="458">
        <v>15</v>
      </c>
      <c r="J263" s="23">
        <v>4</v>
      </c>
      <c r="K263" s="23">
        <f t="shared" si="41"/>
        <v>4</v>
      </c>
      <c r="L263" s="23">
        <f t="shared" si="41"/>
        <v>4</v>
      </c>
      <c r="M263" s="23">
        <f t="shared" si="41"/>
        <v>4</v>
      </c>
      <c r="N263" s="216">
        <f>'Pipe Insulation Detail'!$B$52</f>
        <v>24.25563238537794</v>
      </c>
      <c r="O263" s="215">
        <f t="shared" si="40"/>
        <v>24.25563238537794</v>
      </c>
      <c r="P263" s="215">
        <f t="shared" si="40"/>
        <v>24.25563238537794</v>
      </c>
      <c r="Q263" s="215">
        <f t="shared" si="40"/>
        <v>24.25563238537794</v>
      </c>
      <c r="R263" s="15" t="s">
        <v>838</v>
      </c>
      <c r="S263" s="15" t="s">
        <v>841</v>
      </c>
      <c r="T263" s="15" t="s">
        <v>201</v>
      </c>
      <c r="U263" s="15" t="s">
        <v>200</v>
      </c>
      <c r="V263" s="435" t="s">
        <v>853</v>
      </c>
      <c r="W263" s="166"/>
      <c r="X263" s="166"/>
      <c r="Y263" s="166"/>
      <c r="Z263" s="166"/>
      <c r="AA263" s="158"/>
      <c r="AB263" s="166"/>
      <c r="AC263" s="158"/>
      <c r="AD263" s="166"/>
      <c r="AE263" s="158"/>
      <c r="AF263" s="166"/>
      <c r="AG263" s="166"/>
      <c r="AH263" s="166"/>
      <c r="AI263" s="166"/>
      <c r="AJ263" s="166"/>
      <c r="AK263" s="166"/>
      <c r="AL263" s="166"/>
      <c r="AM263" s="166"/>
      <c r="AN263" s="166"/>
      <c r="AO263" s="166"/>
      <c r="AP263" s="166"/>
      <c r="AQ263" s="166"/>
      <c r="AR263" s="166"/>
      <c r="AS263" s="166"/>
      <c r="AT263" s="166"/>
      <c r="AU263" s="363"/>
      <c r="AV263" s="363"/>
      <c r="AW263" s="363"/>
      <c r="AX263" s="363"/>
      <c r="AY263" s="364"/>
      <c r="AZ263" s="365"/>
      <c r="BA263" s="366"/>
      <c r="BB263" s="27"/>
    </row>
    <row r="264" spans="1:54">
      <c r="A264" s="2" t="str">
        <f t="shared" si="42"/>
        <v>Bus - CI Rebates_Pipe Insulation - Steam - X-Large &gt;8"</v>
      </c>
      <c r="B264" s="18">
        <v>261</v>
      </c>
      <c r="C264" s="18" t="s">
        <v>711</v>
      </c>
      <c r="D264" s="18" t="s">
        <v>211</v>
      </c>
      <c r="E264" s="23" t="s">
        <v>210</v>
      </c>
      <c r="F264" s="23">
        <v>75</v>
      </c>
      <c r="G264" s="154">
        <v>0.79</v>
      </c>
      <c r="H264" s="469">
        <v>15</v>
      </c>
      <c r="I264" s="458">
        <v>15</v>
      </c>
      <c r="J264" s="23">
        <v>0</v>
      </c>
      <c r="K264" s="23">
        <f t="shared" si="41"/>
        <v>0</v>
      </c>
      <c r="L264" s="23">
        <f t="shared" si="41"/>
        <v>0</v>
      </c>
      <c r="M264" s="23">
        <f t="shared" si="41"/>
        <v>0</v>
      </c>
      <c r="N264" s="216">
        <f>'Pipe Insulation Detail'!$B$53</f>
        <v>35.984797966765058</v>
      </c>
      <c r="O264" s="215">
        <f t="shared" si="40"/>
        <v>35.984797966765058</v>
      </c>
      <c r="P264" s="215">
        <f t="shared" si="40"/>
        <v>35.984797966765058</v>
      </c>
      <c r="Q264" s="215">
        <f t="shared" si="40"/>
        <v>35.984797966765058</v>
      </c>
      <c r="R264" s="15" t="s">
        <v>838</v>
      </c>
      <c r="S264" s="15" t="s">
        <v>841</v>
      </c>
      <c r="T264" s="15" t="s">
        <v>201</v>
      </c>
      <c r="U264" s="15" t="s">
        <v>200</v>
      </c>
      <c r="V264" s="435" t="s">
        <v>853</v>
      </c>
      <c r="W264" s="166"/>
      <c r="X264" s="166"/>
      <c r="Y264" s="166"/>
      <c r="Z264" s="166"/>
      <c r="AA264" s="158"/>
      <c r="AB264" s="166"/>
      <c r="AC264" s="158"/>
      <c r="AD264" s="166"/>
      <c r="AE264" s="158"/>
      <c r="AF264" s="166"/>
      <c r="AG264" s="166"/>
      <c r="AH264" s="166"/>
      <c r="AI264" s="166"/>
      <c r="AJ264" s="166"/>
      <c r="AK264" s="166"/>
      <c r="AL264" s="166"/>
      <c r="AM264" s="166"/>
      <c r="AN264" s="166"/>
      <c r="AO264" s="166"/>
      <c r="AP264" s="166"/>
      <c r="AQ264" s="166"/>
      <c r="AR264" s="166"/>
      <c r="AS264" s="166"/>
      <c r="AT264" s="166"/>
      <c r="AU264" s="363"/>
      <c r="AV264" s="363"/>
      <c r="AW264" s="363"/>
      <c r="AX264" s="363"/>
      <c r="AY264" s="364"/>
      <c r="AZ264" s="365"/>
      <c r="BA264" s="366"/>
      <c r="BB264" s="27"/>
    </row>
    <row r="265" spans="1:54">
      <c r="A265" s="2" t="str">
        <f t="shared" si="42"/>
        <v>Bus - CI Rebates_Pipe Insulation - Steam Med Fitting</v>
      </c>
      <c r="B265" s="18">
        <v>262</v>
      </c>
      <c r="C265" s="18" t="s">
        <v>711</v>
      </c>
      <c r="D265" s="18" t="s">
        <v>208</v>
      </c>
      <c r="E265" s="23" t="s">
        <v>150</v>
      </c>
      <c r="F265" s="23">
        <v>1</v>
      </c>
      <c r="G265" s="154">
        <v>0.79</v>
      </c>
      <c r="H265" s="469">
        <v>15</v>
      </c>
      <c r="I265" s="458">
        <v>15</v>
      </c>
      <c r="J265" s="23">
        <v>0</v>
      </c>
      <c r="K265" s="23">
        <f t="shared" si="41"/>
        <v>0</v>
      </c>
      <c r="L265" s="23">
        <f t="shared" si="41"/>
        <v>0</v>
      </c>
      <c r="M265" s="23">
        <f t="shared" si="41"/>
        <v>0</v>
      </c>
      <c r="N265" s="216">
        <f>'Pipe Insulation Detail'!$B$55</f>
        <v>12.515179237984789</v>
      </c>
      <c r="O265" s="215">
        <f t="shared" si="40"/>
        <v>12.515179237984789</v>
      </c>
      <c r="P265" s="215">
        <f t="shared" si="40"/>
        <v>12.515179237984789</v>
      </c>
      <c r="Q265" s="215">
        <f t="shared" si="40"/>
        <v>12.515179237984789</v>
      </c>
      <c r="R265" s="15" t="s">
        <v>838</v>
      </c>
      <c r="S265" s="15" t="s">
        <v>841</v>
      </c>
      <c r="T265" s="15" t="s">
        <v>201</v>
      </c>
      <c r="U265" s="15" t="s">
        <v>200</v>
      </c>
      <c r="V265" s="435" t="s">
        <v>853</v>
      </c>
      <c r="W265" s="166"/>
      <c r="X265" s="166"/>
      <c r="Y265" s="166"/>
      <c r="Z265" s="166"/>
      <c r="AA265" s="158"/>
      <c r="AB265" s="166"/>
      <c r="AC265" s="158"/>
      <c r="AD265" s="166"/>
      <c r="AE265" s="158"/>
      <c r="AF265" s="166"/>
      <c r="AG265" s="166"/>
      <c r="AH265" s="166"/>
      <c r="AI265" s="166"/>
      <c r="AJ265" s="166"/>
      <c r="AK265" s="166"/>
      <c r="AL265" s="166"/>
      <c r="AM265" s="166"/>
      <c r="AN265" s="166"/>
      <c r="AO265" s="166"/>
      <c r="AP265" s="166"/>
      <c r="AQ265" s="166"/>
      <c r="AR265" s="166"/>
      <c r="AS265" s="166"/>
      <c r="AT265" s="166"/>
      <c r="AU265" s="363"/>
      <c r="AV265" s="363"/>
      <c r="AW265" s="363"/>
      <c r="AX265" s="363"/>
      <c r="AY265" s="364"/>
      <c r="AZ265" s="365"/>
      <c r="BA265" s="366"/>
      <c r="BB265" s="27"/>
    </row>
    <row r="266" spans="1:54">
      <c r="A266" s="2" t="str">
        <f t="shared" si="42"/>
        <v>Bus - CI Rebates_Pipe Insulation - Steam Large Fitting</v>
      </c>
      <c r="B266" s="18">
        <v>263</v>
      </c>
      <c r="C266" s="18" t="s">
        <v>711</v>
      </c>
      <c r="D266" s="18" t="s">
        <v>207</v>
      </c>
      <c r="E266" s="23" t="s">
        <v>150</v>
      </c>
      <c r="F266" s="23">
        <v>1</v>
      </c>
      <c r="G266" s="154">
        <v>0.79</v>
      </c>
      <c r="H266" s="469">
        <v>15</v>
      </c>
      <c r="I266" s="458">
        <v>15</v>
      </c>
      <c r="J266" s="23">
        <v>35</v>
      </c>
      <c r="K266" s="23">
        <f t="shared" si="41"/>
        <v>35</v>
      </c>
      <c r="L266" s="23">
        <f t="shared" si="41"/>
        <v>35</v>
      </c>
      <c r="M266" s="23">
        <f t="shared" si="41"/>
        <v>35</v>
      </c>
      <c r="N266" s="216">
        <f>'Pipe Insulation Detail'!$B$56</f>
        <v>51.249515380658096</v>
      </c>
      <c r="O266" s="215">
        <f t="shared" ref="O266:Q285" si="43">N266</f>
        <v>51.249515380658096</v>
      </c>
      <c r="P266" s="215">
        <f t="shared" si="43"/>
        <v>51.249515380658096</v>
      </c>
      <c r="Q266" s="215">
        <f t="shared" si="43"/>
        <v>51.249515380658096</v>
      </c>
      <c r="R266" s="15" t="s">
        <v>838</v>
      </c>
      <c r="S266" s="15" t="s">
        <v>841</v>
      </c>
      <c r="T266" s="15" t="s">
        <v>201</v>
      </c>
      <c r="U266" s="15" t="s">
        <v>200</v>
      </c>
      <c r="V266" s="435" t="s">
        <v>853</v>
      </c>
      <c r="W266" s="166"/>
      <c r="X266" s="166"/>
      <c r="Y266" s="166"/>
      <c r="Z266" s="166"/>
      <c r="AA266" s="158"/>
      <c r="AB266" s="166"/>
      <c r="AC266" s="158"/>
      <c r="AD266" s="166"/>
      <c r="AE266" s="158"/>
      <c r="AF266" s="166"/>
      <c r="AG266" s="166"/>
      <c r="AH266" s="166"/>
      <c r="AI266" s="166"/>
      <c r="AJ266" s="166"/>
      <c r="AK266" s="166"/>
      <c r="AL266" s="166"/>
      <c r="AM266" s="166"/>
      <c r="AN266" s="166"/>
      <c r="AO266" s="166"/>
      <c r="AP266" s="166"/>
      <c r="AQ266" s="166"/>
      <c r="AR266" s="166"/>
      <c r="AS266" s="166"/>
      <c r="AT266" s="166"/>
      <c r="AU266" s="363"/>
      <c r="AV266" s="363"/>
      <c r="AW266" s="363"/>
      <c r="AX266" s="363"/>
      <c r="AY266" s="364"/>
      <c r="AZ266" s="365"/>
      <c r="BA266" s="366"/>
      <c r="BB266" s="27"/>
    </row>
    <row r="267" spans="1:54">
      <c r="A267" s="2" t="str">
        <f t="shared" si="42"/>
        <v>Bus - CI Rebates_Pipe Insulation - Steam X-Large Fitting</v>
      </c>
      <c r="B267" s="18">
        <v>264</v>
      </c>
      <c r="C267" s="18" t="s">
        <v>711</v>
      </c>
      <c r="D267" s="18" t="s">
        <v>206</v>
      </c>
      <c r="E267" s="23" t="s">
        <v>150</v>
      </c>
      <c r="F267" s="23">
        <v>1</v>
      </c>
      <c r="G267" s="154">
        <v>0.79</v>
      </c>
      <c r="H267" s="469">
        <v>15</v>
      </c>
      <c r="I267" s="458">
        <v>15</v>
      </c>
      <c r="J267" s="23">
        <v>0</v>
      </c>
      <c r="K267" s="23">
        <f t="shared" si="41"/>
        <v>0</v>
      </c>
      <c r="L267" s="23">
        <f t="shared" si="41"/>
        <v>0</v>
      </c>
      <c r="M267" s="23">
        <f t="shared" si="41"/>
        <v>0</v>
      </c>
      <c r="N267" s="216">
        <f>'Pipe Insulation Detail'!$B$57</f>
        <v>99.138118398437726</v>
      </c>
      <c r="O267" s="215">
        <f t="shared" si="43"/>
        <v>99.138118398437726</v>
      </c>
      <c r="P267" s="215">
        <f t="shared" si="43"/>
        <v>99.138118398437726</v>
      </c>
      <c r="Q267" s="215">
        <f t="shared" si="43"/>
        <v>99.138118398437726</v>
      </c>
      <c r="R267" s="15" t="s">
        <v>838</v>
      </c>
      <c r="S267" s="15" t="s">
        <v>841</v>
      </c>
      <c r="T267" s="15" t="s">
        <v>201</v>
      </c>
      <c r="U267" s="15" t="s">
        <v>200</v>
      </c>
      <c r="V267" s="435" t="s">
        <v>853</v>
      </c>
      <c r="W267" s="166"/>
      <c r="X267" s="166"/>
      <c r="Y267" s="166"/>
      <c r="Z267" s="166"/>
      <c r="AA267" s="158"/>
      <c r="AB267" s="166"/>
      <c r="AC267" s="158"/>
      <c r="AD267" s="166"/>
      <c r="AE267" s="158"/>
      <c r="AF267" s="166"/>
      <c r="AG267" s="166"/>
      <c r="AH267" s="166"/>
      <c r="AI267" s="166"/>
      <c r="AJ267" s="166"/>
      <c r="AK267" s="166"/>
      <c r="AL267" s="166"/>
      <c r="AM267" s="166"/>
      <c r="AN267" s="166"/>
      <c r="AO267" s="166"/>
      <c r="AP267" s="166"/>
      <c r="AQ267" s="166"/>
      <c r="AR267" s="166"/>
      <c r="AS267" s="166"/>
      <c r="AT267" s="166"/>
      <c r="AU267" s="363"/>
      <c r="AV267" s="363"/>
      <c r="AW267" s="363"/>
      <c r="AX267" s="363"/>
      <c r="AY267" s="364"/>
      <c r="AZ267" s="365"/>
      <c r="BA267" s="366"/>
      <c r="BB267" s="27"/>
    </row>
    <row r="268" spans="1:54">
      <c r="A268" s="2" t="str">
        <f t="shared" si="42"/>
        <v>Bus - CI Rebates_Pipe Insulation - Steam Med Valve</v>
      </c>
      <c r="B268" s="18">
        <v>265</v>
      </c>
      <c r="C268" s="18" t="s">
        <v>711</v>
      </c>
      <c r="D268" s="18" t="s">
        <v>204</v>
      </c>
      <c r="E268" s="23" t="s">
        <v>150</v>
      </c>
      <c r="F268" s="23">
        <v>1</v>
      </c>
      <c r="G268" s="154">
        <v>0.79</v>
      </c>
      <c r="H268" s="469">
        <v>15</v>
      </c>
      <c r="I268" s="458">
        <v>15</v>
      </c>
      <c r="J268" s="23">
        <v>0</v>
      </c>
      <c r="K268" s="23">
        <f t="shared" ref="K268:M287" si="44">J268</f>
        <v>0</v>
      </c>
      <c r="L268" s="23">
        <f t="shared" si="44"/>
        <v>0</v>
      </c>
      <c r="M268" s="23">
        <f t="shared" si="44"/>
        <v>0</v>
      </c>
      <c r="N268" s="216">
        <f>'Pipe Insulation Detail'!$B$59</f>
        <v>37.423389683572815</v>
      </c>
      <c r="O268" s="215">
        <f t="shared" si="43"/>
        <v>37.423389683572815</v>
      </c>
      <c r="P268" s="215">
        <f t="shared" si="43"/>
        <v>37.423389683572815</v>
      </c>
      <c r="Q268" s="215">
        <f t="shared" si="43"/>
        <v>37.423389683572815</v>
      </c>
      <c r="R268" s="15" t="s">
        <v>838</v>
      </c>
      <c r="S268" s="15" t="s">
        <v>841</v>
      </c>
      <c r="T268" s="15" t="s">
        <v>201</v>
      </c>
      <c r="U268" s="15" t="s">
        <v>200</v>
      </c>
      <c r="V268" s="435" t="s">
        <v>853</v>
      </c>
      <c r="W268" s="166"/>
      <c r="X268" s="166"/>
      <c r="Y268" s="166"/>
      <c r="Z268" s="166"/>
      <c r="AA268" s="158"/>
      <c r="AB268" s="166"/>
      <c r="AC268" s="158"/>
      <c r="AD268" s="166"/>
      <c r="AE268" s="158"/>
      <c r="AF268" s="166"/>
      <c r="AG268" s="166"/>
      <c r="AH268" s="166"/>
      <c r="AI268" s="166"/>
      <c r="AJ268" s="166"/>
      <c r="AK268" s="166"/>
      <c r="AL268" s="166"/>
      <c r="AM268" s="166"/>
      <c r="AN268" s="166"/>
      <c r="AO268" s="166"/>
      <c r="AP268" s="166"/>
      <c r="AQ268" s="166"/>
      <c r="AR268" s="166"/>
      <c r="AS268" s="166"/>
      <c r="AT268" s="166"/>
      <c r="AU268" s="363"/>
      <c r="AV268" s="363"/>
      <c r="AW268" s="363"/>
      <c r="AX268" s="363"/>
      <c r="AY268" s="364"/>
      <c r="AZ268" s="365"/>
      <c r="BA268" s="366"/>
      <c r="BB268" s="27"/>
    </row>
    <row r="269" spans="1:54">
      <c r="A269" s="2" t="str">
        <f t="shared" si="42"/>
        <v>Bus - CI Rebates_Pipe Insulation - Steam Large Valve</v>
      </c>
      <c r="B269" s="18">
        <v>266</v>
      </c>
      <c r="C269" s="18" t="s">
        <v>711</v>
      </c>
      <c r="D269" s="18" t="s">
        <v>203</v>
      </c>
      <c r="E269" s="23" t="s">
        <v>150</v>
      </c>
      <c r="F269" s="23">
        <v>1</v>
      </c>
      <c r="G269" s="154">
        <v>0.79</v>
      </c>
      <c r="H269" s="469">
        <v>15</v>
      </c>
      <c r="I269" s="458">
        <v>15</v>
      </c>
      <c r="J269" s="23">
        <v>12</v>
      </c>
      <c r="K269" s="23">
        <f t="shared" si="44"/>
        <v>12</v>
      </c>
      <c r="L269" s="23">
        <f t="shared" si="44"/>
        <v>12</v>
      </c>
      <c r="M269" s="23">
        <f t="shared" si="44"/>
        <v>12</v>
      </c>
      <c r="N269" s="216">
        <f>'Pipe Insulation Detail'!$B$60</f>
        <v>107.52607289087437</v>
      </c>
      <c r="O269" s="215">
        <f t="shared" si="43"/>
        <v>107.52607289087437</v>
      </c>
      <c r="P269" s="215">
        <f t="shared" si="43"/>
        <v>107.52607289087437</v>
      </c>
      <c r="Q269" s="215">
        <f t="shared" si="43"/>
        <v>107.52607289087437</v>
      </c>
      <c r="R269" s="15" t="s">
        <v>838</v>
      </c>
      <c r="S269" s="15" t="s">
        <v>841</v>
      </c>
      <c r="T269" s="15" t="s">
        <v>201</v>
      </c>
      <c r="U269" s="15" t="s">
        <v>200</v>
      </c>
      <c r="V269" s="435" t="s">
        <v>853</v>
      </c>
      <c r="W269" s="166"/>
      <c r="X269" s="166"/>
      <c r="Y269" s="166"/>
      <c r="Z269" s="166"/>
      <c r="AA269" s="158"/>
      <c r="AB269" s="166"/>
      <c r="AC269" s="158"/>
      <c r="AD269" s="166"/>
      <c r="AE269" s="158"/>
      <c r="AF269" s="166"/>
      <c r="AG269" s="166"/>
      <c r="AH269" s="166"/>
      <c r="AI269" s="166"/>
      <c r="AJ269" s="166"/>
      <c r="AK269" s="166"/>
      <c r="AL269" s="166"/>
      <c r="AM269" s="166"/>
      <c r="AN269" s="166"/>
      <c r="AO269" s="166"/>
      <c r="AP269" s="166"/>
      <c r="AQ269" s="166"/>
      <c r="AR269" s="166"/>
      <c r="AS269" s="166"/>
      <c r="AT269" s="166"/>
      <c r="AU269" s="363"/>
      <c r="AV269" s="363"/>
      <c r="AW269" s="363"/>
      <c r="AX269" s="363"/>
      <c r="AY269" s="364"/>
      <c r="AZ269" s="365"/>
      <c r="BA269" s="366"/>
      <c r="BB269" s="27"/>
    </row>
    <row r="270" spans="1:54">
      <c r="A270" s="2" t="str">
        <f t="shared" si="42"/>
        <v>Bus - CI Rebates_Pipe Insulation - Steam X-Large Valve</v>
      </c>
      <c r="B270" s="18">
        <v>267</v>
      </c>
      <c r="C270" s="18" t="s">
        <v>711</v>
      </c>
      <c r="D270" s="18" t="s">
        <v>202</v>
      </c>
      <c r="E270" s="23" t="s">
        <v>150</v>
      </c>
      <c r="F270" s="23">
        <v>1</v>
      </c>
      <c r="G270" s="154">
        <v>0.79</v>
      </c>
      <c r="H270" s="469">
        <v>15</v>
      </c>
      <c r="I270" s="458">
        <v>15</v>
      </c>
      <c r="J270" s="23">
        <v>0</v>
      </c>
      <c r="K270" s="23">
        <f t="shared" si="44"/>
        <v>0</v>
      </c>
      <c r="L270" s="23">
        <f t="shared" si="44"/>
        <v>0</v>
      </c>
      <c r="M270" s="23">
        <f t="shared" si="44"/>
        <v>0</v>
      </c>
      <c r="N270" s="216">
        <f>'Pipe Insulation Detail'!$B$61</f>
        <v>175.06254164158375</v>
      </c>
      <c r="O270" s="215">
        <f t="shared" si="43"/>
        <v>175.06254164158375</v>
      </c>
      <c r="P270" s="215">
        <f t="shared" si="43"/>
        <v>175.06254164158375</v>
      </c>
      <c r="Q270" s="215">
        <f t="shared" si="43"/>
        <v>175.06254164158375</v>
      </c>
      <c r="R270" s="15" t="s">
        <v>838</v>
      </c>
      <c r="S270" s="15" t="s">
        <v>841</v>
      </c>
      <c r="T270" s="15" t="s">
        <v>201</v>
      </c>
      <c r="U270" s="15" t="s">
        <v>200</v>
      </c>
      <c r="V270" s="435" t="s">
        <v>853</v>
      </c>
      <c r="W270" s="166"/>
      <c r="X270" s="166"/>
      <c r="Y270" s="166"/>
      <c r="Z270" s="166"/>
      <c r="AA270" s="158"/>
      <c r="AB270" s="166"/>
      <c r="AC270" s="158"/>
      <c r="AD270" s="166"/>
      <c r="AE270" s="158"/>
      <c r="AF270" s="166"/>
      <c r="AG270" s="166"/>
      <c r="AH270" s="166"/>
      <c r="AI270" s="166"/>
      <c r="AJ270" s="166"/>
      <c r="AK270" s="166"/>
      <c r="AL270" s="166"/>
      <c r="AM270" s="166"/>
      <c r="AN270" s="166"/>
      <c r="AO270" s="166"/>
      <c r="AP270" s="166"/>
      <c r="AQ270" s="166"/>
      <c r="AR270" s="166"/>
      <c r="AS270" s="166"/>
      <c r="AT270" s="166"/>
      <c r="AU270" s="363"/>
      <c r="AV270" s="363"/>
      <c r="AW270" s="363"/>
      <c r="AX270" s="363"/>
      <c r="AY270" s="364"/>
      <c r="AZ270" s="365"/>
      <c r="BA270" s="366"/>
      <c r="BB270" s="27"/>
    </row>
    <row r="271" spans="1:54">
      <c r="A271" s="2" t="str">
        <f t="shared" si="42"/>
        <v>Bus - CI Rebates_Pre Rinse Sprayer</v>
      </c>
      <c r="B271" s="18">
        <v>268</v>
      </c>
      <c r="C271" s="18" t="s">
        <v>711</v>
      </c>
      <c r="D271" s="18" t="s">
        <v>710</v>
      </c>
      <c r="E271" s="23" t="s">
        <v>150</v>
      </c>
      <c r="F271" s="23">
        <v>1</v>
      </c>
      <c r="G271" s="154">
        <v>0.79</v>
      </c>
      <c r="H271" s="469">
        <v>5</v>
      </c>
      <c r="I271" s="458">
        <v>5</v>
      </c>
      <c r="J271" s="23">
        <v>0</v>
      </c>
      <c r="K271" s="23">
        <f t="shared" si="44"/>
        <v>0</v>
      </c>
      <c r="L271" s="23">
        <f t="shared" si="44"/>
        <v>0</v>
      </c>
      <c r="M271" s="23">
        <f t="shared" si="44"/>
        <v>0</v>
      </c>
      <c r="N271" s="215">
        <f>(X271-Z271)*60*AB271*AD271*8.33*1*(AF271-AH271)*(1/AJ271)/100000</f>
        <v>102.33405</v>
      </c>
      <c r="O271" s="215">
        <f t="shared" si="43"/>
        <v>102.33405</v>
      </c>
      <c r="P271" s="215">
        <f t="shared" si="43"/>
        <v>102.33405</v>
      </c>
      <c r="Q271" s="215">
        <f t="shared" si="43"/>
        <v>102.33405</v>
      </c>
      <c r="R271" s="15" t="s">
        <v>839</v>
      </c>
      <c r="S271" s="15" t="s">
        <v>841</v>
      </c>
      <c r="T271" s="15" t="s">
        <v>351</v>
      </c>
      <c r="U271" s="15" t="s">
        <v>350</v>
      </c>
      <c r="V271" s="157" t="s">
        <v>344</v>
      </c>
      <c r="W271" s="412" t="s">
        <v>349</v>
      </c>
      <c r="X271" s="485">
        <v>1.23</v>
      </c>
      <c r="Y271" s="412" t="s">
        <v>348</v>
      </c>
      <c r="Z271" s="486">
        <v>0.98</v>
      </c>
      <c r="AA271" s="412" t="s">
        <v>347</v>
      </c>
      <c r="AB271" s="440">
        <v>3</v>
      </c>
      <c r="AC271" s="412" t="s">
        <v>346</v>
      </c>
      <c r="AD271" s="412">
        <v>312</v>
      </c>
      <c r="AE271" s="412" t="s">
        <v>251</v>
      </c>
      <c r="AF271" s="441">
        <f>70+AH271</f>
        <v>124.1</v>
      </c>
      <c r="AG271" s="412" t="s">
        <v>250</v>
      </c>
      <c r="AH271" s="487">
        <v>54.1</v>
      </c>
      <c r="AI271" s="412" t="s">
        <v>345</v>
      </c>
      <c r="AJ271" s="414">
        <v>0.8</v>
      </c>
      <c r="AK271" s="166"/>
      <c r="AL271" s="166"/>
      <c r="AM271" s="166"/>
      <c r="AN271" s="166"/>
      <c r="AO271" s="166"/>
      <c r="AP271" s="166"/>
      <c r="AQ271" s="166"/>
      <c r="AR271" s="166"/>
      <c r="AS271" s="166"/>
      <c r="AT271" s="166"/>
      <c r="AU271" s="363"/>
      <c r="AV271" s="363"/>
      <c r="AW271" s="363"/>
      <c r="AX271" s="363"/>
      <c r="AY271" s="364"/>
      <c r="AZ271" s="365"/>
      <c r="BA271" s="366"/>
      <c r="BB271" s="27"/>
    </row>
    <row r="272" spans="1:54">
      <c r="A272" s="2" t="str">
        <f t="shared" si="42"/>
        <v>Bus - CI Rebates_Steam Boiler ≥82% AFUE, &gt;300MBh TE</v>
      </c>
      <c r="B272" s="18">
        <v>269</v>
      </c>
      <c r="C272" s="18" t="s">
        <v>711</v>
      </c>
      <c r="D272" s="18" t="s">
        <v>723</v>
      </c>
      <c r="E272" s="23" t="s">
        <v>240</v>
      </c>
      <c r="F272" s="23">
        <v>500</v>
      </c>
      <c r="G272" s="154">
        <v>0.79</v>
      </c>
      <c r="H272" s="469">
        <v>20</v>
      </c>
      <c r="I272" s="458">
        <v>20</v>
      </c>
      <c r="J272" s="23">
        <v>5</v>
      </c>
      <c r="K272" s="23">
        <f t="shared" si="44"/>
        <v>5</v>
      </c>
      <c r="L272" s="23">
        <f t="shared" si="44"/>
        <v>5</v>
      </c>
      <c r="M272" s="23">
        <f t="shared" si="44"/>
        <v>5</v>
      </c>
      <c r="N272" s="216">
        <f>X272*Z272*((AB272-AD272)/AD272)/100000/F272</f>
        <v>0.63721518987341585</v>
      </c>
      <c r="O272" s="215">
        <f t="shared" si="43"/>
        <v>0.63721518987341585</v>
      </c>
      <c r="P272" s="215">
        <f t="shared" si="43"/>
        <v>0.63721518987341585</v>
      </c>
      <c r="Q272" s="215">
        <f t="shared" si="43"/>
        <v>0.63721518987341585</v>
      </c>
      <c r="R272" s="15" t="s">
        <v>839</v>
      </c>
      <c r="S272" s="15" t="s">
        <v>841</v>
      </c>
      <c r="T272" s="15" t="s">
        <v>343</v>
      </c>
      <c r="U272" s="15" t="s">
        <v>342</v>
      </c>
      <c r="V272" s="166" t="s">
        <v>340</v>
      </c>
      <c r="W272" s="492" t="s">
        <v>271</v>
      </c>
      <c r="X272" s="491">
        <v>1678</v>
      </c>
      <c r="Y272" s="158" t="s">
        <v>273</v>
      </c>
      <c r="Z272" s="420">
        <v>500000</v>
      </c>
      <c r="AA272" s="158" t="s">
        <v>341</v>
      </c>
      <c r="AB272" s="430">
        <v>0.82</v>
      </c>
      <c r="AC272" s="166" t="s">
        <v>248</v>
      </c>
      <c r="AD272" s="419">
        <v>0.79</v>
      </c>
      <c r="AE272" s="166"/>
      <c r="AF272" s="166"/>
      <c r="AG272" s="166"/>
      <c r="AH272" s="166"/>
      <c r="AI272" s="436"/>
      <c r="AJ272" s="437"/>
      <c r="AK272" s="436"/>
      <c r="AL272" s="419"/>
      <c r="AM272" s="166"/>
      <c r="AN272" s="166"/>
      <c r="AO272" s="166"/>
      <c r="AP272" s="166"/>
      <c r="AQ272" s="166"/>
      <c r="AR272" s="166"/>
      <c r="AS272" s="166"/>
      <c r="AT272" s="166"/>
      <c r="AU272" s="363"/>
      <c r="AV272" s="363"/>
      <c r="AW272" s="363"/>
      <c r="AX272" s="363"/>
      <c r="AY272" s="364"/>
      <c r="AZ272" s="365"/>
      <c r="BA272" s="366"/>
      <c r="BB272" s="27"/>
    </row>
    <row r="273" spans="1:54">
      <c r="A273" s="2" t="str">
        <f t="shared" si="42"/>
        <v>Bus - CI Rebates_Steam Traps - Dry Cleaner/Industrial</v>
      </c>
      <c r="B273" s="18">
        <v>270</v>
      </c>
      <c r="C273" s="18" t="s">
        <v>711</v>
      </c>
      <c r="D273" s="18" t="s">
        <v>269</v>
      </c>
      <c r="E273" s="23" t="s">
        <v>150</v>
      </c>
      <c r="F273" s="23">
        <v>1</v>
      </c>
      <c r="G273" s="154">
        <v>0.79</v>
      </c>
      <c r="H273" s="469">
        <v>6</v>
      </c>
      <c r="I273" s="458">
        <v>6</v>
      </c>
      <c r="J273" s="23">
        <v>75</v>
      </c>
      <c r="K273" s="23">
        <f t="shared" si="44"/>
        <v>75</v>
      </c>
      <c r="L273" s="23">
        <f t="shared" si="44"/>
        <v>75</v>
      </c>
      <c r="M273" s="23">
        <f t="shared" si="44"/>
        <v>75</v>
      </c>
      <c r="N273" s="216">
        <f>X273*(Z273/AB273)*AD273*AF273/100000</f>
        <v>137.91939591078068</v>
      </c>
      <c r="O273" s="215">
        <f t="shared" si="43"/>
        <v>137.91939591078068</v>
      </c>
      <c r="P273" s="215">
        <f t="shared" si="43"/>
        <v>137.91939591078068</v>
      </c>
      <c r="Q273" s="215">
        <f t="shared" si="43"/>
        <v>137.91939591078068</v>
      </c>
      <c r="R273" s="15" t="s">
        <v>839</v>
      </c>
      <c r="S273" s="15" t="s">
        <v>841</v>
      </c>
      <c r="T273" s="15" t="s">
        <v>266</v>
      </c>
      <c r="U273" s="15" t="s">
        <v>265</v>
      </c>
      <c r="V273" s="166" t="s">
        <v>259</v>
      </c>
      <c r="W273" s="166" t="s">
        <v>264</v>
      </c>
      <c r="X273" s="166">
        <v>19.100000000000001</v>
      </c>
      <c r="Y273" s="166" t="s">
        <v>263</v>
      </c>
      <c r="Z273" s="166">
        <v>890</v>
      </c>
      <c r="AA273" s="158" t="s">
        <v>262</v>
      </c>
      <c r="AB273" s="421">
        <v>0.80700000000000005</v>
      </c>
      <c r="AC273" s="158" t="s">
        <v>153</v>
      </c>
      <c r="AD273" s="166">
        <v>2425</v>
      </c>
      <c r="AE273" s="166" t="s">
        <v>260</v>
      </c>
      <c r="AF273" s="419">
        <v>0.27</v>
      </c>
      <c r="AG273" s="166"/>
      <c r="AH273" s="166"/>
      <c r="AI273" s="166"/>
      <c r="AJ273" s="166"/>
      <c r="AK273" s="166"/>
      <c r="AL273" s="166"/>
      <c r="AM273" s="166"/>
      <c r="AN273" s="166"/>
      <c r="AO273" s="166"/>
      <c r="AP273" s="166"/>
      <c r="AQ273" s="166"/>
      <c r="AR273" s="166"/>
      <c r="AS273" s="166"/>
      <c r="AT273" s="166"/>
      <c r="AU273" s="363"/>
      <c r="AV273" s="363"/>
      <c r="AW273" s="363"/>
      <c r="AX273" s="363"/>
      <c r="AY273" s="364"/>
      <c r="AZ273" s="365"/>
      <c r="BA273" s="366"/>
      <c r="BB273" s="27"/>
    </row>
    <row r="274" spans="1:54">
      <c r="A274" s="2" t="str">
        <f t="shared" si="42"/>
        <v>Bus - CI Rebates_Steam Traps - HVAC Repair/Rep - Audit</v>
      </c>
      <c r="B274" s="18">
        <v>271</v>
      </c>
      <c r="C274" s="18" t="s">
        <v>711</v>
      </c>
      <c r="D274" s="18" t="s">
        <v>268</v>
      </c>
      <c r="E274" s="23" t="s">
        <v>150</v>
      </c>
      <c r="F274" s="23">
        <v>1</v>
      </c>
      <c r="G274" s="154">
        <v>0.79</v>
      </c>
      <c r="H274" s="469">
        <v>6</v>
      </c>
      <c r="I274" s="458">
        <v>6</v>
      </c>
      <c r="J274" s="23">
        <v>75</v>
      </c>
      <c r="K274" s="23">
        <f t="shared" si="44"/>
        <v>75</v>
      </c>
      <c r="L274" s="23">
        <f t="shared" si="44"/>
        <v>75</v>
      </c>
      <c r="M274" s="23">
        <f t="shared" si="44"/>
        <v>75</v>
      </c>
      <c r="N274" s="216">
        <f>X274*(Z274/AB274)*AD274*AF274/100000</f>
        <v>88.453924126394057</v>
      </c>
      <c r="O274" s="215">
        <f t="shared" si="43"/>
        <v>88.453924126394057</v>
      </c>
      <c r="P274" s="215">
        <f t="shared" si="43"/>
        <v>88.453924126394057</v>
      </c>
      <c r="Q274" s="215">
        <f t="shared" si="43"/>
        <v>88.453924126394057</v>
      </c>
      <c r="R274" s="15" t="s">
        <v>839</v>
      </c>
      <c r="S274" s="15" t="s">
        <v>841</v>
      </c>
      <c r="T274" s="15" t="s">
        <v>266</v>
      </c>
      <c r="U274" s="15" t="s">
        <v>265</v>
      </c>
      <c r="V274" s="166" t="s">
        <v>259</v>
      </c>
      <c r="W274" s="166" t="s">
        <v>264</v>
      </c>
      <c r="X274" s="166">
        <v>6.9</v>
      </c>
      <c r="Y274" s="166" t="s">
        <v>263</v>
      </c>
      <c r="Z274" s="166">
        <v>951</v>
      </c>
      <c r="AA274" s="158" t="s">
        <v>262</v>
      </c>
      <c r="AB274" s="421">
        <v>0.80700000000000005</v>
      </c>
      <c r="AC274" s="158" t="s">
        <v>261</v>
      </c>
      <c r="AD274" s="166">
        <v>4029</v>
      </c>
      <c r="AE274" s="166" t="s">
        <v>260</v>
      </c>
      <c r="AF274" s="419">
        <v>0.27</v>
      </c>
      <c r="AG274" s="166"/>
      <c r="AH274" s="166"/>
      <c r="AI274" s="166"/>
      <c r="AJ274" s="166"/>
      <c r="AK274" s="166"/>
      <c r="AL274" s="166"/>
      <c r="AM274" s="166"/>
      <c r="AN274" s="166"/>
      <c r="AO274" s="166"/>
      <c r="AP274" s="166"/>
      <c r="AQ274" s="166"/>
      <c r="AR274" s="166"/>
      <c r="AS274" s="166"/>
      <c r="AT274" s="166"/>
      <c r="AU274" s="363"/>
      <c r="AV274" s="363"/>
      <c r="AW274" s="363"/>
      <c r="AX274" s="363"/>
      <c r="AY274" s="364"/>
      <c r="AZ274" s="365"/>
      <c r="BA274" s="366"/>
      <c r="BB274" s="27"/>
    </row>
    <row r="275" spans="1:54">
      <c r="A275" s="2" t="str">
        <f t="shared" si="42"/>
        <v>Bus - CI Rebates_Steam Traps - HVAC Repair/Rep - No Audit</v>
      </c>
      <c r="B275" s="18">
        <v>272</v>
      </c>
      <c r="C275" s="18" t="s">
        <v>711</v>
      </c>
      <c r="D275" s="18" t="s">
        <v>267</v>
      </c>
      <c r="E275" s="23" t="s">
        <v>150</v>
      </c>
      <c r="F275" s="23">
        <v>1</v>
      </c>
      <c r="G275" s="154">
        <v>0.79</v>
      </c>
      <c r="H275" s="469">
        <v>6</v>
      </c>
      <c r="I275" s="458">
        <v>6</v>
      </c>
      <c r="J275" s="23">
        <v>35</v>
      </c>
      <c r="K275" s="23">
        <f t="shared" si="44"/>
        <v>35</v>
      </c>
      <c r="L275" s="23">
        <f t="shared" si="44"/>
        <v>35</v>
      </c>
      <c r="M275" s="23">
        <f t="shared" si="44"/>
        <v>35</v>
      </c>
      <c r="N275" s="216">
        <f>X275*(Z275/AB275)*AD275*AF275/100000</f>
        <v>88.453924126394057</v>
      </c>
      <c r="O275" s="215">
        <f t="shared" si="43"/>
        <v>88.453924126394057</v>
      </c>
      <c r="P275" s="215">
        <f t="shared" si="43"/>
        <v>88.453924126394057</v>
      </c>
      <c r="Q275" s="215">
        <f t="shared" si="43"/>
        <v>88.453924126394057</v>
      </c>
      <c r="R275" s="15" t="s">
        <v>839</v>
      </c>
      <c r="S275" s="15" t="s">
        <v>841</v>
      </c>
      <c r="T275" s="15" t="s">
        <v>266</v>
      </c>
      <c r="U275" s="15" t="s">
        <v>265</v>
      </c>
      <c r="V275" s="166" t="s">
        <v>259</v>
      </c>
      <c r="W275" s="166" t="s">
        <v>264</v>
      </c>
      <c r="X275" s="166">
        <v>6.9</v>
      </c>
      <c r="Y275" s="166" t="s">
        <v>263</v>
      </c>
      <c r="Z275" s="166">
        <v>951</v>
      </c>
      <c r="AA275" s="158" t="s">
        <v>262</v>
      </c>
      <c r="AB275" s="421">
        <v>0.80700000000000005</v>
      </c>
      <c r="AC275" s="158" t="s">
        <v>261</v>
      </c>
      <c r="AD275" s="166">
        <v>4029</v>
      </c>
      <c r="AE275" s="166" t="s">
        <v>260</v>
      </c>
      <c r="AF275" s="419">
        <v>0.27</v>
      </c>
      <c r="AG275" s="166"/>
      <c r="AH275" s="166"/>
      <c r="AI275" s="166"/>
      <c r="AJ275" s="421"/>
      <c r="AK275" s="166"/>
      <c r="AL275" s="166"/>
      <c r="AM275" s="166"/>
      <c r="AN275" s="166"/>
      <c r="AO275" s="166"/>
      <c r="AP275" s="166"/>
      <c r="AQ275" s="166"/>
      <c r="AR275" s="166"/>
      <c r="AS275" s="166"/>
      <c r="AT275" s="166"/>
      <c r="AU275" s="363"/>
      <c r="AV275" s="363"/>
      <c r="AW275" s="363"/>
      <c r="AX275" s="363"/>
      <c r="AY275" s="364"/>
      <c r="AZ275" s="365"/>
      <c r="BA275" s="366"/>
      <c r="BB275" s="27"/>
    </row>
    <row r="276" spans="1:54">
      <c r="A276" s="2" t="str">
        <f t="shared" si="42"/>
        <v>Bus - CI Rebates_Steam Traps - Test</v>
      </c>
      <c r="B276" s="18">
        <v>273</v>
      </c>
      <c r="C276" s="18" t="s">
        <v>711</v>
      </c>
      <c r="D276" s="18" t="s">
        <v>258</v>
      </c>
      <c r="E276" s="23" t="s">
        <v>150</v>
      </c>
      <c r="F276" s="23">
        <v>1</v>
      </c>
      <c r="G276" s="154">
        <v>0.79</v>
      </c>
      <c r="H276" s="469">
        <v>3</v>
      </c>
      <c r="I276" s="458">
        <v>3</v>
      </c>
      <c r="J276" s="23">
        <v>35</v>
      </c>
      <c r="K276" s="23">
        <f t="shared" si="44"/>
        <v>35</v>
      </c>
      <c r="L276" s="23">
        <f t="shared" si="44"/>
        <v>35</v>
      </c>
      <c r="M276" s="23">
        <f t="shared" si="44"/>
        <v>35</v>
      </c>
      <c r="N276" s="216">
        <v>0</v>
      </c>
      <c r="O276" s="215">
        <f t="shared" si="43"/>
        <v>0</v>
      </c>
      <c r="P276" s="215">
        <f t="shared" si="43"/>
        <v>0</v>
      </c>
      <c r="Q276" s="215">
        <f t="shared" si="43"/>
        <v>0</v>
      </c>
      <c r="R276" s="15" t="s">
        <v>140</v>
      </c>
      <c r="S276" s="15" t="s">
        <v>140</v>
      </c>
      <c r="T276" s="15" t="s">
        <v>140</v>
      </c>
      <c r="U276" s="15" t="s">
        <v>140</v>
      </c>
      <c r="V276" s="412" t="s">
        <v>140</v>
      </c>
      <c r="W276" s="166"/>
      <c r="X276" s="166"/>
      <c r="Y276" s="166"/>
      <c r="Z276" s="166"/>
      <c r="AA276" s="158"/>
      <c r="AB276" s="419"/>
      <c r="AC276" s="158"/>
      <c r="AD276" s="166"/>
      <c r="AE276" s="158"/>
      <c r="AF276" s="419"/>
      <c r="AG276" s="166"/>
      <c r="AH276" s="419"/>
      <c r="AI276" s="166"/>
      <c r="AJ276" s="419"/>
      <c r="AK276" s="166"/>
      <c r="AL276" s="166"/>
      <c r="AM276" s="166"/>
      <c r="AN276" s="166"/>
      <c r="AO276" s="166"/>
      <c r="AP276" s="166"/>
      <c r="AQ276" s="166"/>
      <c r="AR276" s="166"/>
      <c r="AS276" s="166"/>
      <c r="AT276" s="166"/>
      <c r="AU276" s="363"/>
      <c r="AV276" s="363"/>
      <c r="AW276" s="363"/>
      <c r="AX276" s="363"/>
      <c r="AY276" s="364"/>
      <c r="AZ276" s="365"/>
      <c r="BA276" s="366"/>
      <c r="BB276" s="27"/>
    </row>
    <row r="277" spans="1:54">
      <c r="A277" s="2" t="str">
        <f t="shared" si="42"/>
        <v>Bus - CI Rebates_Thermostat - Programmable</v>
      </c>
      <c r="B277" s="18">
        <v>274</v>
      </c>
      <c r="C277" s="18" t="s">
        <v>711</v>
      </c>
      <c r="D277" s="18" t="s">
        <v>226</v>
      </c>
      <c r="E277" s="23" t="s">
        <v>150</v>
      </c>
      <c r="F277" s="23">
        <v>1</v>
      </c>
      <c r="G277" s="154">
        <v>0.79</v>
      </c>
      <c r="H277" s="469">
        <v>4</v>
      </c>
      <c r="I277" s="458">
        <v>4</v>
      </c>
      <c r="J277" s="23">
        <v>150</v>
      </c>
      <c r="K277" s="23">
        <f t="shared" si="44"/>
        <v>150</v>
      </c>
      <c r="L277" s="23">
        <f t="shared" si="44"/>
        <v>150</v>
      </c>
      <c r="M277" s="23">
        <f t="shared" si="44"/>
        <v>150</v>
      </c>
      <c r="N277" s="361">
        <f>'Thermostat Detail'!$L$13</f>
        <v>124.68584320000001</v>
      </c>
      <c r="O277" s="215">
        <f t="shared" si="43"/>
        <v>124.68584320000001</v>
      </c>
      <c r="P277" s="215">
        <f t="shared" si="43"/>
        <v>124.68584320000001</v>
      </c>
      <c r="Q277" s="215">
        <f t="shared" si="43"/>
        <v>124.68584320000001</v>
      </c>
      <c r="R277" s="15" t="s">
        <v>840</v>
      </c>
      <c r="S277" s="15" t="s">
        <v>841</v>
      </c>
      <c r="T277" s="15" t="s">
        <v>225</v>
      </c>
      <c r="U277" s="15" t="s">
        <v>224</v>
      </c>
      <c r="V277" s="435" t="s">
        <v>834</v>
      </c>
      <c r="W277" s="166"/>
      <c r="X277" s="166"/>
      <c r="Y277" s="166"/>
      <c r="Z277" s="166"/>
      <c r="AA277" s="158"/>
      <c r="AB277" s="419"/>
      <c r="AC277" s="158"/>
      <c r="AD277" s="166"/>
      <c r="AE277" s="158"/>
      <c r="AF277" s="419"/>
      <c r="AG277" s="166"/>
      <c r="AH277" s="419"/>
      <c r="AI277" s="166"/>
      <c r="AJ277" s="419"/>
      <c r="AK277" s="166"/>
      <c r="AL277" s="166"/>
      <c r="AM277" s="166"/>
      <c r="AN277" s="166"/>
      <c r="AO277" s="166"/>
      <c r="AP277" s="166"/>
      <c r="AQ277" s="166"/>
      <c r="AR277" s="166"/>
      <c r="AS277" s="166"/>
      <c r="AT277" s="166"/>
      <c r="AU277" s="363"/>
      <c r="AV277" s="363"/>
      <c r="AW277" s="363"/>
      <c r="AX277" s="363"/>
      <c r="AY277" s="364"/>
      <c r="AZ277" s="365"/>
      <c r="BA277" s="366"/>
      <c r="BB277" s="27"/>
    </row>
    <row r="278" spans="1:54">
      <c r="A278" s="2" t="str">
        <f t="shared" si="42"/>
        <v>Bus - CI Rebates_Water Heater - Storage 88% TE ≥75MBh</v>
      </c>
      <c r="B278" s="18">
        <v>275</v>
      </c>
      <c r="C278" s="18" t="s">
        <v>711</v>
      </c>
      <c r="D278" s="18" t="s">
        <v>254</v>
      </c>
      <c r="E278" s="23" t="s">
        <v>150</v>
      </c>
      <c r="F278" s="23">
        <v>1</v>
      </c>
      <c r="G278" s="154">
        <v>0.79</v>
      </c>
      <c r="H278" s="469">
        <v>15</v>
      </c>
      <c r="I278" s="458">
        <v>15</v>
      </c>
      <c r="J278" s="23">
        <v>0</v>
      </c>
      <c r="K278" s="23">
        <f t="shared" si="44"/>
        <v>0</v>
      </c>
      <c r="L278" s="23">
        <f t="shared" si="44"/>
        <v>0</v>
      </c>
      <c r="M278" s="23">
        <f t="shared" si="44"/>
        <v>0</v>
      </c>
      <c r="N278" s="216">
        <f>(X278-Z278)*AB278*8.33*(1/AD278-1/AF278)/100000+((AJ278-AL278)*8766/100000)</f>
        <v>1514.573584976577</v>
      </c>
      <c r="O278" s="215">
        <f t="shared" si="43"/>
        <v>1514.573584976577</v>
      </c>
      <c r="P278" s="215">
        <f t="shared" si="43"/>
        <v>1514.573584976577</v>
      </c>
      <c r="Q278" s="215">
        <f t="shared" si="43"/>
        <v>1514.573584976577</v>
      </c>
      <c r="R278" s="15" t="s">
        <v>839</v>
      </c>
      <c r="S278" s="15" t="s">
        <v>841</v>
      </c>
      <c r="T278" s="15" t="s">
        <v>253</v>
      </c>
      <c r="U278" s="15" t="s">
        <v>252</v>
      </c>
      <c r="V278" s="166" t="s">
        <v>243</v>
      </c>
      <c r="W278" s="166" t="s">
        <v>251</v>
      </c>
      <c r="X278" s="166">
        <v>125</v>
      </c>
      <c r="Y278" s="166" t="s">
        <v>250</v>
      </c>
      <c r="Z278" s="166">
        <v>54</v>
      </c>
      <c r="AA278" s="158" t="s">
        <v>249</v>
      </c>
      <c r="AB278" s="420">
        <f>511*AH278</f>
        <v>127750</v>
      </c>
      <c r="AC278" s="417" t="s">
        <v>248</v>
      </c>
      <c r="AD278" s="426">
        <f xml:space="preserve"> 0.6002 - (0.0011 * AH278)</f>
        <v>0.32519999999999993</v>
      </c>
      <c r="AE278" s="416" t="s">
        <v>247</v>
      </c>
      <c r="AF278" s="166">
        <v>0.88</v>
      </c>
      <c r="AG278" s="166" t="s">
        <v>246</v>
      </c>
      <c r="AH278" s="166">
        <v>250</v>
      </c>
      <c r="AI278" s="166" t="s">
        <v>245</v>
      </c>
      <c r="AJ278" s="420">
        <f>200000/800+110*SQRT(150)</f>
        <v>1597.219358530748</v>
      </c>
      <c r="AK278" s="166" t="s">
        <v>244</v>
      </c>
      <c r="AL278" s="166">
        <v>1029</v>
      </c>
      <c r="AM278" s="166"/>
      <c r="AN278" s="166"/>
      <c r="AO278" s="166"/>
      <c r="AP278" s="166"/>
      <c r="AQ278" s="166"/>
      <c r="AR278" s="166"/>
      <c r="AS278" s="166"/>
      <c r="AT278" s="166"/>
      <c r="AU278" s="363"/>
      <c r="AV278" s="363"/>
      <c r="AW278" s="363"/>
      <c r="AX278" s="363"/>
      <c r="AY278" s="364"/>
      <c r="AZ278" s="365"/>
      <c r="BA278" s="366"/>
      <c r="BB278" s="27"/>
    </row>
    <row r="279" spans="1:54">
      <c r="A279" s="2" t="str">
        <f t="shared" si="42"/>
        <v>Bus - CI Rebates_Double Rack Oven</v>
      </c>
      <c r="B279" s="18">
        <v>276</v>
      </c>
      <c r="C279" s="18" t="s">
        <v>711</v>
      </c>
      <c r="D279" s="18" t="s">
        <v>186</v>
      </c>
      <c r="E279" s="23" t="s">
        <v>150</v>
      </c>
      <c r="F279" s="23">
        <v>1</v>
      </c>
      <c r="G279" s="154">
        <v>0.79</v>
      </c>
      <c r="H279" s="469">
        <v>12</v>
      </c>
      <c r="I279" s="458">
        <v>12</v>
      </c>
      <c r="J279" s="23">
        <v>0</v>
      </c>
      <c r="K279" s="23">
        <f t="shared" si="44"/>
        <v>0</v>
      </c>
      <c r="L279" s="23">
        <f t="shared" si="44"/>
        <v>0</v>
      </c>
      <c r="M279" s="23">
        <f t="shared" si="44"/>
        <v>0</v>
      </c>
      <c r="N279" s="216">
        <v>1930</v>
      </c>
      <c r="O279" s="215">
        <f t="shared" si="43"/>
        <v>1930</v>
      </c>
      <c r="P279" s="215">
        <f t="shared" si="43"/>
        <v>1930</v>
      </c>
      <c r="Q279" s="215">
        <f t="shared" si="43"/>
        <v>1930</v>
      </c>
      <c r="R279" s="15" t="s">
        <v>839</v>
      </c>
      <c r="S279" s="15" t="s">
        <v>841</v>
      </c>
      <c r="T279" s="15" t="s">
        <v>185</v>
      </c>
      <c r="U279" s="15" t="s">
        <v>184</v>
      </c>
      <c r="V279" s="166"/>
      <c r="W279" s="166"/>
      <c r="X279" s="166"/>
      <c r="Y279" s="166"/>
      <c r="Z279" s="166"/>
      <c r="AA279" s="158"/>
      <c r="AB279" s="166"/>
      <c r="AC279" s="158"/>
      <c r="AD279" s="166"/>
      <c r="AE279" s="158"/>
      <c r="AF279" s="166"/>
      <c r="AG279" s="166"/>
      <c r="AH279" s="166"/>
      <c r="AI279" s="166"/>
      <c r="AJ279" s="166"/>
      <c r="AK279" s="166"/>
      <c r="AL279" s="166"/>
      <c r="AM279" s="166"/>
      <c r="AN279" s="166"/>
      <c r="AO279" s="166"/>
      <c r="AP279" s="166"/>
      <c r="AQ279" s="166"/>
      <c r="AR279" s="166"/>
      <c r="AS279" s="166"/>
      <c r="AT279" s="166"/>
      <c r="AU279" s="363"/>
      <c r="AV279" s="363"/>
      <c r="AW279" s="363"/>
      <c r="AX279" s="363"/>
      <c r="AY279" s="364"/>
      <c r="AZ279" s="365"/>
      <c r="BA279" s="366"/>
      <c r="BB279" s="27"/>
    </row>
    <row r="280" spans="1:54">
      <c r="A280" s="2" t="str">
        <f t="shared" si="42"/>
        <v>Bus - CI Rebates_Energy Star Convection Oven</v>
      </c>
      <c r="B280" s="18">
        <v>277</v>
      </c>
      <c r="C280" s="18" t="s">
        <v>711</v>
      </c>
      <c r="D280" s="18" t="s">
        <v>196</v>
      </c>
      <c r="E280" s="23" t="s">
        <v>150</v>
      </c>
      <c r="F280" s="23">
        <v>1</v>
      </c>
      <c r="G280" s="154">
        <v>0.79</v>
      </c>
      <c r="H280" s="469">
        <v>12</v>
      </c>
      <c r="I280" s="458">
        <v>12</v>
      </c>
      <c r="J280" s="23">
        <v>5</v>
      </c>
      <c r="K280" s="23">
        <f t="shared" si="44"/>
        <v>5</v>
      </c>
      <c r="L280" s="23">
        <f t="shared" si="44"/>
        <v>5</v>
      </c>
      <c r="M280" s="23">
        <f t="shared" si="44"/>
        <v>5</v>
      </c>
      <c r="N280" s="394">
        <f>(X280+Z280+AB280)*365.35/100000</f>
        <v>352.14445072463781</v>
      </c>
      <c r="O280" s="215">
        <f t="shared" si="43"/>
        <v>352.14445072463781</v>
      </c>
      <c r="P280" s="215">
        <f t="shared" si="43"/>
        <v>352.14445072463781</v>
      </c>
      <c r="Q280" s="215">
        <f t="shared" si="43"/>
        <v>352.14445072463781</v>
      </c>
      <c r="R280" s="15" t="s">
        <v>839</v>
      </c>
      <c r="S280" s="15" t="s">
        <v>841</v>
      </c>
      <c r="T280" s="15" t="s">
        <v>195</v>
      </c>
      <c r="U280" s="15" t="s">
        <v>194</v>
      </c>
      <c r="V280" s="166" t="s">
        <v>187</v>
      </c>
      <c r="W280" s="166" t="s">
        <v>190</v>
      </c>
      <c r="X280" s="420">
        <f>18000*10.3-12000*10.5</f>
        <v>59400</v>
      </c>
      <c r="Y280" s="166" t="s">
        <v>189</v>
      </c>
      <c r="Z280" s="420">
        <f>1*15/60*76000-1*15/60*44000</f>
        <v>8000</v>
      </c>
      <c r="AA280" s="158" t="s">
        <v>188</v>
      </c>
      <c r="AB280" s="420">
        <f>100*250/30%-100*250/46%</f>
        <v>28985.507246376823</v>
      </c>
      <c r="AC280" s="158"/>
      <c r="AD280" s="166"/>
      <c r="AE280" s="158"/>
      <c r="AF280" s="166"/>
      <c r="AG280" s="166"/>
      <c r="AH280" s="166"/>
      <c r="AI280" s="166"/>
      <c r="AJ280" s="166"/>
      <c r="AK280" s="166"/>
      <c r="AL280" s="166"/>
      <c r="AM280" s="166"/>
      <c r="AN280" s="166"/>
      <c r="AO280" s="166"/>
      <c r="AP280" s="166"/>
      <c r="AQ280" s="166"/>
      <c r="AR280" s="166"/>
      <c r="AS280" s="166"/>
      <c r="AT280" s="166"/>
      <c r="AU280" s="363"/>
      <c r="AV280" s="363"/>
      <c r="AW280" s="363"/>
      <c r="AX280" s="363"/>
      <c r="AY280" s="364"/>
      <c r="AZ280" s="365"/>
      <c r="BA280" s="366"/>
      <c r="BB280" s="27"/>
    </row>
    <row r="281" spans="1:54">
      <c r="A281" s="2" t="str">
        <f t="shared" si="42"/>
        <v>Bus - CI Rebates_Energy Star Conveyer Oven</v>
      </c>
      <c r="B281" s="18">
        <v>278</v>
      </c>
      <c r="C281" s="18" t="s">
        <v>711</v>
      </c>
      <c r="D281" s="18" t="s">
        <v>199</v>
      </c>
      <c r="E281" s="23" t="s">
        <v>150</v>
      </c>
      <c r="F281" s="23">
        <v>1</v>
      </c>
      <c r="G281" s="154">
        <v>0.79</v>
      </c>
      <c r="H281" s="469">
        <v>17</v>
      </c>
      <c r="I281" s="458">
        <v>17</v>
      </c>
      <c r="J281" s="23">
        <v>0</v>
      </c>
      <c r="K281" s="23">
        <f t="shared" si="44"/>
        <v>0</v>
      </c>
      <c r="L281" s="23">
        <f t="shared" si="44"/>
        <v>0</v>
      </c>
      <c r="M281" s="23">
        <f t="shared" si="44"/>
        <v>0</v>
      </c>
      <c r="N281" s="394">
        <v>884</v>
      </c>
      <c r="O281" s="215">
        <f t="shared" si="43"/>
        <v>884</v>
      </c>
      <c r="P281" s="215">
        <f t="shared" si="43"/>
        <v>884</v>
      </c>
      <c r="Q281" s="215">
        <f t="shared" si="43"/>
        <v>884</v>
      </c>
      <c r="R281" s="15" t="s">
        <v>839</v>
      </c>
      <c r="S281" s="15" t="s">
        <v>841</v>
      </c>
      <c r="T281" s="15" t="s">
        <v>198</v>
      </c>
      <c r="U281" s="15" t="s">
        <v>197</v>
      </c>
      <c r="V281" s="166" t="s">
        <v>187</v>
      </c>
      <c r="W281" s="166"/>
      <c r="X281" s="420"/>
      <c r="Y281" s="166"/>
      <c r="Z281" s="420"/>
      <c r="AA281" s="158"/>
      <c r="AB281" s="420"/>
      <c r="AC281" s="158"/>
      <c r="AD281" s="166"/>
      <c r="AE281" s="158"/>
      <c r="AF281" s="166"/>
      <c r="AG281" s="166"/>
      <c r="AH281" s="166"/>
      <c r="AI281" s="166"/>
      <c r="AJ281" s="166"/>
      <c r="AK281" s="166"/>
      <c r="AL281" s="166"/>
      <c r="AM281" s="166"/>
      <c r="AN281" s="166"/>
      <c r="AO281" s="166"/>
      <c r="AP281" s="166"/>
      <c r="AQ281" s="166"/>
      <c r="AR281" s="166"/>
      <c r="AS281" s="166"/>
      <c r="AT281" s="166"/>
      <c r="AU281" s="363"/>
      <c r="AV281" s="363"/>
      <c r="AW281" s="363"/>
      <c r="AX281" s="363"/>
      <c r="AY281" s="364"/>
      <c r="AZ281" s="365"/>
      <c r="BA281" s="366"/>
      <c r="BB281" s="27"/>
    </row>
    <row r="282" spans="1:54">
      <c r="A282" s="2" t="str">
        <f t="shared" si="42"/>
        <v>Bus - CI Rebates_Energy Star Fryer</v>
      </c>
      <c r="B282" s="18">
        <v>279</v>
      </c>
      <c r="C282" s="18" t="s">
        <v>711</v>
      </c>
      <c r="D282" s="18" t="s">
        <v>193</v>
      </c>
      <c r="E282" s="23" t="s">
        <v>150</v>
      </c>
      <c r="F282" s="23">
        <v>1</v>
      </c>
      <c r="G282" s="154">
        <v>0.79</v>
      </c>
      <c r="H282" s="469">
        <v>15</v>
      </c>
      <c r="I282" s="465">
        <v>12</v>
      </c>
      <c r="J282" s="23">
        <v>0</v>
      </c>
      <c r="K282" s="23">
        <f t="shared" si="44"/>
        <v>0</v>
      </c>
      <c r="L282" s="23">
        <f t="shared" si="44"/>
        <v>0</v>
      </c>
      <c r="M282" s="23">
        <f t="shared" si="44"/>
        <v>0</v>
      </c>
      <c r="N282" s="394">
        <f>(X282+Z282+AB282)*365.35/100000</f>
        <v>505.37299714285717</v>
      </c>
      <c r="O282" s="215">
        <f t="shared" si="43"/>
        <v>505.37299714285717</v>
      </c>
      <c r="P282" s="215">
        <f t="shared" si="43"/>
        <v>505.37299714285717</v>
      </c>
      <c r="Q282" s="215">
        <f t="shared" si="43"/>
        <v>505.37299714285717</v>
      </c>
      <c r="R282" s="15" t="s">
        <v>839</v>
      </c>
      <c r="S282" s="15" t="s">
        <v>841</v>
      </c>
      <c r="T282" s="15" t="s">
        <v>192</v>
      </c>
      <c r="U282" s="15" t="s">
        <v>191</v>
      </c>
      <c r="V282" s="166" t="s">
        <v>187</v>
      </c>
      <c r="W282" s="166" t="s">
        <v>190</v>
      </c>
      <c r="X282" s="420">
        <f>14000*13.25-9000*13.44</f>
        <v>64540</v>
      </c>
      <c r="Y282" s="166" t="s">
        <v>189</v>
      </c>
      <c r="Z282" s="166">
        <f>1*15/60*64000-1*15/60*62000</f>
        <v>500</v>
      </c>
      <c r="AA282" s="158" t="s">
        <v>188</v>
      </c>
      <c r="AB282" s="420">
        <f>150*570/35%-150*570/50%</f>
        <v>73285.71428571429</v>
      </c>
      <c r="AC282" s="158"/>
      <c r="AD282" s="166"/>
      <c r="AE282" s="158"/>
      <c r="AF282" s="166"/>
      <c r="AG282" s="166"/>
      <c r="AH282" s="166"/>
      <c r="AI282" s="166"/>
      <c r="AJ282" s="166"/>
      <c r="AK282" s="166"/>
      <c r="AL282" s="166"/>
      <c r="AM282" s="166"/>
      <c r="AN282" s="166"/>
      <c r="AO282" s="166"/>
      <c r="AP282" s="166"/>
      <c r="AQ282" s="166"/>
      <c r="AR282" s="166"/>
      <c r="AS282" s="166"/>
      <c r="AT282" s="166"/>
      <c r="AU282" s="363"/>
      <c r="AV282" s="363"/>
      <c r="AW282" s="363"/>
      <c r="AX282" s="363"/>
      <c r="AY282" s="364"/>
      <c r="AZ282" s="365"/>
      <c r="BA282" s="366"/>
      <c r="BB282" s="27"/>
    </row>
    <row r="283" spans="1:54">
      <c r="A283" s="2" t="str">
        <f t="shared" si="42"/>
        <v>Bus - CI Rebates_Energy Star Steamer - 3 Pans</v>
      </c>
      <c r="B283" s="18">
        <v>280</v>
      </c>
      <c r="C283" s="18" t="s">
        <v>711</v>
      </c>
      <c r="D283" s="18" t="s">
        <v>183</v>
      </c>
      <c r="E283" s="23" t="s">
        <v>150</v>
      </c>
      <c r="F283" s="23">
        <v>1</v>
      </c>
      <c r="G283" s="154">
        <v>0.79</v>
      </c>
      <c r="H283" s="469">
        <v>12</v>
      </c>
      <c r="I283" s="458">
        <v>12</v>
      </c>
      <c r="J283" s="23">
        <v>0</v>
      </c>
      <c r="K283" s="23">
        <f t="shared" si="44"/>
        <v>0</v>
      </c>
      <c r="L283" s="23">
        <f t="shared" si="44"/>
        <v>0</v>
      </c>
      <c r="M283" s="23">
        <f t="shared" si="44"/>
        <v>0</v>
      </c>
      <c r="N283" s="394">
        <f>'Food Equipment Detail'!$C$62</f>
        <v>752.01231086676478</v>
      </c>
      <c r="O283" s="215">
        <f t="shared" si="43"/>
        <v>752.01231086676478</v>
      </c>
      <c r="P283" s="215">
        <f t="shared" si="43"/>
        <v>752.01231086676478</v>
      </c>
      <c r="Q283" s="215">
        <f t="shared" si="43"/>
        <v>752.01231086676478</v>
      </c>
      <c r="R283" s="15" t="s">
        <v>836</v>
      </c>
      <c r="S283" s="15" t="s">
        <v>841</v>
      </c>
      <c r="T283" s="15" t="s">
        <v>179</v>
      </c>
      <c r="U283" s="15" t="s">
        <v>178</v>
      </c>
      <c r="V283" s="442"/>
      <c r="W283" s="166" t="s">
        <v>177</v>
      </c>
      <c r="X283" s="166">
        <v>40</v>
      </c>
      <c r="Y283" s="166" t="s">
        <v>176</v>
      </c>
      <c r="Z283" s="166">
        <v>15</v>
      </c>
      <c r="AA283" s="158" t="s">
        <v>153</v>
      </c>
      <c r="AB283" s="166">
        <v>6</v>
      </c>
      <c r="AC283" s="158" t="s">
        <v>175</v>
      </c>
      <c r="AD283" s="166">
        <v>365.25</v>
      </c>
      <c r="AE283" s="158"/>
      <c r="AF283" s="166"/>
      <c r="AG283" s="166"/>
      <c r="AH283" s="166"/>
      <c r="AI283" s="166"/>
      <c r="AJ283" s="166"/>
      <c r="AK283" s="166"/>
      <c r="AL283" s="166"/>
      <c r="AM283" s="166"/>
      <c r="AN283" s="166"/>
      <c r="AO283" s="166"/>
      <c r="AP283" s="166"/>
      <c r="AQ283" s="166"/>
      <c r="AR283" s="166"/>
      <c r="AS283" s="166"/>
      <c r="AT283" s="166"/>
      <c r="AU283" s="363"/>
      <c r="AV283" s="363"/>
      <c r="AW283" s="363"/>
      <c r="AX283" s="363"/>
      <c r="AY283" s="364"/>
      <c r="AZ283" s="365"/>
      <c r="BA283" s="366"/>
      <c r="BB283" s="27"/>
    </row>
    <row r="284" spans="1:54">
      <c r="A284" s="2" t="str">
        <f t="shared" si="42"/>
        <v>Bus - CI Rebates_Energy Star Steamer - 4 Pans</v>
      </c>
      <c r="B284" s="18">
        <v>281</v>
      </c>
      <c r="C284" s="18" t="s">
        <v>711</v>
      </c>
      <c r="D284" s="18" t="s">
        <v>182</v>
      </c>
      <c r="E284" s="23" t="s">
        <v>150</v>
      </c>
      <c r="F284" s="23">
        <v>1</v>
      </c>
      <c r="G284" s="154">
        <v>0.79</v>
      </c>
      <c r="H284" s="469">
        <v>12</v>
      </c>
      <c r="I284" s="458">
        <v>12</v>
      </c>
      <c r="J284" s="23">
        <v>10</v>
      </c>
      <c r="K284" s="23">
        <f t="shared" si="44"/>
        <v>10</v>
      </c>
      <c r="L284" s="23">
        <f t="shared" si="44"/>
        <v>10</v>
      </c>
      <c r="M284" s="23">
        <f t="shared" si="44"/>
        <v>10</v>
      </c>
      <c r="N284" s="394">
        <f>'Food Equipment Detail'!$D$62</f>
        <v>1007.2641787965732</v>
      </c>
      <c r="O284" s="215">
        <f t="shared" si="43"/>
        <v>1007.2641787965732</v>
      </c>
      <c r="P284" s="215">
        <f t="shared" si="43"/>
        <v>1007.2641787965732</v>
      </c>
      <c r="Q284" s="215">
        <f t="shared" si="43"/>
        <v>1007.2641787965732</v>
      </c>
      <c r="R284" s="15" t="s">
        <v>836</v>
      </c>
      <c r="S284" s="15" t="s">
        <v>841</v>
      </c>
      <c r="T284" s="15" t="s">
        <v>179</v>
      </c>
      <c r="U284" s="15" t="s">
        <v>178</v>
      </c>
      <c r="V284" s="442"/>
      <c r="W284" s="166" t="s">
        <v>177</v>
      </c>
      <c r="X284" s="166">
        <v>40</v>
      </c>
      <c r="Y284" s="166" t="s">
        <v>176</v>
      </c>
      <c r="Z284" s="166">
        <v>15</v>
      </c>
      <c r="AA284" s="158" t="s">
        <v>153</v>
      </c>
      <c r="AB284" s="166">
        <v>6</v>
      </c>
      <c r="AC284" s="158" t="s">
        <v>175</v>
      </c>
      <c r="AD284" s="166">
        <v>365.25</v>
      </c>
      <c r="AE284" s="158"/>
      <c r="AF284" s="166"/>
      <c r="AG284" s="166"/>
      <c r="AH284" s="166"/>
      <c r="AI284" s="166"/>
      <c r="AJ284" s="166"/>
      <c r="AK284" s="166"/>
      <c r="AL284" s="166"/>
      <c r="AM284" s="166"/>
      <c r="AN284" s="166"/>
      <c r="AO284" s="166"/>
      <c r="AP284" s="166"/>
      <c r="AQ284" s="166"/>
      <c r="AR284" s="166"/>
      <c r="AS284" s="166"/>
      <c r="AT284" s="166"/>
      <c r="AU284" s="363"/>
      <c r="AV284" s="363"/>
      <c r="AW284" s="363"/>
      <c r="AX284" s="363"/>
      <c r="AY284" s="364"/>
      <c r="AZ284" s="365"/>
      <c r="BA284" s="366"/>
      <c r="BB284" s="27"/>
    </row>
    <row r="285" spans="1:54">
      <c r="A285" s="2" t="str">
        <f t="shared" si="42"/>
        <v>Bus - CI Rebates_Energy Star Steamer - 5 Pans</v>
      </c>
      <c r="B285" s="18">
        <v>282</v>
      </c>
      <c r="C285" s="18" t="s">
        <v>711</v>
      </c>
      <c r="D285" s="18" t="s">
        <v>181</v>
      </c>
      <c r="E285" s="23" t="s">
        <v>150</v>
      </c>
      <c r="F285" s="23">
        <v>1</v>
      </c>
      <c r="G285" s="154">
        <v>0.79</v>
      </c>
      <c r="H285" s="469">
        <v>12</v>
      </c>
      <c r="I285" s="458">
        <v>12</v>
      </c>
      <c r="J285" s="23">
        <v>0</v>
      </c>
      <c r="K285" s="23">
        <f t="shared" si="44"/>
        <v>0</v>
      </c>
      <c r="L285" s="23">
        <f t="shared" si="44"/>
        <v>0</v>
      </c>
      <c r="M285" s="23">
        <f t="shared" si="44"/>
        <v>0</v>
      </c>
      <c r="N285" s="394">
        <f>'Food Equipment Detail'!$E$62</f>
        <v>1248.6709419898457</v>
      </c>
      <c r="O285" s="215">
        <f t="shared" si="43"/>
        <v>1248.6709419898457</v>
      </c>
      <c r="P285" s="215">
        <f t="shared" si="43"/>
        <v>1248.6709419898457</v>
      </c>
      <c r="Q285" s="215">
        <f t="shared" si="43"/>
        <v>1248.6709419898457</v>
      </c>
      <c r="R285" s="15" t="s">
        <v>836</v>
      </c>
      <c r="S285" s="15" t="s">
        <v>841</v>
      </c>
      <c r="T285" s="15" t="s">
        <v>179</v>
      </c>
      <c r="U285" s="15" t="s">
        <v>178</v>
      </c>
      <c r="V285" s="442"/>
      <c r="W285" s="166" t="s">
        <v>177</v>
      </c>
      <c r="X285" s="166">
        <v>40</v>
      </c>
      <c r="Y285" s="166" t="s">
        <v>176</v>
      </c>
      <c r="Z285" s="166">
        <v>15</v>
      </c>
      <c r="AA285" s="158" t="s">
        <v>153</v>
      </c>
      <c r="AB285" s="166">
        <v>6</v>
      </c>
      <c r="AC285" s="158" t="s">
        <v>175</v>
      </c>
      <c r="AD285" s="166">
        <v>365.25</v>
      </c>
      <c r="AE285" s="158"/>
      <c r="AF285" s="166"/>
      <c r="AG285" s="166"/>
      <c r="AH285" s="166"/>
      <c r="AI285" s="166"/>
      <c r="AJ285" s="166"/>
      <c r="AK285" s="166"/>
      <c r="AL285" s="166"/>
      <c r="AM285" s="166"/>
      <c r="AN285" s="166"/>
      <c r="AO285" s="166"/>
      <c r="AP285" s="166"/>
      <c r="AQ285" s="166"/>
      <c r="AR285" s="166"/>
      <c r="AS285" s="166"/>
      <c r="AT285" s="166"/>
      <c r="AU285" s="363"/>
      <c r="AV285" s="363"/>
      <c r="AW285" s="363"/>
      <c r="AX285" s="363"/>
      <c r="AY285" s="364"/>
      <c r="AZ285" s="365"/>
      <c r="BA285" s="366"/>
      <c r="BB285" s="27"/>
    </row>
    <row r="286" spans="1:54">
      <c r="A286" s="2" t="str">
        <f t="shared" si="42"/>
        <v>Bus - CI Rebates_Energy Star Steamer - 6 Pans</v>
      </c>
      <c r="B286" s="18">
        <v>283</v>
      </c>
      <c r="C286" s="18" t="s">
        <v>711</v>
      </c>
      <c r="D286" s="18" t="s">
        <v>180</v>
      </c>
      <c r="E286" s="23" t="s">
        <v>150</v>
      </c>
      <c r="F286" s="23">
        <v>1</v>
      </c>
      <c r="G286" s="154">
        <v>0.79</v>
      </c>
      <c r="H286" s="469">
        <v>12</v>
      </c>
      <c r="I286" s="458">
        <v>12</v>
      </c>
      <c r="J286" s="23">
        <v>0</v>
      </c>
      <c r="K286" s="23">
        <f t="shared" si="44"/>
        <v>0</v>
      </c>
      <c r="L286" s="23">
        <f t="shared" si="44"/>
        <v>0</v>
      </c>
      <c r="M286" s="23">
        <f t="shared" si="44"/>
        <v>0</v>
      </c>
      <c r="N286" s="394">
        <f>'Food Equipment Detail'!$F$62</f>
        <v>1503.8794358667649</v>
      </c>
      <c r="O286" s="215">
        <f t="shared" ref="O286:Q305" si="45">N286</f>
        <v>1503.8794358667649</v>
      </c>
      <c r="P286" s="215">
        <f t="shared" si="45"/>
        <v>1503.8794358667649</v>
      </c>
      <c r="Q286" s="215">
        <f t="shared" si="45"/>
        <v>1503.8794358667649</v>
      </c>
      <c r="R286" s="15" t="s">
        <v>836</v>
      </c>
      <c r="S286" s="15" t="s">
        <v>841</v>
      </c>
      <c r="T286" s="15" t="s">
        <v>179</v>
      </c>
      <c r="U286" s="15" t="s">
        <v>178</v>
      </c>
      <c r="V286" s="442"/>
      <c r="W286" s="166" t="s">
        <v>177</v>
      </c>
      <c r="X286" s="166">
        <v>40</v>
      </c>
      <c r="Y286" s="166" t="s">
        <v>176</v>
      </c>
      <c r="Z286" s="166">
        <v>15</v>
      </c>
      <c r="AA286" s="158" t="s">
        <v>153</v>
      </c>
      <c r="AB286" s="166">
        <v>6</v>
      </c>
      <c r="AC286" s="158" t="s">
        <v>175</v>
      </c>
      <c r="AD286" s="166">
        <v>365.25</v>
      </c>
      <c r="AE286" s="158"/>
      <c r="AF286" s="166"/>
      <c r="AG286" s="166"/>
      <c r="AH286" s="166"/>
      <c r="AI286" s="166"/>
      <c r="AJ286" s="166"/>
      <c r="AK286" s="166"/>
      <c r="AL286" s="166"/>
      <c r="AM286" s="166"/>
      <c r="AN286" s="166"/>
      <c r="AO286" s="166"/>
      <c r="AP286" s="166"/>
      <c r="AQ286" s="166"/>
      <c r="AR286" s="166"/>
      <c r="AS286" s="166"/>
      <c r="AT286" s="166"/>
      <c r="AU286" s="363"/>
      <c r="AV286" s="363"/>
      <c r="AW286" s="363"/>
      <c r="AX286" s="363"/>
      <c r="AY286" s="364"/>
      <c r="AZ286" s="365"/>
      <c r="BA286" s="366"/>
      <c r="BB286" s="27"/>
    </row>
    <row r="287" spans="1:54">
      <c r="A287" s="2" t="str">
        <f t="shared" si="42"/>
        <v>Bus - CI Rebates_Heat Recovery Grease Trap Filter</v>
      </c>
      <c r="B287" s="18">
        <v>284</v>
      </c>
      <c r="C287" s="18" t="s">
        <v>711</v>
      </c>
      <c r="D287" s="18" t="s">
        <v>151</v>
      </c>
      <c r="E287" s="23" t="s">
        <v>150</v>
      </c>
      <c r="F287" s="23">
        <v>1</v>
      </c>
      <c r="G287" s="154">
        <v>0.79</v>
      </c>
      <c r="H287" s="469">
        <v>15</v>
      </c>
      <c r="I287" s="458">
        <v>15</v>
      </c>
      <c r="J287" s="23">
        <v>2</v>
      </c>
      <c r="K287" s="23">
        <f t="shared" si="44"/>
        <v>2</v>
      </c>
      <c r="L287" s="23">
        <f t="shared" si="44"/>
        <v>2</v>
      </c>
      <c r="M287" s="23">
        <f t="shared" si="44"/>
        <v>2</v>
      </c>
      <c r="N287" s="394">
        <f>((X287*Z287*AB287)*8.3*1*(AD287*AF287))/(AH287*100000)</f>
        <v>1757.3025600000001</v>
      </c>
      <c r="O287" s="215">
        <f t="shared" si="45"/>
        <v>1757.3025600000001</v>
      </c>
      <c r="P287" s="215">
        <f t="shared" si="45"/>
        <v>1757.3025600000001</v>
      </c>
      <c r="Q287" s="215">
        <f t="shared" si="45"/>
        <v>1757.3025600000001</v>
      </c>
      <c r="R287" s="15" t="s">
        <v>839</v>
      </c>
      <c r="S287" s="15" t="s">
        <v>841</v>
      </c>
      <c r="T287" s="15" t="s">
        <v>149</v>
      </c>
      <c r="U287" s="15" t="s">
        <v>148</v>
      </c>
      <c r="V287" s="166" t="s">
        <v>141</v>
      </c>
      <c r="W287" s="166" t="s">
        <v>147</v>
      </c>
      <c r="X287" s="166">
        <v>780</v>
      </c>
      <c r="Y287" s="166" t="s">
        <v>146</v>
      </c>
      <c r="Z287" s="166">
        <v>3</v>
      </c>
      <c r="AA287" s="158" t="s">
        <v>145</v>
      </c>
      <c r="AB287" s="166">
        <v>312</v>
      </c>
      <c r="AC287" s="158" t="s">
        <v>144</v>
      </c>
      <c r="AD287" s="166">
        <v>5.8</v>
      </c>
      <c r="AE287" s="158" t="s">
        <v>143</v>
      </c>
      <c r="AF287" s="166">
        <v>4</v>
      </c>
      <c r="AG287" s="166" t="s">
        <v>142</v>
      </c>
      <c r="AH287" s="419">
        <v>0.8</v>
      </c>
      <c r="AI287" s="166"/>
      <c r="AJ287" s="166"/>
      <c r="AK287" s="166"/>
      <c r="AL287" s="166"/>
      <c r="AM287" s="166"/>
      <c r="AN287" s="166"/>
      <c r="AO287" s="166"/>
      <c r="AP287" s="166"/>
      <c r="AQ287" s="166"/>
      <c r="AR287" s="166"/>
      <c r="AS287" s="166"/>
      <c r="AT287" s="166"/>
      <c r="AU287" s="363"/>
      <c r="AV287" s="363"/>
      <c r="AW287" s="363"/>
      <c r="AX287" s="363"/>
      <c r="AY287" s="364"/>
      <c r="AZ287" s="365"/>
      <c r="BA287" s="366"/>
      <c r="BB287" s="27"/>
    </row>
    <row r="288" spans="1:54">
      <c r="A288" s="2" t="str">
        <f t="shared" si="42"/>
        <v>Bus - CI Rebates_Infrared Charbroiler</v>
      </c>
      <c r="B288" s="18">
        <v>285</v>
      </c>
      <c r="C288" s="18" t="s">
        <v>711</v>
      </c>
      <c r="D288" s="18" t="s">
        <v>174</v>
      </c>
      <c r="E288" s="23" t="s">
        <v>150</v>
      </c>
      <c r="F288" s="23">
        <v>1</v>
      </c>
      <c r="G288" s="154">
        <v>0.79</v>
      </c>
      <c r="H288" s="469">
        <v>12</v>
      </c>
      <c r="I288" s="458">
        <v>12</v>
      </c>
      <c r="J288" s="23">
        <v>2</v>
      </c>
      <c r="K288" s="23">
        <f t="shared" ref="K288:M291" si="46">J288</f>
        <v>2</v>
      </c>
      <c r="L288" s="23">
        <f t="shared" si="46"/>
        <v>2</v>
      </c>
      <c r="M288" s="23">
        <f t="shared" si="46"/>
        <v>2</v>
      </c>
      <c r="N288" s="394">
        <f>((X288-Z288)*AB288*AD288/60+((AF288-AH288)*AJ288*AL288))*312/100000</f>
        <v>706.68</v>
      </c>
      <c r="O288" s="215">
        <f t="shared" si="45"/>
        <v>706.68</v>
      </c>
      <c r="P288" s="215">
        <f t="shared" si="45"/>
        <v>706.68</v>
      </c>
      <c r="Q288" s="215">
        <f t="shared" si="45"/>
        <v>706.68</v>
      </c>
      <c r="R288" s="15" t="s">
        <v>839</v>
      </c>
      <c r="S288" s="15" t="s">
        <v>841</v>
      </c>
      <c r="T288" s="15" t="s">
        <v>173</v>
      </c>
      <c r="U288" s="15" t="s">
        <v>172</v>
      </c>
      <c r="V288" s="166" t="s">
        <v>166</v>
      </c>
      <c r="W288" s="166" t="s">
        <v>171</v>
      </c>
      <c r="X288" s="166">
        <v>64000</v>
      </c>
      <c r="Y288" s="166" t="s">
        <v>170</v>
      </c>
      <c r="Z288" s="166">
        <v>54000</v>
      </c>
      <c r="AA288" s="158" t="s">
        <v>169</v>
      </c>
      <c r="AB288" s="166">
        <v>1</v>
      </c>
      <c r="AC288" s="158" t="s">
        <v>168</v>
      </c>
      <c r="AD288" s="166">
        <v>15</v>
      </c>
      <c r="AE288" s="158" t="s">
        <v>167</v>
      </c>
      <c r="AF288" s="166">
        <v>140000</v>
      </c>
      <c r="AG288" s="166" t="s">
        <v>155</v>
      </c>
      <c r="AH288" s="166">
        <v>105000</v>
      </c>
      <c r="AI288" s="166" t="s">
        <v>154</v>
      </c>
      <c r="AJ288" s="425">
        <v>0.8</v>
      </c>
      <c r="AK288" s="166" t="s">
        <v>153</v>
      </c>
      <c r="AL288" s="166">
        <v>8</v>
      </c>
      <c r="AM288" s="166"/>
      <c r="AN288" s="166"/>
      <c r="AO288" s="166"/>
      <c r="AP288" s="166"/>
      <c r="AQ288" s="166"/>
      <c r="AR288" s="166"/>
      <c r="AS288" s="166"/>
      <c r="AT288" s="166"/>
      <c r="AU288" s="363"/>
      <c r="AV288" s="363"/>
      <c r="AW288" s="363"/>
      <c r="AX288" s="363"/>
      <c r="AY288" s="364"/>
      <c r="AZ288" s="365"/>
      <c r="BA288" s="366"/>
      <c r="BB288" s="27"/>
    </row>
    <row r="289" spans="1:54">
      <c r="A289" s="2" t="str">
        <f t="shared" si="42"/>
        <v>Bus - CI Rebates_Infrared Rotisserie Oven</v>
      </c>
      <c r="B289" s="18">
        <v>286</v>
      </c>
      <c r="C289" s="18" t="s">
        <v>711</v>
      </c>
      <c r="D289" s="18" t="s">
        <v>165</v>
      </c>
      <c r="E289" s="23" t="s">
        <v>150</v>
      </c>
      <c r="F289" s="23">
        <v>1</v>
      </c>
      <c r="G289" s="154">
        <v>0.79</v>
      </c>
      <c r="H289" s="469">
        <v>12</v>
      </c>
      <c r="I289" s="458">
        <v>12</v>
      </c>
      <c r="J289" s="23">
        <v>2</v>
      </c>
      <c r="K289" s="23">
        <f t="shared" si="46"/>
        <v>2</v>
      </c>
      <c r="L289" s="23">
        <f t="shared" si="46"/>
        <v>2</v>
      </c>
      <c r="M289" s="23">
        <f t="shared" si="46"/>
        <v>2</v>
      </c>
      <c r="N289" s="394">
        <f>(X289-Z289)*AB289*AD289/100000</f>
        <v>599.04</v>
      </c>
      <c r="O289" s="215">
        <f t="shared" si="45"/>
        <v>599.04</v>
      </c>
      <c r="P289" s="215">
        <f t="shared" si="45"/>
        <v>599.04</v>
      </c>
      <c r="Q289" s="215">
        <f t="shared" si="45"/>
        <v>599.04</v>
      </c>
      <c r="R289" s="15" t="s">
        <v>839</v>
      </c>
      <c r="S289" s="15" t="s">
        <v>841</v>
      </c>
      <c r="T289" s="15" t="s">
        <v>164</v>
      </c>
      <c r="U289" s="15" t="s">
        <v>163</v>
      </c>
      <c r="V289" s="166" t="s">
        <v>152</v>
      </c>
      <c r="W289" s="166" t="s">
        <v>156</v>
      </c>
      <c r="X289" s="166">
        <v>90000</v>
      </c>
      <c r="Y289" s="166" t="s">
        <v>155</v>
      </c>
      <c r="Z289" s="166">
        <v>50000</v>
      </c>
      <c r="AA289" s="158" t="s">
        <v>154</v>
      </c>
      <c r="AB289" s="425">
        <v>0.6</v>
      </c>
      <c r="AC289" s="158" t="s">
        <v>153</v>
      </c>
      <c r="AD289" s="166">
        <v>2496</v>
      </c>
      <c r="AE289" s="158"/>
      <c r="AF289" s="166"/>
      <c r="AG289" s="166"/>
      <c r="AH289" s="166"/>
      <c r="AI289" s="166"/>
      <c r="AJ289" s="166"/>
      <c r="AK289" s="166"/>
      <c r="AL289" s="166"/>
      <c r="AM289" s="166"/>
      <c r="AN289" s="166"/>
      <c r="AO289" s="166"/>
      <c r="AP289" s="166"/>
      <c r="AQ289" s="166"/>
      <c r="AR289" s="166"/>
      <c r="AS289" s="166"/>
      <c r="AT289" s="166"/>
      <c r="AU289" s="363"/>
      <c r="AV289" s="363"/>
      <c r="AW289" s="363"/>
      <c r="AX289" s="363"/>
      <c r="AY289" s="364"/>
      <c r="AZ289" s="365"/>
      <c r="BA289" s="366"/>
      <c r="BB289" s="27"/>
    </row>
    <row r="290" spans="1:54">
      <c r="A290" s="2" t="str">
        <f t="shared" si="42"/>
        <v>Bus - CI Rebates_Infrared Salamander Broiler</v>
      </c>
      <c r="B290" s="18">
        <v>287</v>
      </c>
      <c r="C290" s="18" t="s">
        <v>711</v>
      </c>
      <c r="D290" s="18" t="s">
        <v>162</v>
      </c>
      <c r="E290" s="23" t="s">
        <v>150</v>
      </c>
      <c r="F290" s="23">
        <v>1</v>
      </c>
      <c r="G290" s="154">
        <v>0.79</v>
      </c>
      <c r="H290" s="469">
        <v>12</v>
      </c>
      <c r="I290" s="458">
        <v>12</v>
      </c>
      <c r="J290" s="23">
        <v>0</v>
      </c>
      <c r="K290" s="23">
        <f t="shared" si="46"/>
        <v>0</v>
      </c>
      <c r="L290" s="23">
        <f t="shared" si="46"/>
        <v>0</v>
      </c>
      <c r="M290" s="23">
        <f t="shared" si="46"/>
        <v>0</v>
      </c>
      <c r="N290" s="216">
        <f>(X290-Z290)*AB290*AD290/100000</f>
        <v>240.24</v>
      </c>
      <c r="O290" s="215">
        <f t="shared" si="45"/>
        <v>240.24</v>
      </c>
      <c r="P290" s="215">
        <f t="shared" si="45"/>
        <v>240.24</v>
      </c>
      <c r="Q290" s="215">
        <f t="shared" si="45"/>
        <v>240.24</v>
      </c>
      <c r="R290" s="15" t="s">
        <v>839</v>
      </c>
      <c r="S290" s="15" t="s">
        <v>841</v>
      </c>
      <c r="T290" s="15" t="s">
        <v>161</v>
      </c>
      <c r="U290" s="15" t="s">
        <v>160</v>
      </c>
      <c r="V290" s="166" t="s">
        <v>152</v>
      </c>
      <c r="W290" s="166" t="s">
        <v>156</v>
      </c>
      <c r="X290" s="166">
        <v>38500</v>
      </c>
      <c r="Y290" s="166" t="s">
        <v>155</v>
      </c>
      <c r="Z290" s="166">
        <v>24750</v>
      </c>
      <c r="AA290" s="158" t="s">
        <v>154</v>
      </c>
      <c r="AB290" s="425">
        <v>0.7</v>
      </c>
      <c r="AC290" s="158" t="s">
        <v>153</v>
      </c>
      <c r="AD290" s="166">
        <v>2496</v>
      </c>
      <c r="AE290" s="158"/>
      <c r="AF290" s="166"/>
      <c r="AG290" s="166"/>
      <c r="AH290" s="166"/>
      <c r="AI290" s="166"/>
      <c r="AJ290" s="166"/>
      <c r="AK290" s="166"/>
      <c r="AL290" s="166"/>
      <c r="AM290" s="166"/>
      <c r="AN290" s="166"/>
      <c r="AO290" s="166"/>
      <c r="AP290" s="166"/>
      <c r="AQ290" s="166"/>
      <c r="AR290" s="166"/>
      <c r="AS290" s="166"/>
      <c r="AT290" s="166"/>
      <c r="AU290" s="363"/>
      <c r="AV290" s="363"/>
      <c r="AW290" s="363"/>
      <c r="AX290" s="363"/>
      <c r="AY290" s="364"/>
      <c r="AZ290" s="365"/>
      <c r="BA290" s="366"/>
      <c r="BB290" s="27"/>
    </row>
    <row r="291" spans="1:54">
      <c r="A291" s="2" t="str">
        <f t="shared" si="42"/>
        <v>Bus - CI Rebates_Infrared Upright Broiler</v>
      </c>
      <c r="B291" s="18">
        <v>288</v>
      </c>
      <c r="C291" s="18" t="s">
        <v>711</v>
      </c>
      <c r="D291" s="18" t="s">
        <v>159</v>
      </c>
      <c r="E291" s="23" t="s">
        <v>150</v>
      </c>
      <c r="F291" s="23">
        <v>1</v>
      </c>
      <c r="G291" s="154">
        <v>0.79</v>
      </c>
      <c r="H291" s="469">
        <v>12</v>
      </c>
      <c r="I291" s="458">
        <v>12</v>
      </c>
      <c r="J291" s="23">
        <v>0</v>
      </c>
      <c r="K291" s="23">
        <f t="shared" si="46"/>
        <v>0</v>
      </c>
      <c r="L291" s="23">
        <f t="shared" si="46"/>
        <v>0</v>
      </c>
      <c r="M291" s="23">
        <f t="shared" si="46"/>
        <v>0</v>
      </c>
      <c r="N291" s="216">
        <f>(X291-Z291)*AB291*AD291/100000</f>
        <v>943.48800000000006</v>
      </c>
      <c r="O291" s="215">
        <f t="shared" si="45"/>
        <v>943.48800000000006</v>
      </c>
      <c r="P291" s="215">
        <f t="shared" si="45"/>
        <v>943.48800000000006</v>
      </c>
      <c r="Q291" s="215">
        <f t="shared" si="45"/>
        <v>943.48800000000006</v>
      </c>
      <c r="R291" s="15" t="s">
        <v>839</v>
      </c>
      <c r="S291" s="15" t="s">
        <v>841</v>
      </c>
      <c r="T291" s="15" t="s">
        <v>158</v>
      </c>
      <c r="U291" s="15" t="s">
        <v>157</v>
      </c>
      <c r="V291" s="166" t="s">
        <v>152</v>
      </c>
      <c r="W291" s="166" t="s">
        <v>156</v>
      </c>
      <c r="X291" s="166">
        <v>144000</v>
      </c>
      <c r="Y291" s="166" t="s">
        <v>155</v>
      </c>
      <c r="Z291" s="166">
        <v>90000</v>
      </c>
      <c r="AA291" s="158" t="s">
        <v>154</v>
      </c>
      <c r="AB291" s="425">
        <v>0.7</v>
      </c>
      <c r="AC291" s="158" t="s">
        <v>153</v>
      </c>
      <c r="AD291" s="166">
        <v>2496</v>
      </c>
      <c r="AE291" s="158"/>
      <c r="AF291" s="166"/>
      <c r="AG291" s="166"/>
      <c r="AH291" s="166"/>
      <c r="AI291" s="166"/>
      <c r="AJ291" s="166"/>
      <c r="AK291" s="166"/>
      <c r="AL291" s="166"/>
      <c r="AM291" s="166"/>
      <c r="AN291" s="166"/>
      <c r="AO291" s="166"/>
      <c r="AP291" s="166"/>
      <c r="AQ291" s="166"/>
      <c r="AR291" s="166"/>
      <c r="AS291" s="166"/>
      <c r="AT291" s="166"/>
      <c r="AU291" s="363"/>
      <c r="AV291" s="363"/>
      <c r="AW291" s="363"/>
      <c r="AX291" s="363"/>
      <c r="AY291" s="364"/>
      <c r="AZ291" s="365"/>
      <c r="BA291" s="366"/>
      <c r="BB291" s="27"/>
    </row>
    <row r="292" spans="1:54">
      <c r="A292" s="2" t="str">
        <f t="shared" si="42"/>
        <v>Bus - SB Rebates_SB Custom</v>
      </c>
      <c r="B292" s="18">
        <v>289</v>
      </c>
      <c r="C292" s="18" t="s">
        <v>712</v>
      </c>
      <c r="D292" s="18" t="s">
        <v>674</v>
      </c>
      <c r="E292" s="23" t="s">
        <v>150</v>
      </c>
      <c r="F292" s="23">
        <v>1</v>
      </c>
      <c r="G292" s="154">
        <v>0.92</v>
      </c>
      <c r="H292" s="469">
        <v>15</v>
      </c>
      <c r="I292" s="458">
        <v>15</v>
      </c>
      <c r="J292" s="23">
        <v>12</v>
      </c>
      <c r="K292" s="23">
        <f t="shared" ref="K292:K333" si="47">J292</f>
        <v>12</v>
      </c>
      <c r="L292" s="23">
        <v>10</v>
      </c>
      <c r="M292" s="23">
        <v>12</v>
      </c>
      <c r="N292" s="216">
        <v>2100</v>
      </c>
      <c r="O292" s="215">
        <f t="shared" si="45"/>
        <v>2100</v>
      </c>
      <c r="P292" s="215">
        <f t="shared" si="45"/>
        <v>2100</v>
      </c>
      <c r="Q292" s="215">
        <f t="shared" si="45"/>
        <v>2100</v>
      </c>
      <c r="R292" s="15" t="s">
        <v>140</v>
      </c>
      <c r="S292" s="15" t="s">
        <v>140</v>
      </c>
      <c r="T292" s="15" t="s">
        <v>140</v>
      </c>
      <c r="U292" s="15" t="s">
        <v>140</v>
      </c>
      <c r="V292" s="166"/>
      <c r="W292" s="166"/>
      <c r="X292" s="166"/>
      <c r="Y292" s="166"/>
      <c r="Z292" s="166"/>
      <c r="AA292" s="158"/>
      <c r="AB292" s="425"/>
      <c r="AC292" s="158"/>
      <c r="AD292" s="166"/>
      <c r="AE292" s="158"/>
      <c r="AF292" s="166"/>
      <c r="AG292" s="166"/>
      <c r="AH292" s="166"/>
      <c r="AI292" s="166"/>
      <c r="AJ292" s="166"/>
      <c r="AK292" s="166"/>
      <c r="AL292" s="166"/>
      <c r="AM292" s="166"/>
      <c r="AN292" s="166"/>
      <c r="AO292" s="166"/>
      <c r="AP292" s="166"/>
      <c r="AQ292" s="166"/>
      <c r="AR292" s="166"/>
      <c r="AS292" s="166"/>
      <c r="AT292" s="166"/>
      <c r="AU292" s="363"/>
      <c r="AV292" s="363"/>
      <c r="AW292" s="363"/>
      <c r="AX292" s="363"/>
      <c r="AY292" s="364"/>
      <c r="AZ292" s="365"/>
      <c r="BA292" s="366"/>
      <c r="BB292" s="27"/>
    </row>
    <row r="293" spans="1:54">
      <c r="A293" s="2" t="str">
        <f t="shared" si="42"/>
        <v>Bus - CI Rebates_CI Custom</v>
      </c>
      <c r="B293" s="18">
        <v>290</v>
      </c>
      <c r="C293" s="18" t="s">
        <v>711</v>
      </c>
      <c r="D293" s="18" t="s">
        <v>675</v>
      </c>
      <c r="E293" s="23" t="s">
        <v>150</v>
      </c>
      <c r="F293" s="23">
        <v>1</v>
      </c>
      <c r="G293" s="154">
        <v>0.69</v>
      </c>
      <c r="H293" s="469">
        <v>15</v>
      </c>
      <c r="I293" s="458">
        <v>15</v>
      </c>
      <c r="J293" s="23">
        <v>25</v>
      </c>
      <c r="K293" s="23">
        <f t="shared" si="47"/>
        <v>25</v>
      </c>
      <c r="L293" s="23">
        <v>20</v>
      </c>
      <c r="M293" s="23">
        <v>25</v>
      </c>
      <c r="N293" s="216">
        <v>19100</v>
      </c>
      <c r="O293" s="215">
        <f t="shared" si="45"/>
        <v>19100</v>
      </c>
      <c r="P293" s="215">
        <f t="shared" si="45"/>
        <v>19100</v>
      </c>
      <c r="Q293" s="215">
        <f t="shared" si="45"/>
        <v>19100</v>
      </c>
      <c r="R293" s="15" t="s">
        <v>140</v>
      </c>
      <c r="S293" s="15" t="s">
        <v>140</v>
      </c>
      <c r="T293" s="15" t="s">
        <v>140</v>
      </c>
      <c r="U293" s="15" t="s">
        <v>140</v>
      </c>
      <c r="V293" s="166"/>
      <c r="W293" s="166"/>
      <c r="X293" s="166"/>
      <c r="Y293" s="166"/>
      <c r="Z293" s="166"/>
      <c r="AA293" s="158"/>
      <c r="AB293" s="425"/>
      <c r="AC293" s="158"/>
      <c r="AD293" s="166"/>
      <c r="AE293" s="158"/>
      <c r="AF293" s="166"/>
      <c r="AG293" s="166"/>
      <c r="AH293" s="166"/>
      <c r="AI293" s="166"/>
      <c r="AJ293" s="166"/>
      <c r="AK293" s="166"/>
      <c r="AL293" s="166"/>
      <c r="AM293" s="166"/>
      <c r="AN293" s="166"/>
      <c r="AO293" s="166"/>
      <c r="AP293" s="166"/>
      <c r="AQ293" s="166"/>
      <c r="AR293" s="166"/>
      <c r="AS293" s="166"/>
      <c r="AT293" s="166"/>
      <c r="AU293" s="363"/>
      <c r="AV293" s="363"/>
      <c r="AW293" s="363"/>
      <c r="AX293" s="363"/>
      <c r="AY293" s="364"/>
      <c r="AZ293" s="365"/>
      <c r="BA293" s="366"/>
      <c r="BB293" s="27"/>
    </row>
    <row r="294" spans="1:54">
      <c r="A294" s="2" t="str">
        <f t="shared" si="42"/>
        <v>Bus - CI Rebates_New Construction</v>
      </c>
      <c r="B294" s="18">
        <v>291</v>
      </c>
      <c r="C294" s="18" t="s">
        <v>711</v>
      </c>
      <c r="D294" s="18" t="s">
        <v>676</v>
      </c>
      <c r="E294" s="23" t="s">
        <v>150</v>
      </c>
      <c r="F294" s="23">
        <v>1</v>
      </c>
      <c r="G294" s="154">
        <v>0.77</v>
      </c>
      <c r="H294" s="469">
        <v>15</v>
      </c>
      <c r="I294" s="458">
        <v>15</v>
      </c>
      <c r="J294" s="23">
        <v>12</v>
      </c>
      <c r="K294" s="23">
        <f t="shared" si="47"/>
        <v>12</v>
      </c>
      <c r="L294" s="23">
        <f t="shared" ref="L294:M313" si="48">K294</f>
        <v>12</v>
      </c>
      <c r="M294" s="23">
        <f t="shared" si="48"/>
        <v>12</v>
      </c>
      <c r="N294" s="216">
        <v>2500</v>
      </c>
      <c r="O294" s="215">
        <f t="shared" si="45"/>
        <v>2500</v>
      </c>
      <c r="P294" s="215">
        <f t="shared" si="45"/>
        <v>2500</v>
      </c>
      <c r="Q294" s="215">
        <f t="shared" si="45"/>
        <v>2500</v>
      </c>
      <c r="R294" s="15" t="s">
        <v>140</v>
      </c>
      <c r="S294" s="15" t="s">
        <v>140</v>
      </c>
      <c r="T294" s="15" t="s">
        <v>140</v>
      </c>
      <c r="U294" s="15" t="s">
        <v>140</v>
      </c>
      <c r="V294" s="166"/>
      <c r="W294" s="166"/>
      <c r="X294" s="166"/>
      <c r="Y294" s="166"/>
      <c r="Z294" s="166"/>
      <c r="AA294" s="158"/>
      <c r="AB294" s="425"/>
      <c r="AC294" s="158"/>
      <c r="AD294" s="166"/>
      <c r="AE294" s="158"/>
      <c r="AF294" s="166"/>
      <c r="AG294" s="166"/>
      <c r="AH294" s="166"/>
      <c r="AI294" s="166"/>
      <c r="AJ294" s="166"/>
      <c r="AK294" s="166"/>
      <c r="AL294" s="166"/>
      <c r="AM294" s="166"/>
      <c r="AN294" s="166"/>
      <c r="AO294" s="166"/>
      <c r="AP294" s="166"/>
      <c r="AQ294" s="166"/>
      <c r="AR294" s="166"/>
      <c r="AS294" s="166"/>
      <c r="AT294" s="166"/>
      <c r="AU294" s="363"/>
      <c r="AV294" s="363"/>
      <c r="AW294" s="363"/>
      <c r="AX294" s="363"/>
      <c r="AY294" s="364"/>
      <c r="AZ294" s="365"/>
      <c r="BA294" s="366"/>
      <c r="BB294" s="27"/>
    </row>
    <row r="295" spans="1:54">
      <c r="A295" s="2" t="str">
        <f t="shared" si="42"/>
        <v>Bus - Public Assessments_Aerator - Bathroom</v>
      </c>
      <c r="B295" s="18">
        <v>292</v>
      </c>
      <c r="C295" s="18" t="s">
        <v>725</v>
      </c>
      <c r="D295" s="18" t="s">
        <v>726</v>
      </c>
      <c r="E295" s="23" t="s">
        <v>150</v>
      </c>
      <c r="F295" s="23">
        <v>1</v>
      </c>
      <c r="G295" s="154">
        <v>0.79</v>
      </c>
      <c r="H295" s="469">
        <v>9</v>
      </c>
      <c r="I295" s="465">
        <v>10</v>
      </c>
      <c r="J295" s="23">
        <v>81</v>
      </c>
      <c r="K295" s="23">
        <f t="shared" si="47"/>
        <v>81</v>
      </c>
      <c r="L295" s="23">
        <f t="shared" si="48"/>
        <v>81</v>
      </c>
      <c r="M295" s="23">
        <f t="shared" si="48"/>
        <v>81</v>
      </c>
      <c r="N295" s="215">
        <f>((X295-Z295)/X295)*AB295*AD295*AF295*AH295*AL295*AJ295</f>
        <v>6.1049460431654667</v>
      </c>
      <c r="O295" s="215">
        <f t="shared" si="45"/>
        <v>6.1049460431654667</v>
      </c>
      <c r="P295" s="215">
        <f t="shared" si="45"/>
        <v>6.1049460431654667</v>
      </c>
      <c r="Q295" s="215">
        <f t="shared" si="45"/>
        <v>6.1049460431654667</v>
      </c>
      <c r="R295" s="15" t="s">
        <v>839</v>
      </c>
      <c r="S295" s="15" t="s">
        <v>841</v>
      </c>
      <c r="T295" s="15" t="s">
        <v>367</v>
      </c>
      <c r="U295" s="15" t="s">
        <v>366</v>
      </c>
      <c r="V295" s="412" t="s">
        <v>362</v>
      </c>
      <c r="W295" s="412" t="s">
        <v>359</v>
      </c>
      <c r="X295" s="412">
        <v>1.39</v>
      </c>
      <c r="Y295" s="412" t="s">
        <v>358</v>
      </c>
      <c r="Z295" s="412">
        <v>0.94</v>
      </c>
      <c r="AA295" s="412" t="s">
        <v>357</v>
      </c>
      <c r="AB295" s="412">
        <v>1</v>
      </c>
      <c r="AC295" s="412" t="s">
        <v>368</v>
      </c>
      <c r="AD295" s="414">
        <v>1</v>
      </c>
      <c r="AE295" s="412" t="s">
        <v>364</v>
      </c>
      <c r="AF295" s="412">
        <v>20</v>
      </c>
      <c r="AG295" s="412" t="s">
        <v>363</v>
      </c>
      <c r="AH295" s="412">
        <v>250</v>
      </c>
      <c r="AI295" s="412" t="s">
        <v>355</v>
      </c>
      <c r="AJ295" s="415">
        <v>3.9699999999999996E-3</v>
      </c>
      <c r="AK295" s="412" t="s">
        <v>354</v>
      </c>
      <c r="AL295" s="414">
        <v>0.95</v>
      </c>
      <c r="AM295" s="412"/>
      <c r="AN295" s="412"/>
      <c r="AO295" s="166"/>
      <c r="AP295" s="166"/>
      <c r="AQ295" s="166"/>
      <c r="AR295" s="166"/>
      <c r="AS295" s="166"/>
      <c r="AT295" s="166"/>
      <c r="AU295" s="363"/>
      <c r="AV295" s="363"/>
      <c r="AW295" s="363"/>
      <c r="AX295" s="363"/>
      <c r="AY295" s="364"/>
      <c r="AZ295" s="365"/>
      <c r="BA295" s="366"/>
      <c r="BB295" s="27"/>
    </row>
    <row r="296" spans="1:54">
      <c r="A296" s="2" t="str">
        <f t="shared" si="42"/>
        <v>Bus - Public Assessments_Aerator - Kitchen</v>
      </c>
      <c r="B296" s="18">
        <v>293</v>
      </c>
      <c r="C296" s="18" t="s">
        <v>725</v>
      </c>
      <c r="D296" s="18" t="s">
        <v>727</v>
      </c>
      <c r="E296" s="23" t="s">
        <v>150</v>
      </c>
      <c r="F296" s="23">
        <v>1</v>
      </c>
      <c r="G296" s="154">
        <v>0.79</v>
      </c>
      <c r="H296" s="469">
        <v>9</v>
      </c>
      <c r="I296" s="465">
        <v>10</v>
      </c>
      <c r="J296" s="23">
        <v>81</v>
      </c>
      <c r="K296" s="23">
        <f t="shared" si="47"/>
        <v>81</v>
      </c>
      <c r="L296" s="23">
        <f t="shared" si="48"/>
        <v>81</v>
      </c>
      <c r="M296" s="23">
        <f t="shared" si="48"/>
        <v>81</v>
      </c>
      <c r="N296" s="215">
        <f>((X296-Z296)/X296)*AB296*AD296*AF296*AH296*AL296*AJ296</f>
        <v>7.4428057553956819</v>
      </c>
      <c r="O296" s="215">
        <f t="shared" si="45"/>
        <v>7.4428057553956819</v>
      </c>
      <c r="P296" s="215">
        <f t="shared" si="45"/>
        <v>7.4428057553956819</v>
      </c>
      <c r="Q296" s="215">
        <f t="shared" si="45"/>
        <v>7.4428057553956819</v>
      </c>
      <c r="R296" s="15" t="s">
        <v>839</v>
      </c>
      <c r="S296" s="15" t="s">
        <v>841</v>
      </c>
      <c r="T296" s="15" t="s">
        <v>367</v>
      </c>
      <c r="U296" s="15" t="s">
        <v>366</v>
      </c>
      <c r="V296" s="412" t="s">
        <v>362</v>
      </c>
      <c r="W296" s="412" t="s">
        <v>359</v>
      </c>
      <c r="X296" s="412">
        <v>1.39</v>
      </c>
      <c r="Y296" s="412" t="s">
        <v>358</v>
      </c>
      <c r="Z296" s="412">
        <v>0.94</v>
      </c>
      <c r="AA296" s="412" t="s">
        <v>357</v>
      </c>
      <c r="AB296" s="412">
        <v>1</v>
      </c>
      <c r="AC296" s="412" t="s">
        <v>365</v>
      </c>
      <c r="AD296" s="414">
        <v>1</v>
      </c>
      <c r="AE296" s="412" t="s">
        <v>364</v>
      </c>
      <c r="AF296" s="412">
        <v>20</v>
      </c>
      <c r="AG296" s="412" t="s">
        <v>363</v>
      </c>
      <c r="AH296" s="412">
        <v>250</v>
      </c>
      <c r="AI296" s="412" t="s">
        <v>355</v>
      </c>
      <c r="AJ296" s="415">
        <v>4.8399999999999997E-3</v>
      </c>
      <c r="AK296" s="412" t="s">
        <v>354</v>
      </c>
      <c r="AL296" s="414">
        <v>0.95</v>
      </c>
      <c r="AM296" s="412"/>
      <c r="AN296" s="412"/>
      <c r="AO296" s="166"/>
      <c r="AP296" s="166"/>
      <c r="AQ296" s="166"/>
      <c r="AR296" s="166"/>
      <c r="AS296" s="166"/>
      <c r="AT296" s="166"/>
      <c r="AU296" s="363"/>
      <c r="AV296" s="363"/>
      <c r="AW296" s="363"/>
      <c r="AX296" s="363"/>
      <c r="AY296" s="364"/>
      <c r="AZ296" s="365"/>
      <c r="BA296" s="366"/>
      <c r="BB296" s="27"/>
    </row>
    <row r="297" spans="1:54">
      <c r="A297" s="2" t="str">
        <f t="shared" si="42"/>
        <v>Bus - Public Assessments_Showerhead</v>
      </c>
      <c r="B297" s="18">
        <v>294</v>
      </c>
      <c r="C297" s="18" t="s">
        <v>725</v>
      </c>
      <c r="D297" s="18" t="s">
        <v>731</v>
      </c>
      <c r="E297" s="23" t="s">
        <v>150</v>
      </c>
      <c r="F297" s="23">
        <v>1</v>
      </c>
      <c r="G297" s="154">
        <v>0.79</v>
      </c>
      <c r="H297" s="469">
        <v>10</v>
      </c>
      <c r="I297" s="458">
        <v>10</v>
      </c>
      <c r="J297" s="23">
        <v>36</v>
      </c>
      <c r="K297" s="23">
        <f t="shared" si="47"/>
        <v>36</v>
      </c>
      <c r="L297" s="23">
        <f t="shared" si="48"/>
        <v>36</v>
      </c>
      <c r="M297" s="23">
        <f t="shared" si="48"/>
        <v>36</v>
      </c>
      <c r="N297" s="215">
        <f>100%*((X297*AB297-Z297*AB297)*AD297*365.25)*AF297*AH297</f>
        <v>19.917921113999995</v>
      </c>
      <c r="O297" s="215">
        <f t="shared" si="45"/>
        <v>19.917921113999995</v>
      </c>
      <c r="P297" s="215">
        <f t="shared" si="45"/>
        <v>19.917921113999995</v>
      </c>
      <c r="Q297" s="215">
        <f t="shared" si="45"/>
        <v>19.917921113999995</v>
      </c>
      <c r="R297" s="15" t="s">
        <v>839</v>
      </c>
      <c r="S297" s="15" t="s">
        <v>841</v>
      </c>
      <c r="T297" s="15" t="s">
        <v>361</v>
      </c>
      <c r="U297" s="15" t="s">
        <v>360</v>
      </c>
      <c r="V297" s="412" t="s">
        <v>353</v>
      </c>
      <c r="W297" s="412" t="s">
        <v>359</v>
      </c>
      <c r="X297" s="412">
        <v>2.67</v>
      </c>
      <c r="Y297" s="412" t="s">
        <v>358</v>
      </c>
      <c r="Z297" s="412">
        <v>1.5</v>
      </c>
      <c r="AA297" s="412" t="s">
        <v>357</v>
      </c>
      <c r="AB297" s="412">
        <v>8.1999999999999993</v>
      </c>
      <c r="AC297" s="412" t="s">
        <v>356</v>
      </c>
      <c r="AD297" s="412">
        <v>1</v>
      </c>
      <c r="AE297" s="412" t="s">
        <v>355</v>
      </c>
      <c r="AF297" s="489">
        <v>5.7999999999999996E-3</v>
      </c>
      <c r="AG297" s="412" t="s">
        <v>354</v>
      </c>
      <c r="AH297" s="414">
        <v>0.98</v>
      </c>
      <c r="AI297" s="412"/>
      <c r="AJ297" s="412"/>
      <c r="AK297" s="412"/>
      <c r="AL297" s="412"/>
      <c r="AM297" s="412"/>
      <c r="AN297" s="412"/>
      <c r="AO297" s="166"/>
      <c r="AP297" s="166"/>
      <c r="AQ297" s="166"/>
      <c r="AR297" s="166"/>
      <c r="AS297" s="166"/>
      <c r="AT297" s="166"/>
      <c r="AU297" s="363"/>
      <c r="AV297" s="363"/>
      <c r="AW297" s="363"/>
      <c r="AX297" s="363"/>
      <c r="AY297" s="364"/>
      <c r="AZ297" s="365"/>
      <c r="BA297" s="366"/>
      <c r="BB297" s="27"/>
    </row>
    <row r="298" spans="1:54">
      <c r="A298" s="2" t="str">
        <f t="shared" si="42"/>
        <v>Bus - Public Assessments_Pipe Insulation - DHW</v>
      </c>
      <c r="B298" s="18">
        <v>295</v>
      </c>
      <c r="C298" s="18" t="s">
        <v>725</v>
      </c>
      <c r="D298" s="18" t="s">
        <v>681</v>
      </c>
      <c r="E298" s="23" t="s">
        <v>150</v>
      </c>
      <c r="F298" s="23">
        <v>1</v>
      </c>
      <c r="G298" s="154">
        <v>0.79</v>
      </c>
      <c r="H298" s="469">
        <v>15</v>
      </c>
      <c r="I298" s="458">
        <v>15</v>
      </c>
      <c r="J298" s="23">
        <v>765</v>
      </c>
      <c r="K298" s="23">
        <f t="shared" si="47"/>
        <v>765</v>
      </c>
      <c r="L298" s="23">
        <f t="shared" si="48"/>
        <v>765</v>
      </c>
      <c r="M298" s="23">
        <f t="shared" si="48"/>
        <v>765</v>
      </c>
      <c r="N298" s="216">
        <f>'Pipe Insulation Detail'!$B$48</f>
        <v>5.2492031493764015</v>
      </c>
      <c r="O298" s="215">
        <f t="shared" si="45"/>
        <v>5.2492031493764015</v>
      </c>
      <c r="P298" s="215">
        <f t="shared" si="45"/>
        <v>5.2492031493764015</v>
      </c>
      <c r="Q298" s="215">
        <f t="shared" si="45"/>
        <v>5.2492031493764015</v>
      </c>
      <c r="R298" s="15" t="s">
        <v>838</v>
      </c>
      <c r="S298" s="15" t="s">
        <v>841</v>
      </c>
      <c r="T298" s="15" t="s">
        <v>201</v>
      </c>
      <c r="U298" s="15" t="s">
        <v>200</v>
      </c>
      <c r="V298" s="435" t="s">
        <v>853</v>
      </c>
      <c r="W298" s="166"/>
      <c r="X298" s="166"/>
      <c r="Y298" s="166"/>
      <c r="Z298" s="166"/>
      <c r="AA298" s="158"/>
      <c r="AB298" s="166"/>
      <c r="AC298" s="158"/>
      <c r="AD298" s="166"/>
      <c r="AE298" s="158"/>
      <c r="AF298" s="166"/>
      <c r="AG298" s="166"/>
      <c r="AH298" s="166"/>
      <c r="AI298" s="166"/>
      <c r="AJ298" s="166"/>
      <c r="AK298" s="166"/>
      <c r="AL298" s="166"/>
      <c r="AM298" s="166"/>
      <c r="AN298" s="166"/>
      <c r="AO298" s="166"/>
      <c r="AP298" s="166"/>
      <c r="AQ298" s="166"/>
      <c r="AR298" s="166"/>
      <c r="AS298" s="166"/>
      <c r="AT298" s="166"/>
      <c r="AU298" s="363"/>
      <c r="AV298" s="363"/>
      <c r="AW298" s="363"/>
      <c r="AX298" s="363"/>
      <c r="AY298" s="364"/>
      <c r="AZ298" s="365"/>
      <c r="BA298" s="366"/>
      <c r="BB298" s="27"/>
    </row>
    <row r="299" spans="1:54">
      <c r="A299" s="2" t="str">
        <f t="shared" si="42"/>
        <v>Bus - Public Assessments_Pre Rinse Sprayer</v>
      </c>
      <c r="B299" s="18">
        <v>296</v>
      </c>
      <c r="C299" s="18" t="s">
        <v>725</v>
      </c>
      <c r="D299" s="18" t="s">
        <v>710</v>
      </c>
      <c r="E299" s="23" t="s">
        <v>150</v>
      </c>
      <c r="F299" s="23">
        <v>1</v>
      </c>
      <c r="G299" s="154">
        <v>0.79</v>
      </c>
      <c r="H299" s="469">
        <v>5</v>
      </c>
      <c r="I299" s="458">
        <v>5</v>
      </c>
      <c r="J299" s="23">
        <v>17</v>
      </c>
      <c r="K299" s="23">
        <f t="shared" si="47"/>
        <v>17</v>
      </c>
      <c r="L299" s="23">
        <f t="shared" si="48"/>
        <v>17</v>
      </c>
      <c r="M299" s="23">
        <f t="shared" si="48"/>
        <v>17</v>
      </c>
      <c r="N299" s="215">
        <f>(X299-Z299)*60*AB299*AD299*8.33*1*(AF299-AH299)*(1/AJ299)/100000</f>
        <v>237.414996</v>
      </c>
      <c r="O299" s="215">
        <f t="shared" si="45"/>
        <v>237.414996</v>
      </c>
      <c r="P299" s="215">
        <f t="shared" si="45"/>
        <v>237.414996</v>
      </c>
      <c r="Q299" s="215">
        <f t="shared" si="45"/>
        <v>237.414996</v>
      </c>
      <c r="R299" s="15" t="s">
        <v>839</v>
      </c>
      <c r="S299" s="15" t="s">
        <v>841</v>
      </c>
      <c r="T299" s="15" t="s">
        <v>351</v>
      </c>
      <c r="U299" s="15" t="s">
        <v>350</v>
      </c>
      <c r="V299" s="157" t="s">
        <v>344</v>
      </c>
      <c r="W299" s="412" t="s">
        <v>349</v>
      </c>
      <c r="X299" s="485">
        <v>2.14</v>
      </c>
      <c r="Y299" s="412" t="s">
        <v>348</v>
      </c>
      <c r="Z299" s="486">
        <v>0.98</v>
      </c>
      <c r="AA299" s="412" t="s">
        <v>347</v>
      </c>
      <c r="AB299" s="440">
        <v>1.5</v>
      </c>
      <c r="AC299" s="412" t="s">
        <v>346</v>
      </c>
      <c r="AD299" s="412">
        <v>312</v>
      </c>
      <c r="AE299" s="412" t="s">
        <v>251</v>
      </c>
      <c r="AF299" s="441">
        <f>70+AH299</f>
        <v>124.1</v>
      </c>
      <c r="AG299" s="412" t="s">
        <v>250</v>
      </c>
      <c r="AH299" s="487">
        <v>54.1</v>
      </c>
      <c r="AI299" s="412" t="s">
        <v>345</v>
      </c>
      <c r="AJ299" s="414">
        <v>0.8</v>
      </c>
      <c r="AK299" s="166"/>
      <c r="AL299" s="166"/>
      <c r="AM299" s="166"/>
      <c r="AN299" s="166"/>
      <c r="AO299" s="166"/>
      <c r="AP299" s="166"/>
      <c r="AQ299" s="166"/>
      <c r="AR299" s="166"/>
      <c r="AS299" s="166"/>
      <c r="AT299" s="166"/>
      <c r="AU299" s="363"/>
      <c r="AV299" s="363"/>
      <c r="AW299" s="363"/>
      <c r="AX299" s="363"/>
      <c r="AY299" s="364"/>
      <c r="AZ299" s="365"/>
      <c r="BA299" s="366"/>
      <c r="BB299" s="27"/>
    </row>
    <row r="300" spans="1:54">
      <c r="A300" s="2" t="str">
        <f t="shared" si="42"/>
        <v>Bus - Public Assessments_Gas Optimization</v>
      </c>
      <c r="B300" s="18">
        <v>297</v>
      </c>
      <c r="C300" s="18" t="s">
        <v>725</v>
      </c>
      <c r="D300" s="18" t="s">
        <v>670</v>
      </c>
      <c r="E300" s="23" t="s">
        <v>150</v>
      </c>
      <c r="F300" s="23">
        <v>1</v>
      </c>
      <c r="G300" s="154">
        <v>1.02</v>
      </c>
      <c r="H300" s="469">
        <v>15</v>
      </c>
      <c r="I300" s="458">
        <v>15</v>
      </c>
      <c r="J300" s="23">
        <v>1</v>
      </c>
      <c r="K300" s="23">
        <f t="shared" si="47"/>
        <v>1</v>
      </c>
      <c r="L300" s="23">
        <f t="shared" si="48"/>
        <v>1</v>
      </c>
      <c r="M300" s="23">
        <f t="shared" si="48"/>
        <v>1</v>
      </c>
      <c r="N300" s="217">
        <v>17650</v>
      </c>
      <c r="O300" s="215">
        <f t="shared" si="45"/>
        <v>17650</v>
      </c>
      <c r="P300" s="215">
        <f t="shared" si="45"/>
        <v>17650</v>
      </c>
      <c r="Q300" s="215">
        <f t="shared" si="45"/>
        <v>17650</v>
      </c>
      <c r="R300" s="15" t="s">
        <v>140</v>
      </c>
      <c r="S300" s="15" t="s">
        <v>140</v>
      </c>
      <c r="T300" s="15" t="s">
        <v>140</v>
      </c>
      <c r="U300" s="15" t="s">
        <v>140</v>
      </c>
      <c r="V300" s="412"/>
      <c r="W300" s="169"/>
      <c r="X300" s="169"/>
      <c r="Y300" s="412"/>
      <c r="Z300" s="412"/>
      <c r="AA300" s="170"/>
      <c r="AB300" s="412"/>
      <c r="AC300" s="157"/>
      <c r="AD300" s="412"/>
      <c r="AE300" s="157"/>
      <c r="AF300" s="412"/>
      <c r="AG300" s="412"/>
      <c r="AH300" s="412"/>
      <c r="AI300" s="412"/>
      <c r="AJ300" s="412"/>
      <c r="AK300" s="412"/>
      <c r="AL300" s="412"/>
      <c r="AM300" s="412"/>
      <c r="AN300" s="412"/>
      <c r="AO300" s="412"/>
      <c r="AP300" s="412"/>
      <c r="AQ300" s="412"/>
      <c r="AR300" s="412"/>
      <c r="AS300" s="412"/>
      <c r="AT300" s="412"/>
      <c r="AU300" s="363"/>
      <c r="AV300" s="363"/>
      <c r="AW300" s="363"/>
      <c r="AX300" s="363"/>
      <c r="AY300" s="364"/>
      <c r="AZ300" s="365"/>
      <c r="BA300" s="366"/>
      <c r="BB300" s="27"/>
    </row>
    <row r="301" spans="1:54">
      <c r="A301" s="2" t="str">
        <f t="shared" si="42"/>
        <v>Bus - Public Assessments_Retrocommissioning</v>
      </c>
      <c r="B301" s="18">
        <v>298</v>
      </c>
      <c r="C301" s="18" t="s">
        <v>725</v>
      </c>
      <c r="D301" s="18" t="s">
        <v>671</v>
      </c>
      <c r="E301" s="23" t="s">
        <v>150</v>
      </c>
      <c r="F301" s="23">
        <v>1</v>
      </c>
      <c r="G301" s="154">
        <v>1.02</v>
      </c>
      <c r="H301" s="469">
        <v>15</v>
      </c>
      <c r="I301" s="458">
        <v>15</v>
      </c>
      <c r="J301" s="23">
        <v>3</v>
      </c>
      <c r="K301" s="23">
        <f t="shared" si="47"/>
        <v>3</v>
      </c>
      <c r="L301" s="23">
        <f t="shared" si="48"/>
        <v>3</v>
      </c>
      <c r="M301" s="23">
        <f t="shared" si="48"/>
        <v>3</v>
      </c>
      <c r="N301" s="217">
        <v>9850</v>
      </c>
      <c r="O301" s="215">
        <f t="shared" si="45"/>
        <v>9850</v>
      </c>
      <c r="P301" s="215">
        <f t="shared" si="45"/>
        <v>9850</v>
      </c>
      <c r="Q301" s="215">
        <f t="shared" si="45"/>
        <v>9850</v>
      </c>
      <c r="R301" s="15" t="s">
        <v>140</v>
      </c>
      <c r="S301" s="15" t="s">
        <v>140</v>
      </c>
      <c r="T301" s="15" t="s">
        <v>140</v>
      </c>
      <c r="U301" s="15" t="s">
        <v>140</v>
      </c>
      <c r="V301" s="412"/>
      <c r="W301" s="169"/>
      <c r="X301" s="169"/>
      <c r="Y301" s="412"/>
      <c r="Z301" s="412"/>
      <c r="AA301" s="170"/>
      <c r="AB301" s="412"/>
      <c r="AC301" s="157"/>
      <c r="AD301" s="412"/>
      <c r="AE301" s="157"/>
      <c r="AF301" s="412"/>
      <c r="AG301" s="412"/>
      <c r="AH301" s="412"/>
      <c r="AI301" s="412"/>
      <c r="AJ301" s="412"/>
      <c r="AK301" s="412"/>
      <c r="AL301" s="412"/>
      <c r="AM301" s="412"/>
      <c r="AN301" s="412"/>
      <c r="AO301" s="412"/>
      <c r="AP301" s="412"/>
      <c r="AQ301" s="412"/>
      <c r="AR301" s="412"/>
      <c r="AS301" s="412"/>
      <c r="AT301" s="412"/>
      <c r="AU301" s="363"/>
      <c r="AV301" s="363"/>
      <c r="AW301" s="363"/>
      <c r="AX301" s="363"/>
      <c r="AY301" s="364"/>
      <c r="AZ301" s="367"/>
      <c r="BA301" s="366"/>
      <c r="BB301" s="27"/>
    </row>
    <row r="302" spans="1:54">
      <c r="A302" s="2" t="str">
        <f t="shared" si="42"/>
        <v>Bus - Public Rebates_Boiler ≥88% AFUE, &lt;300MBh</v>
      </c>
      <c r="B302" s="18">
        <v>299</v>
      </c>
      <c r="C302" s="18" t="s">
        <v>728</v>
      </c>
      <c r="D302" s="18" t="s">
        <v>718</v>
      </c>
      <c r="E302" s="23" t="s">
        <v>240</v>
      </c>
      <c r="F302" s="23">
        <v>200</v>
      </c>
      <c r="G302" s="154">
        <v>0.79</v>
      </c>
      <c r="H302" s="469">
        <v>20</v>
      </c>
      <c r="I302" s="458">
        <v>20</v>
      </c>
      <c r="J302" s="23">
        <v>2</v>
      </c>
      <c r="K302" s="23">
        <f t="shared" si="47"/>
        <v>2</v>
      </c>
      <c r="L302" s="23">
        <f t="shared" si="48"/>
        <v>2</v>
      </c>
      <c r="M302" s="23">
        <f t="shared" si="48"/>
        <v>2</v>
      </c>
      <c r="N302" s="216">
        <f>X302*Z302*((AB302-AD302)/AD302)/100000/F302</f>
        <v>1.2278048780487816</v>
      </c>
      <c r="O302" s="215">
        <f t="shared" si="45"/>
        <v>1.2278048780487816</v>
      </c>
      <c r="P302" s="215">
        <f t="shared" si="45"/>
        <v>1.2278048780487816</v>
      </c>
      <c r="Q302" s="215">
        <f t="shared" si="45"/>
        <v>1.2278048780487816</v>
      </c>
      <c r="R302" s="15" t="s">
        <v>839</v>
      </c>
      <c r="S302" s="15" t="s">
        <v>841</v>
      </c>
      <c r="T302" s="15" t="s">
        <v>343</v>
      </c>
      <c r="U302" s="15" t="s">
        <v>342</v>
      </c>
      <c r="V302" s="166" t="s">
        <v>340</v>
      </c>
      <c r="W302" s="492" t="s">
        <v>271</v>
      </c>
      <c r="X302" s="491">
        <v>1678</v>
      </c>
      <c r="Y302" s="158" t="s">
        <v>273</v>
      </c>
      <c r="Z302" s="420">
        <v>200000</v>
      </c>
      <c r="AA302" s="158" t="s">
        <v>341</v>
      </c>
      <c r="AB302" s="419">
        <v>0.88</v>
      </c>
      <c r="AC302" s="166" t="s">
        <v>248</v>
      </c>
      <c r="AD302" s="419">
        <v>0.82</v>
      </c>
      <c r="AE302" s="166"/>
      <c r="AF302" s="166"/>
      <c r="AG302" s="166"/>
      <c r="AH302" s="166"/>
      <c r="AI302" s="166"/>
      <c r="AJ302" s="166"/>
      <c r="AK302" s="166"/>
      <c r="AL302" s="166"/>
      <c r="AM302" s="166"/>
      <c r="AN302" s="166"/>
      <c r="AO302" s="166"/>
      <c r="AP302" s="166"/>
      <c r="AQ302" s="166"/>
      <c r="AR302" s="166"/>
      <c r="AS302" s="166"/>
      <c r="AT302" s="166"/>
      <c r="AU302" s="363"/>
      <c r="AV302" s="363"/>
      <c r="AW302" s="363"/>
      <c r="AX302" s="363"/>
      <c r="AY302" s="364"/>
      <c r="AZ302" s="367"/>
      <c r="BA302" s="366"/>
      <c r="BB302" s="27"/>
    </row>
    <row r="303" spans="1:54">
      <c r="A303" s="2" t="str">
        <f t="shared" si="42"/>
        <v>Bus - Public Rebates_Boiler ≥88% AFUE, ≥300MBh TE</v>
      </c>
      <c r="B303" s="18">
        <v>300</v>
      </c>
      <c r="C303" s="18" t="s">
        <v>728</v>
      </c>
      <c r="D303" s="18" t="s">
        <v>719</v>
      </c>
      <c r="E303" s="23" t="s">
        <v>240</v>
      </c>
      <c r="F303" s="23">
        <v>400</v>
      </c>
      <c r="G303" s="154">
        <v>0.79</v>
      </c>
      <c r="H303" s="469">
        <v>20</v>
      </c>
      <c r="I303" s="458">
        <v>20</v>
      </c>
      <c r="J303" s="23">
        <v>3</v>
      </c>
      <c r="K303" s="23">
        <f t="shared" si="47"/>
        <v>3</v>
      </c>
      <c r="L303" s="23">
        <f t="shared" si="48"/>
        <v>3</v>
      </c>
      <c r="M303" s="23">
        <f t="shared" si="48"/>
        <v>3</v>
      </c>
      <c r="N303" s="216">
        <f>X303*Z303*((AB303-AD303)/AD303)/100000/F303</f>
        <v>1.6779999999999993</v>
      </c>
      <c r="O303" s="215">
        <f t="shared" si="45"/>
        <v>1.6779999999999993</v>
      </c>
      <c r="P303" s="215">
        <f t="shared" si="45"/>
        <v>1.6779999999999993</v>
      </c>
      <c r="Q303" s="215">
        <f t="shared" si="45"/>
        <v>1.6779999999999993</v>
      </c>
      <c r="R303" s="15" t="s">
        <v>839</v>
      </c>
      <c r="S303" s="15" t="s">
        <v>841</v>
      </c>
      <c r="T303" s="15" t="s">
        <v>343</v>
      </c>
      <c r="U303" s="15" t="s">
        <v>342</v>
      </c>
      <c r="V303" s="166" t="s">
        <v>340</v>
      </c>
      <c r="W303" s="492" t="s">
        <v>271</v>
      </c>
      <c r="X303" s="491">
        <v>1678</v>
      </c>
      <c r="Y303" s="158" t="s">
        <v>273</v>
      </c>
      <c r="Z303" s="420">
        <v>400000</v>
      </c>
      <c r="AA303" s="158" t="s">
        <v>341</v>
      </c>
      <c r="AB303" s="419">
        <v>0.88</v>
      </c>
      <c r="AC303" s="166" t="s">
        <v>248</v>
      </c>
      <c r="AD303" s="419">
        <v>0.8</v>
      </c>
      <c r="AE303" s="166"/>
      <c r="AF303" s="166"/>
      <c r="AG303" s="166"/>
      <c r="AH303" s="166"/>
      <c r="AI303" s="166"/>
      <c r="AJ303" s="166"/>
      <c r="AK303" s="166"/>
      <c r="AL303" s="166"/>
      <c r="AM303" s="166"/>
      <c r="AN303" s="166"/>
      <c r="AO303" s="166"/>
      <c r="AP303" s="166"/>
      <c r="AQ303" s="166"/>
      <c r="AR303" s="166"/>
      <c r="AS303" s="166"/>
      <c r="AT303" s="166"/>
      <c r="AU303" s="363"/>
      <c r="AV303" s="363"/>
      <c r="AW303" s="363"/>
      <c r="AX303" s="363"/>
      <c r="AY303" s="364"/>
      <c r="AZ303" s="365"/>
      <c r="BA303" s="366"/>
      <c r="BB303" s="27"/>
    </row>
    <row r="304" spans="1:54">
      <c r="A304" s="2" t="str">
        <f t="shared" si="42"/>
        <v>Bus - Public Rebates_Boiler Reset Controls</v>
      </c>
      <c r="B304" s="18">
        <v>301</v>
      </c>
      <c r="C304" s="18" t="s">
        <v>728</v>
      </c>
      <c r="D304" s="18" t="s">
        <v>1062</v>
      </c>
      <c r="E304" s="23" t="s">
        <v>150</v>
      </c>
      <c r="F304" s="23">
        <v>200</v>
      </c>
      <c r="G304" s="154">
        <v>0.79</v>
      </c>
      <c r="H304" s="469">
        <v>20</v>
      </c>
      <c r="I304" s="458">
        <v>20</v>
      </c>
      <c r="J304" s="23">
        <v>30</v>
      </c>
      <c r="K304" s="23">
        <f t="shared" si="47"/>
        <v>30</v>
      </c>
      <c r="L304" s="23">
        <f t="shared" si="48"/>
        <v>30</v>
      </c>
      <c r="M304" s="23">
        <f t="shared" si="48"/>
        <v>30</v>
      </c>
      <c r="N304" s="216">
        <f>X304*Z304/100</f>
        <v>1.3424</v>
      </c>
      <c r="O304" s="215">
        <f t="shared" si="45"/>
        <v>1.3424</v>
      </c>
      <c r="P304" s="215">
        <f t="shared" si="45"/>
        <v>1.3424</v>
      </c>
      <c r="Q304" s="215">
        <f t="shared" si="45"/>
        <v>1.3424</v>
      </c>
      <c r="R304" s="15" t="s">
        <v>839</v>
      </c>
      <c r="S304" s="15" t="s">
        <v>841</v>
      </c>
      <c r="T304" s="15" t="s">
        <v>339</v>
      </c>
      <c r="U304" s="15" t="s">
        <v>338</v>
      </c>
      <c r="V304" s="166" t="s">
        <v>336</v>
      </c>
      <c r="W304" s="492" t="s">
        <v>271</v>
      </c>
      <c r="X304" s="491">
        <v>1678</v>
      </c>
      <c r="Y304" s="158" t="s">
        <v>337</v>
      </c>
      <c r="Z304" s="421">
        <v>0.08</v>
      </c>
      <c r="AA304" s="158"/>
      <c r="AB304" s="158"/>
      <c r="AC304" s="158"/>
      <c r="AD304" s="158"/>
      <c r="AE304" s="158"/>
      <c r="AF304" s="166"/>
      <c r="AG304" s="166"/>
      <c r="AH304" s="166"/>
      <c r="AI304" s="166"/>
      <c r="AJ304" s="166"/>
      <c r="AK304" s="166"/>
      <c r="AL304" s="166"/>
      <c r="AM304" s="166"/>
      <c r="AN304" s="166"/>
      <c r="AO304" s="166"/>
      <c r="AP304" s="166"/>
      <c r="AQ304" s="166"/>
      <c r="AR304" s="166"/>
      <c r="AS304" s="166"/>
      <c r="AT304" s="166"/>
      <c r="AU304" s="363"/>
      <c r="AV304" s="363"/>
      <c r="AW304" s="363"/>
      <c r="AX304" s="363"/>
      <c r="AY304" s="364"/>
      <c r="AZ304" s="365"/>
      <c r="BA304" s="366"/>
      <c r="BB304" s="27"/>
    </row>
    <row r="305" spans="1:54">
      <c r="A305" s="2" t="str">
        <f t="shared" si="42"/>
        <v>Bus - Public Rebates_Boiler Tune Up - Process</v>
      </c>
      <c r="B305" s="18">
        <v>302</v>
      </c>
      <c r="C305" s="18" t="s">
        <v>728</v>
      </c>
      <c r="D305" s="18" t="s">
        <v>335</v>
      </c>
      <c r="E305" s="23" t="s">
        <v>240</v>
      </c>
      <c r="F305" s="23">
        <v>2500</v>
      </c>
      <c r="G305" s="154">
        <v>0.79</v>
      </c>
      <c r="H305" s="469">
        <v>3</v>
      </c>
      <c r="I305" s="458">
        <v>3</v>
      </c>
      <c r="J305" s="23">
        <v>14</v>
      </c>
      <c r="K305" s="23">
        <f t="shared" si="47"/>
        <v>14</v>
      </c>
      <c r="L305" s="23">
        <f t="shared" si="48"/>
        <v>14</v>
      </c>
      <c r="M305" s="23">
        <f t="shared" si="48"/>
        <v>14</v>
      </c>
      <c r="N305" s="216">
        <f>(X305*8766*Z305)/100*(1-AB305/AD305)</f>
        <v>0.83823507428978783</v>
      </c>
      <c r="O305" s="215">
        <f t="shared" si="45"/>
        <v>0.83823507428978783</v>
      </c>
      <c r="P305" s="215">
        <f t="shared" si="45"/>
        <v>0.83823507428978783</v>
      </c>
      <c r="Q305" s="215">
        <f t="shared" si="45"/>
        <v>0.83823507428978783</v>
      </c>
      <c r="R305" s="15" t="s">
        <v>839</v>
      </c>
      <c r="S305" s="15" t="s">
        <v>841</v>
      </c>
      <c r="T305" s="15" t="s">
        <v>334</v>
      </c>
      <c r="U305" s="15" t="s">
        <v>333</v>
      </c>
      <c r="V305" s="166" t="s">
        <v>328</v>
      </c>
      <c r="W305" s="166" t="s">
        <v>332</v>
      </c>
      <c r="X305" s="420">
        <v>1</v>
      </c>
      <c r="Y305" s="166" t="s">
        <v>331</v>
      </c>
      <c r="Z305" s="427">
        <v>0.41899999999999998</v>
      </c>
      <c r="AA305" s="158" t="s">
        <v>330</v>
      </c>
      <c r="AB305" s="428">
        <v>0.82210000000000005</v>
      </c>
      <c r="AC305" s="158" t="s">
        <v>329</v>
      </c>
      <c r="AD305" s="428">
        <v>0.84130000000000005</v>
      </c>
      <c r="AE305" s="158"/>
      <c r="AF305" s="166"/>
      <c r="AG305" s="166"/>
      <c r="AH305" s="166"/>
      <c r="AI305" s="166"/>
      <c r="AJ305" s="166"/>
      <c r="AK305" s="166"/>
      <c r="AL305" s="166"/>
      <c r="AM305" s="166"/>
      <c r="AN305" s="166"/>
      <c r="AO305" s="166"/>
      <c r="AP305" s="166"/>
      <c r="AQ305" s="166"/>
      <c r="AR305" s="166"/>
      <c r="AS305" s="166"/>
      <c r="AT305" s="166"/>
      <c r="AU305" s="363"/>
      <c r="AV305" s="363"/>
      <c r="AW305" s="363"/>
      <c r="AX305" s="363"/>
      <c r="AY305" s="364"/>
      <c r="AZ305" s="365"/>
      <c r="BA305" s="366"/>
      <c r="BB305" s="27"/>
    </row>
    <row r="306" spans="1:54">
      <c r="A306" s="2" t="str">
        <f t="shared" si="42"/>
        <v>Bus - Public Rebates_Boiler Tune Up - Space Heating</v>
      </c>
      <c r="B306" s="18">
        <v>303</v>
      </c>
      <c r="C306" s="18" t="s">
        <v>728</v>
      </c>
      <c r="D306" s="18" t="s">
        <v>724</v>
      </c>
      <c r="E306" s="23" t="s">
        <v>240</v>
      </c>
      <c r="F306" s="23">
        <v>2500</v>
      </c>
      <c r="G306" s="154">
        <v>0.79</v>
      </c>
      <c r="H306" s="469">
        <v>3</v>
      </c>
      <c r="I306" s="458">
        <v>3</v>
      </c>
      <c r="J306" s="23">
        <v>0</v>
      </c>
      <c r="K306" s="23">
        <f t="shared" si="47"/>
        <v>0</v>
      </c>
      <c r="L306" s="23">
        <f t="shared" si="48"/>
        <v>0</v>
      </c>
      <c r="M306" s="23">
        <f t="shared" si="48"/>
        <v>0</v>
      </c>
      <c r="N306" s="216">
        <f>AD306*(X306*((AB306/Z306)-1))/100000</f>
        <v>0.3918939301788088</v>
      </c>
      <c r="O306" s="215">
        <f t="shared" ref="O306:Q325" si="49">N306</f>
        <v>0.3918939301788088</v>
      </c>
      <c r="P306" s="215">
        <f t="shared" si="49"/>
        <v>0.3918939301788088</v>
      </c>
      <c r="Q306" s="215">
        <f t="shared" si="49"/>
        <v>0.3918939301788088</v>
      </c>
      <c r="R306" s="15" t="s">
        <v>839</v>
      </c>
      <c r="S306" s="15" t="s">
        <v>841</v>
      </c>
      <c r="T306" s="15" t="s">
        <v>327</v>
      </c>
      <c r="U306" s="15" t="s">
        <v>326</v>
      </c>
      <c r="V306" s="166" t="s">
        <v>322</v>
      </c>
      <c r="W306" s="492" t="s">
        <v>271</v>
      </c>
      <c r="X306" s="491">
        <v>1678</v>
      </c>
      <c r="Y306" s="158" t="s">
        <v>325</v>
      </c>
      <c r="Z306" s="428">
        <v>0.82210000000000005</v>
      </c>
      <c r="AA306" s="158" t="s">
        <v>324</v>
      </c>
      <c r="AB306" s="428">
        <v>0.84130000000000005</v>
      </c>
      <c r="AC306" s="166" t="s">
        <v>323</v>
      </c>
      <c r="AD306" s="429">
        <v>1000</v>
      </c>
      <c r="AE306" s="166"/>
      <c r="AF306" s="166"/>
      <c r="AG306" s="166"/>
      <c r="AH306" s="166"/>
      <c r="AI306" s="166"/>
      <c r="AJ306" s="166"/>
      <c r="AK306" s="166"/>
      <c r="AL306" s="166"/>
      <c r="AM306" s="166"/>
      <c r="AN306" s="166"/>
      <c r="AO306" s="166"/>
      <c r="AP306" s="166"/>
      <c r="AQ306" s="166"/>
      <c r="AR306" s="166"/>
      <c r="AS306" s="166"/>
      <c r="AT306" s="166"/>
      <c r="AU306" s="363"/>
      <c r="AV306" s="363"/>
      <c r="AW306" s="363"/>
      <c r="AX306" s="363"/>
      <c r="AY306" s="364"/>
      <c r="AZ306" s="365"/>
      <c r="BA306" s="366"/>
      <c r="BB306" s="27"/>
    </row>
    <row r="307" spans="1:54">
      <c r="A307" s="2" t="str">
        <f t="shared" si="42"/>
        <v>Bus - Public Rebates_Condensing Unit Heater</v>
      </c>
      <c r="B307" s="18">
        <v>304</v>
      </c>
      <c r="C307" s="18" t="s">
        <v>728</v>
      </c>
      <c r="D307" s="18" t="s">
        <v>321</v>
      </c>
      <c r="E307" s="23" t="s">
        <v>240</v>
      </c>
      <c r="F307" s="23">
        <v>150</v>
      </c>
      <c r="G307" s="154">
        <v>0.79</v>
      </c>
      <c r="H307" s="469">
        <v>12</v>
      </c>
      <c r="I307" s="458">
        <v>12</v>
      </c>
      <c r="J307" s="23">
        <v>0</v>
      </c>
      <c r="K307" s="23">
        <f t="shared" si="47"/>
        <v>0</v>
      </c>
      <c r="L307" s="23">
        <f t="shared" si="48"/>
        <v>0</v>
      </c>
      <c r="M307" s="23">
        <f t="shared" si="48"/>
        <v>0</v>
      </c>
      <c r="N307" s="216">
        <f>266/F307</f>
        <v>1.7733333333333334</v>
      </c>
      <c r="O307" s="215">
        <f t="shared" si="49"/>
        <v>1.7733333333333334</v>
      </c>
      <c r="P307" s="215">
        <f t="shared" si="49"/>
        <v>1.7733333333333334</v>
      </c>
      <c r="Q307" s="215">
        <f t="shared" si="49"/>
        <v>1.7733333333333334</v>
      </c>
      <c r="R307" s="15" t="s">
        <v>839</v>
      </c>
      <c r="S307" s="15" t="s">
        <v>841</v>
      </c>
      <c r="T307" s="15" t="s">
        <v>320</v>
      </c>
      <c r="U307" s="15" t="s">
        <v>319</v>
      </c>
      <c r="V307" s="166" t="s">
        <v>318</v>
      </c>
      <c r="W307" s="166"/>
      <c r="X307" s="166"/>
      <c r="Y307" s="166"/>
      <c r="Z307" s="166"/>
      <c r="AA307" s="158"/>
      <c r="AB307" s="166"/>
      <c r="AC307" s="158"/>
      <c r="AD307" s="166"/>
      <c r="AE307" s="158"/>
      <c r="AF307" s="166"/>
      <c r="AG307" s="166"/>
      <c r="AH307" s="166"/>
      <c r="AI307" s="166"/>
      <c r="AJ307" s="166"/>
      <c r="AK307" s="166"/>
      <c r="AL307" s="166"/>
      <c r="AM307" s="166"/>
      <c r="AN307" s="166"/>
      <c r="AO307" s="166"/>
      <c r="AP307" s="166"/>
      <c r="AQ307" s="166"/>
      <c r="AR307" s="166"/>
      <c r="AS307" s="166"/>
      <c r="AT307" s="166"/>
      <c r="AU307" s="363"/>
      <c r="AV307" s="363"/>
      <c r="AW307" s="363"/>
      <c r="AX307" s="363"/>
      <c r="AY307" s="364"/>
      <c r="AZ307" s="365"/>
      <c r="BA307" s="366"/>
      <c r="BB307" s="27"/>
    </row>
    <row r="308" spans="1:54">
      <c r="A308" s="2" t="str">
        <f t="shared" si="42"/>
        <v>Bus - Public Rebates_DCV - Kitchen</v>
      </c>
      <c r="B308" s="18">
        <v>305</v>
      </c>
      <c r="C308" s="18" t="s">
        <v>728</v>
      </c>
      <c r="D308" s="18" t="s">
        <v>312</v>
      </c>
      <c r="E308" s="23" t="s">
        <v>150</v>
      </c>
      <c r="F308" s="23">
        <v>1</v>
      </c>
      <c r="G308" s="154">
        <v>0.79</v>
      </c>
      <c r="H308" s="469">
        <v>15</v>
      </c>
      <c r="I308" s="458">
        <v>15</v>
      </c>
      <c r="J308" s="23">
        <v>14</v>
      </c>
      <c r="K308" s="23">
        <f t="shared" si="47"/>
        <v>14</v>
      </c>
      <c r="L308" s="23">
        <f t="shared" si="48"/>
        <v>14</v>
      </c>
      <c r="M308" s="23">
        <f t="shared" si="48"/>
        <v>14</v>
      </c>
      <c r="N308" s="216">
        <f>X308*Z308*AB308/(AD308*100000)</f>
        <v>5998.5</v>
      </c>
      <c r="O308" s="215">
        <f t="shared" si="49"/>
        <v>5998.5</v>
      </c>
      <c r="P308" s="215">
        <f t="shared" si="49"/>
        <v>5998.5</v>
      </c>
      <c r="Q308" s="215">
        <f t="shared" si="49"/>
        <v>5998.5</v>
      </c>
      <c r="R308" s="15" t="s">
        <v>839</v>
      </c>
      <c r="S308" s="15" t="s">
        <v>841</v>
      </c>
      <c r="T308" s="15" t="s">
        <v>311</v>
      </c>
      <c r="U308" s="15" t="s">
        <v>310</v>
      </c>
      <c r="V308" s="166" t="s">
        <v>306</v>
      </c>
      <c r="W308" s="166" t="s">
        <v>305</v>
      </c>
      <c r="X308" s="166">
        <v>430</v>
      </c>
      <c r="Y308" s="166" t="s">
        <v>309</v>
      </c>
      <c r="Z308" s="166">
        <v>7.75</v>
      </c>
      <c r="AA308" s="158" t="s">
        <v>308</v>
      </c>
      <c r="AB308" s="433">
        <v>144000</v>
      </c>
      <c r="AC308" s="158" t="s">
        <v>307</v>
      </c>
      <c r="AD308" s="419">
        <v>0.8</v>
      </c>
      <c r="AE308" s="158"/>
      <c r="AF308" s="166"/>
      <c r="AG308" s="166"/>
      <c r="AH308" s="166"/>
      <c r="AI308" s="166"/>
      <c r="AJ308" s="166"/>
      <c r="AK308" s="166"/>
      <c r="AL308" s="166"/>
      <c r="AM308" s="166"/>
      <c r="AN308" s="166"/>
      <c r="AO308" s="166"/>
      <c r="AP308" s="166"/>
      <c r="AQ308" s="166"/>
      <c r="AR308" s="166"/>
      <c r="AS308" s="166"/>
      <c r="AT308" s="166"/>
      <c r="AU308" s="363"/>
      <c r="AV308" s="363"/>
      <c r="AW308" s="363"/>
      <c r="AX308" s="363"/>
      <c r="AY308" s="364"/>
      <c r="AZ308" s="365"/>
      <c r="BA308" s="366"/>
      <c r="BB308" s="27"/>
    </row>
    <row r="309" spans="1:54">
      <c r="A309" s="2" t="str">
        <f t="shared" si="42"/>
        <v>Bus - Public Rebates_Direct Fired Heaters</v>
      </c>
      <c r="B309" s="18">
        <v>306</v>
      </c>
      <c r="C309" s="18" t="s">
        <v>728</v>
      </c>
      <c r="D309" s="18" t="s">
        <v>317</v>
      </c>
      <c r="E309" s="23" t="s">
        <v>240</v>
      </c>
      <c r="F309" s="23">
        <v>150</v>
      </c>
      <c r="G309" s="154">
        <v>0.79</v>
      </c>
      <c r="H309" s="469">
        <v>20</v>
      </c>
      <c r="I309" s="458">
        <v>20</v>
      </c>
      <c r="J309" s="23">
        <v>0</v>
      </c>
      <c r="K309" s="23">
        <f t="shared" si="47"/>
        <v>0</v>
      </c>
      <c r="L309" s="23">
        <f t="shared" si="48"/>
        <v>0</v>
      </c>
      <c r="M309" s="23">
        <f t="shared" si="48"/>
        <v>0</v>
      </c>
      <c r="N309" s="216">
        <f>AF309*X309*(Z309/AB309-1)/100000</f>
        <v>2.5169999999999986</v>
      </c>
      <c r="O309" s="215">
        <f t="shared" si="49"/>
        <v>2.5169999999999986</v>
      </c>
      <c r="P309" s="215">
        <f t="shared" si="49"/>
        <v>2.5169999999999986</v>
      </c>
      <c r="Q309" s="215">
        <f t="shared" si="49"/>
        <v>2.5169999999999986</v>
      </c>
      <c r="R309" s="15" t="s">
        <v>140</v>
      </c>
      <c r="S309" s="15" t="s">
        <v>140</v>
      </c>
      <c r="T309" s="15" t="s">
        <v>140</v>
      </c>
      <c r="U309" s="15" t="s">
        <v>140</v>
      </c>
      <c r="V309" s="166" t="s">
        <v>313</v>
      </c>
      <c r="W309" s="166" t="s">
        <v>273</v>
      </c>
      <c r="X309" s="166">
        <v>1000</v>
      </c>
      <c r="Y309" s="166" t="s">
        <v>316</v>
      </c>
      <c r="Z309" s="419">
        <v>0.92</v>
      </c>
      <c r="AA309" s="158" t="s">
        <v>315</v>
      </c>
      <c r="AB309" s="419">
        <v>0.8</v>
      </c>
      <c r="AC309" s="490" t="s">
        <v>302</v>
      </c>
      <c r="AD309" s="492">
        <f>(1540+1782)/2</f>
        <v>1661</v>
      </c>
      <c r="AE309" s="490" t="s">
        <v>314</v>
      </c>
      <c r="AF309" s="492">
        <v>1678</v>
      </c>
      <c r="AG309" s="166"/>
      <c r="AH309" s="166"/>
      <c r="AI309" s="166"/>
      <c r="AJ309" s="166"/>
      <c r="AK309" s="166"/>
      <c r="AL309" s="166"/>
      <c r="AM309" s="166"/>
      <c r="AN309" s="166"/>
      <c r="AO309" s="166"/>
      <c r="AP309" s="166"/>
      <c r="AQ309" s="166"/>
      <c r="AR309" s="166"/>
      <c r="AS309" s="166"/>
      <c r="AT309" s="166"/>
      <c r="AU309" s="363"/>
      <c r="AV309" s="363"/>
      <c r="AW309" s="363"/>
      <c r="AX309" s="363"/>
      <c r="AY309" s="364"/>
      <c r="AZ309" s="365"/>
      <c r="BA309" s="366"/>
      <c r="BB309" s="27"/>
    </row>
    <row r="310" spans="1:54">
      <c r="A310" s="2" t="str">
        <f t="shared" si="42"/>
        <v>Bus - Public Rebates_High Speed Washer - Hotel/Motel/Hospital</v>
      </c>
      <c r="B310" s="18">
        <v>307</v>
      </c>
      <c r="C310" s="18" t="s">
        <v>728</v>
      </c>
      <c r="D310" s="18" t="s">
        <v>238</v>
      </c>
      <c r="E310" s="23" t="s">
        <v>237</v>
      </c>
      <c r="F310" s="23">
        <v>250</v>
      </c>
      <c r="G310" s="154">
        <v>0.79</v>
      </c>
      <c r="H310" s="469">
        <v>7</v>
      </c>
      <c r="I310" s="458">
        <v>7</v>
      </c>
      <c r="J310" s="23">
        <v>0</v>
      </c>
      <c r="K310" s="23">
        <f t="shared" si="47"/>
        <v>0</v>
      </c>
      <c r="L310" s="23">
        <f t="shared" si="48"/>
        <v>0</v>
      </c>
      <c r="M310" s="23">
        <f t="shared" si="48"/>
        <v>0</v>
      </c>
      <c r="N310" s="216">
        <f>X310*Z310*AB310*AD310*AF310/AH310/100000*AJ310*AL310/F310</f>
        <v>11.243232000000003</v>
      </c>
      <c r="O310" s="215">
        <f t="shared" si="49"/>
        <v>11.243232000000003</v>
      </c>
      <c r="P310" s="215">
        <f t="shared" si="49"/>
        <v>11.243232000000003</v>
      </c>
      <c r="Q310" s="215">
        <f t="shared" si="49"/>
        <v>11.243232000000003</v>
      </c>
      <c r="R310" s="15" t="s">
        <v>839</v>
      </c>
      <c r="S310" s="15" t="s">
        <v>841</v>
      </c>
      <c r="T310" s="15" t="s">
        <v>236</v>
      </c>
      <c r="U310" s="15" t="s">
        <v>235</v>
      </c>
      <c r="V310" s="432"/>
      <c r="W310" s="166" t="s">
        <v>234</v>
      </c>
      <c r="X310" s="166">
        <v>10.4</v>
      </c>
      <c r="Y310" s="166" t="s">
        <v>233</v>
      </c>
      <c r="Z310" s="166">
        <v>360</v>
      </c>
      <c r="AA310" s="158" t="s">
        <v>232</v>
      </c>
      <c r="AB310" s="420">
        <v>250</v>
      </c>
      <c r="AC310" s="158" t="s">
        <v>231</v>
      </c>
      <c r="AD310" s="425">
        <v>0.25</v>
      </c>
      <c r="AE310" s="158" t="s">
        <v>230</v>
      </c>
      <c r="AF310" s="420">
        <v>1200</v>
      </c>
      <c r="AG310" s="419" t="s">
        <v>229</v>
      </c>
      <c r="AH310" s="419">
        <v>0.6</v>
      </c>
      <c r="AI310" s="166" t="s">
        <v>228</v>
      </c>
      <c r="AJ310" s="419">
        <v>0.91</v>
      </c>
      <c r="AK310" s="166" t="s">
        <v>227</v>
      </c>
      <c r="AL310" s="425">
        <v>0.66</v>
      </c>
      <c r="AM310" s="166"/>
      <c r="AN310" s="166"/>
      <c r="AO310" s="166"/>
      <c r="AP310" s="166"/>
      <c r="AQ310" s="166"/>
      <c r="AR310" s="166"/>
      <c r="AS310" s="166"/>
      <c r="AT310" s="166"/>
      <c r="AU310" s="363"/>
      <c r="AV310" s="363"/>
      <c r="AW310" s="363"/>
      <c r="AX310" s="363"/>
      <c r="AY310" s="364"/>
      <c r="AZ310" s="365"/>
      <c r="BA310" s="366"/>
      <c r="BB310" s="27"/>
    </row>
    <row r="311" spans="1:54">
      <c r="A311" s="2" t="str">
        <f t="shared" si="42"/>
        <v>Bus - Public Rebates_Infrared Heater</v>
      </c>
      <c r="B311" s="18">
        <v>308</v>
      </c>
      <c r="C311" s="18" t="s">
        <v>728</v>
      </c>
      <c r="D311" s="18" t="s">
        <v>295</v>
      </c>
      <c r="E311" s="23" t="s">
        <v>240</v>
      </c>
      <c r="F311" s="23">
        <v>150</v>
      </c>
      <c r="G311" s="154">
        <v>0.79</v>
      </c>
      <c r="H311" s="469">
        <v>12</v>
      </c>
      <c r="I311" s="458">
        <v>12</v>
      </c>
      <c r="J311" s="23">
        <v>0</v>
      </c>
      <c r="K311" s="23">
        <f t="shared" si="47"/>
        <v>0</v>
      </c>
      <c r="L311" s="23">
        <f t="shared" si="48"/>
        <v>0</v>
      </c>
      <c r="M311" s="23">
        <f t="shared" si="48"/>
        <v>0</v>
      </c>
      <c r="N311" s="216">
        <f>451/F311</f>
        <v>3.0066666666666668</v>
      </c>
      <c r="O311" s="215">
        <f t="shared" si="49"/>
        <v>3.0066666666666668</v>
      </c>
      <c r="P311" s="215">
        <f t="shared" si="49"/>
        <v>3.0066666666666668</v>
      </c>
      <c r="Q311" s="215">
        <f t="shared" si="49"/>
        <v>3.0066666666666668</v>
      </c>
      <c r="R311" s="15" t="s">
        <v>839</v>
      </c>
      <c r="S311" s="15" t="s">
        <v>841</v>
      </c>
      <c r="T311" s="15" t="s">
        <v>294</v>
      </c>
      <c r="U311" s="15" t="s">
        <v>293</v>
      </c>
      <c r="V311" s="166" t="s">
        <v>291</v>
      </c>
      <c r="W311" s="166" t="s">
        <v>292</v>
      </c>
      <c r="X311" s="433">
        <v>150</v>
      </c>
      <c r="Y311" s="166"/>
      <c r="Z311" s="166"/>
      <c r="AA311" s="158"/>
      <c r="AB311" s="166"/>
      <c r="AC311" s="158"/>
      <c r="AD311" s="166"/>
      <c r="AE311" s="158"/>
      <c r="AF311" s="166"/>
      <c r="AG311" s="166"/>
      <c r="AH311" s="166"/>
      <c r="AI311" s="166"/>
      <c r="AJ311" s="166"/>
      <c r="AK311" s="166"/>
      <c r="AL311" s="166"/>
      <c r="AM311" s="166"/>
      <c r="AN311" s="166"/>
      <c r="AO311" s="166"/>
      <c r="AP311" s="166"/>
      <c r="AQ311" s="166"/>
      <c r="AR311" s="166"/>
      <c r="AS311" s="166"/>
      <c r="AT311" s="166"/>
      <c r="AU311" s="363"/>
      <c r="AV311" s="363"/>
      <c r="AW311" s="363"/>
      <c r="AX311" s="363"/>
      <c r="AY311" s="364"/>
      <c r="AZ311" s="365"/>
      <c r="BA311" s="366"/>
      <c r="BB311" s="27"/>
    </row>
    <row r="312" spans="1:54">
      <c r="A312" s="2" t="str">
        <f t="shared" si="42"/>
        <v>Bus - Public Rebates_Modulating Commercial Gas Clothes Dryer</v>
      </c>
      <c r="B312" s="18">
        <v>309</v>
      </c>
      <c r="C312" s="18" t="s">
        <v>728</v>
      </c>
      <c r="D312" s="18" t="s">
        <v>290</v>
      </c>
      <c r="E312" s="23" t="s">
        <v>150</v>
      </c>
      <c r="F312" s="23">
        <v>1</v>
      </c>
      <c r="G312" s="154">
        <v>0.79</v>
      </c>
      <c r="H312" s="469">
        <v>14</v>
      </c>
      <c r="I312" s="458">
        <v>14</v>
      </c>
      <c r="J312" s="23">
        <v>0</v>
      </c>
      <c r="K312" s="23">
        <f t="shared" si="47"/>
        <v>0</v>
      </c>
      <c r="L312" s="23">
        <f t="shared" si="48"/>
        <v>0</v>
      </c>
      <c r="M312" s="23">
        <f t="shared" si="48"/>
        <v>0</v>
      </c>
      <c r="N312" s="216">
        <f>1483*0.18</f>
        <v>266.94</v>
      </c>
      <c r="O312" s="215">
        <f t="shared" si="49"/>
        <v>266.94</v>
      </c>
      <c r="P312" s="215">
        <f t="shared" si="49"/>
        <v>266.94</v>
      </c>
      <c r="Q312" s="215">
        <f t="shared" si="49"/>
        <v>266.94</v>
      </c>
      <c r="R312" s="15" t="s">
        <v>839</v>
      </c>
      <c r="S312" s="15" t="s">
        <v>841</v>
      </c>
      <c r="T312" s="15" t="s">
        <v>289</v>
      </c>
      <c r="U312" s="15" t="s">
        <v>288</v>
      </c>
      <c r="V312" s="166" t="s">
        <v>187</v>
      </c>
      <c r="W312" s="166"/>
      <c r="X312" s="166"/>
      <c r="Y312" s="166"/>
      <c r="Z312" s="166"/>
      <c r="AA312" s="158"/>
      <c r="AB312" s="166"/>
      <c r="AC312" s="158"/>
      <c r="AD312" s="166"/>
      <c r="AE312" s="158"/>
      <c r="AF312" s="166"/>
      <c r="AG312" s="166"/>
      <c r="AH312" s="166"/>
      <c r="AI312" s="166"/>
      <c r="AJ312" s="166"/>
      <c r="AK312" s="166"/>
      <c r="AL312" s="166"/>
      <c r="AM312" s="166"/>
      <c r="AN312" s="166"/>
      <c r="AO312" s="166"/>
      <c r="AP312" s="166"/>
      <c r="AQ312" s="166"/>
      <c r="AR312" s="166"/>
      <c r="AS312" s="166"/>
      <c r="AT312" s="166"/>
      <c r="AU312" s="363"/>
      <c r="AV312" s="363"/>
      <c r="AW312" s="363"/>
      <c r="AX312" s="363"/>
      <c r="AY312" s="364"/>
      <c r="AZ312" s="365"/>
      <c r="BA312" s="366"/>
      <c r="BB312" s="27"/>
    </row>
    <row r="313" spans="1:54">
      <c r="A313" s="2" t="str">
        <f t="shared" si="42"/>
        <v>Bus - Public Rebates_Ozone Laundry</v>
      </c>
      <c r="B313" s="18">
        <v>310</v>
      </c>
      <c r="C313" s="18" t="s">
        <v>728</v>
      </c>
      <c r="D313" s="18" t="s">
        <v>287</v>
      </c>
      <c r="E313" s="23" t="s">
        <v>237</v>
      </c>
      <c r="F313" s="23">
        <v>250</v>
      </c>
      <c r="G313" s="154">
        <v>0.79</v>
      </c>
      <c r="H313" s="469">
        <v>10</v>
      </c>
      <c r="I313" s="458">
        <v>10</v>
      </c>
      <c r="J313" s="23">
        <v>0</v>
      </c>
      <c r="K313" s="23">
        <f t="shared" si="47"/>
        <v>0</v>
      </c>
      <c r="L313" s="23">
        <f t="shared" si="48"/>
        <v>0</v>
      </c>
      <c r="M313" s="23">
        <f t="shared" si="48"/>
        <v>0</v>
      </c>
      <c r="N313" s="216">
        <f>X313*Z313*AB313*AD313/AF313</f>
        <v>30.722664192350027</v>
      </c>
      <c r="O313" s="215">
        <f t="shared" si="49"/>
        <v>30.722664192350027</v>
      </c>
      <c r="P313" s="215">
        <f t="shared" si="49"/>
        <v>30.722664192350027</v>
      </c>
      <c r="Q313" s="215">
        <f t="shared" si="49"/>
        <v>30.722664192350027</v>
      </c>
      <c r="R313" s="15" t="s">
        <v>839</v>
      </c>
      <c r="S313" s="15" t="s">
        <v>841</v>
      </c>
      <c r="T313" s="15" t="s">
        <v>286</v>
      </c>
      <c r="U313" s="15" t="s">
        <v>285</v>
      </c>
      <c r="V313" s="166" t="s">
        <v>278</v>
      </c>
      <c r="W313" s="166" t="s">
        <v>284</v>
      </c>
      <c r="X313" s="434">
        <v>8.8500000000000002E-3</v>
      </c>
      <c r="Y313" s="166" t="s">
        <v>283</v>
      </c>
      <c r="Z313" s="420">
        <v>916150</v>
      </c>
      <c r="AA313" s="158" t="s">
        <v>282</v>
      </c>
      <c r="AB313" s="166">
        <v>1.19</v>
      </c>
      <c r="AC313" s="158" t="s">
        <v>281</v>
      </c>
      <c r="AD313" s="419">
        <v>0.81</v>
      </c>
      <c r="AE313" s="158" t="s">
        <v>237</v>
      </c>
      <c r="AF313" s="166">
        <v>254.38</v>
      </c>
      <c r="AG313" s="166" t="s">
        <v>280</v>
      </c>
      <c r="AH313" s="425">
        <v>0.25</v>
      </c>
      <c r="AI313" s="166" t="s">
        <v>279</v>
      </c>
      <c r="AJ313" s="166">
        <v>2.0299999999999998</v>
      </c>
      <c r="AK313" s="166"/>
      <c r="AL313" s="166"/>
      <c r="AM313" s="166"/>
      <c r="AN313" s="166"/>
      <c r="AO313" s="166"/>
      <c r="AP313" s="166"/>
      <c r="AQ313" s="166"/>
      <c r="AR313" s="166"/>
      <c r="AS313" s="166"/>
      <c r="AT313" s="166"/>
      <c r="AU313" s="363"/>
      <c r="AV313" s="363"/>
      <c r="AW313" s="363"/>
      <c r="AX313" s="363"/>
      <c r="AY313" s="364"/>
      <c r="AZ313" s="365"/>
      <c r="BA313" s="366"/>
      <c r="BB313" s="27"/>
    </row>
    <row r="314" spans="1:54">
      <c r="A314" s="2" t="str">
        <f t="shared" si="42"/>
        <v>Bus - Public Rebates_Pipe Insulation - HW Small 1" to 2"</v>
      </c>
      <c r="B314" s="18">
        <v>311</v>
      </c>
      <c r="C314" s="18" t="s">
        <v>728</v>
      </c>
      <c r="D314" s="18" t="s">
        <v>217</v>
      </c>
      <c r="E314" s="23" t="s">
        <v>210</v>
      </c>
      <c r="F314" s="23">
        <v>75</v>
      </c>
      <c r="G314" s="154">
        <v>0.79</v>
      </c>
      <c r="H314" s="469">
        <v>15</v>
      </c>
      <c r="I314" s="458">
        <v>15</v>
      </c>
      <c r="J314" s="23">
        <v>31</v>
      </c>
      <c r="K314" s="23">
        <f t="shared" si="47"/>
        <v>31</v>
      </c>
      <c r="L314" s="23">
        <f t="shared" ref="L314:M333" si="50">K314</f>
        <v>31</v>
      </c>
      <c r="M314" s="23">
        <f t="shared" si="50"/>
        <v>31</v>
      </c>
      <c r="N314" s="394">
        <f>'Pipe Insulation Detail'!$B$47</f>
        <v>2.6588140926267867</v>
      </c>
      <c r="O314" s="215">
        <f t="shared" si="49"/>
        <v>2.6588140926267867</v>
      </c>
      <c r="P314" s="215">
        <f t="shared" si="49"/>
        <v>2.6588140926267867</v>
      </c>
      <c r="Q314" s="215">
        <f t="shared" si="49"/>
        <v>2.6588140926267867</v>
      </c>
      <c r="R314" s="15" t="s">
        <v>838</v>
      </c>
      <c r="S314" s="15" t="s">
        <v>841</v>
      </c>
      <c r="T314" s="15" t="s">
        <v>201</v>
      </c>
      <c r="U314" s="15" t="s">
        <v>200</v>
      </c>
      <c r="V314" s="435" t="s">
        <v>853</v>
      </c>
      <c r="W314" s="166"/>
      <c r="X314" s="166"/>
      <c r="Y314" s="166"/>
      <c r="Z314" s="166"/>
      <c r="AA314" s="158"/>
      <c r="AB314" s="166"/>
      <c r="AC314" s="158"/>
      <c r="AD314" s="166"/>
      <c r="AE314" s="158"/>
      <c r="AF314" s="166"/>
      <c r="AG314" s="166"/>
      <c r="AH314" s="166"/>
      <c r="AI314" s="166"/>
      <c r="AJ314" s="166"/>
      <c r="AK314" s="166"/>
      <c r="AL314" s="166"/>
      <c r="AM314" s="166"/>
      <c r="AN314" s="166"/>
      <c r="AO314" s="166"/>
      <c r="AP314" s="166"/>
      <c r="AQ314" s="166"/>
      <c r="AR314" s="166"/>
      <c r="AS314" s="166"/>
      <c r="AT314" s="166"/>
      <c r="AU314" s="363"/>
      <c r="AV314" s="363"/>
      <c r="AW314" s="363"/>
      <c r="AX314" s="363"/>
      <c r="AY314" s="364"/>
      <c r="AZ314" s="365"/>
      <c r="BA314" s="366"/>
      <c r="BB314" s="27"/>
    </row>
    <row r="315" spans="1:54">
      <c r="A315" s="2" t="str">
        <f t="shared" si="42"/>
        <v>Bus - Public Rebates_Pipe Insulation - HW Medium 2.1" to 4"</v>
      </c>
      <c r="B315" s="18">
        <v>312</v>
      </c>
      <c r="C315" s="18" t="s">
        <v>728</v>
      </c>
      <c r="D315" s="18" t="s">
        <v>216</v>
      </c>
      <c r="E315" s="23" t="s">
        <v>210</v>
      </c>
      <c r="F315" s="23">
        <v>75</v>
      </c>
      <c r="G315" s="154">
        <v>0.79</v>
      </c>
      <c r="H315" s="469">
        <v>15</v>
      </c>
      <c r="I315" s="458">
        <v>15</v>
      </c>
      <c r="J315" s="23">
        <v>30</v>
      </c>
      <c r="K315" s="23">
        <f t="shared" si="47"/>
        <v>30</v>
      </c>
      <c r="L315" s="23">
        <f t="shared" si="50"/>
        <v>30</v>
      </c>
      <c r="M315" s="23">
        <f t="shared" si="50"/>
        <v>30</v>
      </c>
      <c r="N315" s="216">
        <f>'Pipe Insulation Detail'!$B$48</f>
        <v>5.2492031493764015</v>
      </c>
      <c r="O315" s="215">
        <f t="shared" si="49"/>
        <v>5.2492031493764015</v>
      </c>
      <c r="P315" s="215">
        <f t="shared" si="49"/>
        <v>5.2492031493764015</v>
      </c>
      <c r="Q315" s="215">
        <f t="shared" si="49"/>
        <v>5.2492031493764015</v>
      </c>
      <c r="R315" s="15" t="s">
        <v>838</v>
      </c>
      <c r="S315" s="15" t="s">
        <v>841</v>
      </c>
      <c r="T315" s="15" t="s">
        <v>201</v>
      </c>
      <c r="U315" s="15" t="s">
        <v>200</v>
      </c>
      <c r="V315" s="435" t="s">
        <v>853</v>
      </c>
      <c r="W315" s="166"/>
      <c r="X315" s="166"/>
      <c r="Y315" s="166"/>
      <c r="Z315" s="166"/>
      <c r="AA315" s="158"/>
      <c r="AB315" s="166"/>
      <c r="AC315" s="158"/>
      <c r="AD315" s="166"/>
      <c r="AE315" s="158"/>
      <c r="AF315" s="166"/>
      <c r="AG315" s="166"/>
      <c r="AH315" s="166"/>
      <c r="AI315" s="166"/>
      <c r="AJ315" s="166"/>
      <c r="AK315" s="166"/>
      <c r="AL315" s="166"/>
      <c r="AM315" s="166"/>
      <c r="AN315" s="166"/>
      <c r="AO315" s="166"/>
      <c r="AP315" s="166"/>
      <c r="AQ315" s="166"/>
      <c r="AR315" s="166"/>
      <c r="AS315" s="166"/>
      <c r="AT315" s="166"/>
      <c r="AU315" s="363"/>
      <c r="AV315" s="363"/>
      <c r="AW315" s="363"/>
      <c r="AX315" s="363"/>
      <c r="AY315" s="364"/>
      <c r="AZ315" s="365"/>
      <c r="BA315" s="366"/>
      <c r="BB315" s="27"/>
    </row>
    <row r="316" spans="1:54">
      <c r="A316" s="2" t="str">
        <f t="shared" si="42"/>
        <v>Bus - Public Rebates_Pipe Insulation - HW Large &gt;4"</v>
      </c>
      <c r="B316" s="18">
        <v>313</v>
      </c>
      <c r="C316" s="18" t="s">
        <v>728</v>
      </c>
      <c r="D316" s="18" t="s">
        <v>215</v>
      </c>
      <c r="E316" s="23" t="s">
        <v>210</v>
      </c>
      <c r="F316" s="23">
        <v>75</v>
      </c>
      <c r="G316" s="154">
        <v>0.79</v>
      </c>
      <c r="H316" s="469">
        <v>15</v>
      </c>
      <c r="I316" s="458">
        <v>15</v>
      </c>
      <c r="J316" s="23">
        <v>25</v>
      </c>
      <c r="K316" s="23">
        <f t="shared" si="47"/>
        <v>25</v>
      </c>
      <c r="L316" s="23">
        <f t="shared" si="50"/>
        <v>25</v>
      </c>
      <c r="M316" s="23">
        <f t="shared" si="50"/>
        <v>25</v>
      </c>
      <c r="N316" s="216">
        <f>'Pipe Insulation Detail'!$B$49</f>
        <v>9.0407613085908682</v>
      </c>
      <c r="O316" s="215">
        <f t="shared" si="49"/>
        <v>9.0407613085908682</v>
      </c>
      <c r="P316" s="215">
        <f t="shared" si="49"/>
        <v>9.0407613085908682</v>
      </c>
      <c r="Q316" s="215">
        <f t="shared" si="49"/>
        <v>9.0407613085908682</v>
      </c>
      <c r="R316" s="15" t="s">
        <v>838</v>
      </c>
      <c r="S316" s="15" t="s">
        <v>841</v>
      </c>
      <c r="T316" s="15" t="s">
        <v>201</v>
      </c>
      <c r="U316" s="15" t="s">
        <v>200</v>
      </c>
      <c r="V316" s="435" t="s">
        <v>853</v>
      </c>
      <c r="W316" s="166"/>
      <c r="X316" s="166"/>
      <c r="Y316" s="166"/>
      <c r="Z316" s="166"/>
      <c r="AA316" s="158"/>
      <c r="AB316" s="166"/>
      <c r="AC316" s="158"/>
      <c r="AD316" s="166"/>
      <c r="AE316" s="158"/>
      <c r="AF316" s="166"/>
      <c r="AG316" s="166"/>
      <c r="AH316" s="166"/>
      <c r="AI316" s="166"/>
      <c r="AJ316" s="166"/>
      <c r="AK316" s="166"/>
      <c r="AL316" s="166"/>
      <c r="AM316" s="166"/>
      <c r="AN316" s="166"/>
      <c r="AO316" s="166"/>
      <c r="AP316" s="166"/>
      <c r="AQ316" s="166"/>
      <c r="AR316" s="166"/>
      <c r="AS316" s="166"/>
      <c r="AT316" s="166"/>
      <c r="AU316" s="363"/>
      <c r="AV316" s="363"/>
      <c r="AW316" s="363"/>
      <c r="AX316" s="363"/>
      <c r="AY316" s="364"/>
      <c r="AZ316" s="365"/>
      <c r="BA316" s="366"/>
      <c r="BB316" s="27"/>
    </row>
    <row r="317" spans="1:54">
      <c r="A317" s="2" t="str">
        <f t="shared" si="42"/>
        <v>Bus - Public Rebates_Pipe Insulation - Steam - Small 1" to 2"</v>
      </c>
      <c r="B317" s="18">
        <v>314</v>
      </c>
      <c r="C317" s="18" t="s">
        <v>728</v>
      </c>
      <c r="D317" s="18" t="s">
        <v>214</v>
      </c>
      <c r="E317" s="23" t="s">
        <v>210</v>
      </c>
      <c r="F317" s="23">
        <v>75</v>
      </c>
      <c r="G317" s="154">
        <v>0.79</v>
      </c>
      <c r="H317" s="469">
        <v>15</v>
      </c>
      <c r="I317" s="458">
        <v>15</v>
      </c>
      <c r="J317" s="23">
        <v>0</v>
      </c>
      <c r="K317" s="23">
        <f t="shared" si="47"/>
        <v>0</v>
      </c>
      <c r="L317" s="23">
        <f t="shared" si="50"/>
        <v>0</v>
      </c>
      <c r="M317" s="23">
        <f t="shared" si="50"/>
        <v>0</v>
      </c>
      <c r="N317" s="216">
        <f>'Pipe Insulation Detail'!$B$50</f>
        <v>3.1854757047967208</v>
      </c>
      <c r="O317" s="215">
        <f t="shared" si="49"/>
        <v>3.1854757047967208</v>
      </c>
      <c r="P317" s="215">
        <f t="shared" si="49"/>
        <v>3.1854757047967208</v>
      </c>
      <c r="Q317" s="215">
        <f t="shared" si="49"/>
        <v>3.1854757047967208</v>
      </c>
      <c r="R317" s="15" t="s">
        <v>838</v>
      </c>
      <c r="S317" s="15" t="s">
        <v>841</v>
      </c>
      <c r="T317" s="15" t="s">
        <v>201</v>
      </c>
      <c r="U317" s="15" t="s">
        <v>200</v>
      </c>
      <c r="V317" s="435" t="s">
        <v>853</v>
      </c>
      <c r="W317" s="166"/>
      <c r="X317" s="166"/>
      <c r="Y317" s="166"/>
      <c r="Z317" s="166"/>
      <c r="AA317" s="158"/>
      <c r="AB317" s="166"/>
      <c r="AC317" s="158"/>
      <c r="AD317" s="166"/>
      <c r="AE317" s="158"/>
      <c r="AF317" s="166"/>
      <c r="AG317" s="166"/>
      <c r="AH317" s="166"/>
      <c r="AI317" s="166"/>
      <c r="AJ317" s="166"/>
      <c r="AK317" s="166"/>
      <c r="AL317" s="166"/>
      <c r="AM317" s="166"/>
      <c r="AN317" s="166"/>
      <c r="AO317" s="166"/>
      <c r="AP317" s="166"/>
      <c r="AQ317" s="166"/>
      <c r="AR317" s="166"/>
      <c r="AS317" s="166"/>
      <c r="AT317" s="166"/>
      <c r="AU317" s="363"/>
      <c r="AV317" s="363"/>
      <c r="AW317" s="363"/>
      <c r="AX317" s="363"/>
      <c r="AY317" s="364"/>
      <c r="AZ317" s="365"/>
      <c r="BA317" s="366"/>
      <c r="BB317" s="27"/>
    </row>
    <row r="318" spans="1:54">
      <c r="A318" s="2" t="str">
        <f t="shared" si="42"/>
        <v>Bus - Public Rebates_Pipe Insulation - Steam - Med 2.1" to 5"</v>
      </c>
      <c r="B318" s="18">
        <v>315</v>
      </c>
      <c r="C318" s="18" t="s">
        <v>728</v>
      </c>
      <c r="D318" s="18" t="s">
        <v>213</v>
      </c>
      <c r="E318" s="23" t="s">
        <v>210</v>
      </c>
      <c r="F318" s="23">
        <v>75</v>
      </c>
      <c r="G318" s="154">
        <v>0.79</v>
      </c>
      <c r="H318" s="469">
        <v>15</v>
      </c>
      <c r="I318" s="458">
        <v>15</v>
      </c>
      <c r="J318" s="23">
        <v>30</v>
      </c>
      <c r="K318" s="23">
        <f t="shared" si="47"/>
        <v>30</v>
      </c>
      <c r="L318" s="23">
        <f t="shared" si="50"/>
        <v>30</v>
      </c>
      <c r="M318" s="23">
        <f t="shared" si="50"/>
        <v>30</v>
      </c>
      <c r="N318" s="216">
        <f>'Pipe Insulation Detail'!$B$51</f>
        <v>13.148126788517139</v>
      </c>
      <c r="O318" s="215">
        <f t="shared" si="49"/>
        <v>13.148126788517139</v>
      </c>
      <c r="P318" s="215">
        <f t="shared" si="49"/>
        <v>13.148126788517139</v>
      </c>
      <c r="Q318" s="215">
        <f t="shared" si="49"/>
        <v>13.148126788517139</v>
      </c>
      <c r="R318" s="15" t="s">
        <v>838</v>
      </c>
      <c r="S318" s="15" t="s">
        <v>841</v>
      </c>
      <c r="T318" s="15" t="s">
        <v>201</v>
      </c>
      <c r="U318" s="15" t="s">
        <v>200</v>
      </c>
      <c r="V318" s="435" t="s">
        <v>853</v>
      </c>
      <c r="W318" s="166"/>
      <c r="X318" s="166"/>
      <c r="Y318" s="166"/>
      <c r="Z318" s="166"/>
      <c r="AA318" s="158"/>
      <c r="AB318" s="166"/>
      <c r="AC318" s="158"/>
      <c r="AD318" s="166"/>
      <c r="AE318" s="158"/>
      <c r="AF318" s="166"/>
      <c r="AG318" s="166"/>
      <c r="AH318" s="166"/>
      <c r="AI318" s="166"/>
      <c r="AJ318" s="166"/>
      <c r="AK318" s="166"/>
      <c r="AL318" s="166"/>
      <c r="AM318" s="166"/>
      <c r="AN318" s="166"/>
      <c r="AO318" s="166"/>
      <c r="AP318" s="166"/>
      <c r="AQ318" s="166"/>
      <c r="AR318" s="166"/>
      <c r="AS318" s="166"/>
      <c r="AT318" s="166"/>
      <c r="AU318" s="363"/>
      <c r="AV318" s="363"/>
      <c r="AW318" s="363"/>
      <c r="AX318" s="363"/>
      <c r="AY318" s="364"/>
      <c r="AZ318" s="365"/>
      <c r="BA318" s="366"/>
      <c r="BB318" s="27"/>
    </row>
    <row r="319" spans="1:54">
      <c r="A319" s="2" t="str">
        <f t="shared" si="42"/>
        <v>Bus - Public Rebates_Pipe Insulation - Steam - Large 5.1" to 8"</v>
      </c>
      <c r="B319" s="18">
        <v>316</v>
      </c>
      <c r="C319" s="18" t="s">
        <v>728</v>
      </c>
      <c r="D319" s="18" t="s">
        <v>212</v>
      </c>
      <c r="E319" s="23" t="s">
        <v>210</v>
      </c>
      <c r="F319" s="23">
        <v>75</v>
      </c>
      <c r="G319" s="154">
        <v>0.79</v>
      </c>
      <c r="H319" s="469">
        <v>15</v>
      </c>
      <c r="I319" s="458">
        <v>15</v>
      </c>
      <c r="J319" s="23">
        <v>0</v>
      </c>
      <c r="K319" s="23">
        <f t="shared" si="47"/>
        <v>0</v>
      </c>
      <c r="L319" s="23">
        <f t="shared" si="50"/>
        <v>0</v>
      </c>
      <c r="M319" s="23">
        <f t="shared" si="50"/>
        <v>0</v>
      </c>
      <c r="N319" s="216">
        <f>'Pipe Insulation Detail'!$B$52</f>
        <v>24.25563238537794</v>
      </c>
      <c r="O319" s="215">
        <f t="shared" si="49"/>
        <v>24.25563238537794</v>
      </c>
      <c r="P319" s="215">
        <f t="shared" si="49"/>
        <v>24.25563238537794</v>
      </c>
      <c r="Q319" s="215">
        <f t="shared" si="49"/>
        <v>24.25563238537794</v>
      </c>
      <c r="R319" s="15" t="s">
        <v>838</v>
      </c>
      <c r="S319" s="15" t="s">
        <v>841</v>
      </c>
      <c r="T319" s="15" t="s">
        <v>201</v>
      </c>
      <c r="U319" s="15" t="s">
        <v>200</v>
      </c>
      <c r="V319" s="435" t="s">
        <v>853</v>
      </c>
      <c r="W319" s="166"/>
      <c r="X319" s="166"/>
      <c r="Y319" s="166"/>
      <c r="Z319" s="166"/>
      <c r="AA319" s="158"/>
      <c r="AB319" s="166"/>
      <c r="AC319" s="158"/>
      <c r="AD319" s="166"/>
      <c r="AE319" s="158"/>
      <c r="AF319" s="166"/>
      <c r="AG319" s="166"/>
      <c r="AH319" s="166"/>
      <c r="AI319" s="166"/>
      <c r="AJ319" s="166"/>
      <c r="AK319" s="166"/>
      <c r="AL319" s="166"/>
      <c r="AM319" s="166"/>
      <c r="AN319" s="166"/>
      <c r="AO319" s="166"/>
      <c r="AP319" s="166"/>
      <c r="AQ319" s="166"/>
      <c r="AR319" s="166"/>
      <c r="AS319" s="166"/>
      <c r="AT319" s="166"/>
      <c r="AU319" s="363"/>
      <c r="AV319" s="363"/>
      <c r="AW319" s="363"/>
      <c r="AX319" s="363"/>
      <c r="AY319" s="364"/>
      <c r="AZ319" s="365"/>
      <c r="BA319" s="366"/>
      <c r="BB319" s="27"/>
    </row>
    <row r="320" spans="1:54">
      <c r="A320" s="2" t="str">
        <f t="shared" si="42"/>
        <v>Bus - Public Rebates_Pipe Insulation - Steam - X-Large &gt;8"</v>
      </c>
      <c r="B320" s="18">
        <v>317</v>
      </c>
      <c r="C320" s="18" t="s">
        <v>728</v>
      </c>
      <c r="D320" s="18" t="s">
        <v>211</v>
      </c>
      <c r="E320" s="23" t="s">
        <v>210</v>
      </c>
      <c r="F320" s="23">
        <v>75</v>
      </c>
      <c r="G320" s="154">
        <v>0.79</v>
      </c>
      <c r="H320" s="469">
        <v>15</v>
      </c>
      <c r="I320" s="458">
        <v>15</v>
      </c>
      <c r="J320" s="23">
        <v>0</v>
      </c>
      <c r="K320" s="23">
        <f t="shared" si="47"/>
        <v>0</v>
      </c>
      <c r="L320" s="23">
        <f t="shared" si="50"/>
        <v>0</v>
      </c>
      <c r="M320" s="23">
        <f t="shared" si="50"/>
        <v>0</v>
      </c>
      <c r="N320" s="216">
        <f>'Pipe Insulation Detail'!$B$53</f>
        <v>35.984797966765058</v>
      </c>
      <c r="O320" s="215">
        <f t="shared" si="49"/>
        <v>35.984797966765058</v>
      </c>
      <c r="P320" s="215">
        <f t="shared" si="49"/>
        <v>35.984797966765058</v>
      </c>
      <c r="Q320" s="215">
        <f t="shared" si="49"/>
        <v>35.984797966765058</v>
      </c>
      <c r="R320" s="15" t="s">
        <v>838</v>
      </c>
      <c r="S320" s="15" t="s">
        <v>841</v>
      </c>
      <c r="T320" s="15" t="s">
        <v>201</v>
      </c>
      <c r="U320" s="15" t="s">
        <v>200</v>
      </c>
      <c r="V320" s="435" t="s">
        <v>853</v>
      </c>
      <c r="W320" s="166"/>
      <c r="X320" s="166"/>
      <c r="Y320" s="166"/>
      <c r="Z320" s="166"/>
      <c r="AA320" s="158"/>
      <c r="AB320" s="166"/>
      <c r="AC320" s="158"/>
      <c r="AD320" s="166"/>
      <c r="AE320" s="158"/>
      <c r="AF320" s="166"/>
      <c r="AG320" s="166"/>
      <c r="AH320" s="166"/>
      <c r="AI320" s="166"/>
      <c r="AJ320" s="166"/>
      <c r="AK320" s="166"/>
      <c r="AL320" s="166"/>
      <c r="AM320" s="166"/>
      <c r="AN320" s="166"/>
      <c r="AO320" s="166"/>
      <c r="AP320" s="166"/>
      <c r="AQ320" s="166"/>
      <c r="AR320" s="166"/>
      <c r="AS320" s="166"/>
      <c r="AT320" s="166"/>
      <c r="AU320" s="363"/>
      <c r="AV320" s="363"/>
      <c r="AW320" s="363"/>
      <c r="AX320" s="363"/>
      <c r="AY320" s="364"/>
      <c r="AZ320" s="365"/>
      <c r="BA320" s="366"/>
      <c r="BB320" s="27"/>
    </row>
    <row r="321" spans="1:54">
      <c r="A321" s="2" t="str">
        <f t="shared" si="42"/>
        <v>Bus - Public Rebates_Pipe Insulation - Steam Med Fitting</v>
      </c>
      <c r="B321" s="18">
        <v>318</v>
      </c>
      <c r="C321" s="18" t="s">
        <v>728</v>
      </c>
      <c r="D321" s="18" t="s">
        <v>208</v>
      </c>
      <c r="E321" s="23" t="s">
        <v>150</v>
      </c>
      <c r="F321" s="23">
        <v>1</v>
      </c>
      <c r="G321" s="154">
        <v>0.79</v>
      </c>
      <c r="H321" s="469">
        <v>15</v>
      </c>
      <c r="I321" s="458">
        <v>15</v>
      </c>
      <c r="J321" s="23">
        <v>0</v>
      </c>
      <c r="K321" s="23">
        <f t="shared" si="47"/>
        <v>0</v>
      </c>
      <c r="L321" s="23">
        <f t="shared" si="50"/>
        <v>0</v>
      </c>
      <c r="M321" s="23">
        <f t="shared" si="50"/>
        <v>0</v>
      </c>
      <c r="N321" s="216">
        <f>'Pipe Insulation Detail'!$B$55</f>
        <v>12.515179237984789</v>
      </c>
      <c r="O321" s="215">
        <f t="shared" si="49"/>
        <v>12.515179237984789</v>
      </c>
      <c r="P321" s="215">
        <f t="shared" si="49"/>
        <v>12.515179237984789</v>
      </c>
      <c r="Q321" s="215">
        <f t="shared" si="49"/>
        <v>12.515179237984789</v>
      </c>
      <c r="R321" s="15" t="s">
        <v>838</v>
      </c>
      <c r="S321" s="15" t="s">
        <v>841</v>
      </c>
      <c r="T321" s="15" t="s">
        <v>201</v>
      </c>
      <c r="U321" s="15" t="s">
        <v>200</v>
      </c>
      <c r="V321" s="435" t="s">
        <v>853</v>
      </c>
      <c r="W321" s="166"/>
      <c r="X321" s="166"/>
      <c r="Y321" s="166"/>
      <c r="Z321" s="166"/>
      <c r="AA321" s="158"/>
      <c r="AB321" s="166"/>
      <c r="AC321" s="158"/>
      <c r="AD321" s="166"/>
      <c r="AE321" s="158"/>
      <c r="AF321" s="166"/>
      <c r="AG321" s="166"/>
      <c r="AH321" s="166"/>
      <c r="AI321" s="166"/>
      <c r="AJ321" s="166"/>
      <c r="AK321" s="166"/>
      <c r="AL321" s="166"/>
      <c r="AM321" s="166"/>
      <c r="AN321" s="166"/>
      <c r="AO321" s="166"/>
      <c r="AP321" s="166"/>
      <c r="AQ321" s="166"/>
      <c r="AR321" s="166"/>
      <c r="AS321" s="166"/>
      <c r="AT321" s="166"/>
      <c r="AU321" s="363"/>
      <c r="AV321" s="363"/>
      <c r="AW321" s="363"/>
      <c r="AX321" s="363"/>
      <c r="AY321" s="364"/>
      <c r="AZ321" s="365"/>
      <c r="BA321" s="366"/>
      <c r="BB321" s="27"/>
    </row>
    <row r="322" spans="1:54">
      <c r="A322" s="2" t="str">
        <f t="shared" si="42"/>
        <v>Bus - Public Rebates_Pipe Insulation - Steam Large Fitting</v>
      </c>
      <c r="B322" s="18">
        <v>319</v>
      </c>
      <c r="C322" s="18" t="s">
        <v>728</v>
      </c>
      <c r="D322" s="18" t="s">
        <v>207</v>
      </c>
      <c r="E322" s="23" t="s">
        <v>150</v>
      </c>
      <c r="F322" s="23">
        <v>1</v>
      </c>
      <c r="G322" s="154">
        <v>0.79</v>
      </c>
      <c r="H322" s="469">
        <v>15</v>
      </c>
      <c r="I322" s="458">
        <v>15</v>
      </c>
      <c r="J322" s="23">
        <v>30</v>
      </c>
      <c r="K322" s="23">
        <f t="shared" si="47"/>
        <v>30</v>
      </c>
      <c r="L322" s="23">
        <f t="shared" si="50"/>
        <v>30</v>
      </c>
      <c r="M322" s="23">
        <f t="shared" si="50"/>
        <v>30</v>
      </c>
      <c r="N322" s="216">
        <f>'Pipe Insulation Detail'!$B$56</f>
        <v>51.249515380658096</v>
      </c>
      <c r="O322" s="215">
        <f t="shared" si="49"/>
        <v>51.249515380658096</v>
      </c>
      <c r="P322" s="215">
        <f t="shared" si="49"/>
        <v>51.249515380658096</v>
      </c>
      <c r="Q322" s="215">
        <f t="shared" si="49"/>
        <v>51.249515380658096</v>
      </c>
      <c r="R322" s="15" t="s">
        <v>838</v>
      </c>
      <c r="S322" s="15" t="s">
        <v>841</v>
      </c>
      <c r="T322" s="15" t="s">
        <v>201</v>
      </c>
      <c r="U322" s="15" t="s">
        <v>200</v>
      </c>
      <c r="V322" s="435" t="s">
        <v>853</v>
      </c>
      <c r="W322" s="166"/>
      <c r="X322" s="166"/>
      <c r="Y322" s="166"/>
      <c r="Z322" s="166"/>
      <c r="AA322" s="158"/>
      <c r="AB322" s="166"/>
      <c r="AC322" s="158"/>
      <c r="AD322" s="166"/>
      <c r="AE322" s="158"/>
      <c r="AF322" s="166"/>
      <c r="AG322" s="166"/>
      <c r="AH322" s="166"/>
      <c r="AI322" s="166"/>
      <c r="AJ322" s="166"/>
      <c r="AK322" s="166"/>
      <c r="AL322" s="166"/>
      <c r="AM322" s="166"/>
      <c r="AN322" s="166"/>
      <c r="AO322" s="166"/>
      <c r="AP322" s="166"/>
      <c r="AQ322" s="166"/>
      <c r="AR322" s="166"/>
      <c r="AS322" s="166"/>
      <c r="AT322" s="166"/>
      <c r="AU322" s="363"/>
      <c r="AV322" s="363"/>
      <c r="AW322" s="363"/>
      <c r="AX322" s="363"/>
      <c r="AY322" s="364"/>
      <c r="AZ322" s="365"/>
      <c r="BA322" s="366"/>
      <c r="BB322" s="27"/>
    </row>
    <row r="323" spans="1:54">
      <c r="A323" s="2" t="str">
        <f t="shared" si="42"/>
        <v>Bus - Public Rebates_Pipe Insulation - Steam X-Large Fitting</v>
      </c>
      <c r="B323" s="18">
        <v>320</v>
      </c>
      <c r="C323" s="18" t="s">
        <v>728</v>
      </c>
      <c r="D323" s="18" t="s">
        <v>206</v>
      </c>
      <c r="E323" s="23" t="s">
        <v>150</v>
      </c>
      <c r="F323" s="23">
        <v>1</v>
      </c>
      <c r="G323" s="154">
        <v>0.79</v>
      </c>
      <c r="H323" s="469">
        <v>15</v>
      </c>
      <c r="I323" s="458">
        <v>15</v>
      </c>
      <c r="J323" s="23">
        <v>0</v>
      </c>
      <c r="K323" s="23">
        <f t="shared" si="47"/>
        <v>0</v>
      </c>
      <c r="L323" s="23">
        <f t="shared" si="50"/>
        <v>0</v>
      </c>
      <c r="M323" s="23">
        <f t="shared" si="50"/>
        <v>0</v>
      </c>
      <c r="N323" s="216">
        <f>'Pipe Insulation Detail'!$B$57</f>
        <v>99.138118398437726</v>
      </c>
      <c r="O323" s="215">
        <f t="shared" si="49"/>
        <v>99.138118398437726</v>
      </c>
      <c r="P323" s="215">
        <f t="shared" si="49"/>
        <v>99.138118398437726</v>
      </c>
      <c r="Q323" s="215">
        <f t="shared" si="49"/>
        <v>99.138118398437726</v>
      </c>
      <c r="R323" s="15" t="s">
        <v>838</v>
      </c>
      <c r="S323" s="15" t="s">
        <v>841</v>
      </c>
      <c r="T323" s="15" t="s">
        <v>201</v>
      </c>
      <c r="U323" s="15" t="s">
        <v>200</v>
      </c>
      <c r="V323" s="435" t="s">
        <v>853</v>
      </c>
      <c r="W323" s="166"/>
      <c r="X323" s="166"/>
      <c r="Y323" s="166"/>
      <c r="Z323" s="166"/>
      <c r="AA323" s="158"/>
      <c r="AB323" s="166"/>
      <c r="AC323" s="158"/>
      <c r="AD323" s="166"/>
      <c r="AE323" s="158"/>
      <c r="AF323" s="166"/>
      <c r="AG323" s="166"/>
      <c r="AH323" s="166"/>
      <c r="AI323" s="166"/>
      <c r="AJ323" s="166"/>
      <c r="AK323" s="166"/>
      <c r="AL323" s="166"/>
      <c r="AM323" s="166"/>
      <c r="AN323" s="166"/>
      <c r="AO323" s="166"/>
      <c r="AP323" s="166"/>
      <c r="AQ323" s="166"/>
      <c r="AR323" s="166"/>
      <c r="AS323" s="166"/>
      <c r="AT323" s="166"/>
      <c r="AU323" s="363"/>
      <c r="AV323" s="363"/>
      <c r="AW323" s="363"/>
      <c r="AX323" s="363"/>
      <c r="AY323" s="364"/>
      <c r="AZ323" s="365"/>
      <c r="BA323" s="366"/>
      <c r="BB323" s="27"/>
    </row>
    <row r="324" spans="1:54">
      <c r="A324" s="2" t="str">
        <f t="shared" si="42"/>
        <v>Bus - Public Rebates_Pipe Insulation - Steam Med Valve</v>
      </c>
      <c r="B324" s="18">
        <v>321</v>
      </c>
      <c r="C324" s="18" t="s">
        <v>728</v>
      </c>
      <c r="D324" s="18" t="s">
        <v>204</v>
      </c>
      <c r="E324" s="23" t="s">
        <v>150</v>
      </c>
      <c r="F324" s="23">
        <v>1</v>
      </c>
      <c r="G324" s="154">
        <v>0.79</v>
      </c>
      <c r="H324" s="469">
        <v>15</v>
      </c>
      <c r="I324" s="458">
        <v>15</v>
      </c>
      <c r="J324" s="23">
        <v>0</v>
      </c>
      <c r="K324" s="23">
        <f t="shared" si="47"/>
        <v>0</v>
      </c>
      <c r="L324" s="23">
        <f t="shared" si="50"/>
        <v>0</v>
      </c>
      <c r="M324" s="23">
        <f t="shared" si="50"/>
        <v>0</v>
      </c>
      <c r="N324" s="216">
        <f>'Pipe Insulation Detail'!$B$59</f>
        <v>37.423389683572815</v>
      </c>
      <c r="O324" s="215">
        <f t="shared" si="49"/>
        <v>37.423389683572815</v>
      </c>
      <c r="P324" s="215">
        <f t="shared" si="49"/>
        <v>37.423389683572815</v>
      </c>
      <c r="Q324" s="215">
        <f t="shared" si="49"/>
        <v>37.423389683572815</v>
      </c>
      <c r="R324" s="15" t="s">
        <v>838</v>
      </c>
      <c r="S324" s="15" t="s">
        <v>841</v>
      </c>
      <c r="T324" s="15" t="s">
        <v>201</v>
      </c>
      <c r="U324" s="15" t="s">
        <v>200</v>
      </c>
      <c r="V324" s="435" t="s">
        <v>853</v>
      </c>
      <c r="W324" s="166"/>
      <c r="X324" s="166"/>
      <c r="Y324" s="166"/>
      <c r="Z324" s="166"/>
      <c r="AA324" s="158"/>
      <c r="AB324" s="166"/>
      <c r="AC324" s="158"/>
      <c r="AD324" s="166"/>
      <c r="AE324" s="158"/>
      <c r="AF324" s="166"/>
      <c r="AG324" s="166"/>
      <c r="AH324" s="166"/>
      <c r="AI324" s="166"/>
      <c r="AJ324" s="166"/>
      <c r="AK324" s="166"/>
      <c r="AL324" s="166"/>
      <c r="AM324" s="166"/>
      <c r="AN324" s="166"/>
      <c r="AO324" s="166"/>
      <c r="AP324" s="166"/>
      <c r="AQ324" s="166"/>
      <c r="AR324" s="166"/>
      <c r="AS324" s="166"/>
      <c r="AT324" s="166"/>
      <c r="AU324" s="363"/>
      <c r="AV324" s="363"/>
      <c r="AW324" s="363"/>
      <c r="AX324" s="363"/>
      <c r="AY324" s="364"/>
      <c r="AZ324" s="365"/>
      <c r="BA324" s="366"/>
      <c r="BB324" s="27"/>
    </row>
    <row r="325" spans="1:54">
      <c r="A325" s="2" t="str">
        <f t="shared" ref="A325:A388" si="51">C325&amp;"_"&amp;D325</f>
        <v>Bus - Public Rebates_Pipe Insulation - Steam Large Valve</v>
      </c>
      <c r="B325" s="18">
        <v>322</v>
      </c>
      <c r="C325" s="18" t="s">
        <v>728</v>
      </c>
      <c r="D325" s="18" t="s">
        <v>203</v>
      </c>
      <c r="E325" s="23" t="s">
        <v>150</v>
      </c>
      <c r="F325" s="23">
        <v>1</v>
      </c>
      <c r="G325" s="154">
        <v>0.79</v>
      </c>
      <c r="H325" s="469">
        <v>15</v>
      </c>
      <c r="I325" s="458">
        <v>15</v>
      </c>
      <c r="J325" s="23">
        <v>0</v>
      </c>
      <c r="K325" s="23">
        <f t="shared" si="47"/>
        <v>0</v>
      </c>
      <c r="L325" s="23">
        <f t="shared" si="50"/>
        <v>0</v>
      </c>
      <c r="M325" s="23">
        <f t="shared" si="50"/>
        <v>0</v>
      </c>
      <c r="N325" s="216">
        <f>'Pipe Insulation Detail'!$B$60</f>
        <v>107.52607289087437</v>
      </c>
      <c r="O325" s="215">
        <f t="shared" si="49"/>
        <v>107.52607289087437</v>
      </c>
      <c r="P325" s="215">
        <f t="shared" si="49"/>
        <v>107.52607289087437</v>
      </c>
      <c r="Q325" s="215">
        <f t="shared" si="49"/>
        <v>107.52607289087437</v>
      </c>
      <c r="R325" s="15" t="s">
        <v>838</v>
      </c>
      <c r="S325" s="15" t="s">
        <v>841</v>
      </c>
      <c r="T325" s="15" t="s">
        <v>201</v>
      </c>
      <c r="U325" s="15" t="s">
        <v>200</v>
      </c>
      <c r="V325" s="435" t="s">
        <v>853</v>
      </c>
      <c r="W325" s="166"/>
      <c r="X325" s="166"/>
      <c r="Y325" s="166"/>
      <c r="Z325" s="166"/>
      <c r="AA325" s="158"/>
      <c r="AB325" s="166"/>
      <c r="AC325" s="158"/>
      <c r="AD325" s="166"/>
      <c r="AE325" s="158"/>
      <c r="AF325" s="166"/>
      <c r="AG325" s="166"/>
      <c r="AH325" s="166"/>
      <c r="AI325" s="166"/>
      <c r="AJ325" s="166"/>
      <c r="AK325" s="166"/>
      <c r="AL325" s="166"/>
      <c r="AM325" s="166"/>
      <c r="AN325" s="166"/>
      <c r="AO325" s="166"/>
      <c r="AP325" s="166"/>
      <c r="AQ325" s="166"/>
      <c r="AR325" s="166"/>
      <c r="AS325" s="166"/>
      <c r="AT325" s="166"/>
      <c r="AU325" s="363"/>
      <c r="AV325" s="363"/>
      <c r="AW325" s="363"/>
      <c r="AX325" s="363"/>
      <c r="AY325" s="364"/>
      <c r="AZ325" s="365"/>
      <c r="BA325" s="366"/>
      <c r="BB325" s="27"/>
    </row>
    <row r="326" spans="1:54">
      <c r="A326" s="2" t="str">
        <f t="shared" si="51"/>
        <v>Bus - Public Rebates_Pipe Insulation - Steam X-Large Valve</v>
      </c>
      <c r="B326" s="18">
        <v>323</v>
      </c>
      <c r="C326" s="18" t="s">
        <v>728</v>
      </c>
      <c r="D326" s="18" t="s">
        <v>202</v>
      </c>
      <c r="E326" s="23" t="s">
        <v>150</v>
      </c>
      <c r="F326" s="23">
        <v>1</v>
      </c>
      <c r="G326" s="154">
        <v>0.79</v>
      </c>
      <c r="H326" s="469">
        <v>15</v>
      </c>
      <c r="I326" s="458">
        <v>15</v>
      </c>
      <c r="J326" s="23">
        <v>0</v>
      </c>
      <c r="K326" s="23">
        <f t="shared" si="47"/>
        <v>0</v>
      </c>
      <c r="L326" s="23">
        <f t="shared" si="50"/>
        <v>0</v>
      </c>
      <c r="M326" s="23">
        <f t="shared" si="50"/>
        <v>0</v>
      </c>
      <c r="N326" s="216">
        <f>'Pipe Insulation Detail'!$B$61</f>
        <v>175.06254164158375</v>
      </c>
      <c r="O326" s="215">
        <f t="shared" ref="O326:Q345" si="52">N326</f>
        <v>175.06254164158375</v>
      </c>
      <c r="P326" s="215">
        <f t="shared" si="52"/>
        <v>175.06254164158375</v>
      </c>
      <c r="Q326" s="215">
        <f t="shared" si="52"/>
        <v>175.06254164158375</v>
      </c>
      <c r="R326" s="15" t="s">
        <v>838</v>
      </c>
      <c r="S326" s="15" t="s">
        <v>841</v>
      </c>
      <c r="T326" s="15" t="s">
        <v>201</v>
      </c>
      <c r="U326" s="15" t="s">
        <v>200</v>
      </c>
      <c r="V326" s="435" t="s">
        <v>853</v>
      </c>
      <c r="W326" s="166"/>
      <c r="X326" s="166"/>
      <c r="Y326" s="166"/>
      <c r="Z326" s="166"/>
      <c r="AA326" s="158"/>
      <c r="AB326" s="166"/>
      <c r="AC326" s="158"/>
      <c r="AD326" s="166"/>
      <c r="AE326" s="158"/>
      <c r="AF326" s="166"/>
      <c r="AG326" s="166"/>
      <c r="AH326" s="166"/>
      <c r="AI326" s="166"/>
      <c r="AJ326" s="166"/>
      <c r="AK326" s="166"/>
      <c r="AL326" s="166"/>
      <c r="AM326" s="166"/>
      <c r="AN326" s="166"/>
      <c r="AO326" s="166"/>
      <c r="AP326" s="166"/>
      <c r="AQ326" s="166"/>
      <c r="AR326" s="166"/>
      <c r="AS326" s="166"/>
      <c r="AT326" s="166"/>
      <c r="AU326" s="363"/>
      <c r="AV326" s="363"/>
      <c r="AW326" s="363"/>
      <c r="AX326" s="363"/>
      <c r="AY326" s="364"/>
      <c r="AZ326" s="365"/>
      <c r="BA326" s="366"/>
      <c r="BB326" s="27"/>
    </row>
    <row r="327" spans="1:54">
      <c r="A327" s="2" t="str">
        <f t="shared" si="51"/>
        <v>Bus - Public Rebates_Pre Rinse Sprayer</v>
      </c>
      <c r="B327" s="18">
        <v>324</v>
      </c>
      <c r="C327" s="18" t="s">
        <v>728</v>
      </c>
      <c r="D327" s="18" t="s">
        <v>710</v>
      </c>
      <c r="E327" s="23" t="s">
        <v>150</v>
      </c>
      <c r="F327" s="23">
        <v>1</v>
      </c>
      <c r="G327" s="154">
        <v>0.79</v>
      </c>
      <c r="H327" s="469">
        <v>5</v>
      </c>
      <c r="I327" s="458">
        <v>5</v>
      </c>
      <c r="J327" s="23">
        <v>0</v>
      </c>
      <c r="K327" s="23">
        <f t="shared" si="47"/>
        <v>0</v>
      </c>
      <c r="L327" s="23">
        <f t="shared" si="50"/>
        <v>0</v>
      </c>
      <c r="M327" s="23">
        <f t="shared" si="50"/>
        <v>0</v>
      </c>
      <c r="N327" s="215">
        <f>(X327-Z327)*60*AB327*AD327*8.33*1*(AF327-AH327)*(1/AJ327)/100000</f>
        <v>102.33405</v>
      </c>
      <c r="O327" s="215">
        <f t="shared" si="52"/>
        <v>102.33405</v>
      </c>
      <c r="P327" s="215">
        <f t="shared" si="52"/>
        <v>102.33405</v>
      </c>
      <c r="Q327" s="215">
        <f t="shared" si="52"/>
        <v>102.33405</v>
      </c>
      <c r="R327" s="15" t="s">
        <v>839</v>
      </c>
      <c r="S327" s="15" t="s">
        <v>841</v>
      </c>
      <c r="T327" s="15" t="s">
        <v>351</v>
      </c>
      <c r="U327" s="15" t="s">
        <v>350</v>
      </c>
      <c r="V327" s="157" t="s">
        <v>344</v>
      </c>
      <c r="W327" s="412" t="s">
        <v>349</v>
      </c>
      <c r="X327" s="485">
        <v>1.23</v>
      </c>
      <c r="Y327" s="412" t="s">
        <v>348</v>
      </c>
      <c r="Z327" s="486">
        <v>0.98</v>
      </c>
      <c r="AA327" s="412" t="s">
        <v>347</v>
      </c>
      <c r="AB327" s="440">
        <v>3</v>
      </c>
      <c r="AC327" s="412" t="s">
        <v>346</v>
      </c>
      <c r="AD327" s="412">
        <v>312</v>
      </c>
      <c r="AE327" s="412" t="s">
        <v>251</v>
      </c>
      <c r="AF327" s="441">
        <f>70+AH327</f>
        <v>124.1</v>
      </c>
      <c r="AG327" s="412" t="s">
        <v>250</v>
      </c>
      <c r="AH327" s="487">
        <v>54.1</v>
      </c>
      <c r="AI327" s="412" t="s">
        <v>345</v>
      </c>
      <c r="AJ327" s="414">
        <v>0.8</v>
      </c>
      <c r="AK327" s="166"/>
      <c r="AL327" s="166"/>
      <c r="AM327" s="166"/>
      <c r="AN327" s="166"/>
      <c r="AO327" s="166"/>
      <c r="AP327" s="166"/>
      <c r="AQ327" s="166"/>
      <c r="AR327" s="166"/>
      <c r="AS327" s="166"/>
      <c r="AT327" s="166"/>
      <c r="AU327" s="363"/>
      <c r="AV327" s="363"/>
      <c r="AW327" s="363"/>
      <c r="AX327" s="363"/>
      <c r="AY327" s="364"/>
      <c r="AZ327" s="365"/>
      <c r="BA327" s="366"/>
      <c r="BB327" s="27"/>
    </row>
    <row r="328" spans="1:54">
      <c r="A328" s="2" t="str">
        <f t="shared" si="51"/>
        <v>Bus - Public Rebates_Steam Boiler ≥82% AFUE, &gt;300MBh TE</v>
      </c>
      <c r="B328" s="18">
        <v>325</v>
      </c>
      <c r="C328" s="18" t="s">
        <v>728</v>
      </c>
      <c r="D328" s="18" t="s">
        <v>723</v>
      </c>
      <c r="E328" s="23" t="s">
        <v>240</v>
      </c>
      <c r="F328" s="23">
        <v>500</v>
      </c>
      <c r="G328" s="154">
        <v>0.79</v>
      </c>
      <c r="H328" s="469">
        <v>20</v>
      </c>
      <c r="I328" s="458">
        <v>20</v>
      </c>
      <c r="J328" s="23">
        <v>14</v>
      </c>
      <c r="K328" s="23">
        <f t="shared" si="47"/>
        <v>14</v>
      </c>
      <c r="L328" s="23">
        <f t="shared" si="50"/>
        <v>14</v>
      </c>
      <c r="M328" s="23">
        <f t="shared" si="50"/>
        <v>14</v>
      </c>
      <c r="N328" s="216">
        <f>X328*Z328*((AB328-AD328)/AD328)/100000/F328</f>
        <v>0.63721518987341585</v>
      </c>
      <c r="O328" s="215">
        <f t="shared" si="52"/>
        <v>0.63721518987341585</v>
      </c>
      <c r="P328" s="215">
        <f t="shared" si="52"/>
        <v>0.63721518987341585</v>
      </c>
      <c r="Q328" s="215">
        <f t="shared" si="52"/>
        <v>0.63721518987341585</v>
      </c>
      <c r="R328" s="15" t="s">
        <v>839</v>
      </c>
      <c r="S328" s="15" t="s">
        <v>841</v>
      </c>
      <c r="T328" s="15" t="s">
        <v>343</v>
      </c>
      <c r="U328" s="15" t="s">
        <v>342</v>
      </c>
      <c r="V328" s="166" t="s">
        <v>340</v>
      </c>
      <c r="W328" s="492" t="s">
        <v>271</v>
      </c>
      <c r="X328" s="491">
        <v>1678</v>
      </c>
      <c r="Y328" s="158" t="s">
        <v>273</v>
      </c>
      <c r="Z328" s="420">
        <v>500000</v>
      </c>
      <c r="AA328" s="158" t="s">
        <v>341</v>
      </c>
      <c r="AB328" s="430">
        <v>0.82</v>
      </c>
      <c r="AC328" s="166" t="s">
        <v>248</v>
      </c>
      <c r="AD328" s="419">
        <v>0.79</v>
      </c>
      <c r="AE328" s="166"/>
      <c r="AF328" s="166"/>
      <c r="AG328" s="166"/>
      <c r="AH328" s="166"/>
      <c r="AI328" s="436"/>
      <c r="AJ328" s="437"/>
      <c r="AK328" s="436"/>
      <c r="AL328" s="419"/>
      <c r="AM328" s="166"/>
      <c r="AN328" s="166"/>
      <c r="AO328" s="166"/>
      <c r="AP328" s="166"/>
      <c r="AQ328" s="166"/>
      <c r="AR328" s="166"/>
      <c r="AS328" s="166"/>
      <c r="AT328" s="166"/>
      <c r="AU328" s="363"/>
      <c r="AV328" s="363"/>
      <c r="AW328" s="363"/>
      <c r="AX328" s="363"/>
      <c r="AY328" s="364"/>
      <c r="AZ328" s="365"/>
      <c r="BA328" s="366"/>
      <c r="BB328" s="27"/>
    </row>
    <row r="329" spans="1:54">
      <c r="A329" s="2" t="str">
        <f t="shared" si="51"/>
        <v>Bus - Public Rebates_Steam Traps - Dry Cleaner/Industrial</v>
      </c>
      <c r="B329" s="18">
        <v>326</v>
      </c>
      <c r="C329" s="18" t="s">
        <v>728</v>
      </c>
      <c r="D329" s="18" t="s">
        <v>269</v>
      </c>
      <c r="E329" s="23" t="s">
        <v>150</v>
      </c>
      <c r="F329" s="23">
        <v>1</v>
      </c>
      <c r="G329" s="154">
        <v>0.79</v>
      </c>
      <c r="H329" s="469">
        <v>6</v>
      </c>
      <c r="I329" s="458">
        <v>6</v>
      </c>
      <c r="J329" s="23">
        <v>61</v>
      </c>
      <c r="K329" s="23">
        <f t="shared" si="47"/>
        <v>61</v>
      </c>
      <c r="L329" s="23">
        <f t="shared" si="50"/>
        <v>61</v>
      </c>
      <c r="M329" s="23">
        <f t="shared" si="50"/>
        <v>61</v>
      </c>
      <c r="N329" s="216">
        <f>X329*(Z329/AB329)*AD329*AF329/100000</f>
        <v>137.91939591078068</v>
      </c>
      <c r="O329" s="215">
        <f t="shared" si="52"/>
        <v>137.91939591078068</v>
      </c>
      <c r="P329" s="215">
        <f t="shared" si="52"/>
        <v>137.91939591078068</v>
      </c>
      <c r="Q329" s="215">
        <f t="shared" si="52"/>
        <v>137.91939591078068</v>
      </c>
      <c r="R329" s="15" t="s">
        <v>839</v>
      </c>
      <c r="S329" s="15" t="s">
        <v>841</v>
      </c>
      <c r="T329" s="15" t="s">
        <v>266</v>
      </c>
      <c r="U329" s="15" t="s">
        <v>265</v>
      </c>
      <c r="V329" s="166" t="s">
        <v>259</v>
      </c>
      <c r="W329" s="166" t="s">
        <v>264</v>
      </c>
      <c r="X329" s="166">
        <v>19.100000000000001</v>
      </c>
      <c r="Y329" s="166" t="s">
        <v>263</v>
      </c>
      <c r="Z329" s="166">
        <v>890</v>
      </c>
      <c r="AA329" s="158" t="s">
        <v>262</v>
      </c>
      <c r="AB329" s="421">
        <v>0.80700000000000005</v>
      </c>
      <c r="AC329" s="158" t="s">
        <v>153</v>
      </c>
      <c r="AD329" s="166">
        <v>2425</v>
      </c>
      <c r="AE329" s="166" t="s">
        <v>260</v>
      </c>
      <c r="AF329" s="419">
        <v>0.27</v>
      </c>
      <c r="AG329" s="166"/>
      <c r="AH329" s="166"/>
      <c r="AI329" s="166"/>
      <c r="AJ329" s="166"/>
      <c r="AK329" s="166"/>
      <c r="AL329" s="166"/>
      <c r="AM329" s="166"/>
      <c r="AN329" s="166"/>
      <c r="AO329" s="166"/>
      <c r="AP329" s="166"/>
      <c r="AQ329" s="166"/>
      <c r="AR329" s="166"/>
      <c r="AS329" s="166"/>
      <c r="AT329" s="166"/>
      <c r="AU329" s="363"/>
      <c r="AV329" s="363"/>
      <c r="AW329" s="363"/>
      <c r="AX329" s="363"/>
      <c r="AY329" s="364"/>
      <c r="AZ329" s="365"/>
      <c r="BA329" s="366"/>
      <c r="BB329" s="27"/>
    </row>
    <row r="330" spans="1:54">
      <c r="A330" s="2" t="str">
        <f t="shared" si="51"/>
        <v>Bus - Public Rebates_Steam Traps - HVAC Repair/Rep - Audit</v>
      </c>
      <c r="B330" s="18">
        <v>327</v>
      </c>
      <c r="C330" s="18" t="s">
        <v>728</v>
      </c>
      <c r="D330" s="18" t="s">
        <v>268</v>
      </c>
      <c r="E330" s="23" t="s">
        <v>150</v>
      </c>
      <c r="F330" s="23">
        <v>1</v>
      </c>
      <c r="G330" s="154">
        <v>0.79</v>
      </c>
      <c r="H330" s="469">
        <v>6</v>
      </c>
      <c r="I330" s="458">
        <v>6</v>
      </c>
      <c r="J330" s="23">
        <v>61</v>
      </c>
      <c r="K330" s="23">
        <f t="shared" si="47"/>
        <v>61</v>
      </c>
      <c r="L330" s="23">
        <f t="shared" si="50"/>
        <v>61</v>
      </c>
      <c r="M330" s="23">
        <f t="shared" si="50"/>
        <v>61</v>
      </c>
      <c r="N330" s="216">
        <f>X330*(Z330/AB330)*AD330*AF330/100000</f>
        <v>88.453924126394057</v>
      </c>
      <c r="O330" s="215">
        <f t="shared" si="52"/>
        <v>88.453924126394057</v>
      </c>
      <c r="P330" s="215">
        <f t="shared" si="52"/>
        <v>88.453924126394057</v>
      </c>
      <c r="Q330" s="215">
        <f t="shared" si="52"/>
        <v>88.453924126394057</v>
      </c>
      <c r="R330" s="15" t="s">
        <v>839</v>
      </c>
      <c r="S330" s="15" t="s">
        <v>841</v>
      </c>
      <c r="T330" s="15" t="s">
        <v>266</v>
      </c>
      <c r="U330" s="15" t="s">
        <v>265</v>
      </c>
      <c r="V330" s="166" t="s">
        <v>259</v>
      </c>
      <c r="W330" s="166" t="s">
        <v>264</v>
      </c>
      <c r="X330" s="166">
        <v>6.9</v>
      </c>
      <c r="Y330" s="166" t="s">
        <v>263</v>
      </c>
      <c r="Z330" s="166">
        <v>951</v>
      </c>
      <c r="AA330" s="158" t="s">
        <v>262</v>
      </c>
      <c r="AB330" s="421">
        <v>0.80700000000000005</v>
      </c>
      <c r="AC330" s="158" t="s">
        <v>261</v>
      </c>
      <c r="AD330" s="166">
        <v>4029</v>
      </c>
      <c r="AE330" s="166" t="s">
        <v>260</v>
      </c>
      <c r="AF330" s="419">
        <v>0.27</v>
      </c>
      <c r="AG330" s="166"/>
      <c r="AH330" s="166"/>
      <c r="AI330" s="166"/>
      <c r="AJ330" s="166"/>
      <c r="AK330" s="166"/>
      <c r="AL330" s="166"/>
      <c r="AM330" s="166"/>
      <c r="AN330" s="166"/>
      <c r="AO330" s="166"/>
      <c r="AP330" s="166"/>
      <c r="AQ330" s="166"/>
      <c r="AR330" s="166"/>
      <c r="AS330" s="166"/>
      <c r="AT330" s="166"/>
      <c r="AU330" s="363"/>
      <c r="AV330" s="363"/>
      <c r="AW330" s="363"/>
      <c r="AX330" s="363"/>
      <c r="AY330" s="364"/>
      <c r="AZ330" s="365"/>
      <c r="BA330" s="366"/>
      <c r="BB330" s="27"/>
    </row>
    <row r="331" spans="1:54">
      <c r="A331" s="2" t="str">
        <f t="shared" si="51"/>
        <v>Bus - Public Rebates_Steam Traps - HVAC Repair/Rep - No Audit</v>
      </c>
      <c r="B331" s="18">
        <v>328</v>
      </c>
      <c r="C331" s="18" t="s">
        <v>728</v>
      </c>
      <c r="D331" s="18" t="s">
        <v>267</v>
      </c>
      <c r="E331" s="23" t="s">
        <v>150</v>
      </c>
      <c r="F331" s="23">
        <v>1</v>
      </c>
      <c r="G331" s="154">
        <v>0.79</v>
      </c>
      <c r="H331" s="469">
        <v>6</v>
      </c>
      <c r="I331" s="458">
        <v>6</v>
      </c>
      <c r="J331" s="23">
        <v>19</v>
      </c>
      <c r="K331" s="23">
        <f t="shared" si="47"/>
        <v>19</v>
      </c>
      <c r="L331" s="23">
        <f t="shared" si="50"/>
        <v>19</v>
      </c>
      <c r="M331" s="23">
        <f t="shared" si="50"/>
        <v>19</v>
      </c>
      <c r="N331" s="216">
        <f>X331*(Z331/AB331)*AD331*AF331/100000</f>
        <v>88.453924126394057</v>
      </c>
      <c r="O331" s="215">
        <f t="shared" si="52"/>
        <v>88.453924126394057</v>
      </c>
      <c r="P331" s="215">
        <f t="shared" si="52"/>
        <v>88.453924126394057</v>
      </c>
      <c r="Q331" s="215">
        <f t="shared" si="52"/>
        <v>88.453924126394057</v>
      </c>
      <c r="R331" s="15" t="s">
        <v>839</v>
      </c>
      <c r="S331" s="15" t="s">
        <v>841</v>
      </c>
      <c r="T331" s="15" t="s">
        <v>266</v>
      </c>
      <c r="U331" s="15" t="s">
        <v>265</v>
      </c>
      <c r="V331" s="166" t="s">
        <v>259</v>
      </c>
      <c r="W331" s="166" t="s">
        <v>264</v>
      </c>
      <c r="X331" s="166">
        <v>6.9</v>
      </c>
      <c r="Y331" s="166" t="s">
        <v>263</v>
      </c>
      <c r="Z331" s="166">
        <v>951</v>
      </c>
      <c r="AA331" s="158" t="s">
        <v>262</v>
      </c>
      <c r="AB331" s="421">
        <v>0.80700000000000005</v>
      </c>
      <c r="AC331" s="158" t="s">
        <v>261</v>
      </c>
      <c r="AD331" s="166">
        <v>4029</v>
      </c>
      <c r="AE331" s="166" t="s">
        <v>260</v>
      </c>
      <c r="AF331" s="419">
        <v>0.27</v>
      </c>
      <c r="AG331" s="166"/>
      <c r="AH331" s="166"/>
      <c r="AI331" s="166"/>
      <c r="AJ331" s="421"/>
      <c r="AK331" s="166"/>
      <c r="AL331" s="166"/>
      <c r="AM331" s="166"/>
      <c r="AN331" s="166"/>
      <c r="AO331" s="166"/>
      <c r="AP331" s="166"/>
      <c r="AQ331" s="166"/>
      <c r="AR331" s="166"/>
      <c r="AS331" s="166"/>
      <c r="AT331" s="166"/>
      <c r="AU331" s="363"/>
      <c r="AV331" s="363"/>
      <c r="AW331" s="363"/>
      <c r="AX331" s="363"/>
      <c r="AY331" s="364"/>
      <c r="AZ331" s="365"/>
      <c r="BA331" s="366"/>
      <c r="BB331" s="27"/>
    </row>
    <row r="332" spans="1:54">
      <c r="A332" s="2" t="str">
        <f t="shared" si="51"/>
        <v>Bus - Public Rebates_Steam Traps - Test</v>
      </c>
      <c r="B332" s="18">
        <v>329</v>
      </c>
      <c r="C332" s="18" t="s">
        <v>728</v>
      </c>
      <c r="D332" s="18" t="s">
        <v>258</v>
      </c>
      <c r="E332" s="23" t="s">
        <v>150</v>
      </c>
      <c r="F332" s="23">
        <v>1</v>
      </c>
      <c r="G332" s="154">
        <v>0.79</v>
      </c>
      <c r="H332" s="469">
        <v>3</v>
      </c>
      <c r="I332" s="458">
        <v>3</v>
      </c>
      <c r="J332" s="23">
        <v>19</v>
      </c>
      <c r="K332" s="23">
        <f t="shared" si="47"/>
        <v>19</v>
      </c>
      <c r="L332" s="23">
        <f t="shared" si="50"/>
        <v>19</v>
      </c>
      <c r="M332" s="23">
        <f t="shared" si="50"/>
        <v>19</v>
      </c>
      <c r="N332" s="216">
        <v>0</v>
      </c>
      <c r="O332" s="215">
        <f t="shared" si="52"/>
        <v>0</v>
      </c>
      <c r="P332" s="215">
        <f t="shared" si="52"/>
        <v>0</v>
      </c>
      <c r="Q332" s="215">
        <f t="shared" si="52"/>
        <v>0</v>
      </c>
      <c r="R332" s="15" t="s">
        <v>140</v>
      </c>
      <c r="S332" s="15" t="s">
        <v>140</v>
      </c>
      <c r="T332" s="15" t="s">
        <v>140</v>
      </c>
      <c r="U332" s="15" t="s">
        <v>140</v>
      </c>
      <c r="V332" s="412" t="s">
        <v>140</v>
      </c>
      <c r="W332" s="166"/>
      <c r="X332" s="166"/>
      <c r="Y332" s="166"/>
      <c r="Z332" s="166"/>
      <c r="AA332" s="158"/>
      <c r="AB332" s="419"/>
      <c r="AC332" s="158"/>
      <c r="AD332" s="166"/>
      <c r="AE332" s="158"/>
      <c r="AF332" s="419"/>
      <c r="AG332" s="166"/>
      <c r="AH332" s="419"/>
      <c r="AI332" s="166"/>
      <c r="AJ332" s="419"/>
      <c r="AK332" s="166"/>
      <c r="AL332" s="166"/>
      <c r="AM332" s="166"/>
      <c r="AN332" s="166"/>
      <c r="AO332" s="166"/>
      <c r="AP332" s="166"/>
      <c r="AQ332" s="166"/>
      <c r="AR332" s="166"/>
      <c r="AS332" s="166"/>
      <c r="AT332" s="166"/>
      <c r="AU332" s="363"/>
      <c r="AV332" s="363"/>
      <c r="AW332" s="363"/>
      <c r="AX332" s="363"/>
      <c r="AY332" s="364"/>
      <c r="AZ332" s="365"/>
      <c r="BA332" s="366"/>
      <c r="BB332" s="27"/>
    </row>
    <row r="333" spans="1:54">
      <c r="A333" s="2" t="str">
        <f t="shared" si="51"/>
        <v>Bus - Public Rebates_Thermostat - Programmable</v>
      </c>
      <c r="B333" s="18">
        <v>330</v>
      </c>
      <c r="C333" s="18" t="s">
        <v>728</v>
      </c>
      <c r="D333" s="18" t="s">
        <v>226</v>
      </c>
      <c r="E333" s="23" t="s">
        <v>150</v>
      </c>
      <c r="F333" s="23">
        <v>1</v>
      </c>
      <c r="G333" s="154">
        <v>0.79</v>
      </c>
      <c r="H333" s="469">
        <v>4</v>
      </c>
      <c r="I333" s="458">
        <v>4</v>
      </c>
      <c r="J333" s="23">
        <v>300</v>
      </c>
      <c r="K333" s="23">
        <f t="shared" si="47"/>
        <v>300</v>
      </c>
      <c r="L333" s="23">
        <f t="shared" si="50"/>
        <v>300</v>
      </c>
      <c r="M333" s="23">
        <f t="shared" si="50"/>
        <v>300</v>
      </c>
      <c r="N333" s="361">
        <f>'Thermostat Detail'!$L$13</f>
        <v>124.68584320000001</v>
      </c>
      <c r="O333" s="215">
        <f t="shared" si="52"/>
        <v>124.68584320000001</v>
      </c>
      <c r="P333" s="215">
        <f t="shared" si="52"/>
        <v>124.68584320000001</v>
      </c>
      <c r="Q333" s="215">
        <f t="shared" si="52"/>
        <v>124.68584320000001</v>
      </c>
      <c r="R333" s="15" t="s">
        <v>840</v>
      </c>
      <c r="S333" s="15" t="s">
        <v>841</v>
      </c>
      <c r="T333" s="15" t="s">
        <v>225</v>
      </c>
      <c r="U333" s="15" t="s">
        <v>224</v>
      </c>
      <c r="V333" s="435" t="s">
        <v>834</v>
      </c>
      <c r="W333" s="166"/>
      <c r="X333" s="166"/>
      <c r="Y333" s="166"/>
      <c r="Z333" s="166"/>
      <c r="AA333" s="158"/>
      <c r="AB333" s="419"/>
      <c r="AC333" s="158"/>
      <c r="AD333" s="166"/>
      <c r="AE333" s="158"/>
      <c r="AF333" s="419"/>
      <c r="AG333" s="166"/>
      <c r="AH333" s="419"/>
      <c r="AI333" s="166"/>
      <c r="AJ333" s="419"/>
      <c r="AK333" s="166"/>
      <c r="AL333" s="166"/>
      <c r="AM333" s="166"/>
      <c r="AN333" s="166"/>
      <c r="AO333" s="166"/>
      <c r="AP333" s="166"/>
      <c r="AQ333" s="166"/>
      <c r="AR333" s="166"/>
      <c r="AS333" s="166"/>
      <c r="AT333" s="166"/>
      <c r="AU333" s="363"/>
      <c r="AV333" s="363"/>
      <c r="AW333" s="363"/>
      <c r="AX333" s="363"/>
      <c r="AY333" s="364"/>
      <c r="AZ333" s="365"/>
      <c r="BA333" s="366"/>
      <c r="BB333" s="27"/>
    </row>
    <row r="334" spans="1:54">
      <c r="A334" s="2" t="str">
        <f t="shared" si="51"/>
        <v>Bus - Public Rebates_Water Heater - Storage 88% TE ≥75MBh</v>
      </c>
      <c r="B334" s="18">
        <v>331</v>
      </c>
      <c r="C334" s="18" t="s">
        <v>728</v>
      </c>
      <c r="D334" s="18" t="s">
        <v>254</v>
      </c>
      <c r="E334" s="23" t="s">
        <v>150</v>
      </c>
      <c r="F334" s="23">
        <v>1</v>
      </c>
      <c r="G334" s="154">
        <v>0.79</v>
      </c>
      <c r="H334" s="469">
        <v>15</v>
      </c>
      <c r="I334" s="458">
        <v>15</v>
      </c>
      <c r="J334" s="23">
        <v>0</v>
      </c>
      <c r="K334" s="23">
        <v>0</v>
      </c>
      <c r="L334" s="23">
        <v>0</v>
      </c>
      <c r="M334" s="23">
        <v>0</v>
      </c>
      <c r="N334" s="216">
        <f>(X334-Z334)*AB334*8.33*(1/AD334-1/AF334)/100000+((AJ334-AL334)*8766/100000)</f>
        <v>1514.573584976577</v>
      </c>
      <c r="O334" s="215">
        <f t="shared" si="52"/>
        <v>1514.573584976577</v>
      </c>
      <c r="P334" s="215">
        <f t="shared" si="52"/>
        <v>1514.573584976577</v>
      </c>
      <c r="Q334" s="215">
        <f t="shared" si="52"/>
        <v>1514.573584976577</v>
      </c>
      <c r="R334" s="15" t="s">
        <v>839</v>
      </c>
      <c r="S334" s="15" t="s">
        <v>841</v>
      </c>
      <c r="T334" s="15" t="s">
        <v>253</v>
      </c>
      <c r="U334" s="15" t="s">
        <v>252</v>
      </c>
      <c r="V334" s="166" t="s">
        <v>243</v>
      </c>
      <c r="W334" s="166" t="s">
        <v>251</v>
      </c>
      <c r="X334" s="166">
        <v>125</v>
      </c>
      <c r="Y334" s="166" t="s">
        <v>250</v>
      </c>
      <c r="Z334" s="166">
        <v>54</v>
      </c>
      <c r="AA334" s="158" t="s">
        <v>249</v>
      </c>
      <c r="AB334" s="420">
        <f>511*AH334</f>
        <v>127750</v>
      </c>
      <c r="AC334" s="417" t="s">
        <v>248</v>
      </c>
      <c r="AD334" s="426">
        <f xml:space="preserve"> 0.6002 - (0.0011 * AH334)</f>
        <v>0.32519999999999993</v>
      </c>
      <c r="AE334" s="416" t="s">
        <v>247</v>
      </c>
      <c r="AF334" s="166">
        <v>0.88</v>
      </c>
      <c r="AG334" s="166" t="s">
        <v>246</v>
      </c>
      <c r="AH334" s="166">
        <v>250</v>
      </c>
      <c r="AI334" s="166" t="s">
        <v>245</v>
      </c>
      <c r="AJ334" s="420">
        <f>200000/800+110*SQRT(150)</f>
        <v>1597.219358530748</v>
      </c>
      <c r="AK334" s="166" t="s">
        <v>244</v>
      </c>
      <c r="AL334" s="166">
        <v>1029</v>
      </c>
      <c r="AM334" s="166"/>
      <c r="AN334" s="166"/>
      <c r="AO334" s="166"/>
      <c r="AP334" s="166"/>
      <c r="AQ334" s="166"/>
      <c r="AR334" s="166"/>
      <c r="AS334" s="166"/>
      <c r="AT334" s="166"/>
      <c r="AU334" s="363"/>
      <c r="AV334" s="363"/>
      <c r="AW334" s="363"/>
      <c r="AX334" s="363"/>
      <c r="AY334" s="364"/>
      <c r="AZ334" s="365"/>
      <c r="BA334" s="366"/>
      <c r="BB334" s="27"/>
    </row>
    <row r="335" spans="1:54">
      <c r="A335" s="2" t="str">
        <f t="shared" si="51"/>
        <v>Bus - Public Rebates_Double Rack Oven</v>
      </c>
      <c r="B335" s="18">
        <v>332</v>
      </c>
      <c r="C335" s="18" t="s">
        <v>728</v>
      </c>
      <c r="D335" s="18" t="s">
        <v>186</v>
      </c>
      <c r="E335" s="23" t="s">
        <v>150</v>
      </c>
      <c r="F335" s="23">
        <v>1</v>
      </c>
      <c r="G335" s="154">
        <v>0.79</v>
      </c>
      <c r="H335" s="469">
        <v>12</v>
      </c>
      <c r="I335" s="458">
        <v>12</v>
      </c>
      <c r="J335" s="23">
        <v>0</v>
      </c>
      <c r="K335" s="23">
        <v>0</v>
      </c>
      <c r="L335" s="23">
        <v>0</v>
      </c>
      <c r="M335" s="23">
        <v>0</v>
      </c>
      <c r="N335" s="216">
        <v>1930</v>
      </c>
      <c r="O335" s="215">
        <f t="shared" si="52"/>
        <v>1930</v>
      </c>
      <c r="P335" s="215">
        <f t="shared" si="52"/>
        <v>1930</v>
      </c>
      <c r="Q335" s="215">
        <f t="shared" si="52"/>
        <v>1930</v>
      </c>
      <c r="R335" s="15" t="s">
        <v>839</v>
      </c>
      <c r="S335" s="15" t="s">
        <v>841</v>
      </c>
      <c r="T335" s="15" t="s">
        <v>185</v>
      </c>
      <c r="U335" s="15" t="s">
        <v>184</v>
      </c>
      <c r="V335" s="166"/>
      <c r="W335" s="166"/>
      <c r="X335" s="166"/>
      <c r="Y335" s="166"/>
      <c r="Z335" s="166"/>
      <c r="AA335" s="158"/>
      <c r="AB335" s="166"/>
      <c r="AC335" s="158"/>
      <c r="AD335" s="166"/>
      <c r="AE335" s="158"/>
      <c r="AF335" s="166"/>
      <c r="AG335" s="166"/>
      <c r="AH335" s="166"/>
      <c r="AI335" s="166"/>
      <c r="AJ335" s="166"/>
      <c r="AK335" s="166"/>
      <c r="AL335" s="166"/>
      <c r="AM335" s="166"/>
      <c r="AN335" s="166"/>
      <c r="AO335" s="166"/>
      <c r="AP335" s="166"/>
      <c r="AQ335" s="166"/>
      <c r="AR335" s="166"/>
      <c r="AS335" s="166"/>
      <c r="AT335" s="166"/>
      <c r="AU335" s="363"/>
      <c r="AV335" s="363"/>
      <c r="AW335" s="363"/>
      <c r="AX335" s="363"/>
      <c r="AY335" s="364"/>
      <c r="AZ335" s="365"/>
      <c r="BA335" s="366"/>
      <c r="BB335" s="27"/>
    </row>
    <row r="336" spans="1:54">
      <c r="A336" s="2" t="str">
        <f t="shared" si="51"/>
        <v>Bus - Public Rebates_Energy Star Convection Oven</v>
      </c>
      <c r="B336" s="18">
        <v>333</v>
      </c>
      <c r="C336" s="18" t="s">
        <v>728</v>
      </c>
      <c r="D336" s="18" t="s">
        <v>196</v>
      </c>
      <c r="E336" s="23" t="s">
        <v>150</v>
      </c>
      <c r="F336" s="23">
        <v>1</v>
      </c>
      <c r="G336" s="154">
        <v>0.79</v>
      </c>
      <c r="H336" s="469">
        <v>12</v>
      </c>
      <c r="I336" s="458">
        <v>12</v>
      </c>
      <c r="J336" s="23">
        <v>0</v>
      </c>
      <c r="K336" s="23">
        <v>0</v>
      </c>
      <c r="L336" s="23">
        <v>0</v>
      </c>
      <c r="M336" s="23">
        <v>0</v>
      </c>
      <c r="N336" s="216">
        <f>(X336+Z336+AB336)*365.35/100000</f>
        <v>352.14445072463781</v>
      </c>
      <c r="O336" s="215">
        <f t="shared" si="52"/>
        <v>352.14445072463781</v>
      </c>
      <c r="P336" s="215">
        <f t="shared" si="52"/>
        <v>352.14445072463781</v>
      </c>
      <c r="Q336" s="215">
        <f t="shared" si="52"/>
        <v>352.14445072463781</v>
      </c>
      <c r="R336" s="15" t="s">
        <v>839</v>
      </c>
      <c r="S336" s="15" t="s">
        <v>841</v>
      </c>
      <c r="T336" s="15" t="s">
        <v>195</v>
      </c>
      <c r="U336" s="15" t="s">
        <v>194</v>
      </c>
      <c r="V336" s="166" t="s">
        <v>187</v>
      </c>
      <c r="W336" s="166" t="s">
        <v>190</v>
      </c>
      <c r="X336" s="420">
        <f>18000*10.3-12000*10.5</f>
        <v>59400</v>
      </c>
      <c r="Y336" s="166" t="s">
        <v>189</v>
      </c>
      <c r="Z336" s="420">
        <f>1*15/60*76000-1*15/60*44000</f>
        <v>8000</v>
      </c>
      <c r="AA336" s="158" t="s">
        <v>188</v>
      </c>
      <c r="AB336" s="420">
        <f>100*250/30%-100*250/46%</f>
        <v>28985.507246376823</v>
      </c>
      <c r="AC336" s="158"/>
      <c r="AD336" s="166"/>
      <c r="AE336" s="158"/>
      <c r="AF336" s="166"/>
      <c r="AG336" s="166"/>
      <c r="AH336" s="166"/>
      <c r="AI336" s="166"/>
      <c r="AJ336" s="166"/>
      <c r="AK336" s="166"/>
      <c r="AL336" s="166"/>
      <c r="AM336" s="166"/>
      <c r="AN336" s="166"/>
      <c r="AO336" s="166"/>
      <c r="AP336" s="166"/>
      <c r="AQ336" s="166"/>
      <c r="AR336" s="166"/>
      <c r="AS336" s="166"/>
      <c r="AT336" s="166"/>
      <c r="AU336" s="363"/>
      <c r="AV336" s="363"/>
      <c r="AW336" s="363"/>
      <c r="AX336" s="363"/>
      <c r="AY336" s="364"/>
      <c r="AZ336" s="365"/>
      <c r="BA336" s="366"/>
      <c r="BB336" s="27"/>
    </row>
    <row r="337" spans="1:54">
      <c r="A337" s="2" t="str">
        <f t="shared" si="51"/>
        <v>Bus - Public Rebates_Energy Star Conveyer Oven</v>
      </c>
      <c r="B337" s="18">
        <v>334</v>
      </c>
      <c r="C337" s="18" t="s">
        <v>728</v>
      </c>
      <c r="D337" s="18" t="s">
        <v>199</v>
      </c>
      <c r="E337" s="23" t="s">
        <v>150</v>
      </c>
      <c r="F337" s="23">
        <v>1</v>
      </c>
      <c r="G337" s="154">
        <v>0.79</v>
      </c>
      <c r="H337" s="469">
        <v>17</v>
      </c>
      <c r="I337" s="458">
        <v>17</v>
      </c>
      <c r="J337" s="23">
        <v>0</v>
      </c>
      <c r="K337" s="23">
        <v>0</v>
      </c>
      <c r="L337" s="23">
        <v>0</v>
      </c>
      <c r="M337" s="23">
        <v>0</v>
      </c>
      <c r="N337" s="216">
        <v>884</v>
      </c>
      <c r="O337" s="215">
        <f t="shared" si="52"/>
        <v>884</v>
      </c>
      <c r="P337" s="215">
        <f t="shared" si="52"/>
        <v>884</v>
      </c>
      <c r="Q337" s="215">
        <f t="shared" si="52"/>
        <v>884</v>
      </c>
      <c r="R337" s="15" t="s">
        <v>839</v>
      </c>
      <c r="S337" s="15" t="s">
        <v>841</v>
      </c>
      <c r="T337" s="15" t="s">
        <v>198</v>
      </c>
      <c r="U337" s="15" t="s">
        <v>197</v>
      </c>
      <c r="V337" s="166" t="s">
        <v>187</v>
      </c>
      <c r="W337" s="166"/>
      <c r="X337" s="420"/>
      <c r="Y337" s="166"/>
      <c r="Z337" s="420"/>
      <c r="AA337" s="158"/>
      <c r="AB337" s="420"/>
      <c r="AC337" s="158"/>
      <c r="AD337" s="166"/>
      <c r="AE337" s="158"/>
      <c r="AF337" s="166"/>
      <c r="AG337" s="166"/>
      <c r="AH337" s="166"/>
      <c r="AI337" s="166"/>
      <c r="AJ337" s="166"/>
      <c r="AK337" s="166"/>
      <c r="AL337" s="166"/>
      <c r="AM337" s="166"/>
      <c r="AN337" s="166"/>
      <c r="AO337" s="166"/>
      <c r="AP337" s="166"/>
      <c r="AQ337" s="166"/>
      <c r="AR337" s="166"/>
      <c r="AS337" s="166"/>
      <c r="AT337" s="166"/>
      <c r="AU337" s="363"/>
      <c r="AV337" s="363"/>
      <c r="AW337" s="363"/>
      <c r="AX337" s="363"/>
      <c r="AY337" s="364"/>
      <c r="AZ337" s="365"/>
      <c r="BA337" s="366"/>
      <c r="BB337" s="27"/>
    </row>
    <row r="338" spans="1:54">
      <c r="A338" s="2" t="str">
        <f t="shared" si="51"/>
        <v>Bus - Public Rebates_Energy Star Fryer</v>
      </c>
      <c r="B338" s="18">
        <v>335</v>
      </c>
      <c r="C338" s="18" t="s">
        <v>728</v>
      </c>
      <c r="D338" s="18" t="s">
        <v>193</v>
      </c>
      <c r="E338" s="23" t="s">
        <v>150</v>
      </c>
      <c r="F338" s="23">
        <v>1</v>
      </c>
      <c r="G338" s="154">
        <v>0.79</v>
      </c>
      <c r="H338" s="469">
        <v>15</v>
      </c>
      <c r="I338" s="465">
        <v>12</v>
      </c>
      <c r="J338" s="23">
        <v>0</v>
      </c>
      <c r="K338" s="23">
        <v>0</v>
      </c>
      <c r="L338" s="23">
        <v>0</v>
      </c>
      <c r="M338" s="23">
        <v>0</v>
      </c>
      <c r="N338" s="216">
        <f>(X338+Z338+AB338)*365.35/100000</f>
        <v>505.37299714285717</v>
      </c>
      <c r="O338" s="215">
        <f t="shared" si="52"/>
        <v>505.37299714285717</v>
      </c>
      <c r="P338" s="215">
        <f t="shared" si="52"/>
        <v>505.37299714285717</v>
      </c>
      <c r="Q338" s="215">
        <f t="shared" si="52"/>
        <v>505.37299714285717</v>
      </c>
      <c r="R338" s="15" t="s">
        <v>839</v>
      </c>
      <c r="S338" s="15" t="s">
        <v>841</v>
      </c>
      <c r="T338" s="15" t="s">
        <v>192</v>
      </c>
      <c r="U338" s="15" t="s">
        <v>191</v>
      </c>
      <c r="V338" s="166" t="s">
        <v>187</v>
      </c>
      <c r="W338" s="166" t="s">
        <v>190</v>
      </c>
      <c r="X338" s="420">
        <f>14000*13.25-9000*13.44</f>
        <v>64540</v>
      </c>
      <c r="Y338" s="166" t="s">
        <v>189</v>
      </c>
      <c r="Z338" s="166">
        <f>1*15/60*64000-1*15/60*62000</f>
        <v>500</v>
      </c>
      <c r="AA338" s="158" t="s">
        <v>188</v>
      </c>
      <c r="AB338" s="420">
        <f>150*570/35%-150*570/50%</f>
        <v>73285.71428571429</v>
      </c>
      <c r="AC338" s="158"/>
      <c r="AD338" s="166"/>
      <c r="AE338" s="158"/>
      <c r="AF338" s="166"/>
      <c r="AG338" s="166"/>
      <c r="AH338" s="166"/>
      <c r="AI338" s="166"/>
      <c r="AJ338" s="166"/>
      <c r="AK338" s="166"/>
      <c r="AL338" s="166"/>
      <c r="AM338" s="166"/>
      <c r="AN338" s="166"/>
      <c r="AO338" s="166"/>
      <c r="AP338" s="166"/>
      <c r="AQ338" s="166"/>
      <c r="AR338" s="166"/>
      <c r="AS338" s="166"/>
      <c r="AT338" s="166"/>
      <c r="AU338" s="363"/>
      <c r="AV338" s="363"/>
      <c r="AW338" s="363"/>
      <c r="AX338" s="363"/>
      <c r="AY338" s="364"/>
      <c r="AZ338" s="365"/>
      <c r="BA338" s="366"/>
      <c r="BB338" s="27"/>
    </row>
    <row r="339" spans="1:54">
      <c r="A339" s="2" t="str">
        <f t="shared" si="51"/>
        <v>Bus - Public Rebates_Energy Star Steamer - 3 Pans</v>
      </c>
      <c r="B339" s="18">
        <v>336</v>
      </c>
      <c r="C339" s="18" t="s">
        <v>728</v>
      </c>
      <c r="D339" s="18" t="s">
        <v>183</v>
      </c>
      <c r="E339" s="23" t="s">
        <v>150</v>
      </c>
      <c r="F339" s="23">
        <v>1</v>
      </c>
      <c r="G339" s="154">
        <v>0.79</v>
      </c>
      <c r="H339" s="469">
        <v>12</v>
      </c>
      <c r="I339" s="458">
        <v>12</v>
      </c>
      <c r="J339" s="23">
        <v>0</v>
      </c>
      <c r="K339" s="23">
        <v>0</v>
      </c>
      <c r="L339" s="23">
        <v>0</v>
      </c>
      <c r="M339" s="23">
        <v>0</v>
      </c>
      <c r="N339" s="216">
        <f>'Food Equipment Detail'!$C$62</f>
        <v>752.01231086676478</v>
      </c>
      <c r="O339" s="215">
        <f t="shared" si="52"/>
        <v>752.01231086676478</v>
      </c>
      <c r="P339" s="215">
        <f t="shared" si="52"/>
        <v>752.01231086676478</v>
      </c>
      <c r="Q339" s="215">
        <f t="shared" si="52"/>
        <v>752.01231086676478</v>
      </c>
      <c r="R339" s="15" t="s">
        <v>836</v>
      </c>
      <c r="S339" s="15" t="s">
        <v>841</v>
      </c>
      <c r="T339" s="15" t="s">
        <v>179</v>
      </c>
      <c r="U339" s="15" t="s">
        <v>178</v>
      </c>
      <c r="V339" s="442"/>
      <c r="W339" s="166" t="s">
        <v>177</v>
      </c>
      <c r="X339" s="166">
        <v>40</v>
      </c>
      <c r="Y339" s="166" t="s">
        <v>176</v>
      </c>
      <c r="Z339" s="166">
        <v>15</v>
      </c>
      <c r="AA339" s="158" t="s">
        <v>153</v>
      </c>
      <c r="AB339" s="166">
        <v>6</v>
      </c>
      <c r="AC339" s="158" t="s">
        <v>175</v>
      </c>
      <c r="AD339" s="166">
        <v>365.25</v>
      </c>
      <c r="AE339" s="158"/>
      <c r="AF339" s="166"/>
      <c r="AG339" s="166"/>
      <c r="AH339" s="166"/>
      <c r="AI339" s="166"/>
      <c r="AJ339" s="166"/>
      <c r="AK339" s="166"/>
      <c r="AL339" s="166"/>
      <c r="AM339" s="166"/>
      <c r="AN339" s="166"/>
      <c r="AO339" s="166"/>
      <c r="AP339" s="166"/>
      <c r="AQ339" s="166"/>
      <c r="AR339" s="166"/>
      <c r="AS339" s="166"/>
      <c r="AT339" s="166"/>
      <c r="AU339" s="363"/>
      <c r="AV339" s="363"/>
      <c r="AW339" s="363"/>
      <c r="AX339" s="363"/>
      <c r="AY339" s="364"/>
      <c r="AZ339" s="365"/>
      <c r="BA339" s="366"/>
      <c r="BB339" s="27"/>
    </row>
    <row r="340" spans="1:54">
      <c r="A340" s="2" t="str">
        <f t="shared" si="51"/>
        <v>Bus - Public Rebates_Energy Star Steamer - 4 Pans</v>
      </c>
      <c r="B340" s="18">
        <v>337</v>
      </c>
      <c r="C340" s="18" t="s">
        <v>728</v>
      </c>
      <c r="D340" s="18" t="s">
        <v>182</v>
      </c>
      <c r="E340" s="23" t="s">
        <v>150</v>
      </c>
      <c r="F340" s="23">
        <v>1</v>
      </c>
      <c r="G340" s="154">
        <v>0.79</v>
      </c>
      <c r="H340" s="469">
        <v>12</v>
      </c>
      <c r="I340" s="458">
        <v>12</v>
      </c>
      <c r="J340" s="23">
        <v>0</v>
      </c>
      <c r="K340" s="23">
        <v>0</v>
      </c>
      <c r="L340" s="23">
        <v>0</v>
      </c>
      <c r="M340" s="23">
        <v>0</v>
      </c>
      <c r="N340" s="216">
        <f>'Food Equipment Detail'!$D$62</f>
        <v>1007.2641787965732</v>
      </c>
      <c r="O340" s="215">
        <f t="shared" si="52"/>
        <v>1007.2641787965732</v>
      </c>
      <c r="P340" s="215">
        <f t="shared" si="52"/>
        <v>1007.2641787965732</v>
      </c>
      <c r="Q340" s="215">
        <f t="shared" si="52"/>
        <v>1007.2641787965732</v>
      </c>
      <c r="R340" s="15" t="s">
        <v>836</v>
      </c>
      <c r="S340" s="15" t="s">
        <v>841</v>
      </c>
      <c r="T340" s="15" t="s">
        <v>179</v>
      </c>
      <c r="U340" s="15" t="s">
        <v>178</v>
      </c>
      <c r="V340" s="442"/>
      <c r="W340" s="166" t="s">
        <v>177</v>
      </c>
      <c r="X340" s="166">
        <v>40</v>
      </c>
      <c r="Y340" s="166" t="s">
        <v>176</v>
      </c>
      <c r="Z340" s="166">
        <v>15</v>
      </c>
      <c r="AA340" s="158" t="s">
        <v>153</v>
      </c>
      <c r="AB340" s="166">
        <v>6</v>
      </c>
      <c r="AC340" s="158" t="s">
        <v>175</v>
      </c>
      <c r="AD340" s="166">
        <v>365.25</v>
      </c>
      <c r="AE340" s="158"/>
      <c r="AF340" s="166"/>
      <c r="AG340" s="166"/>
      <c r="AH340" s="166"/>
      <c r="AI340" s="166"/>
      <c r="AJ340" s="166"/>
      <c r="AK340" s="166"/>
      <c r="AL340" s="166"/>
      <c r="AM340" s="166"/>
      <c r="AN340" s="166"/>
      <c r="AO340" s="166"/>
      <c r="AP340" s="166"/>
      <c r="AQ340" s="166"/>
      <c r="AR340" s="166"/>
      <c r="AS340" s="166"/>
      <c r="AT340" s="166"/>
      <c r="AU340" s="363"/>
      <c r="AV340" s="363"/>
      <c r="AW340" s="363"/>
      <c r="AX340" s="363"/>
      <c r="AY340" s="364"/>
      <c r="AZ340" s="365"/>
      <c r="BA340" s="366"/>
      <c r="BB340" s="27"/>
    </row>
    <row r="341" spans="1:54">
      <c r="A341" s="2" t="str">
        <f t="shared" si="51"/>
        <v>Bus - Public Rebates_Energy Star Steamer - 5 Pans</v>
      </c>
      <c r="B341" s="18">
        <v>338</v>
      </c>
      <c r="C341" s="18" t="s">
        <v>728</v>
      </c>
      <c r="D341" s="18" t="s">
        <v>181</v>
      </c>
      <c r="E341" s="23" t="s">
        <v>150</v>
      </c>
      <c r="F341" s="23">
        <v>1</v>
      </c>
      <c r="G341" s="154">
        <v>0.79</v>
      </c>
      <c r="H341" s="469">
        <v>12</v>
      </c>
      <c r="I341" s="458">
        <v>12</v>
      </c>
      <c r="J341" s="23">
        <v>0</v>
      </c>
      <c r="K341" s="23">
        <v>0</v>
      </c>
      <c r="L341" s="23">
        <v>0</v>
      </c>
      <c r="M341" s="23">
        <v>0</v>
      </c>
      <c r="N341" s="216">
        <f>'Food Equipment Detail'!$E$62</f>
        <v>1248.6709419898457</v>
      </c>
      <c r="O341" s="215">
        <f t="shared" si="52"/>
        <v>1248.6709419898457</v>
      </c>
      <c r="P341" s="215">
        <f t="shared" si="52"/>
        <v>1248.6709419898457</v>
      </c>
      <c r="Q341" s="215">
        <f t="shared" si="52"/>
        <v>1248.6709419898457</v>
      </c>
      <c r="R341" s="15" t="s">
        <v>836</v>
      </c>
      <c r="S341" s="15" t="s">
        <v>841</v>
      </c>
      <c r="T341" s="15" t="s">
        <v>179</v>
      </c>
      <c r="U341" s="15" t="s">
        <v>178</v>
      </c>
      <c r="V341" s="442"/>
      <c r="W341" s="166" t="s">
        <v>177</v>
      </c>
      <c r="X341" s="166">
        <v>40</v>
      </c>
      <c r="Y341" s="166" t="s">
        <v>176</v>
      </c>
      <c r="Z341" s="166">
        <v>15</v>
      </c>
      <c r="AA341" s="158" t="s">
        <v>153</v>
      </c>
      <c r="AB341" s="166">
        <v>6</v>
      </c>
      <c r="AC341" s="158" t="s">
        <v>175</v>
      </c>
      <c r="AD341" s="166">
        <v>365.25</v>
      </c>
      <c r="AE341" s="158"/>
      <c r="AF341" s="166"/>
      <c r="AG341" s="166"/>
      <c r="AH341" s="166"/>
      <c r="AI341" s="166"/>
      <c r="AJ341" s="166"/>
      <c r="AK341" s="166"/>
      <c r="AL341" s="166"/>
      <c r="AM341" s="166"/>
      <c r="AN341" s="166"/>
      <c r="AO341" s="166"/>
      <c r="AP341" s="166"/>
      <c r="AQ341" s="166"/>
      <c r="AR341" s="166"/>
      <c r="AS341" s="166"/>
      <c r="AT341" s="166"/>
      <c r="AU341" s="363"/>
      <c r="AV341" s="363"/>
      <c r="AW341" s="363"/>
      <c r="AX341" s="363"/>
      <c r="AY341" s="364"/>
      <c r="AZ341" s="365"/>
      <c r="BA341" s="366"/>
      <c r="BB341" s="27"/>
    </row>
    <row r="342" spans="1:54">
      <c r="A342" s="2" t="str">
        <f t="shared" si="51"/>
        <v>Bus - Public Rebates_Energy Star Steamer - 6 Pans</v>
      </c>
      <c r="B342" s="18">
        <v>339</v>
      </c>
      <c r="C342" s="18" t="s">
        <v>728</v>
      </c>
      <c r="D342" s="18" t="s">
        <v>180</v>
      </c>
      <c r="E342" s="23" t="s">
        <v>150</v>
      </c>
      <c r="F342" s="23">
        <v>1</v>
      </c>
      <c r="G342" s="154">
        <v>0.79</v>
      </c>
      <c r="H342" s="469">
        <v>12</v>
      </c>
      <c r="I342" s="458">
        <v>12</v>
      </c>
      <c r="J342" s="23">
        <v>0</v>
      </c>
      <c r="K342" s="23">
        <v>0</v>
      </c>
      <c r="L342" s="23">
        <v>0</v>
      </c>
      <c r="M342" s="23">
        <v>0</v>
      </c>
      <c r="N342" s="216">
        <f>'Food Equipment Detail'!$F$62</f>
        <v>1503.8794358667649</v>
      </c>
      <c r="O342" s="215">
        <f t="shared" si="52"/>
        <v>1503.8794358667649</v>
      </c>
      <c r="P342" s="215">
        <f t="shared" si="52"/>
        <v>1503.8794358667649</v>
      </c>
      <c r="Q342" s="215">
        <f t="shared" si="52"/>
        <v>1503.8794358667649</v>
      </c>
      <c r="R342" s="15" t="s">
        <v>836</v>
      </c>
      <c r="S342" s="15" t="s">
        <v>841</v>
      </c>
      <c r="T342" s="15" t="s">
        <v>179</v>
      </c>
      <c r="U342" s="15" t="s">
        <v>178</v>
      </c>
      <c r="V342" s="442"/>
      <c r="W342" s="166" t="s">
        <v>177</v>
      </c>
      <c r="X342" s="166">
        <v>40</v>
      </c>
      <c r="Y342" s="166" t="s">
        <v>176</v>
      </c>
      <c r="Z342" s="166">
        <v>15</v>
      </c>
      <c r="AA342" s="158" t="s">
        <v>153</v>
      </c>
      <c r="AB342" s="166">
        <v>6</v>
      </c>
      <c r="AC342" s="158" t="s">
        <v>175</v>
      </c>
      <c r="AD342" s="166">
        <v>365.25</v>
      </c>
      <c r="AE342" s="158"/>
      <c r="AF342" s="166"/>
      <c r="AG342" s="166"/>
      <c r="AH342" s="166"/>
      <c r="AI342" s="166"/>
      <c r="AJ342" s="166"/>
      <c r="AK342" s="166"/>
      <c r="AL342" s="166"/>
      <c r="AM342" s="166"/>
      <c r="AN342" s="166"/>
      <c r="AO342" s="166"/>
      <c r="AP342" s="166"/>
      <c r="AQ342" s="166"/>
      <c r="AR342" s="166"/>
      <c r="AS342" s="166"/>
      <c r="AT342" s="166"/>
      <c r="AU342" s="363"/>
      <c r="AV342" s="363"/>
      <c r="AW342" s="363"/>
      <c r="AX342" s="363"/>
      <c r="AY342" s="364"/>
      <c r="AZ342" s="365"/>
      <c r="BA342" s="366"/>
      <c r="BB342" s="27"/>
    </row>
    <row r="343" spans="1:54">
      <c r="A343" s="2" t="str">
        <f t="shared" si="51"/>
        <v>Bus - Public Rebates_Heat Recovery Grease Trap Filter</v>
      </c>
      <c r="B343" s="18">
        <v>340</v>
      </c>
      <c r="C343" s="18" t="s">
        <v>728</v>
      </c>
      <c r="D343" s="18" t="s">
        <v>151</v>
      </c>
      <c r="E343" s="23" t="s">
        <v>150</v>
      </c>
      <c r="F343" s="23">
        <v>1</v>
      </c>
      <c r="G343" s="154">
        <v>0.79</v>
      </c>
      <c r="H343" s="469">
        <v>15</v>
      </c>
      <c r="I343" s="458">
        <v>15</v>
      </c>
      <c r="J343" s="23">
        <v>0</v>
      </c>
      <c r="K343" s="23">
        <v>0</v>
      </c>
      <c r="L343" s="23">
        <v>0</v>
      </c>
      <c r="M343" s="23">
        <v>0</v>
      </c>
      <c r="N343" s="216">
        <f>((X343*Z343*AB343)*8.3*1*(AD343*AF343))/(AH343*100000)</f>
        <v>1757.3025600000001</v>
      </c>
      <c r="O343" s="215">
        <f t="shared" si="52"/>
        <v>1757.3025600000001</v>
      </c>
      <c r="P343" s="215">
        <f t="shared" si="52"/>
        <v>1757.3025600000001</v>
      </c>
      <c r="Q343" s="215">
        <f t="shared" si="52"/>
        <v>1757.3025600000001</v>
      </c>
      <c r="R343" s="15" t="s">
        <v>839</v>
      </c>
      <c r="S343" s="15" t="s">
        <v>841</v>
      </c>
      <c r="T343" s="15" t="s">
        <v>149</v>
      </c>
      <c r="U343" s="15" t="s">
        <v>148</v>
      </c>
      <c r="V343" s="166" t="s">
        <v>141</v>
      </c>
      <c r="W343" s="166" t="s">
        <v>147</v>
      </c>
      <c r="X343" s="166">
        <v>780</v>
      </c>
      <c r="Y343" s="166" t="s">
        <v>146</v>
      </c>
      <c r="Z343" s="166">
        <v>3</v>
      </c>
      <c r="AA343" s="158" t="s">
        <v>145</v>
      </c>
      <c r="AB343" s="166">
        <v>312</v>
      </c>
      <c r="AC343" s="158" t="s">
        <v>144</v>
      </c>
      <c r="AD343" s="166">
        <v>5.8</v>
      </c>
      <c r="AE343" s="158" t="s">
        <v>143</v>
      </c>
      <c r="AF343" s="166">
        <v>4</v>
      </c>
      <c r="AG343" s="166" t="s">
        <v>142</v>
      </c>
      <c r="AH343" s="419">
        <v>0.8</v>
      </c>
      <c r="AI343" s="166"/>
      <c r="AJ343" s="166"/>
      <c r="AK343" s="166"/>
      <c r="AL343" s="166"/>
      <c r="AM343" s="166"/>
      <c r="AN343" s="166"/>
      <c r="AO343" s="166"/>
      <c r="AP343" s="166"/>
      <c r="AQ343" s="166"/>
      <c r="AR343" s="166"/>
      <c r="AS343" s="166"/>
      <c r="AT343" s="166"/>
      <c r="AU343" s="363"/>
      <c r="AV343" s="363"/>
      <c r="AW343" s="363"/>
      <c r="AX343" s="363"/>
      <c r="AY343" s="364"/>
      <c r="AZ343" s="365"/>
      <c r="BA343" s="366"/>
      <c r="BB343" s="27"/>
    </row>
    <row r="344" spans="1:54">
      <c r="A344" s="2" t="str">
        <f t="shared" si="51"/>
        <v>Bus - Public Rebates_Infrared Charbroiler</v>
      </c>
      <c r="B344" s="18">
        <v>341</v>
      </c>
      <c r="C344" s="18" t="s">
        <v>728</v>
      </c>
      <c r="D344" s="18" t="s">
        <v>174</v>
      </c>
      <c r="E344" s="23" t="s">
        <v>150</v>
      </c>
      <c r="F344" s="23">
        <v>1</v>
      </c>
      <c r="G344" s="154">
        <v>0.79</v>
      </c>
      <c r="H344" s="469">
        <v>12</v>
      </c>
      <c r="I344" s="458">
        <v>12</v>
      </c>
      <c r="J344" s="23">
        <v>0</v>
      </c>
      <c r="K344" s="23">
        <v>0</v>
      </c>
      <c r="L344" s="23">
        <v>0</v>
      </c>
      <c r="M344" s="23">
        <v>0</v>
      </c>
      <c r="N344" s="216">
        <f>((X344-Z344)*AB344*AD344/60+((AF344-AH344)*AJ344*AL344))*312/100000</f>
        <v>706.68</v>
      </c>
      <c r="O344" s="215">
        <f t="shared" si="52"/>
        <v>706.68</v>
      </c>
      <c r="P344" s="215">
        <f t="shared" si="52"/>
        <v>706.68</v>
      </c>
      <c r="Q344" s="215">
        <f t="shared" si="52"/>
        <v>706.68</v>
      </c>
      <c r="R344" s="15" t="s">
        <v>839</v>
      </c>
      <c r="S344" s="15" t="s">
        <v>841</v>
      </c>
      <c r="T344" s="15" t="s">
        <v>173</v>
      </c>
      <c r="U344" s="15" t="s">
        <v>172</v>
      </c>
      <c r="V344" s="166" t="s">
        <v>166</v>
      </c>
      <c r="W344" s="166" t="s">
        <v>171</v>
      </c>
      <c r="X344" s="166">
        <v>64000</v>
      </c>
      <c r="Y344" s="166" t="s">
        <v>170</v>
      </c>
      <c r="Z344" s="166">
        <v>54000</v>
      </c>
      <c r="AA344" s="158" t="s">
        <v>169</v>
      </c>
      <c r="AB344" s="166">
        <v>1</v>
      </c>
      <c r="AC344" s="158" t="s">
        <v>168</v>
      </c>
      <c r="AD344" s="166">
        <v>15</v>
      </c>
      <c r="AE344" s="158" t="s">
        <v>167</v>
      </c>
      <c r="AF344" s="166">
        <v>140000</v>
      </c>
      <c r="AG344" s="166" t="s">
        <v>155</v>
      </c>
      <c r="AH344" s="166">
        <v>105000</v>
      </c>
      <c r="AI344" s="166" t="s">
        <v>154</v>
      </c>
      <c r="AJ344" s="425">
        <v>0.8</v>
      </c>
      <c r="AK344" s="166" t="s">
        <v>153</v>
      </c>
      <c r="AL344" s="166">
        <v>8</v>
      </c>
      <c r="AM344" s="166"/>
      <c r="AN344" s="166"/>
      <c r="AO344" s="166"/>
      <c r="AP344" s="166"/>
      <c r="AQ344" s="166"/>
      <c r="AR344" s="166"/>
      <c r="AS344" s="166"/>
      <c r="AT344" s="166"/>
      <c r="AU344" s="363"/>
      <c r="AV344" s="363"/>
      <c r="AW344" s="363"/>
      <c r="AX344" s="363"/>
      <c r="AY344" s="364"/>
      <c r="AZ344" s="365"/>
      <c r="BA344" s="366"/>
      <c r="BB344" s="27"/>
    </row>
    <row r="345" spans="1:54">
      <c r="A345" s="2" t="str">
        <f t="shared" si="51"/>
        <v>Bus - Public Rebates_Infrared Rotisserie Oven</v>
      </c>
      <c r="B345" s="18">
        <v>342</v>
      </c>
      <c r="C345" s="18" t="s">
        <v>728</v>
      </c>
      <c r="D345" s="18" t="s">
        <v>165</v>
      </c>
      <c r="E345" s="23" t="s">
        <v>150</v>
      </c>
      <c r="F345" s="23">
        <v>1</v>
      </c>
      <c r="G345" s="154">
        <v>0.79</v>
      </c>
      <c r="H345" s="469">
        <v>12</v>
      </c>
      <c r="I345" s="458">
        <v>12</v>
      </c>
      <c r="J345" s="23">
        <v>0</v>
      </c>
      <c r="K345" s="23">
        <v>0</v>
      </c>
      <c r="L345" s="23">
        <v>0</v>
      </c>
      <c r="M345" s="23">
        <v>0</v>
      </c>
      <c r="N345" s="216">
        <f>(X345-Z345)*AB345*AD345/100000</f>
        <v>599.04</v>
      </c>
      <c r="O345" s="215">
        <f t="shared" si="52"/>
        <v>599.04</v>
      </c>
      <c r="P345" s="215">
        <f t="shared" si="52"/>
        <v>599.04</v>
      </c>
      <c r="Q345" s="215">
        <f t="shared" si="52"/>
        <v>599.04</v>
      </c>
      <c r="R345" s="15" t="s">
        <v>839</v>
      </c>
      <c r="S345" s="15" t="s">
        <v>841</v>
      </c>
      <c r="T345" s="15" t="s">
        <v>164</v>
      </c>
      <c r="U345" s="15" t="s">
        <v>163</v>
      </c>
      <c r="V345" s="166" t="s">
        <v>152</v>
      </c>
      <c r="W345" s="166" t="s">
        <v>156</v>
      </c>
      <c r="X345" s="166">
        <v>90000</v>
      </c>
      <c r="Y345" s="166" t="s">
        <v>155</v>
      </c>
      <c r="Z345" s="166">
        <v>50000</v>
      </c>
      <c r="AA345" s="158" t="s">
        <v>154</v>
      </c>
      <c r="AB345" s="425">
        <v>0.6</v>
      </c>
      <c r="AC345" s="158" t="s">
        <v>153</v>
      </c>
      <c r="AD345" s="166">
        <v>2496</v>
      </c>
      <c r="AE345" s="158"/>
      <c r="AF345" s="166"/>
      <c r="AG345" s="166"/>
      <c r="AH345" s="166"/>
      <c r="AI345" s="166"/>
      <c r="AJ345" s="166"/>
      <c r="AK345" s="166"/>
      <c r="AL345" s="166"/>
      <c r="AM345" s="166"/>
      <c r="AN345" s="166"/>
      <c r="AO345" s="166"/>
      <c r="AP345" s="166"/>
      <c r="AQ345" s="166"/>
      <c r="AR345" s="166"/>
      <c r="AS345" s="166"/>
      <c r="AT345" s="166"/>
      <c r="AU345" s="363"/>
      <c r="AV345" s="363"/>
      <c r="AW345" s="363"/>
      <c r="AX345" s="363"/>
      <c r="AY345" s="364"/>
      <c r="AZ345" s="365"/>
      <c r="BA345" s="366"/>
      <c r="BB345" s="27"/>
    </row>
    <row r="346" spans="1:54">
      <c r="A346" s="2" t="str">
        <f t="shared" si="51"/>
        <v>Bus - Public Rebates_Infrared Salamander Broiler</v>
      </c>
      <c r="B346" s="18">
        <v>343</v>
      </c>
      <c r="C346" s="18" t="s">
        <v>728</v>
      </c>
      <c r="D346" s="18" t="s">
        <v>162</v>
      </c>
      <c r="E346" s="23" t="s">
        <v>150</v>
      </c>
      <c r="F346" s="23">
        <v>1</v>
      </c>
      <c r="G346" s="154">
        <v>0.79</v>
      </c>
      <c r="H346" s="469">
        <v>12</v>
      </c>
      <c r="I346" s="458">
        <v>12</v>
      </c>
      <c r="J346" s="23">
        <v>0</v>
      </c>
      <c r="K346" s="23">
        <v>0</v>
      </c>
      <c r="L346" s="23">
        <v>0</v>
      </c>
      <c r="M346" s="23">
        <v>0</v>
      </c>
      <c r="N346" s="216">
        <f>(X346-Z346)*AB346*AD346/100000</f>
        <v>240.24</v>
      </c>
      <c r="O346" s="215">
        <f t="shared" ref="O346:Q349" si="53">N346</f>
        <v>240.24</v>
      </c>
      <c r="P346" s="215">
        <f t="shared" si="53"/>
        <v>240.24</v>
      </c>
      <c r="Q346" s="215">
        <f t="shared" si="53"/>
        <v>240.24</v>
      </c>
      <c r="R346" s="15" t="s">
        <v>839</v>
      </c>
      <c r="S346" s="15" t="s">
        <v>841</v>
      </c>
      <c r="T346" s="15" t="s">
        <v>161</v>
      </c>
      <c r="U346" s="15" t="s">
        <v>160</v>
      </c>
      <c r="V346" s="166" t="s">
        <v>152</v>
      </c>
      <c r="W346" s="166" t="s">
        <v>156</v>
      </c>
      <c r="X346" s="166">
        <v>38500</v>
      </c>
      <c r="Y346" s="166" t="s">
        <v>155</v>
      </c>
      <c r="Z346" s="166">
        <v>24750</v>
      </c>
      <c r="AA346" s="158" t="s">
        <v>154</v>
      </c>
      <c r="AB346" s="425">
        <v>0.7</v>
      </c>
      <c r="AC346" s="158" t="s">
        <v>153</v>
      </c>
      <c r="AD346" s="166">
        <v>2496</v>
      </c>
      <c r="AE346" s="158"/>
      <c r="AF346" s="166"/>
      <c r="AG346" s="166"/>
      <c r="AH346" s="166"/>
      <c r="AI346" s="166"/>
      <c r="AJ346" s="166"/>
      <c r="AK346" s="166"/>
      <c r="AL346" s="166"/>
      <c r="AM346" s="166"/>
      <c r="AN346" s="166"/>
      <c r="AO346" s="166"/>
      <c r="AP346" s="166"/>
      <c r="AQ346" s="166"/>
      <c r="AR346" s="166"/>
      <c r="AS346" s="166"/>
      <c r="AT346" s="166"/>
      <c r="AU346" s="363"/>
      <c r="AV346" s="363"/>
      <c r="AW346" s="363"/>
      <c r="AX346" s="363"/>
      <c r="AY346" s="364"/>
      <c r="AZ346" s="365"/>
      <c r="BA346" s="366"/>
      <c r="BB346" s="27"/>
    </row>
    <row r="347" spans="1:54">
      <c r="A347" s="2" t="str">
        <f t="shared" si="51"/>
        <v>Bus - Public Rebates_Infrared Upright Broiler</v>
      </c>
      <c r="B347" s="18">
        <v>344</v>
      </c>
      <c r="C347" s="18" t="s">
        <v>728</v>
      </c>
      <c r="D347" s="18" t="s">
        <v>159</v>
      </c>
      <c r="E347" s="23" t="s">
        <v>150</v>
      </c>
      <c r="F347" s="23">
        <v>1</v>
      </c>
      <c r="G347" s="154">
        <v>0.79</v>
      </c>
      <c r="H347" s="469">
        <v>12</v>
      </c>
      <c r="I347" s="458">
        <v>12</v>
      </c>
      <c r="J347" s="23">
        <v>0</v>
      </c>
      <c r="K347" s="23">
        <v>0</v>
      </c>
      <c r="L347" s="23">
        <v>0</v>
      </c>
      <c r="M347" s="23">
        <v>0</v>
      </c>
      <c r="N347" s="216">
        <f>(X347-Z347)*AB347*AD347/100000</f>
        <v>943.48800000000006</v>
      </c>
      <c r="O347" s="215">
        <f t="shared" si="53"/>
        <v>943.48800000000006</v>
      </c>
      <c r="P347" s="215">
        <f t="shared" si="53"/>
        <v>943.48800000000006</v>
      </c>
      <c r="Q347" s="215">
        <f t="shared" si="53"/>
        <v>943.48800000000006</v>
      </c>
      <c r="R347" s="15" t="s">
        <v>839</v>
      </c>
      <c r="S347" s="15" t="s">
        <v>841</v>
      </c>
      <c r="T347" s="15" t="s">
        <v>158</v>
      </c>
      <c r="U347" s="15" t="s">
        <v>157</v>
      </c>
      <c r="V347" s="166" t="s">
        <v>152</v>
      </c>
      <c r="W347" s="166" t="s">
        <v>156</v>
      </c>
      <c r="X347" s="166">
        <v>144000</v>
      </c>
      <c r="Y347" s="166" t="s">
        <v>155</v>
      </c>
      <c r="Z347" s="166">
        <v>90000</v>
      </c>
      <c r="AA347" s="158" t="s">
        <v>154</v>
      </c>
      <c r="AB347" s="425">
        <v>0.7</v>
      </c>
      <c r="AC347" s="158" t="s">
        <v>153</v>
      </c>
      <c r="AD347" s="166">
        <v>2496</v>
      </c>
      <c r="AE347" s="158"/>
      <c r="AF347" s="166"/>
      <c r="AG347" s="166"/>
      <c r="AH347" s="166"/>
      <c r="AI347" s="166"/>
      <c r="AJ347" s="166"/>
      <c r="AK347" s="166"/>
      <c r="AL347" s="166"/>
      <c r="AM347" s="166"/>
      <c r="AN347" s="166"/>
      <c r="AO347" s="166"/>
      <c r="AP347" s="166"/>
      <c r="AQ347" s="166"/>
      <c r="AR347" s="166"/>
      <c r="AS347" s="166"/>
      <c r="AT347" s="166"/>
      <c r="AU347" s="363"/>
      <c r="AV347" s="363"/>
      <c r="AW347" s="363"/>
      <c r="AX347" s="363"/>
      <c r="AY347" s="364"/>
      <c r="AZ347" s="365"/>
      <c r="BA347" s="366"/>
      <c r="BB347" s="27"/>
    </row>
    <row r="348" spans="1:54">
      <c r="A348" s="2" t="str">
        <f t="shared" si="51"/>
        <v>Bus - Public Rebates_CI Custom</v>
      </c>
      <c r="B348" s="18">
        <v>345</v>
      </c>
      <c r="C348" s="18" t="s">
        <v>728</v>
      </c>
      <c r="D348" s="18" t="s">
        <v>675</v>
      </c>
      <c r="E348" s="23" t="s">
        <v>150</v>
      </c>
      <c r="F348" s="23">
        <v>1</v>
      </c>
      <c r="G348" s="154">
        <v>0.69</v>
      </c>
      <c r="H348" s="469">
        <v>15</v>
      </c>
      <c r="I348" s="458">
        <v>15</v>
      </c>
      <c r="J348" s="23">
        <v>7</v>
      </c>
      <c r="K348" s="23">
        <f t="shared" ref="K348:M349" si="54">J348</f>
        <v>7</v>
      </c>
      <c r="L348" s="23">
        <f t="shared" si="54"/>
        <v>7</v>
      </c>
      <c r="M348" s="23">
        <f t="shared" si="54"/>
        <v>7</v>
      </c>
      <c r="N348" s="217">
        <v>2100</v>
      </c>
      <c r="O348" s="215">
        <f t="shared" si="53"/>
        <v>2100</v>
      </c>
      <c r="P348" s="215">
        <f t="shared" si="53"/>
        <v>2100</v>
      </c>
      <c r="Q348" s="215">
        <f t="shared" si="53"/>
        <v>2100</v>
      </c>
      <c r="R348" s="18" t="s">
        <v>140</v>
      </c>
      <c r="S348" s="18" t="s">
        <v>140</v>
      </c>
      <c r="T348" s="18" t="s">
        <v>140</v>
      </c>
      <c r="U348" s="18" t="s">
        <v>140</v>
      </c>
      <c r="V348" s="412"/>
      <c r="W348" s="169"/>
      <c r="X348" s="169"/>
      <c r="Y348" s="412"/>
      <c r="Z348" s="412"/>
      <c r="AA348" s="170"/>
      <c r="AB348" s="412"/>
      <c r="AC348" s="157"/>
      <c r="AD348" s="412"/>
      <c r="AE348" s="157"/>
      <c r="AF348" s="412"/>
      <c r="AG348" s="412"/>
      <c r="AH348" s="412"/>
      <c r="AI348" s="412"/>
      <c r="AJ348" s="412"/>
      <c r="AK348" s="412"/>
      <c r="AL348" s="412"/>
      <c r="AM348" s="412"/>
      <c r="AN348" s="412"/>
      <c r="AO348" s="412"/>
      <c r="AP348" s="412"/>
      <c r="AQ348" s="412"/>
      <c r="AR348" s="412"/>
      <c r="AS348" s="412"/>
      <c r="AT348" s="412"/>
      <c r="AU348" s="363"/>
      <c r="AV348" s="363"/>
      <c r="AW348" s="363"/>
      <c r="AX348" s="363"/>
      <c r="AY348" s="364"/>
      <c r="AZ348" s="365"/>
      <c r="BA348" s="366"/>
      <c r="BB348" s="27"/>
    </row>
    <row r="349" spans="1:54">
      <c r="A349" s="2" t="str">
        <f t="shared" si="51"/>
        <v>Bus - Public Rebates_New Construction</v>
      </c>
      <c r="B349" s="18">
        <v>346</v>
      </c>
      <c r="C349" s="18" t="s">
        <v>728</v>
      </c>
      <c r="D349" s="18" t="s">
        <v>676</v>
      </c>
      <c r="E349" s="23" t="s">
        <v>150</v>
      </c>
      <c r="F349" s="23">
        <v>1</v>
      </c>
      <c r="G349" s="154">
        <v>0.77</v>
      </c>
      <c r="H349" s="469">
        <v>15</v>
      </c>
      <c r="I349" s="458">
        <v>15</v>
      </c>
      <c r="J349" s="23">
        <v>1</v>
      </c>
      <c r="K349" s="23">
        <f t="shared" si="54"/>
        <v>1</v>
      </c>
      <c r="L349" s="23">
        <f t="shared" si="54"/>
        <v>1</v>
      </c>
      <c r="M349" s="23">
        <f t="shared" si="54"/>
        <v>1</v>
      </c>
      <c r="N349" s="217">
        <v>2500</v>
      </c>
      <c r="O349" s="215">
        <f t="shared" si="53"/>
        <v>2500</v>
      </c>
      <c r="P349" s="215">
        <f t="shared" si="53"/>
        <v>2500</v>
      </c>
      <c r="Q349" s="215">
        <f t="shared" si="53"/>
        <v>2500</v>
      </c>
      <c r="R349" s="18" t="s">
        <v>140</v>
      </c>
      <c r="S349" s="18" t="s">
        <v>140</v>
      </c>
      <c r="T349" s="18" t="s">
        <v>140</v>
      </c>
      <c r="U349" s="18" t="s">
        <v>140</v>
      </c>
      <c r="V349" s="412"/>
      <c r="W349" s="169"/>
      <c r="X349" s="169"/>
      <c r="Y349" s="412"/>
      <c r="Z349" s="412"/>
      <c r="AA349" s="170"/>
      <c r="AB349" s="412"/>
      <c r="AC349" s="157"/>
      <c r="AD349" s="412"/>
      <c r="AE349" s="157"/>
      <c r="AF349" s="412"/>
      <c r="AG349" s="412"/>
      <c r="AH349" s="412"/>
      <c r="AI349" s="412"/>
      <c r="AJ349" s="412"/>
      <c r="AK349" s="412"/>
      <c r="AL349" s="412"/>
      <c r="AM349" s="412"/>
      <c r="AN349" s="412"/>
      <c r="AO349" s="412"/>
      <c r="AP349" s="412"/>
      <c r="AQ349" s="412"/>
      <c r="AR349" s="412"/>
      <c r="AS349" s="412"/>
      <c r="AT349" s="412"/>
      <c r="AU349" s="363"/>
      <c r="AV349" s="363"/>
      <c r="AW349" s="363"/>
      <c r="AX349" s="363"/>
      <c r="AY349" s="364"/>
      <c r="AZ349" s="365"/>
      <c r="BA349" s="366"/>
      <c r="BB349" s="27"/>
    </row>
    <row r="350" spans="1:54">
      <c r="A350" s="2" t="str">
        <f t="shared" si="51"/>
        <v>Low Income - Outreach &amp; Education_Behavior 2018 1st Year</v>
      </c>
      <c r="B350" s="18">
        <v>347</v>
      </c>
      <c r="C350" s="23" t="s">
        <v>713</v>
      </c>
      <c r="D350" s="23" t="s">
        <v>781</v>
      </c>
      <c r="E350" s="23" t="s">
        <v>150</v>
      </c>
      <c r="F350" s="23">
        <v>1</v>
      </c>
      <c r="G350" s="154">
        <v>1</v>
      </c>
      <c r="H350" s="469">
        <v>1</v>
      </c>
      <c r="I350" s="458">
        <v>1</v>
      </c>
      <c r="J350" s="23"/>
      <c r="K350" s="23"/>
      <c r="L350" s="23"/>
      <c r="M350" s="23"/>
      <c r="N350" s="217"/>
      <c r="O350" s="215"/>
      <c r="P350" s="215"/>
      <c r="Q350" s="215"/>
      <c r="R350" s="15" t="s">
        <v>835</v>
      </c>
      <c r="S350" s="15" t="s">
        <v>841</v>
      </c>
      <c r="T350" s="18" t="s">
        <v>759</v>
      </c>
      <c r="U350" s="18" t="s">
        <v>760</v>
      </c>
      <c r="V350" s="412"/>
      <c r="W350" s="169"/>
      <c r="X350" s="169"/>
      <c r="Y350" s="412"/>
      <c r="Z350" s="412"/>
      <c r="AA350" s="170"/>
      <c r="AB350" s="412"/>
      <c r="AC350" s="157"/>
      <c r="AD350" s="412"/>
      <c r="AE350" s="157"/>
      <c r="AF350" s="412"/>
      <c r="AG350" s="412"/>
      <c r="AH350" s="412"/>
      <c r="AI350" s="412"/>
      <c r="AJ350" s="412"/>
      <c r="AK350" s="412"/>
      <c r="AL350" s="412"/>
      <c r="AM350" s="412"/>
      <c r="AN350" s="412"/>
      <c r="AO350" s="412"/>
      <c r="AP350" s="412"/>
      <c r="AQ350" s="412"/>
      <c r="AR350" s="412"/>
      <c r="AS350" s="412"/>
      <c r="AT350" s="412"/>
      <c r="AU350" s="363"/>
      <c r="AV350" s="363"/>
      <c r="AW350" s="363"/>
      <c r="AX350" s="363"/>
      <c r="AY350" s="364"/>
      <c r="AZ350" s="365"/>
      <c r="BA350" s="366"/>
      <c r="BB350" s="27"/>
    </row>
    <row r="351" spans="1:54">
      <c r="A351" s="2" t="str">
        <f t="shared" si="51"/>
        <v>Low Income - Outreach &amp; Education_Behavior 2019 1st Year</v>
      </c>
      <c r="B351" s="18">
        <v>348</v>
      </c>
      <c r="C351" s="23" t="s">
        <v>713</v>
      </c>
      <c r="D351" s="23" t="s">
        <v>782</v>
      </c>
      <c r="E351" s="23" t="s">
        <v>150</v>
      </c>
      <c r="F351" s="23">
        <v>1</v>
      </c>
      <c r="G351" s="154">
        <v>1</v>
      </c>
      <c r="H351" s="469">
        <v>1</v>
      </c>
      <c r="I351" s="458">
        <v>1</v>
      </c>
      <c r="J351" s="23"/>
      <c r="K351" s="23"/>
      <c r="L351" s="23"/>
      <c r="M351" s="23"/>
      <c r="N351" s="217"/>
      <c r="O351" s="215"/>
      <c r="P351" s="215"/>
      <c r="Q351" s="215"/>
      <c r="R351" s="15" t="s">
        <v>835</v>
      </c>
      <c r="S351" s="15" t="s">
        <v>841</v>
      </c>
      <c r="T351" s="18" t="s">
        <v>759</v>
      </c>
      <c r="U351" s="18" t="s">
        <v>760</v>
      </c>
      <c r="V351" s="412"/>
      <c r="W351" s="169"/>
      <c r="X351" s="169"/>
      <c r="Y351" s="412"/>
      <c r="Z351" s="412"/>
      <c r="AA351" s="170"/>
      <c r="AB351" s="412"/>
      <c r="AC351" s="157"/>
      <c r="AD351" s="412"/>
      <c r="AE351" s="157"/>
      <c r="AF351" s="412"/>
      <c r="AG351" s="412"/>
      <c r="AH351" s="412"/>
      <c r="AI351" s="412"/>
      <c r="AJ351" s="412"/>
      <c r="AK351" s="412"/>
      <c r="AL351" s="412"/>
      <c r="AM351" s="412"/>
      <c r="AN351" s="412"/>
      <c r="AO351" s="412"/>
      <c r="AP351" s="412"/>
      <c r="AQ351" s="412"/>
      <c r="AR351" s="412"/>
      <c r="AS351" s="412"/>
      <c r="AT351" s="412"/>
      <c r="AU351" s="363"/>
      <c r="AV351" s="363"/>
      <c r="AW351" s="363"/>
      <c r="AX351" s="363"/>
      <c r="AY351" s="364"/>
      <c r="AZ351" s="365"/>
      <c r="BA351" s="366"/>
      <c r="BB351" s="27"/>
    </row>
    <row r="352" spans="1:54">
      <c r="A352" s="2" t="str">
        <f t="shared" si="51"/>
        <v>Low Income - Outreach &amp; Education_Behavior 2020 1st Year</v>
      </c>
      <c r="B352" s="18">
        <v>349</v>
      </c>
      <c r="C352" s="23" t="s">
        <v>713</v>
      </c>
      <c r="D352" s="23" t="s">
        <v>783</v>
      </c>
      <c r="E352" s="23" t="s">
        <v>150</v>
      </c>
      <c r="F352" s="23">
        <v>1</v>
      </c>
      <c r="G352" s="154">
        <v>1</v>
      </c>
      <c r="H352" s="469">
        <v>1</v>
      </c>
      <c r="I352" s="458">
        <v>1</v>
      </c>
      <c r="J352" s="23"/>
      <c r="K352" s="23"/>
      <c r="L352" s="23"/>
      <c r="M352" s="23"/>
      <c r="N352" s="217"/>
      <c r="O352" s="215"/>
      <c r="P352" s="215"/>
      <c r="Q352" s="215"/>
      <c r="R352" s="15" t="s">
        <v>835</v>
      </c>
      <c r="S352" s="15" t="s">
        <v>841</v>
      </c>
      <c r="T352" s="18" t="s">
        <v>759</v>
      </c>
      <c r="U352" s="18" t="s">
        <v>760</v>
      </c>
      <c r="V352" s="412"/>
      <c r="W352" s="169"/>
      <c r="X352" s="169"/>
      <c r="Y352" s="412"/>
      <c r="Z352" s="412"/>
      <c r="AA352" s="170"/>
      <c r="AB352" s="412"/>
      <c r="AC352" s="157"/>
      <c r="AD352" s="412"/>
      <c r="AE352" s="157"/>
      <c r="AF352" s="412"/>
      <c r="AG352" s="412"/>
      <c r="AH352" s="412"/>
      <c r="AI352" s="412"/>
      <c r="AJ352" s="412"/>
      <c r="AK352" s="412"/>
      <c r="AL352" s="412"/>
      <c r="AM352" s="412"/>
      <c r="AN352" s="412"/>
      <c r="AO352" s="412"/>
      <c r="AP352" s="412"/>
      <c r="AQ352" s="412"/>
      <c r="AR352" s="412"/>
      <c r="AS352" s="412"/>
      <c r="AT352" s="412"/>
      <c r="AU352" s="363"/>
      <c r="AV352" s="363"/>
      <c r="AW352" s="363"/>
      <c r="AX352" s="363"/>
      <c r="AY352" s="364"/>
      <c r="AZ352" s="365"/>
      <c r="BA352" s="366"/>
      <c r="BB352" s="27"/>
    </row>
    <row r="353" spans="1:54">
      <c r="A353" s="2" t="str">
        <f t="shared" si="51"/>
        <v>Low Income - Outreach &amp; Education_Behavior 2021 1st Year</v>
      </c>
      <c r="B353" s="18">
        <v>350</v>
      </c>
      <c r="C353" s="23" t="s">
        <v>713</v>
      </c>
      <c r="D353" s="23" t="s">
        <v>784</v>
      </c>
      <c r="E353" s="23" t="s">
        <v>150</v>
      </c>
      <c r="F353" s="23">
        <v>1</v>
      </c>
      <c r="G353" s="154">
        <v>1</v>
      </c>
      <c r="H353" s="469">
        <v>1</v>
      </c>
      <c r="I353" s="458">
        <v>1</v>
      </c>
      <c r="J353" s="23"/>
      <c r="K353" s="23"/>
      <c r="L353" s="23"/>
      <c r="M353" s="23"/>
      <c r="N353" s="217"/>
      <c r="O353" s="215"/>
      <c r="P353" s="215"/>
      <c r="Q353" s="215"/>
      <c r="R353" s="15" t="s">
        <v>835</v>
      </c>
      <c r="S353" s="15" t="s">
        <v>841</v>
      </c>
      <c r="T353" s="18" t="s">
        <v>759</v>
      </c>
      <c r="U353" s="18" t="s">
        <v>760</v>
      </c>
      <c r="V353" s="412"/>
      <c r="W353" s="169"/>
      <c r="X353" s="169"/>
      <c r="Y353" s="412"/>
      <c r="Z353" s="412"/>
      <c r="AA353" s="170"/>
      <c r="AB353" s="412"/>
      <c r="AC353" s="157"/>
      <c r="AD353" s="412"/>
      <c r="AE353" s="157"/>
      <c r="AF353" s="412"/>
      <c r="AG353" s="412"/>
      <c r="AH353" s="412"/>
      <c r="AI353" s="412"/>
      <c r="AJ353" s="412"/>
      <c r="AK353" s="412"/>
      <c r="AL353" s="412"/>
      <c r="AM353" s="412"/>
      <c r="AN353" s="412"/>
      <c r="AO353" s="412"/>
      <c r="AP353" s="412"/>
      <c r="AQ353" s="412"/>
      <c r="AR353" s="412"/>
      <c r="AS353" s="412"/>
      <c r="AT353" s="412"/>
      <c r="AU353" s="363"/>
      <c r="AV353" s="363"/>
      <c r="AW353" s="363"/>
      <c r="AX353" s="363"/>
      <c r="AY353" s="364"/>
      <c r="AZ353" s="365"/>
      <c r="BA353" s="366"/>
      <c r="BB353" s="27"/>
    </row>
    <row r="354" spans="1:54">
      <c r="A354" s="2" t="str">
        <f t="shared" si="51"/>
        <v>Low Income - Outreach &amp; Education_Behavior 2018 Y1 Persistence</v>
      </c>
      <c r="B354" s="18">
        <v>351</v>
      </c>
      <c r="C354" s="23" t="s">
        <v>713</v>
      </c>
      <c r="D354" s="23" t="s">
        <v>765</v>
      </c>
      <c r="E354" s="23" t="s">
        <v>150</v>
      </c>
      <c r="F354" s="23">
        <v>1</v>
      </c>
      <c r="G354" s="154">
        <v>1</v>
      </c>
      <c r="H354" s="469">
        <v>0</v>
      </c>
      <c r="I354" s="458">
        <v>0</v>
      </c>
      <c r="J354" s="23"/>
      <c r="K354" s="23"/>
      <c r="L354" s="23"/>
      <c r="M354" s="23"/>
      <c r="N354" s="217"/>
      <c r="O354" s="215"/>
      <c r="P354" s="215"/>
      <c r="Q354" s="215"/>
      <c r="R354" s="15" t="s">
        <v>835</v>
      </c>
      <c r="S354" s="15" t="s">
        <v>841</v>
      </c>
      <c r="T354" s="18" t="s">
        <v>759</v>
      </c>
      <c r="U354" s="18" t="s">
        <v>760</v>
      </c>
      <c r="V354" s="412"/>
      <c r="W354" s="169"/>
      <c r="X354" s="169"/>
      <c r="Y354" s="412"/>
      <c r="Z354" s="412"/>
      <c r="AA354" s="170"/>
      <c r="AB354" s="412"/>
      <c r="AC354" s="157"/>
      <c r="AD354" s="412"/>
      <c r="AE354" s="157"/>
      <c r="AF354" s="412"/>
      <c r="AG354" s="412"/>
      <c r="AH354" s="412"/>
      <c r="AI354" s="412"/>
      <c r="AJ354" s="412"/>
      <c r="AK354" s="412"/>
      <c r="AL354" s="412"/>
      <c r="AM354" s="412"/>
      <c r="AN354" s="412"/>
      <c r="AO354" s="412"/>
      <c r="AP354" s="412"/>
      <c r="AQ354" s="412"/>
      <c r="AR354" s="412"/>
      <c r="AS354" s="412"/>
      <c r="AT354" s="412"/>
      <c r="AU354" s="363"/>
      <c r="AV354" s="363"/>
      <c r="AW354" s="363"/>
      <c r="AX354" s="363"/>
      <c r="AY354" s="364"/>
      <c r="AZ354" s="365"/>
      <c r="BA354" s="366"/>
      <c r="BB354" s="27"/>
    </row>
    <row r="355" spans="1:54">
      <c r="A355" s="2" t="str">
        <f t="shared" si="51"/>
        <v>Low Income - Outreach &amp; Education_Behavior 2018 Y2 Persistence</v>
      </c>
      <c r="B355" s="18">
        <v>352</v>
      </c>
      <c r="C355" s="23" t="s">
        <v>713</v>
      </c>
      <c r="D355" s="23" t="s">
        <v>766</v>
      </c>
      <c r="E355" s="23" t="s">
        <v>150</v>
      </c>
      <c r="F355" s="23">
        <v>1</v>
      </c>
      <c r="G355" s="154">
        <v>1</v>
      </c>
      <c r="H355" s="469">
        <v>0</v>
      </c>
      <c r="I355" s="458">
        <v>0</v>
      </c>
      <c r="J355" s="23"/>
      <c r="K355" s="23"/>
      <c r="L355" s="23"/>
      <c r="M355" s="23"/>
      <c r="N355" s="217"/>
      <c r="O355" s="215"/>
      <c r="P355" s="215"/>
      <c r="Q355" s="215"/>
      <c r="R355" s="15" t="s">
        <v>835</v>
      </c>
      <c r="S355" s="15" t="s">
        <v>841</v>
      </c>
      <c r="T355" s="18" t="s">
        <v>759</v>
      </c>
      <c r="U355" s="18" t="s">
        <v>760</v>
      </c>
      <c r="V355" s="412"/>
      <c r="W355" s="169"/>
      <c r="X355" s="169"/>
      <c r="Y355" s="412"/>
      <c r="Z355" s="412"/>
      <c r="AA355" s="170"/>
      <c r="AB355" s="412"/>
      <c r="AC355" s="157"/>
      <c r="AD355" s="412"/>
      <c r="AE355" s="157"/>
      <c r="AF355" s="412"/>
      <c r="AG355" s="412"/>
      <c r="AH355" s="412"/>
      <c r="AI355" s="412"/>
      <c r="AJ355" s="412"/>
      <c r="AK355" s="412"/>
      <c r="AL355" s="412"/>
      <c r="AM355" s="412"/>
      <c r="AN355" s="412"/>
      <c r="AO355" s="412"/>
      <c r="AP355" s="412"/>
      <c r="AQ355" s="412"/>
      <c r="AR355" s="412"/>
      <c r="AS355" s="412"/>
      <c r="AT355" s="412"/>
      <c r="AU355" s="363"/>
      <c r="AV355" s="363"/>
      <c r="AW355" s="363"/>
      <c r="AX355" s="363"/>
      <c r="AY355" s="364"/>
      <c r="AZ355" s="365"/>
      <c r="BA355" s="366"/>
      <c r="BB355" s="27"/>
    </row>
    <row r="356" spans="1:54">
      <c r="A356" s="2" t="str">
        <f t="shared" si="51"/>
        <v>Low Income - Outreach &amp; Education_Behavior 2018 Y3 Persistence</v>
      </c>
      <c r="B356" s="18">
        <v>353</v>
      </c>
      <c r="C356" s="23" t="s">
        <v>713</v>
      </c>
      <c r="D356" s="23" t="s">
        <v>767</v>
      </c>
      <c r="E356" s="23" t="s">
        <v>150</v>
      </c>
      <c r="F356" s="23">
        <v>1</v>
      </c>
      <c r="G356" s="154">
        <v>1</v>
      </c>
      <c r="H356" s="469">
        <v>0</v>
      </c>
      <c r="I356" s="458">
        <v>0</v>
      </c>
      <c r="J356" s="23"/>
      <c r="K356" s="23"/>
      <c r="L356" s="23"/>
      <c r="M356" s="23"/>
      <c r="N356" s="217"/>
      <c r="O356" s="215"/>
      <c r="P356" s="215"/>
      <c r="Q356" s="215"/>
      <c r="R356" s="15" t="s">
        <v>835</v>
      </c>
      <c r="S356" s="15" t="s">
        <v>841</v>
      </c>
      <c r="T356" s="18" t="s">
        <v>759</v>
      </c>
      <c r="U356" s="18" t="s">
        <v>760</v>
      </c>
      <c r="V356" s="412"/>
      <c r="W356" s="169"/>
      <c r="X356" s="169"/>
      <c r="Y356" s="412"/>
      <c r="Z356" s="412"/>
      <c r="AA356" s="170"/>
      <c r="AB356" s="412"/>
      <c r="AC356" s="157"/>
      <c r="AD356" s="412"/>
      <c r="AE356" s="157"/>
      <c r="AF356" s="412"/>
      <c r="AG356" s="412"/>
      <c r="AH356" s="412"/>
      <c r="AI356" s="412"/>
      <c r="AJ356" s="412"/>
      <c r="AK356" s="412"/>
      <c r="AL356" s="412"/>
      <c r="AM356" s="412"/>
      <c r="AN356" s="412"/>
      <c r="AO356" s="412"/>
      <c r="AP356" s="412"/>
      <c r="AQ356" s="412"/>
      <c r="AR356" s="412"/>
      <c r="AS356" s="412"/>
      <c r="AT356" s="412"/>
      <c r="AU356" s="363"/>
      <c r="AV356" s="363"/>
      <c r="AW356" s="363"/>
      <c r="AX356" s="363"/>
      <c r="AY356" s="364"/>
      <c r="AZ356" s="365"/>
      <c r="BA356" s="366"/>
      <c r="BB356" s="27"/>
    </row>
    <row r="357" spans="1:54">
      <c r="A357" s="2" t="str">
        <f t="shared" si="51"/>
        <v>Low Income - Outreach &amp; Education_Behavior 2018 Y4 Persistence</v>
      </c>
      <c r="B357" s="18">
        <v>354</v>
      </c>
      <c r="C357" s="23" t="s">
        <v>713</v>
      </c>
      <c r="D357" s="23" t="s">
        <v>768</v>
      </c>
      <c r="E357" s="23" t="s">
        <v>150</v>
      </c>
      <c r="F357" s="23">
        <v>1</v>
      </c>
      <c r="G357" s="154">
        <v>1</v>
      </c>
      <c r="H357" s="469">
        <v>0</v>
      </c>
      <c r="I357" s="458">
        <v>0</v>
      </c>
      <c r="J357" s="23"/>
      <c r="K357" s="23"/>
      <c r="L357" s="23"/>
      <c r="M357" s="23"/>
      <c r="N357" s="217"/>
      <c r="O357" s="215"/>
      <c r="P357" s="215"/>
      <c r="Q357" s="215"/>
      <c r="R357" s="15" t="s">
        <v>835</v>
      </c>
      <c r="S357" s="15" t="s">
        <v>841</v>
      </c>
      <c r="T357" s="18" t="s">
        <v>759</v>
      </c>
      <c r="U357" s="18" t="s">
        <v>760</v>
      </c>
      <c r="V357" s="412"/>
      <c r="W357" s="169"/>
      <c r="X357" s="169"/>
      <c r="Y357" s="412"/>
      <c r="Z357" s="412"/>
      <c r="AA357" s="170"/>
      <c r="AB357" s="412"/>
      <c r="AC357" s="157"/>
      <c r="AD357" s="412"/>
      <c r="AE357" s="157"/>
      <c r="AF357" s="412"/>
      <c r="AG357" s="412"/>
      <c r="AH357" s="412"/>
      <c r="AI357" s="412"/>
      <c r="AJ357" s="412"/>
      <c r="AK357" s="412"/>
      <c r="AL357" s="412"/>
      <c r="AM357" s="412"/>
      <c r="AN357" s="412"/>
      <c r="AO357" s="412"/>
      <c r="AP357" s="412"/>
      <c r="AQ357" s="412"/>
      <c r="AR357" s="412"/>
      <c r="AS357" s="412"/>
      <c r="AT357" s="412"/>
      <c r="AU357" s="363"/>
      <c r="AV357" s="363"/>
      <c r="AW357" s="363"/>
      <c r="AX357" s="363"/>
      <c r="AY357" s="364"/>
      <c r="AZ357" s="365"/>
      <c r="BA357" s="366"/>
      <c r="BB357" s="27"/>
    </row>
    <row r="358" spans="1:54">
      <c r="A358" s="2" t="str">
        <f t="shared" si="51"/>
        <v>Low Income - Outreach &amp; Education_Behavior 2019 Y1 Persistence</v>
      </c>
      <c r="B358" s="18">
        <v>355</v>
      </c>
      <c r="C358" s="23" t="s">
        <v>713</v>
      </c>
      <c r="D358" s="23" t="s">
        <v>769</v>
      </c>
      <c r="E358" s="23" t="s">
        <v>150</v>
      </c>
      <c r="F358" s="23">
        <v>1</v>
      </c>
      <c r="G358" s="154">
        <v>1</v>
      </c>
      <c r="H358" s="469">
        <v>0</v>
      </c>
      <c r="I358" s="458">
        <v>0</v>
      </c>
      <c r="J358" s="23"/>
      <c r="K358" s="23"/>
      <c r="L358" s="23"/>
      <c r="M358" s="23"/>
      <c r="N358" s="217"/>
      <c r="O358" s="215"/>
      <c r="P358" s="215"/>
      <c r="Q358" s="215"/>
      <c r="R358" s="15" t="s">
        <v>835</v>
      </c>
      <c r="S358" s="15" t="s">
        <v>841</v>
      </c>
      <c r="T358" s="18" t="s">
        <v>759</v>
      </c>
      <c r="U358" s="18" t="s">
        <v>760</v>
      </c>
      <c r="V358" s="412"/>
      <c r="W358" s="169"/>
      <c r="X358" s="169"/>
      <c r="Y358" s="412"/>
      <c r="Z358" s="412"/>
      <c r="AA358" s="170"/>
      <c r="AB358" s="412"/>
      <c r="AC358" s="157"/>
      <c r="AD358" s="412"/>
      <c r="AE358" s="157"/>
      <c r="AF358" s="412"/>
      <c r="AG358" s="412"/>
      <c r="AH358" s="412"/>
      <c r="AI358" s="412"/>
      <c r="AJ358" s="412"/>
      <c r="AK358" s="412"/>
      <c r="AL358" s="412"/>
      <c r="AM358" s="412"/>
      <c r="AN358" s="412"/>
      <c r="AO358" s="412"/>
      <c r="AP358" s="412"/>
      <c r="AQ358" s="412"/>
      <c r="AR358" s="412"/>
      <c r="AS358" s="412"/>
      <c r="AT358" s="412"/>
      <c r="AU358" s="363"/>
      <c r="AV358" s="363"/>
      <c r="AW358" s="363"/>
      <c r="AX358" s="363"/>
      <c r="AY358" s="364"/>
      <c r="AZ358" s="365"/>
      <c r="BA358" s="366"/>
      <c r="BB358" s="27"/>
    </row>
    <row r="359" spans="1:54">
      <c r="A359" s="2" t="str">
        <f t="shared" si="51"/>
        <v>Low Income - Outreach &amp; Education_Behavior 2019 Y2 Persistence</v>
      </c>
      <c r="B359" s="18">
        <v>356</v>
      </c>
      <c r="C359" s="23" t="s">
        <v>713</v>
      </c>
      <c r="D359" s="23" t="s">
        <v>770</v>
      </c>
      <c r="E359" s="23" t="s">
        <v>150</v>
      </c>
      <c r="F359" s="23">
        <v>1</v>
      </c>
      <c r="G359" s="154">
        <v>1</v>
      </c>
      <c r="H359" s="469">
        <v>0</v>
      </c>
      <c r="I359" s="458">
        <v>0</v>
      </c>
      <c r="J359" s="23"/>
      <c r="K359" s="23"/>
      <c r="L359" s="23"/>
      <c r="M359" s="23"/>
      <c r="N359" s="217"/>
      <c r="O359" s="215"/>
      <c r="P359" s="215"/>
      <c r="Q359" s="215"/>
      <c r="R359" s="15" t="s">
        <v>835</v>
      </c>
      <c r="S359" s="15" t="s">
        <v>841</v>
      </c>
      <c r="T359" s="18" t="s">
        <v>759</v>
      </c>
      <c r="U359" s="18" t="s">
        <v>760</v>
      </c>
      <c r="V359" s="412"/>
      <c r="W359" s="169"/>
      <c r="X359" s="169"/>
      <c r="Y359" s="412"/>
      <c r="Z359" s="412"/>
      <c r="AA359" s="170"/>
      <c r="AB359" s="412"/>
      <c r="AC359" s="157"/>
      <c r="AD359" s="412"/>
      <c r="AE359" s="157"/>
      <c r="AF359" s="412"/>
      <c r="AG359" s="412"/>
      <c r="AH359" s="412"/>
      <c r="AI359" s="412"/>
      <c r="AJ359" s="412"/>
      <c r="AK359" s="412"/>
      <c r="AL359" s="412"/>
      <c r="AM359" s="412"/>
      <c r="AN359" s="412"/>
      <c r="AO359" s="412"/>
      <c r="AP359" s="412"/>
      <c r="AQ359" s="412"/>
      <c r="AR359" s="412"/>
      <c r="AS359" s="412"/>
      <c r="AT359" s="412"/>
      <c r="AU359" s="363"/>
      <c r="AV359" s="363"/>
      <c r="AW359" s="363"/>
      <c r="AX359" s="363"/>
      <c r="AY359" s="364"/>
      <c r="AZ359" s="365"/>
      <c r="BA359" s="366"/>
      <c r="BB359" s="27"/>
    </row>
    <row r="360" spans="1:54">
      <c r="A360" s="2" t="str">
        <f t="shared" si="51"/>
        <v>Low Income - Outreach &amp; Education_Behavior 2019 Y3 Persistence</v>
      </c>
      <c r="B360" s="18">
        <v>357</v>
      </c>
      <c r="C360" s="23" t="s">
        <v>713</v>
      </c>
      <c r="D360" s="23" t="s">
        <v>771</v>
      </c>
      <c r="E360" s="23" t="s">
        <v>150</v>
      </c>
      <c r="F360" s="23">
        <v>1</v>
      </c>
      <c r="G360" s="154">
        <v>1</v>
      </c>
      <c r="H360" s="469">
        <v>0</v>
      </c>
      <c r="I360" s="458">
        <v>0</v>
      </c>
      <c r="J360" s="23"/>
      <c r="K360" s="23"/>
      <c r="L360" s="23"/>
      <c r="M360" s="23"/>
      <c r="N360" s="217"/>
      <c r="O360" s="215"/>
      <c r="P360" s="215"/>
      <c r="Q360" s="215"/>
      <c r="R360" s="15" t="s">
        <v>835</v>
      </c>
      <c r="S360" s="15" t="s">
        <v>841</v>
      </c>
      <c r="T360" s="18" t="s">
        <v>759</v>
      </c>
      <c r="U360" s="18" t="s">
        <v>760</v>
      </c>
      <c r="V360" s="412"/>
      <c r="W360" s="169"/>
      <c r="X360" s="169"/>
      <c r="Y360" s="412"/>
      <c r="Z360" s="412"/>
      <c r="AA360" s="170"/>
      <c r="AB360" s="412"/>
      <c r="AC360" s="157"/>
      <c r="AD360" s="412"/>
      <c r="AE360" s="157"/>
      <c r="AF360" s="412"/>
      <c r="AG360" s="412"/>
      <c r="AH360" s="412"/>
      <c r="AI360" s="412"/>
      <c r="AJ360" s="412"/>
      <c r="AK360" s="412"/>
      <c r="AL360" s="412"/>
      <c r="AM360" s="412"/>
      <c r="AN360" s="412"/>
      <c r="AO360" s="412"/>
      <c r="AP360" s="412"/>
      <c r="AQ360" s="412"/>
      <c r="AR360" s="412"/>
      <c r="AS360" s="412"/>
      <c r="AT360" s="412"/>
      <c r="AU360" s="363"/>
      <c r="AV360" s="363"/>
      <c r="AW360" s="363"/>
      <c r="AX360" s="363"/>
      <c r="AY360" s="364"/>
      <c r="AZ360" s="365"/>
      <c r="BA360" s="366"/>
      <c r="BB360" s="27"/>
    </row>
    <row r="361" spans="1:54">
      <c r="A361" s="2" t="str">
        <f t="shared" si="51"/>
        <v>Low Income - Outreach &amp; Education_Behavior 2019 Y4 Persistence</v>
      </c>
      <c r="B361" s="18">
        <v>358</v>
      </c>
      <c r="C361" s="23" t="s">
        <v>713</v>
      </c>
      <c r="D361" s="23" t="s">
        <v>772</v>
      </c>
      <c r="E361" s="23" t="s">
        <v>150</v>
      </c>
      <c r="F361" s="23">
        <v>1</v>
      </c>
      <c r="G361" s="154">
        <v>1</v>
      </c>
      <c r="H361" s="469">
        <v>0</v>
      </c>
      <c r="I361" s="458">
        <v>0</v>
      </c>
      <c r="J361" s="23"/>
      <c r="K361" s="23"/>
      <c r="L361" s="23"/>
      <c r="M361" s="23"/>
      <c r="N361" s="217"/>
      <c r="O361" s="215"/>
      <c r="P361" s="215"/>
      <c r="Q361" s="215"/>
      <c r="R361" s="15" t="s">
        <v>835</v>
      </c>
      <c r="S361" s="15" t="s">
        <v>841</v>
      </c>
      <c r="T361" s="18" t="s">
        <v>759</v>
      </c>
      <c r="U361" s="18" t="s">
        <v>760</v>
      </c>
      <c r="V361" s="412"/>
      <c r="W361" s="169"/>
      <c r="X361" s="169"/>
      <c r="Y361" s="412"/>
      <c r="Z361" s="412"/>
      <c r="AA361" s="170"/>
      <c r="AB361" s="412"/>
      <c r="AC361" s="157"/>
      <c r="AD361" s="412"/>
      <c r="AE361" s="157"/>
      <c r="AF361" s="412"/>
      <c r="AG361" s="412"/>
      <c r="AH361" s="412"/>
      <c r="AI361" s="412"/>
      <c r="AJ361" s="412"/>
      <c r="AK361" s="412"/>
      <c r="AL361" s="412"/>
      <c r="AM361" s="412"/>
      <c r="AN361" s="412"/>
      <c r="AO361" s="412"/>
      <c r="AP361" s="412"/>
      <c r="AQ361" s="412"/>
      <c r="AR361" s="412"/>
      <c r="AS361" s="412"/>
      <c r="AT361" s="412"/>
      <c r="AU361" s="363"/>
      <c r="AV361" s="363"/>
      <c r="AW361" s="363"/>
      <c r="AX361" s="363"/>
      <c r="AY361" s="364"/>
      <c r="AZ361" s="365"/>
      <c r="BA361" s="366"/>
      <c r="BB361" s="27"/>
    </row>
    <row r="362" spans="1:54">
      <c r="A362" s="2" t="str">
        <f t="shared" si="51"/>
        <v>Low Income - Outreach &amp; Education_Behavior 2020 Y1 Persistence</v>
      </c>
      <c r="B362" s="18">
        <v>359</v>
      </c>
      <c r="C362" s="23" t="s">
        <v>713</v>
      </c>
      <c r="D362" s="23" t="s">
        <v>773</v>
      </c>
      <c r="E362" s="23" t="s">
        <v>150</v>
      </c>
      <c r="F362" s="23">
        <v>1</v>
      </c>
      <c r="G362" s="154">
        <v>1</v>
      </c>
      <c r="H362" s="469">
        <v>0</v>
      </c>
      <c r="I362" s="458">
        <v>0</v>
      </c>
      <c r="J362" s="23"/>
      <c r="K362" s="23"/>
      <c r="L362" s="23"/>
      <c r="M362" s="23"/>
      <c r="N362" s="217"/>
      <c r="O362" s="215"/>
      <c r="P362" s="215"/>
      <c r="Q362" s="215"/>
      <c r="R362" s="15" t="s">
        <v>835</v>
      </c>
      <c r="S362" s="15" t="s">
        <v>841</v>
      </c>
      <c r="T362" s="18" t="s">
        <v>759</v>
      </c>
      <c r="U362" s="18" t="s">
        <v>760</v>
      </c>
      <c r="V362" s="412"/>
      <c r="W362" s="169"/>
      <c r="X362" s="169"/>
      <c r="Y362" s="412"/>
      <c r="Z362" s="412"/>
      <c r="AA362" s="170"/>
      <c r="AB362" s="412"/>
      <c r="AC362" s="157"/>
      <c r="AD362" s="412"/>
      <c r="AE362" s="157"/>
      <c r="AF362" s="412"/>
      <c r="AG362" s="412"/>
      <c r="AH362" s="412"/>
      <c r="AI362" s="412"/>
      <c r="AJ362" s="412"/>
      <c r="AK362" s="412"/>
      <c r="AL362" s="412"/>
      <c r="AM362" s="412"/>
      <c r="AN362" s="412"/>
      <c r="AO362" s="412"/>
      <c r="AP362" s="412"/>
      <c r="AQ362" s="412"/>
      <c r="AR362" s="412"/>
      <c r="AS362" s="412"/>
      <c r="AT362" s="412"/>
      <c r="AU362" s="363"/>
      <c r="AV362" s="363"/>
      <c r="AW362" s="363"/>
      <c r="AX362" s="363"/>
      <c r="AY362" s="364"/>
      <c r="AZ362" s="365"/>
      <c r="BA362" s="366"/>
      <c r="BB362" s="27"/>
    </row>
    <row r="363" spans="1:54">
      <c r="A363" s="2" t="str">
        <f t="shared" si="51"/>
        <v>Low Income - Outreach &amp; Education_Behavior 2020 Y2 Persistence</v>
      </c>
      <c r="B363" s="18">
        <v>360</v>
      </c>
      <c r="C363" s="23" t="s">
        <v>713</v>
      </c>
      <c r="D363" s="23" t="s">
        <v>774</v>
      </c>
      <c r="E363" s="23" t="s">
        <v>150</v>
      </c>
      <c r="F363" s="23">
        <v>1</v>
      </c>
      <c r="G363" s="154">
        <v>1</v>
      </c>
      <c r="H363" s="469">
        <v>0</v>
      </c>
      <c r="I363" s="458">
        <v>0</v>
      </c>
      <c r="J363" s="23"/>
      <c r="K363" s="23"/>
      <c r="L363" s="23"/>
      <c r="M363" s="23"/>
      <c r="N363" s="217"/>
      <c r="O363" s="215"/>
      <c r="P363" s="215"/>
      <c r="Q363" s="215"/>
      <c r="R363" s="15" t="s">
        <v>835</v>
      </c>
      <c r="S363" s="15" t="s">
        <v>841</v>
      </c>
      <c r="T363" s="18" t="s">
        <v>759</v>
      </c>
      <c r="U363" s="18" t="s">
        <v>760</v>
      </c>
      <c r="V363" s="412"/>
      <c r="W363" s="169"/>
      <c r="X363" s="169"/>
      <c r="Y363" s="412"/>
      <c r="Z363" s="412"/>
      <c r="AA363" s="170"/>
      <c r="AB363" s="412"/>
      <c r="AC363" s="157"/>
      <c r="AD363" s="412"/>
      <c r="AE363" s="157"/>
      <c r="AF363" s="412"/>
      <c r="AG363" s="412"/>
      <c r="AH363" s="412"/>
      <c r="AI363" s="412"/>
      <c r="AJ363" s="412"/>
      <c r="AK363" s="412"/>
      <c r="AL363" s="412"/>
      <c r="AM363" s="412"/>
      <c r="AN363" s="412"/>
      <c r="AO363" s="412"/>
      <c r="AP363" s="412"/>
      <c r="AQ363" s="412"/>
      <c r="AR363" s="412"/>
      <c r="AS363" s="412"/>
      <c r="AT363" s="412"/>
      <c r="AU363" s="363"/>
      <c r="AV363" s="363"/>
      <c r="AW363" s="363"/>
      <c r="AX363" s="363"/>
      <c r="AY363" s="364"/>
      <c r="AZ363" s="365"/>
      <c r="BA363" s="366"/>
      <c r="BB363" s="27"/>
    </row>
    <row r="364" spans="1:54">
      <c r="A364" s="2" t="str">
        <f t="shared" si="51"/>
        <v>Low Income - Outreach &amp; Education_Behavior 2020 Y3 Persistence</v>
      </c>
      <c r="B364" s="18">
        <v>361</v>
      </c>
      <c r="C364" s="23" t="s">
        <v>713</v>
      </c>
      <c r="D364" s="23" t="s">
        <v>775</v>
      </c>
      <c r="E364" s="23" t="s">
        <v>150</v>
      </c>
      <c r="F364" s="23">
        <v>1</v>
      </c>
      <c r="G364" s="154">
        <v>1</v>
      </c>
      <c r="H364" s="469">
        <v>0</v>
      </c>
      <c r="I364" s="458">
        <v>0</v>
      </c>
      <c r="J364" s="23"/>
      <c r="K364" s="23"/>
      <c r="L364" s="23"/>
      <c r="M364" s="23"/>
      <c r="N364" s="217"/>
      <c r="O364" s="215"/>
      <c r="P364" s="215"/>
      <c r="Q364" s="215"/>
      <c r="R364" s="15" t="s">
        <v>835</v>
      </c>
      <c r="S364" s="15" t="s">
        <v>841</v>
      </c>
      <c r="T364" s="18" t="s">
        <v>759</v>
      </c>
      <c r="U364" s="18" t="s">
        <v>760</v>
      </c>
      <c r="V364" s="412"/>
      <c r="W364" s="169"/>
      <c r="X364" s="169"/>
      <c r="Y364" s="412"/>
      <c r="Z364" s="412"/>
      <c r="AA364" s="170"/>
      <c r="AB364" s="412"/>
      <c r="AC364" s="157"/>
      <c r="AD364" s="412"/>
      <c r="AE364" s="157"/>
      <c r="AF364" s="412"/>
      <c r="AG364" s="412"/>
      <c r="AH364" s="412"/>
      <c r="AI364" s="412"/>
      <c r="AJ364" s="412"/>
      <c r="AK364" s="412"/>
      <c r="AL364" s="412"/>
      <c r="AM364" s="412"/>
      <c r="AN364" s="412"/>
      <c r="AO364" s="412"/>
      <c r="AP364" s="412"/>
      <c r="AQ364" s="412"/>
      <c r="AR364" s="412"/>
      <c r="AS364" s="412"/>
      <c r="AT364" s="412"/>
      <c r="AU364" s="363"/>
      <c r="AV364" s="363"/>
      <c r="AW364" s="363"/>
      <c r="AX364" s="363"/>
      <c r="AY364" s="364"/>
      <c r="AZ364" s="365"/>
      <c r="BA364" s="366"/>
      <c r="BB364" s="27"/>
    </row>
    <row r="365" spans="1:54">
      <c r="A365" s="2" t="str">
        <f t="shared" si="51"/>
        <v>Low Income - Outreach &amp; Education_Behavior 2020 Y4 Persistence</v>
      </c>
      <c r="B365" s="18">
        <v>362</v>
      </c>
      <c r="C365" s="23" t="s">
        <v>713</v>
      </c>
      <c r="D365" s="23" t="s">
        <v>776</v>
      </c>
      <c r="E365" s="23" t="s">
        <v>150</v>
      </c>
      <c r="F365" s="23">
        <v>1</v>
      </c>
      <c r="G365" s="154">
        <v>1</v>
      </c>
      <c r="H365" s="469">
        <v>0</v>
      </c>
      <c r="I365" s="458">
        <v>0</v>
      </c>
      <c r="J365" s="23"/>
      <c r="K365" s="23"/>
      <c r="L365" s="23"/>
      <c r="M365" s="23"/>
      <c r="N365" s="217"/>
      <c r="O365" s="215"/>
      <c r="P365" s="215"/>
      <c r="Q365" s="215"/>
      <c r="R365" s="15" t="s">
        <v>835</v>
      </c>
      <c r="S365" s="15" t="s">
        <v>841</v>
      </c>
      <c r="T365" s="18" t="s">
        <v>759</v>
      </c>
      <c r="U365" s="18" t="s">
        <v>760</v>
      </c>
      <c r="V365" s="412"/>
      <c r="W365" s="169"/>
      <c r="X365" s="169"/>
      <c r="Y365" s="412"/>
      <c r="Z365" s="412"/>
      <c r="AA365" s="170"/>
      <c r="AB365" s="412"/>
      <c r="AC365" s="157"/>
      <c r="AD365" s="412"/>
      <c r="AE365" s="157"/>
      <c r="AF365" s="412"/>
      <c r="AG365" s="412"/>
      <c r="AH365" s="412"/>
      <c r="AI365" s="412"/>
      <c r="AJ365" s="412"/>
      <c r="AK365" s="412"/>
      <c r="AL365" s="412"/>
      <c r="AM365" s="412"/>
      <c r="AN365" s="412"/>
      <c r="AO365" s="412"/>
      <c r="AP365" s="412"/>
      <c r="AQ365" s="412"/>
      <c r="AR365" s="412"/>
      <c r="AS365" s="412"/>
      <c r="AT365" s="412"/>
      <c r="AU365" s="363"/>
      <c r="AV365" s="363"/>
      <c r="AW365" s="363"/>
      <c r="AX365" s="363"/>
      <c r="AY365" s="364"/>
      <c r="AZ365" s="365"/>
      <c r="BA365" s="366"/>
      <c r="BB365" s="27"/>
    </row>
    <row r="366" spans="1:54">
      <c r="A366" s="2" t="str">
        <f t="shared" si="51"/>
        <v>Low Income - Outreach &amp; Education_Behavior 2021 Y1 Persistence</v>
      </c>
      <c r="B366" s="18">
        <v>363</v>
      </c>
      <c r="C366" s="23" t="s">
        <v>713</v>
      </c>
      <c r="D366" s="23" t="s">
        <v>777</v>
      </c>
      <c r="E366" s="23" t="s">
        <v>150</v>
      </c>
      <c r="F366" s="23">
        <v>1</v>
      </c>
      <c r="G366" s="154">
        <v>1</v>
      </c>
      <c r="H366" s="469">
        <v>0</v>
      </c>
      <c r="I366" s="458">
        <v>0</v>
      </c>
      <c r="J366" s="23"/>
      <c r="K366" s="23"/>
      <c r="L366" s="23"/>
      <c r="M366" s="23"/>
      <c r="N366" s="217"/>
      <c r="O366" s="215"/>
      <c r="P366" s="215"/>
      <c r="Q366" s="215"/>
      <c r="R366" s="15" t="s">
        <v>835</v>
      </c>
      <c r="S366" s="15" t="s">
        <v>841</v>
      </c>
      <c r="T366" s="18" t="s">
        <v>759</v>
      </c>
      <c r="U366" s="18" t="s">
        <v>760</v>
      </c>
      <c r="V366" s="412"/>
      <c r="W366" s="169"/>
      <c r="X366" s="169"/>
      <c r="Y366" s="412"/>
      <c r="Z366" s="412"/>
      <c r="AA366" s="170"/>
      <c r="AB366" s="412"/>
      <c r="AC366" s="157"/>
      <c r="AD366" s="412"/>
      <c r="AE366" s="157"/>
      <c r="AF366" s="412"/>
      <c r="AG366" s="412"/>
      <c r="AH366" s="412"/>
      <c r="AI366" s="412"/>
      <c r="AJ366" s="412"/>
      <c r="AK366" s="412"/>
      <c r="AL366" s="412"/>
      <c r="AM366" s="412"/>
      <c r="AN366" s="412"/>
      <c r="AO366" s="412"/>
      <c r="AP366" s="412"/>
      <c r="AQ366" s="412"/>
      <c r="AR366" s="412"/>
      <c r="AS366" s="412"/>
      <c r="AT366" s="412"/>
      <c r="AU366" s="363"/>
      <c r="AV366" s="363"/>
      <c r="AW366" s="363"/>
      <c r="AX366" s="363"/>
      <c r="AY366" s="364"/>
      <c r="AZ366" s="365"/>
      <c r="BA366" s="366"/>
      <c r="BB366" s="27"/>
    </row>
    <row r="367" spans="1:54">
      <c r="A367" s="2" t="str">
        <f t="shared" si="51"/>
        <v>Low Income - Outreach &amp; Education_Behavior 2021 Y2 Persistence</v>
      </c>
      <c r="B367" s="18">
        <v>364</v>
      </c>
      <c r="C367" s="23" t="s">
        <v>713</v>
      </c>
      <c r="D367" s="23" t="s">
        <v>778</v>
      </c>
      <c r="E367" s="23" t="s">
        <v>150</v>
      </c>
      <c r="F367" s="23">
        <v>1</v>
      </c>
      <c r="G367" s="154">
        <v>1</v>
      </c>
      <c r="H367" s="469">
        <v>0</v>
      </c>
      <c r="I367" s="458">
        <v>0</v>
      </c>
      <c r="J367" s="23"/>
      <c r="K367" s="23"/>
      <c r="L367" s="23"/>
      <c r="M367" s="23"/>
      <c r="N367" s="217"/>
      <c r="O367" s="215"/>
      <c r="P367" s="215"/>
      <c r="Q367" s="215"/>
      <c r="R367" s="15" t="s">
        <v>835</v>
      </c>
      <c r="S367" s="15" t="s">
        <v>841</v>
      </c>
      <c r="T367" s="18" t="s">
        <v>759</v>
      </c>
      <c r="U367" s="18" t="s">
        <v>760</v>
      </c>
      <c r="V367" s="412"/>
      <c r="W367" s="169"/>
      <c r="X367" s="169"/>
      <c r="Y367" s="412"/>
      <c r="Z367" s="412"/>
      <c r="AA367" s="170"/>
      <c r="AB367" s="412"/>
      <c r="AC367" s="157"/>
      <c r="AD367" s="412"/>
      <c r="AE367" s="157"/>
      <c r="AF367" s="412"/>
      <c r="AG367" s="412"/>
      <c r="AH367" s="412"/>
      <c r="AI367" s="412"/>
      <c r="AJ367" s="412"/>
      <c r="AK367" s="412"/>
      <c r="AL367" s="412"/>
      <c r="AM367" s="412"/>
      <c r="AN367" s="412"/>
      <c r="AO367" s="412"/>
      <c r="AP367" s="412"/>
      <c r="AQ367" s="412"/>
      <c r="AR367" s="412"/>
      <c r="AS367" s="412"/>
      <c r="AT367" s="412"/>
      <c r="AU367" s="363"/>
      <c r="AV367" s="363"/>
      <c r="AW367" s="363"/>
      <c r="AX367" s="363"/>
      <c r="AY367" s="364"/>
      <c r="AZ367" s="365"/>
      <c r="BA367" s="366"/>
      <c r="BB367" s="27"/>
    </row>
    <row r="368" spans="1:54">
      <c r="A368" s="2" t="str">
        <f t="shared" si="51"/>
        <v>Low Income - Outreach &amp; Education_Behavior 2021 Y3 Persistence</v>
      </c>
      <c r="B368" s="18">
        <v>365</v>
      </c>
      <c r="C368" s="23" t="s">
        <v>713</v>
      </c>
      <c r="D368" s="23" t="s">
        <v>779</v>
      </c>
      <c r="E368" s="23" t="s">
        <v>150</v>
      </c>
      <c r="F368" s="23">
        <v>1</v>
      </c>
      <c r="G368" s="154">
        <v>1</v>
      </c>
      <c r="H368" s="469">
        <v>0</v>
      </c>
      <c r="I368" s="458">
        <v>0</v>
      </c>
      <c r="J368" s="23"/>
      <c r="K368" s="23"/>
      <c r="L368" s="23"/>
      <c r="M368" s="23"/>
      <c r="N368" s="217"/>
      <c r="O368" s="215"/>
      <c r="P368" s="215"/>
      <c r="Q368" s="215"/>
      <c r="R368" s="15" t="s">
        <v>835</v>
      </c>
      <c r="S368" s="15" t="s">
        <v>841</v>
      </c>
      <c r="T368" s="18" t="s">
        <v>759</v>
      </c>
      <c r="U368" s="18" t="s">
        <v>760</v>
      </c>
      <c r="V368" s="412"/>
      <c r="W368" s="169"/>
      <c r="X368" s="169"/>
      <c r="Y368" s="412"/>
      <c r="Z368" s="412"/>
      <c r="AA368" s="170"/>
      <c r="AB368" s="412"/>
      <c r="AC368" s="157"/>
      <c r="AD368" s="412"/>
      <c r="AE368" s="157"/>
      <c r="AF368" s="412"/>
      <c r="AG368" s="412"/>
      <c r="AH368" s="412"/>
      <c r="AI368" s="412"/>
      <c r="AJ368" s="412"/>
      <c r="AK368" s="412"/>
      <c r="AL368" s="412"/>
      <c r="AM368" s="412"/>
      <c r="AN368" s="412"/>
      <c r="AO368" s="412"/>
      <c r="AP368" s="412"/>
      <c r="AQ368" s="412"/>
      <c r="AR368" s="412"/>
      <c r="AS368" s="412"/>
      <c r="AT368" s="412"/>
      <c r="AU368" s="363"/>
      <c r="AV368" s="363"/>
      <c r="AW368" s="363"/>
      <c r="AX368" s="363"/>
      <c r="AY368" s="364"/>
      <c r="AZ368" s="365"/>
      <c r="BA368" s="366"/>
      <c r="BB368" s="27"/>
    </row>
    <row r="369" spans="1:54">
      <c r="A369" s="2" t="str">
        <f t="shared" si="51"/>
        <v>Low Income - Outreach &amp; Education_Behavior 2021 Y4 Persistence</v>
      </c>
      <c r="B369" s="18">
        <v>366</v>
      </c>
      <c r="C369" s="23" t="s">
        <v>713</v>
      </c>
      <c r="D369" s="23" t="s">
        <v>780</v>
      </c>
      <c r="E369" s="23" t="s">
        <v>150</v>
      </c>
      <c r="F369" s="23">
        <v>1</v>
      </c>
      <c r="G369" s="154">
        <v>1</v>
      </c>
      <c r="H369" s="469">
        <v>0</v>
      </c>
      <c r="I369" s="458">
        <v>0</v>
      </c>
      <c r="J369" s="23"/>
      <c r="K369" s="23"/>
      <c r="L369" s="23"/>
      <c r="M369" s="23"/>
      <c r="N369" s="217"/>
      <c r="O369" s="215"/>
      <c r="P369" s="215"/>
      <c r="Q369" s="215"/>
      <c r="R369" s="15" t="s">
        <v>835</v>
      </c>
      <c r="S369" s="15" t="s">
        <v>841</v>
      </c>
      <c r="T369" s="18" t="s">
        <v>759</v>
      </c>
      <c r="U369" s="18" t="s">
        <v>760</v>
      </c>
      <c r="V369" s="412"/>
      <c r="W369" s="169"/>
      <c r="X369" s="169"/>
      <c r="Y369" s="412"/>
      <c r="Z369" s="412"/>
      <c r="AA369" s="170"/>
      <c r="AB369" s="412"/>
      <c r="AC369" s="157"/>
      <c r="AD369" s="412"/>
      <c r="AE369" s="157"/>
      <c r="AF369" s="412"/>
      <c r="AG369" s="412"/>
      <c r="AH369" s="412"/>
      <c r="AI369" s="412"/>
      <c r="AJ369" s="412"/>
      <c r="AK369" s="412"/>
      <c r="AL369" s="412"/>
      <c r="AM369" s="412"/>
      <c r="AN369" s="412"/>
      <c r="AO369" s="412"/>
      <c r="AP369" s="412"/>
      <c r="AQ369" s="412"/>
      <c r="AR369" s="412"/>
      <c r="AS369" s="412"/>
      <c r="AT369" s="412"/>
      <c r="AU369" s="363"/>
      <c r="AV369" s="363"/>
      <c r="AW369" s="363"/>
      <c r="AX369" s="363"/>
      <c r="AY369" s="364"/>
      <c r="AZ369" s="365"/>
      <c r="BA369" s="366"/>
      <c r="BB369" s="27"/>
    </row>
    <row r="370" spans="1:54">
      <c r="A370" s="2" t="str">
        <f t="shared" si="51"/>
        <v>Low Income - Outreach &amp; Education_Energy Education</v>
      </c>
      <c r="B370" s="18">
        <v>367</v>
      </c>
      <c r="C370" s="23" t="s">
        <v>713</v>
      </c>
      <c r="D370" s="23" t="s">
        <v>668</v>
      </c>
      <c r="E370" s="23" t="s">
        <v>150</v>
      </c>
      <c r="F370" s="23">
        <v>1</v>
      </c>
      <c r="G370" s="154">
        <v>1</v>
      </c>
      <c r="H370" s="469">
        <v>4</v>
      </c>
      <c r="I370" s="458">
        <v>4</v>
      </c>
      <c r="J370" s="23"/>
      <c r="K370" s="23"/>
      <c r="L370" s="23"/>
      <c r="M370" s="23"/>
      <c r="N370" s="217"/>
      <c r="O370" s="215"/>
      <c r="P370" s="215"/>
      <c r="Q370" s="215"/>
      <c r="R370" s="18" t="s">
        <v>140</v>
      </c>
      <c r="S370" s="18" t="s">
        <v>140</v>
      </c>
      <c r="T370" s="18" t="s">
        <v>140</v>
      </c>
      <c r="U370" s="18" t="s">
        <v>140</v>
      </c>
      <c r="V370" s="412"/>
      <c r="W370" s="169"/>
      <c r="X370" s="169"/>
      <c r="Y370" s="412"/>
      <c r="Z370" s="412"/>
      <c r="AA370" s="170"/>
      <c r="AB370" s="412"/>
      <c r="AC370" s="157"/>
      <c r="AD370" s="412"/>
      <c r="AE370" s="157"/>
      <c r="AF370" s="412"/>
      <c r="AG370" s="412"/>
      <c r="AH370" s="412"/>
      <c r="AI370" s="412"/>
      <c r="AJ370" s="412"/>
      <c r="AK370" s="412"/>
      <c r="AL370" s="412"/>
      <c r="AM370" s="412"/>
      <c r="AN370" s="412"/>
      <c r="AO370" s="412"/>
      <c r="AP370" s="412"/>
      <c r="AQ370" s="412"/>
      <c r="AR370" s="412"/>
      <c r="AS370" s="412"/>
      <c r="AT370" s="412"/>
      <c r="AU370" s="363"/>
      <c r="AV370" s="363"/>
      <c r="AW370" s="363"/>
      <c r="AX370" s="363"/>
      <c r="AY370" s="364"/>
      <c r="AZ370" s="365"/>
      <c r="BA370" s="366"/>
      <c r="BB370" s="27"/>
    </row>
    <row r="371" spans="1:54">
      <c r="A371" s="2" t="str">
        <f t="shared" si="51"/>
        <v>Low Income - SF Retrofit_Bathroom Aerator</v>
      </c>
      <c r="B371" s="18">
        <v>368</v>
      </c>
      <c r="C371" s="23" t="s">
        <v>714</v>
      </c>
      <c r="D371" s="18" t="s">
        <v>733</v>
      </c>
      <c r="E371" s="23" t="s">
        <v>150</v>
      </c>
      <c r="F371" s="23">
        <v>1</v>
      </c>
      <c r="G371" s="154">
        <v>1</v>
      </c>
      <c r="H371" s="469">
        <v>9</v>
      </c>
      <c r="I371" s="465">
        <v>10</v>
      </c>
      <c r="J371" s="23">
        <v>84</v>
      </c>
      <c r="K371" s="23">
        <v>84</v>
      </c>
      <c r="L371" s="23">
        <v>84</v>
      </c>
      <c r="M371" s="23">
        <v>84</v>
      </c>
      <c r="N371" s="215">
        <f>100%*(((X371*AB371)-(Z371*AB371))*AL371*365.25*AD371/AF371)*AH371*AJ371</f>
        <v>0.90849584455671673</v>
      </c>
      <c r="O371" s="215">
        <f t="shared" ref="O371:Q390" si="55">N371</f>
        <v>0.90849584455671673</v>
      </c>
      <c r="P371" s="215">
        <f t="shared" si="55"/>
        <v>0.90849584455671673</v>
      </c>
      <c r="Q371" s="215">
        <f t="shared" si="55"/>
        <v>0.90849584455671673</v>
      </c>
      <c r="R371" s="15" t="s">
        <v>839</v>
      </c>
      <c r="S371" s="15" t="s">
        <v>841</v>
      </c>
      <c r="T371" s="15" t="s">
        <v>470</v>
      </c>
      <c r="U371" s="15" t="s">
        <v>469</v>
      </c>
      <c r="V371" s="412" t="s">
        <v>467</v>
      </c>
      <c r="W371" s="413" t="s">
        <v>359</v>
      </c>
      <c r="X371" s="413">
        <v>1.53</v>
      </c>
      <c r="Y371" s="412" t="s">
        <v>358</v>
      </c>
      <c r="Z371" s="412">
        <v>0.94</v>
      </c>
      <c r="AA371" s="157" t="s">
        <v>357</v>
      </c>
      <c r="AB371" s="412">
        <v>1.6</v>
      </c>
      <c r="AC371" s="157" t="s">
        <v>468</v>
      </c>
      <c r="AD371" s="414">
        <v>0.9</v>
      </c>
      <c r="AE371" s="157" t="s">
        <v>364</v>
      </c>
      <c r="AF371" s="412">
        <v>2.83</v>
      </c>
      <c r="AG371" s="412" t="s">
        <v>355</v>
      </c>
      <c r="AH371" s="415">
        <f>8.33*1*(86-54.1)/(AN371*100000)</f>
        <v>3.4067564102564099E-3</v>
      </c>
      <c r="AI371" s="412" t="s">
        <v>354</v>
      </c>
      <c r="AJ371" s="412">
        <v>0.95</v>
      </c>
      <c r="AK371" s="412" t="s">
        <v>462</v>
      </c>
      <c r="AL371" s="412">
        <v>2.56</v>
      </c>
      <c r="AM371" s="412" t="s">
        <v>461</v>
      </c>
      <c r="AN371" s="414">
        <v>0.78</v>
      </c>
      <c r="AO371" s="166"/>
      <c r="AP371" s="166"/>
      <c r="AQ371" s="166"/>
      <c r="AR371" s="166"/>
      <c r="AS371" s="166"/>
      <c r="AT371" s="166"/>
      <c r="AU371" s="363"/>
      <c r="AV371" s="363"/>
      <c r="AW371" s="363"/>
      <c r="AX371" s="363"/>
      <c r="AY371" s="364"/>
      <c r="AZ371" s="365"/>
      <c r="BA371" s="366"/>
      <c r="BB371" s="27"/>
    </row>
    <row r="372" spans="1:54">
      <c r="A372" s="2" t="str">
        <f t="shared" si="51"/>
        <v>Low Income - SF Retrofit_Kitchen Aerator</v>
      </c>
      <c r="B372" s="18">
        <v>369</v>
      </c>
      <c r="C372" s="23" t="s">
        <v>714</v>
      </c>
      <c r="D372" s="18" t="s">
        <v>732</v>
      </c>
      <c r="E372" s="23" t="s">
        <v>150</v>
      </c>
      <c r="F372" s="23">
        <v>1</v>
      </c>
      <c r="G372" s="154">
        <v>1</v>
      </c>
      <c r="H372" s="469">
        <v>9</v>
      </c>
      <c r="I372" s="465">
        <v>10</v>
      </c>
      <c r="J372" s="23">
        <v>42</v>
      </c>
      <c r="K372" s="23">
        <v>42</v>
      </c>
      <c r="L372" s="23">
        <v>42</v>
      </c>
      <c r="M372" s="23">
        <v>42</v>
      </c>
      <c r="N372" s="215">
        <f>100%*(((X372*AB372)-(Z372*AB372))*AL372*365.25*AD372/AF372)*AH372*AJ372</f>
        <v>8.5936302377584592</v>
      </c>
      <c r="O372" s="215">
        <f t="shared" si="55"/>
        <v>8.5936302377584592</v>
      </c>
      <c r="P372" s="215">
        <f t="shared" si="55"/>
        <v>8.5936302377584592</v>
      </c>
      <c r="Q372" s="215">
        <f t="shared" si="55"/>
        <v>8.5936302377584592</v>
      </c>
      <c r="R372" s="15" t="s">
        <v>839</v>
      </c>
      <c r="S372" s="15" t="s">
        <v>841</v>
      </c>
      <c r="T372" s="15" t="s">
        <v>470</v>
      </c>
      <c r="U372" s="15" t="s">
        <v>469</v>
      </c>
      <c r="V372" s="412" t="s">
        <v>467</v>
      </c>
      <c r="W372" s="413" t="s">
        <v>359</v>
      </c>
      <c r="X372" s="413">
        <v>1.63</v>
      </c>
      <c r="Y372" s="412" t="s">
        <v>358</v>
      </c>
      <c r="Z372" s="412">
        <v>0.94</v>
      </c>
      <c r="AA372" s="157" t="s">
        <v>357</v>
      </c>
      <c r="AB372" s="412">
        <v>4.5</v>
      </c>
      <c r="AC372" s="157" t="s">
        <v>468</v>
      </c>
      <c r="AD372" s="414">
        <v>0.75</v>
      </c>
      <c r="AE372" s="157" t="s">
        <v>364</v>
      </c>
      <c r="AF372" s="412">
        <v>1</v>
      </c>
      <c r="AG372" s="412" t="s">
        <v>355</v>
      </c>
      <c r="AH372" s="415">
        <f>8.33*1*(93-54.1)/(AN372*100000)</f>
        <v>4.1543205128205122E-3</v>
      </c>
      <c r="AI372" s="412" t="s">
        <v>354</v>
      </c>
      <c r="AJ372" s="412">
        <v>0.95</v>
      </c>
      <c r="AK372" s="412" t="s">
        <v>462</v>
      </c>
      <c r="AL372" s="412">
        <v>2.56</v>
      </c>
      <c r="AM372" s="412" t="s">
        <v>461</v>
      </c>
      <c r="AN372" s="414">
        <v>0.78</v>
      </c>
      <c r="AO372" s="166"/>
      <c r="AP372" s="166"/>
      <c r="AQ372" s="166"/>
      <c r="AR372" s="166"/>
      <c r="AS372" s="166"/>
      <c r="AT372" s="166"/>
      <c r="AU372" s="363"/>
      <c r="AV372" s="368"/>
      <c r="AW372" s="363"/>
      <c r="AX372" s="363"/>
      <c r="AY372" s="364"/>
      <c r="AZ372" s="366"/>
      <c r="BA372" s="366"/>
      <c r="BB372" s="27"/>
    </row>
    <row r="373" spans="1:54">
      <c r="A373" s="2" t="str">
        <f t="shared" si="51"/>
        <v>Low Income - SF Retrofit_Showerhead</v>
      </c>
      <c r="B373" s="18">
        <v>370</v>
      </c>
      <c r="C373" s="23" t="s">
        <v>714</v>
      </c>
      <c r="D373" s="18" t="s">
        <v>731</v>
      </c>
      <c r="E373" s="23" t="s">
        <v>150</v>
      </c>
      <c r="F373" s="23">
        <v>1</v>
      </c>
      <c r="G373" s="154">
        <v>1</v>
      </c>
      <c r="H373" s="469">
        <v>10</v>
      </c>
      <c r="I373" s="458">
        <v>10</v>
      </c>
      <c r="J373" s="23">
        <v>50</v>
      </c>
      <c r="K373" s="23">
        <v>50</v>
      </c>
      <c r="L373" s="23">
        <v>50</v>
      </c>
      <c r="M373" s="23">
        <v>50</v>
      </c>
      <c r="N373" s="215">
        <f>100%*((X373*AB373-Z373*AB373)*AL373*AF373*365.25/AH373)*AD373*AJ373</f>
        <v>8.7892072937103034</v>
      </c>
      <c r="O373" s="215">
        <f t="shared" si="55"/>
        <v>8.7892072937103034</v>
      </c>
      <c r="P373" s="215">
        <f t="shared" si="55"/>
        <v>8.7892072937103034</v>
      </c>
      <c r="Q373" s="215">
        <f t="shared" si="55"/>
        <v>8.7892072937103034</v>
      </c>
      <c r="R373" s="15" t="s">
        <v>839</v>
      </c>
      <c r="S373" s="15" t="s">
        <v>841</v>
      </c>
      <c r="T373" s="15" t="s">
        <v>466</v>
      </c>
      <c r="U373" s="15" t="s">
        <v>465</v>
      </c>
      <c r="V373" s="412" t="s">
        <v>460</v>
      </c>
      <c r="W373" s="413" t="s">
        <v>359</v>
      </c>
      <c r="X373" s="413">
        <v>2.2400000000000002</v>
      </c>
      <c r="Y373" s="412" t="s">
        <v>358</v>
      </c>
      <c r="Z373" s="412">
        <v>1.5</v>
      </c>
      <c r="AA373" s="157" t="s">
        <v>357</v>
      </c>
      <c r="AB373" s="412">
        <v>7.8</v>
      </c>
      <c r="AC373" s="157" t="s">
        <v>355</v>
      </c>
      <c r="AD373" s="415">
        <f>8.33*1*(101-54.1)/(AN373*100000)</f>
        <v>5.0086794871794871E-3</v>
      </c>
      <c r="AE373" s="157" t="s">
        <v>464</v>
      </c>
      <c r="AF373" s="412">
        <v>0.6</v>
      </c>
      <c r="AG373" s="412" t="s">
        <v>463</v>
      </c>
      <c r="AH373" s="412">
        <v>1.79</v>
      </c>
      <c r="AI373" s="485" t="s">
        <v>354</v>
      </c>
      <c r="AJ373" s="485">
        <v>0.97</v>
      </c>
      <c r="AK373" s="412" t="s">
        <v>462</v>
      </c>
      <c r="AL373" s="412">
        <v>2.56</v>
      </c>
      <c r="AM373" s="412" t="s">
        <v>461</v>
      </c>
      <c r="AN373" s="414">
        <v>0.78</v>
      </c>
      <c r="AO373" s="166"/>
      <c r="AP373" s="166"/>
      <c r="AQ373" s="166"/>
      <c r="AR373" s="166"/>
      <c r="AS373" s="166"/>
      <c r="AT373" s="166"/>
      <c r="AU373" s="363"/>
      <c r="AV373" s="368"/>
      <c r="AW373" s="363"/>
      <c r="AX373" s="363"/>
      <c r="AY373" s="364"/>
      <c r="AZ373" s="369"/>
      <c r="BA373" s="366"/>
      <c r="BB373" s="27"/>
    </row>
    <row r="374" spans="1:54">
      <c r="A374" s="2" t="str">
        <f t="shared" si="51"/>
        <v>Low Income - SF Retrofit_Pipe Insulation (DHW)</v>
      </c>
      <c r="B374" s="18">
        <v>371</v>
      </c>
      <c r="C374" s="23" t="s">
        <v>714</v>
      </c>
      <c r="D374" s="18" t="s">
        <v>1053</v>
      </c>
      <c r="E374" s="23" t="s">
        <v>210</v>
      </c>
      <c r="F374" s="23">
        <v>3</v>
      </c>
      <c r="G374" s="154">
        <v>1</v>
      </c>
      <c r="H374" s="469">
        <v>15</v>
      </c>
      <c r="I374" s="458">
        <v>15</v>
      </c>
      <c r="J374" s="23">
        <v>62</v>
      </c>
      <c r="K374" s="23">
        <v>62</v>
      </c>
      <c r="L374" s="23">
        <v>62</v>
      </c>
      <c r="M374" s="23">
        <v>62</v>
      </c>
      <c r="N374" s="411">
        <f xml:space="preserve"> ((X374 / Z374 - AB374 / AD374) * AF374 * AH374 * 8766) / AJ374 / 100000</f>
        <v>0.77039653846153844</v>
      </c>
      <c r="O374" s="215">
        <f t="shared" si="55"/>
        <v>0.77039653846153844</v>
      </c>
      <c r="P374" s="215">
        <f t="shared" si="55"/>
        <v>0.77039653846153844</v>
      </c>
      <c r="Q374" s="215">
        <f t="shared" si="55"/>
        <v>0.77039653846153844</v>
      </c>
      <c r="R374" s="15" t="s">
        <v>839</v>
      </c>
      <c r="S374" s="15" t="s">
        <v>841</v>
      </c>
      <c r="T374" s="15" t="s">
        <v>459</v>
      </c>
      <c r="U374" s="15" t="s">
        <v>458</v>
      </c>
      <c r="V374" s="416" t="s">
        <v>842</v>
      </c>
      <c r="W374" s="158" t="s">
        <v>451</v>
      </c>
      <c r="X374" s="166">
        <v>0.19600000000000001</v>
      </c>
      <c r="Y374" s="166" t="s">
        <v>454</v>
      </c>
      <c r="Z374" s="166">
        <v>1</v>
      </c>
      <c r="AA374" s="417" t="s">
        <v>843</v>
      </c>
      <c r="AB374" s="416">
        <v>0.32700000000000001</v>
      </c>
      <c r="AC374" s="166" t="s">
        <v>453</v>
      </c>
      <c r="AD374" s="166">
        <f>(1+3)</f>
        <v>4</v>
      </c>
      <c r="AE374" s="158" t="s">
        <v>260</v>
      </c>
      <c r="AF374" s="166">
        <v>1</v>
      </c>
      <c r="AG374" s="158" t="s">
        <v>304</v>
      </c>
      <c r="AH374" s="166">
        <v>60</v>
      </c>
      <c r="AI374" s="166" t="s">
        <v>457</v>
      </c>
      <c r="AJ374" s="166">
        <v>0.78</v>
      </c>
      <c r="AK374" s="166"/>
      <c r="AL374" s="166"/>
      <c r="AM374" s="166"/>
      <c r="AN374" s="166"/>
      <c r="AO374" s="166"/>
      <c r="AP374" s="166"/>
      <c r="AQ374" s="166"/>
      <c r="AR374" s="166"/>
      <c r="AS374" s="166"/>
      <c r="AT374" s="166"/>
      <c r="AU374" s="363"/>
      <c r="AV374" s="368"/>
      <c r="AW374" s="363"/>
      <c r="AX374" s="363"/>
      <c r="AY374" s="364"/>
      <c r="AZ374" s="365"/>
      <c r="BA374" s="366"/>
      <c r="BB374" s="27"/>
    </row>
    <row r="375" spans="1:54">
      <c r="A375" s="2" t="str">
        <f t="shared" si="51"/>
        <v>Low Income - SF Retrofit_Pipe Insulation (Boiler)</v>
      </c>
      <c r="B375" s="18">
        <v>372</v>
      </c>
      <c r="C375" s="23" t="s">
        <v>714</v>
      </c>
      <c r="D375" s="18" t="s">
        <v>701</v>
      </c>
      <c r="E375" s="23" t="s">
        <v>210</v>
      </c>
      <c r="F375" s="23">
        <v>3</v>
      </c>
      <c r="G375" s="154">
        <v>1</v>
      </c>
      <c r="H375" s="469">
        <v>15</v>
      </c>
      <c r="I375" s="458">
        <v>15</v>
      </c>
      <c r="J375" s="23">
        <v>30</v>
      </c>
      <c r="K375" s="23">
        <v>30</v>
      </c>
      <c r="L375" s="23">
        <v>30</v>
      </c>
      <c r="M375" s="23">
        <v>30</v>
      </c>
      <c r="N375" s="216">
        <f>((1/X375*AD375-1/Z375*AF375)*AB375*AH375*AJ375/AL375/100000)</f>
        <v>0.41554055468341189</v>
      </c>
      <c r="O375" s="215">
        <f t="shared" si="55"/>
        <v>0.41554055468341189</v>
      </c>
      <c r="P375" s="215">
        <f t="shared" si="55"/>
        <v>0.41554055468341189</v>
      </c>
      <c r="Q375" s="215">
        <f t="shared" si="55"/>
        <v>0.41554055468341189</v>
      </c>
      <c r="R375" s="15" t="s">
        <v>839</v>
      </c>
      <c r="S375" s="15" t="s">
        <v>841</v>
      </c>
      <c r="T375" s="15" t="s">
        <v>456</v>
      </c>
      <c r="U375" s="15" t="s">
        <v>455</v>
      </c>
      <c r="V375" s="166" t="s">
        <v>448</v>
      </c>
      <c r="W375" s="166" t="s">
        <v>454</v>
      </c>
      <c r="X375" s="166">
        <v>0.5</v>
      </c>
      <c r="Y375" s="166" t="s">
        <v>453</v>
      </c>
      <c r="Z375" s="166">
        <f>3+0.5</f>
        <v>3.5</v>
      </c>
      <c r="AA375" s="158" t="s">
        <v>452</v>
      </c>
      <c r="AB375" s="166">
        <v>1840</v>
      </c>
      <c r="AC375" s="158" t="s">
        <v>451</v>
      </c>
      <c r="AD375" s="166">
        <f>(0.131+0.196)/2</f>
        <v>0.16350000000000001</v>
      </c>
      <c r="AE375" s="158" t="s">
        <v>450</v>
      </c>
      <c r="AF375" s="418">
        <f>(((0.5+1)+(0.75+1))/2)*3.14/12</f>
        <v>0.42520833333333335</v>
      </c>
      <c r="AG375" s="166" t="s">
        <v>260</v>
      </c>
      <c r="AH375" s="166">
        <v>1</v>
      </c>
      <c r="AI375" s="166" t="s">
        <v>304</v>
      </c>
      <c r="AJ375" s="166">
        <f>(110+70)/2</f>
        <v>90</v>
      </c>
      <c r="AK375" s="166" t="s">
        <v>449</v>
      </c>
      <c r="AL375" s="166">
        <v>0.81899999999999995</v>
      </c>
      <c r="AM375" s="166"/>
      <c r="AN375" s="166"/>
      <c r="AO375" s="166"/>
      <c r="AP375" s="166"/>
      <c r="AQ375" s="166"/>
      <c r="AR375" s="166"/>
      <c r="AS375" s="166"/>
      <c r="AT375" s="166"/>
      <c r="AU375" s="363"/>
      <c r="AV375" s="368"/>
      <c r="AW375" s="363"/>
      <c r="AX375" s="363"/>
      <c r="AY375" s="364"/>
      <c r="AZ375" s="365"/>
      <c r="BA375" s="366"/>
      <c r="BB375" s="27"/>
    </row>
    <row r="376" spans="1:54">
      <c r="A376" s="2" t="str">
        <f t="shared" si="51"/>
        <v>Low Income - SF Retrofit_Programmable Thermostat - Furnace</v>
      </c>
      <c r="B376" s="18">
        <v>373</v>
      </c>
      <c r="C376" s="23" t="s">
        <v>714</v>
      </c>
      <c r="D376" s="18" t="s">
        <v>702</v>
      </c>
      <c r="E376" s="23" t="s">
        <v>150</v>
      </c>
      <c r="F376" s="23">
        <v>1</v>
      </c>
      <c r="G376" s="154">
        <v>1</v>
      </c>
      <c r="H376" s="469">
        <v>5</v>
      </c>
      <c r="I376" s="465">
        <v>8</v>
      </c>
      <c r="J376" s="23">
        <v>11</v>
      </c>
      <c r="K376" s="23">
        <v>11</v>
      </c>
      <c r="L376" s="23">
        <v>11</v>
      </c>
      <c r="M376" s="23">
        <v>11</v>
      </c>
      <c r="N376" s="374">
        <f t="shared" ref="N376:N381" si="56">X376*Z376*AB376*AD376</f>
        <v>62.31</v>
      </c>
      <c r="O376" s="215">
        <f t="shared" si="55"/>
        <v>62.31</v>
      </c>
      <c r="P376" s="215">
        <f t="shared" si="55"/>
        <v>62.31</v>
      </c>
      <c r="Q376" s="215">
        <f t="shared" si="55"/>
        <v>62.31</v>
      </c>
      <c r="R376" s="15" t="s">
        <v>839</v>
      </c>
      <c r="S376" s="15" t="s">
        <v>841</v>
      </c>
      <c r="T376" s="15" t="s">
        <v>447</v>
      </c>
      <c r="U376" s="15" t="s">
        <v>446</v>
      </c>
      <c r="V376" s="412" t="s">
        <v>441</v>
      </c>
      <c r="W376" s="159" t="s">
        <v>445</v>
      </c>
      <c r="X376" s="160">
        <v>1005</v>
      </c>
      <c r="Y376" s="161" t="s">
        <v>444</v>
      </c>
      <c r="Z376" s="162">
        <v>6.2E-2</v>
      </c>
      <c r="AA376" s="157" t="s">
        <v>392</v>
      </c>
      <c r="AB376" s="163">
        <v>1</v>
      </c>
      <c r="AC376" s="157" t="s">
        <v>443</v>
      </c>
      <c r="AD376" s="163">
        <v>1</v>
      </c>
      <c r="AE376" s="157" t="s">
        <v>442</v>
      </c>
      <c r="AF376" s="164">
        <v>3.1399999999999997E-2</v>
      </c>
      <c r="AG376" s="166"/>
      <c r="AH376" s="166"/>
      <c r="AI376" s="166"/>
      <c r="AJ376" s="166"/>
      <c r="AK376" s="166"/>
      <c r="AL376" s="166"/>
      <c r="AM376" s="166"/>
      <c r="AN376" s="166"/>
      <c r="AO376" s="166"/>
      <c r="AP376" s="166"/>
      <c r="AQ376" s="166"/>
      <c r="AR376" s="166"/>
      <c r="AS376" s="166"/>
      <c r="AT376" s="166"/>
      <c r="AU376" s="363"/>
      <c r="AV376" s="368"/>
      <c r="AW376" s="363"/>
      <c r="AX376" s="363"/>
      <c r="AY376" s="364"/>
      <c r="AZ376" s="365"/>
      <c r="BA376" s="366"/>
      <c r="BB376" s="27"/>
    </row>
    <row r="377" spans="1:54">
      <c r="A377" s="2" t="str">
        <f t="shared" si="51"/>
        <v>Low Income - SF Retrofit_Programmable Thermostat - Boiler</v>
      </c>
      <c r="B377" s="18">
        <v>374</v>
      </c>
      <c r="C377" s="23" t="s">
        <v>714</v>
      </c>
      <c r="D377" s="18" t="s">
        <v>1054</v>
      </c>
      <c r="E377" s="23" t="s">
        <v>150</v>
      </c>
      <c r="F377" s="23">
        <v>1</v>
      </c>
      <c r="G377" s="154">
        <v>1</v>
      </c>
      <c r="H377" s="469">
        <v>5</v>
      </c>
      <c r="I377" s="465">
        <v>8</v>
      </c>
      <c r="J377" s="23">
        <v>1</v>
      </c>
      <c r="K377" s="23">
        <v>1</v>
      </c>
      <c r="L377" s="23">
        <v>1</v>
      </c>
      <c r="M377" s="23">
        <v>1</v>
      </c>
      <c r="N377" s="374">
        <f t="shared" si="56"/>
        <v>75.516000000000005</v>
      </c>
      <c r="O377" s="215">
        <f t="shared" si="55"/>
        <v>75.516000000000005</v>
      </c>
      <c r="P377" s="215">
        <f t="shared" si="55"/>
        <v>75.516000000000005</v>
      </c>
      <c r="Q377" s="215">
        <f t="shared" si="55"/>
        <v>75.516000000000005</v>
      </c>
      <c r="R377" s="15" t="s">
        <v>839</v>
      </c>
      <c r="S377" s="15" t="s">
        <v>841</v>
      </c>
      <c r="T377" s="15" t="s">
        <v>447</v>
      </c>
      <c r="U377" s="15" t="s">
        <v>446</v>
      </c>
      <c r="V377" s="412" t="s">
        <v>441</v>
      </c>
      <c r="W377" s="159" t="s">
        <v>445</v>
      </c>
      <c r="X377" s="160">
        <v>1218</v>
      </c>
      <c r="Y377" s="161" t="s">
        <v>444</v>
      </c>
      <c r="Z377" s="162">
        <v>6.2E-2</v>
      </c>
      <c r="AA377" s="157" t="s">
        <v>392</v>
      </c>
      <c r="AB377" s="163">
        <v>1</v>
      </c>
      <c r="AC377" s="157" t="s">
        <v>443</v>
      </c>
      <c r="AD377" s="163">
        <v>1</v>
      </c>
      <c r="AE377" s="157" t="s">
        <v>442</v>
      </c>
      <c r="AF377" s="164">
        <v>3.1399999999999997E-2</v>
      </c>
      <c r="AG377" s="166"/>
      <c r="AH377" s="166"/>
      <c r="AI377" s="166"/>
      <c r="AJ377" s="166"/>
      <c r="AK377" s="166"/>
      <c r="AL377" s="166"/>
      <c r="AM377" s="166"/>
      <c r="AN377" s="166"/>
      <c r="AO377" s="166"/>
      <c r="AP377" s="166"/>
      <c r="AQ377" s="166"/>
      <c r="AR377" s="166"/>
      <c r="AS377" s="166"/>
      <c r="AT377" s="166"/>
      <c r="AU377" s="363"/>
      <c r="AV377" s="368"/>
      <c r="AW377" s="363"/>
      <c r="AX377" s="363"/>
      <c r="AY377" s="364"/>
      <c r="AZ377" s="365"/>
      <c r="BA377" s="366"/>
      <c r="BB377" s="27"/>
    </row>
    <row r="378" spans="1:54">
      <c r="A378" s="2" t="str">
        <f t="shared" si="51"/>
        <v>Low Income - SF Retrofit_Advanced Thermostat - Furnace (Replace Manual)</v>
      </c>
      <c r="B378" s="18">
        <v>375</v>
      </c>
      <c r="C378" s="23" t="s">
        <v>714</v>
      </c>
      <c r="D378" s="18" t="s">
        <v>699</v>
      </c>
      <c r="E378" s="23" t="s">
        <v>150</v>
      </c>
      <c r="F378" s="23">
        <v>1</v>
      </c>
      <c r="G378" s="154">
        <v>1</v>
      </c>
      <c r="H378" s="469">
        <v>10</v>
      </c>
      <c r="I378" s="465">
        <v>11</v>
      </c>
      <c r="J378" s="23">
        <v>2</v>
      </c>
      <c r="K378" s="23">
        <v>2</v>
      </c>
      <c r="L378" s="23">
        <v>2</v>
      </c>
      <c r="M378" s="23">
        <v>2</v>
      </c>
      <c r="N378" s="217">
        <f t="shared" si="56"/>
        <v>88.44</v>
      </c>
      <c r="O378" s="215">
        <f t="shared" si="55"/>
        <v>88.44</v>
      </c>
      <c r="P378" s="215">
        <f t="shared" si="55"/>
        <v>88.44</v>
      </c>
      <c r="Q378" s="215">
        <f t="shared" si="55"/>
        <v>88.44</v>
      </c>
      <c r="R378" s="15" t="s">
        <v>839</v>
      </c>
      <c r="S378" s="15" t="s">
        <v>841</v>
      </c>
      <c r="T378" s="15" t="s">
        <v>49</v>
      </c>
      <c r="U378" s="15" t="s">
        <v>60</v>
      </c>
      <c r="V378" s="412" t="s">
        <v>441</v>
      </c>
      <c r="W378" s="159" t="s">
        <v>445</v>
      </c>
      <c r="X378" s="160">
        <v>1005</v>
      </c>
      <c r="Y378" s="161" t="s">
        <v>444</v>
      </c>
      <c r="Z378" s="162">
        <v>8.7999999999999995E-2</v>
      </c>
      <c r="AA378" s="157" t="s">
        <v>392</v>
      </c>
      <c r="AB378" s="163">
        <v>1</v>
      </c>
      <c r="AC378" s="157" t="s">
        <v>443</v>
      </c>
      <c r="AD378" s="163">
        <v>1</v>
      </c>
      <c r="AE378" s="157" t="s">
        <v>442</v>
      </c>
      <c r="AF378" s="164">
        <v>3.1399999999999997E-2</v>
      </c>
      <c r="AG378" s="166"/>
      <c r="AH378" s="166"/>
      <c r="AI378" s="166"/>
      <c r="AJ378" s="166"/>
      <c r="AK378" s="166"/>
      <c r="AL378" s="166"/>
      <c r="AM378" s="166"/>
      <c r="AN378" s="166"/>
      <c r="AO378" s="166"/>
      <c r="AP378" s="166"/>
      <c r="AQ378" s="166"/>
      <c r="AR378" s="166"/>
      <c r="AS378" s="166"/>
      <c r="AT378" s="166"/>
      <c r="AU378" s="363"/>
      <c r="AV378" s="368"/>
      <c r="AW378" s="363"/>
      <c r="AX378" s="363"/>
      <c r="AY378" s="364"/>
      <c r="AZ378" s="365"/>
      <c r="BA378" s="366"/>
      <c r="BB378" s="27"/>
    </row>
    <row r="379" spans="1:54">
      <c r="A379" s="2" t="str">
        <f t="shared" si="51"/>
        <v>Low Income - SF Retrofit_Advanced Thermostat - Boiler (Replace Manual)</v>
      </c>
      <c r="B379" s="18">
        <v>376</v>
      </c>
      <c r="C379" s="23" t="s">
        <v>714</v>
      </c>
      <c r="D379" s="18" t="s">
        <v>1055</v>
      </c>
      <c r="E379" s="23" t="s">
        <v>150</v>
      </c>
      <c r="F379" s="23">
        <v>1</v>
      </c>
      <c r="G379" s="154">
        <v>1</v>
      </c>
      <c r="H379" s="469">
        <v>10</v>
      </c>
      <c r="I379" s="465">
        <v>11</v>
      </c>
      <c r="J379" s="23">
        <v>0</v>
      </c>
      <c r="K379" s="23">
        <v>0</v>
      </c>
      <c r="L379" s="23">
        <v>0</v>
      </c>
      <c r="M379" s="23">
        <v>0</v>
      </c>
      <c r="N379" s="217">
        <f t="shared" si="56"/>
        <v>107.184</v>
      </c>
      <c r="O379" s="215">
        <f t="shared" si="55"/>
        <v>107.184</v>
      </c>
      <c r="P379" s="215">
        <f t="shared" si="55"/>
        <v>107.184</v>
      </c>
      <c r="Q379" s="215">
        <f t="shared" si="55"/>
        <v>107.184</v>
      </c>
      <c r="R379" s="15" t="s">
        <v>839</v>
      </c>
      <c r="S379" s="15" t="s">
        <v>841</v>
      </c>
      <c r="T379" s="15" t="s">
        <v>49</v>
      </c>
      <c r="U379" s="15" t="s">
        <v>60</v>
      </c>
      <c r="V379" s="412" t="s">
        <v>441</v>
      </c>
      <c r="W379" s="159" t="s">
        <v>445</v>
      </c>
      <c r="X379" s="160">
        <v>1218</v>
      </c>
      <c r="Y379" s="161" t="s">
        <v>444</v>
      </c>
      <c r="Z379" s="162">
        <v>8.7999999999999995E-2</v>
      </c>
      <c r="AA379" s="157" t="s">
        <v>392</v>
      </c>
      <c r="AB379" s="163">
        <v>1</v>
      </c>
      <c r="AC379" s="157" t="s">
        <v>443</v>
      </c>
      <c r="AD379" s="163">
        <v>1</v>
      </c>
      <c r="AE379" s="157" t="s">
        <v>442</v>
      </c>
      <c r="AF379" s="164">
        <v>3.1399999999999997E-2</v>
      </c>
      <c r="AG379" s="166"/>
      <c r="AH379" s="166"/>
      <c r="AI379" s="166"/>
      <c r="AJ379" s="166"/>
      <c r="AK379" s="166"/>
      <c r="AL379" s="166"/>
      <c r="AM379" s="166"/>
      <c r="AN379" s="166"/>
      <c r="AO379" s="166"/>
      <c r="AP379" s="166"/>
      <c r="AQ379" s="166"/>
      <c r="AR379" s="166"/>
      <c r="AS379" s="166"/>
      <c r="AT379" s="166"/>
      <c r="AU379" s="363"/>
      <c r="AV379" s="368"/>
      <c r="AW379" s="363"/>
      <c r="AX379" s="363"/>
      <c r="AY379" s="364"/>
      <c r="AZ379" s="365"/>
      <c r="BA379" s="366"/>
      <c r="BB379" s="27"/>
    </row>
    <row r="380" spans="1:54">
      <c r="A380" s="2" t="str">
        <f t="shared" si="51"/>
        <v>Low Income - SF Retrofit_Advanced Thermostat - Furnace (Replace Programmable)</v>
      </c>
      <c r="B380" s="18">
        <v>377</v>
      </c>
      <c r="C380" s="23" t="s">
        <v>714</v>
      </c>
      <c r="D380" s="18" t="s">
        <v>1056</v>
      </c>
      <c r="E380" s="23" t="s">
        <v>150</v>
      </c>
      <c r="F380" s="23">
        <v>1</v>
      </c>
      <c r="G380" s="154">
        <v>1</v>
      </c>
      <c r="H380" s="469">
        <v>10</v>
      </c>
      <c r="I380" s="465">
        <v>11</v>
      </c>
      <c r="J380" s="23">
        <v>2</v>
      </c>
      <c r="K380" s="23">
        <v>2</v>
      </c>
      <c r="L380" s="23">
        <v>2</v>
      </c>
      <c r="M380" s="23">
        <v>2</v>
      </c>
      <c r="N380" s="217">
        <f t="shared" si="56"/>
        <v>56.28</v>
      </c>
      <c r="O380" s="215">
        <f t="shared" si="55"/>
        <v>56.28</v>
      </c>
      <c r="P380" s="215">
        <f t="shared" si="55"/>
        <v>56.28</v>
      </c>
      <c r="Q380" s="215">
        <f t="shared" si="55"/>
        <v>56.28</v>
      </c>
      <c r="R380" s="15" t="s">
        <v>839</v>
      </c>
      <c r="S380" s="15" t="s">
        <v>841</v>
      </c>
      <c r="T380" s="15" t="s">
        <v>49</v>
      </c>
      <c r="U380" s="15" t="s">
        <v>60</v>
      </c>
      <c r="V380" s="412" t="s">
        <v>441</v>
      </c>
      <c r="W380" s="159" t="s">
        <v>445</v>
      </c>
      <c r="X380" s="160">
        <v>1005</v>
      </c>
      <c r="Y380" s="161" t="s">
        <v>444</v>
      </c>
      <c r="Z380" s="162">
        <v>5.6000000000000001E-2</v>
      </c>
      <c r="AA380" s="157" t="s">
        <v>392</v>
      </c>
      <c r="AB380" s="163">
        <v>1</v>
      </c>
      <c r="AC380" s="157" t="s">
        <v>443</v>
      </c>
      <c r="AD380" s="163">
        <v>1</v>
      </c>
      <c r="AE380" s="157" t="s">
        <v>442</v>
      </c>
      <c r="AF380" s="164">
        <v>3.1399999999999997E-2</v>
      </c>
      <c r="AG380" s="166"/>
      <c r="AH380" s="166"/>
      <c r="AI380" s="166"/>
      <c r="AJ380" s="166"/>
      <c r="AK380" s="166"/>
      <c r="AL380" s="166"/>
      <c r="AM380" s="166"/>
      <c r="AN380" s="166"/>
      <c r="AO380" s="166"/>
      <c r="AP380" s="166"/>
      <c r="AQ380" s="166"/>
      <c r="AR380" s="166"/>
      <c r="AS380" s="166"/>
      <c r="AT380" s="166"/>
      <c r="AU380" s="363"/>
      <c r="AV380" s="368"/>
      <c r="AW380" s="363"/>
      <c r="AX380" s="363"/>
      <c r="AY380" s="364"/>
      <c r="AZ380" s="365"/>
      <c r="BA380" s="366"/>
      <c r="BB380" s="27"/>
    </row>
    <row r="381" spans="1:54">
      <c r="A381" s="2" t="str">
        <f t="shared" si="51"/>
        <v>Low Income - SF Retrofit_Advanced Thermostat - Boiler (Replace Programmable)</v>
      </c>
      <c r="B381" s="18">
        <v>378</v>
      </c>
      <c r="C381" s="23" t="s">
        <v>714</v>
      </c>
      <c r="D381" s="18" t="s">
        <v>704</v>
      </c>
      <c r="E381" s="23" t="s">
        <v>150</v>
      </c>
      <c r="F381" s="23">
        <v>1</v>
      </c>
      <c r="G381" s="154">
        <v>1</v>
      </c>
      <c r="H381" s="469">
        <v>10</v>
      </c>
      <c r="I381" s="465">
        <v>11</v>
      </c>
      <c r="J381" s="23">
        <v>0</v>
      </c>
      <c r="K381" s="23">
        <v>0</v>
      </c>
      <c r="L381" s="23">
        <v>0</v>
      </c>
      <c r="M381" s="23">
        <v>0</v>
      </c>
      <c r="N381" s="217">
        <f t="shared" si="56"/>
        <v>68.207999999999998</v>
      </c>
      <c r="O381" s="215">
        <f t="shared" si="55"/>
        <v>68.207999999999998</v>
      </c>
      <c r="P381" s="215">
        <f t="shared" si="55"/>
        <v>68.207999999999998</v>
      </c>
      <c r="Q381" s="215">
        <f t="shared" si="55"/>
        <v>68.207999999999998</v>
      </c>
      <c r="R381" s="15" t="s">
        <v>839</v>
      </c>
      <c r="S381" s="15" t="s">
        <v>841</v>
      </c>
      <c r="T381" s="15" t="s">
        <v>49</v>
      </c>
      <c r="U381" s="15" t="s">
        <v>60</v>
      </c>
      <c r="V381" s="412" t="s">
        <v>441</v>
      </c>
      <c r="W381" s="159" t="s">
        <v>445</v>
      </c>
      <c r="X381" s="160">
        <v>1218</v>
      </c>
      <c r="Y381" s="161" t="s">
        <v>444</v>
      </c>
      <c r="Z381" s="162">
        <v>5.6000000000000001E-2</v>
      </c>
      <c r="AA381" s="157" t="s">
        <v>392</v>
      </c>
      <c r="AB381" s="163">
        <v>1</v>
      </c>
      <c r="AC381" s="157" t="s">
        <v>443</v>
      </c>
      <c r="AD381" s="163">
        <v>1</v>
      </c>
      <c r="AE381" s="157" t="s">
        <v>442</v>
      </c>
      <c r="AF381" s="164">
        <v>3.1399999999999997E-2</v>
      </c>
      <c r="AG381" s="166"/>
      <c r="AH381" s="166"/>
      <c r="AI381" s="166"/>
      <c r="AJ381" s="166"/>
      <c r="AK381" s="166"/>
      <c r="AL381" s="166"/>
      <c r="AM381" s="166"/>
      <c r="AN381" s="166"/>
      <c r="AO381" s="166"/>
      <c r="AP381" s="166"/>
      <c r="AQ381" s="166"/>
      <c r="AR381" s="166"/>
      <c r="AS381" s="166"/>
      <c r="AT381" s="166"/>
      <c r="AU381" s="363"/>
      <c r="AV381" s="368"/>
      <c r="AW381" s="363"/>
      <c r="AX381" s="363"/>
      <c r="AY381" s="364"/>
      <c r="AZ381" s="365"/>
      <c r="BA381" s="366"/>
      <c r="BB381" s="27"/>
    </row>
    <row r="382" spans="1:54">
      <c r="A382" s="2" t="str">
        <f t="shared" si="51"/>
        <v>Low Income - SF Retrofit_Water Heater Setback</v>
      </c>
      <c r="B382" s="18">
        <v>379</v>
      </c>
      <c r="C382" s="23" t="s">
        <v>714</v>
      </c>
      <c r="D382" s="18" t="s">
        <v>377</v>
      </c>
      <c r="E382" s="23" t="s">
        <v>150</v>
      </c>
      <c r="F382" s="23">
        <v>1</v>
      </c>
      <c r="G382" s="154">
        <v>1</v>
      </c>
      <c r="H382" s="469">
        <v>2</v>
      </c>
      <c r="I382" s="458">
        <v>2</v>
      </c>
      <c r="J382" s="23">
        <v>11</v>
      </c>
      <c r="K382" s="23">
        <v>11</v>
      </c>
      <c r="L382" s="23">
        <v>11</v>
      </c>
      <c r="M382" s="23">
        <v>11</v>
      </c>
      <c r="N382" s="215">
        <f>(AB382*AD382*(X382-Z382)*AF382)/(100000*AH382)</f>
        <v>3.4965719653846157</v>
      </c>
      <c r="O382" s="215">
        <f t="shared" si="55"/>
        <v>3.4965719653846157</v>
      </c>
      <c r="P382" s="215">
        <f t="shared" si="55"/>
        <v>3.4965719653846157</v>
      </c>
      <c r="Q382" s="215">
        <f t="shared" si="55"/>
        <v>3.4965719653846157</v>
      </c>
      <c r="R382" s="15" t="s">
        <v>839</v>
      </c>
      <c r="S382" s="15" t="s">
        <v>841</v>
      </c>
      <c r="T382" s="18" t="s">
        <v>376</v>
      </c>
      <c r="U382" s="18" t="s">
        <v>375</v>
      </c>
      <c r="V382" s="412" t="s">
        <v>369</v>
      </c>
      <c r="W382" s="412" t="s">
        <v>374</v>
      </c>
      <c r="X382" s="412">
        <v>135</v>
      </c>
      <c r="Y382" s="412" t="s">
        <v>373</v>
      </c>
      <c r="Z382" s="412">
        <v>120</v>
      </c>
      <c r="AA382" s="412" t="s">
        <v>372</v>
      </c>
      <c r="AB382" s="412">
        <v>8.3000000000000004E-2</v>
      </c>
      <c r="AC382" s="412" t="s">
        <v>371</v>
      </c>
      <c r="AD382" s="412">
        <v>24.99</v>
      </c>
      <c r="AE382" s="412" t="s">
        <v>153</v>
      </c>
      <c r="AF382" s="412">
        <v>8766</v>
      </c>
      <c r="AG382" s="412" t="s">
        <v>370</v>
      </c>
      <c r="AH382" s="443">
        <v>0.78</v>
      </c>
      <c r="AI382" s="412"/>
      <c r="AJ382" s="412"/>
      <c r="AK382" s="412"/>
      <c r="AL382" s="412"/>
      <c r="AM382" s="412"/>
      <c r="AN382" s="412"/>
      <c r="AO382" s="412"/>
      <c r="AP382" s="412"/>
      <c r="AQ382" s="412"/>
      <c r="AR382" s="412"/>
      <c r="AS382" s="412"/>
      <c r="AT382" s="412"/>
      <c r="AU382" s="363"/>
      <c r="AV382" s="368"/>
      <c r="AW382" s="363"/>
      <c r="AX382" s="363"/>
      <c r="AY382" s="364"/>
      <c r="AZ382" s="365"/>
      <c r="BA382" s="366"/>
      <c r="BB382" s="27"/>
    </row>
    <row r="383" spans="1:54">
      <c r="A383" s="2" t="str">
        <f t="shared" si="51"/>
        <v>Low Income - SF Retrofit_Air Sealing</v>
      </c>
      <c r="B383" s="18">
        <v>380</v>
      </c>
      <c r="C383" s="23" t="s">
        <v>714</v>
      </c>
      <c r="D383" s="18" t="s">
        <v>678</v>
      </c>
      <c r="E383" s="23" t="s">
        <v>439</v>
      </c>
      <c r="F383" s="23">
        <v>2000</v>
      </c>
      <c r="G383" s="154">
        <v>1</v>
      </c>
      <c r="H383" s="469">
        <v>15</v>
      </c>
      <c r="I383" s="465">
        <v>20</v>
      </c>
      <c r="J383" s="23">
        <v>56</v>
      </c>
      <c r="K383" s="23">
        <v>56</v>
      </c>
      <c r="L383" s="23">
        <v>56</v>
      </c>
      <c r="M383" s="23">
        <v>56</v>
      </c>
      <c r="N383" s="495">
        <f>1/X383*60*24*Z383*0.018/(AB383*100000)*AD383*AF383</f>
        <v>6.0996592468619264E-2</v>
      </c>
      <c r="O383" s="29">
        <f t="shared" si="55"/>
        <v>6.0996592468619264E-2</v>
      </c>
      <c r="P383" s="29">
        <f t="shared" si="55"/>
        <v>6.0996592468619264E-2</v>
      </c>
      <c r="Q383" s="29">
        <f t="shared" si="55"/>
        <v>6.0996592468619264E-2</v>
      </c>
      <c r="R383" s="15" t="s">
        <v>839</v>
      </c>
      <c r="S383" s="15" t="s">
        <v>841</v>
      </c>
      <c r="T383" s="15" t="s">
        <v>438</v>
      </c>
      <c r="U383" s="15" t="s">
        <v>437</v>
      </c>
      <c r="V383" s="496" t="s">
        <v>1451</v>
      </c>
      <c r="W383" s="166" t="s">
        <v>436</v>
      </c>
      <c r="X383" s="166">
        <v>23.9</v>
      </c>
      <c r="Y383" s="166" t="s">
        <v>411</v>
      </c>
      <c r="Z383" s="166">
        <v>5113</v>
      </c>
      <c r="AA383" s="158" t="s">
        <v>440</v>
      </c>
      <c r="AB383" s="425">
        <v>0.72</v>
      </c>
      <c r="AC383" s="417" t="s">
        <v>847</v>
      </c>
      <c r="AD383" s="426">
        <v>0.72</v>
      </c>
      <c r="AE383" s="490" t="s">
        <v>1452</v>
      </c>
      <c r="AF383" s="497">
        <v>1.1000000000000001</v>
      </c>
      <c r="AG383" s="166"/>
      <c r="AH383" s="166"/>
      <c r="AI383" s="166"/>
      <c r="AJ383" s="166"/>
      <c r="AK383" s="166"/>
      <c r="AL383" s="166"/>
      <c r="AM383" s="166"/>
      <c r="AN383" s="166"/>
      <c r="AO383" s="166"/>
      <c r="AP383" s="166"/>
      <c r="AQ383" s="166"/>
      <c r="AR383" s="166"/>
      <c r="AS383" s="166"/>
      <c r="AT383" s="166"/>
      <c r="AU383" s="363"/>
      <c r="AV383" s="368"/>
      <c r="AW383" s="363"/>
      <c r="AX383" s="363"/>
      <c r="AY383" s="364"/>
      <c r="AZ383" s="365"/>
      <c r="BA383" s="366"/>
      <c r="BB383" s="27"/>
    </row>
    <row r="384" spans="1:54">
      <c r="A384" s="2" t="str">
        <f t="shared" si="51"/>
        <v>Low Income - SF Retrofit_Attic Insulation</v>
      </c>
      <c r="B384" s="18">
        <v>381</v>
      </c>
      <c r="C384" s="23" t="s">
        <v>714</v>
      </c>
      <c r="D384" s="18" t="s">
        <v>729</v>
      </c>
      <c r="E384" s="23" t="s">
        <v>418</v>
      </c>
      <c r="F384" s="23">
        <v>1100</v>
      </c>
      <c r="G384" s="154">
        <v>1</v>
      </c>
      <c r="H384" s="469">
        <v>25</v>
      </c>
      <c r="I384" s="465">
        <v>20</v>
      </c>
      <c r="J384" s="23">
        <v>56</v>
      </c>
      <c r="K384" s="23">
        <v>56</v>
      </c>
      <c r="L384" s="23">
        <v>56</v>
      </c>
      <c r="M384" s="23">
        <v>56</v>
      </c>
      <c r="N384" s="495">
        <f>((((1/X384-1/Z384)*1*(1-AB384))*24*AF384)/(AH384*100000)*AD384*AJ384*AL384)</f>
        <v>0.10228726933333333</v>
      </c>
      <c r="O384" s="29">
        <f t="shared" si="55"/>
        <v>0.10228726933333333</v>
      </c>
      <c r="P384" s="29">
        <f t="shared" si="55"/>
        <v>0.10228726933333333</v>
      </c>
      <c r="Q384" s="29">
        <f t="shared" si="55"/>
        <v>0.10228726933333333</v>
      </c>
      <c r="R384" s="15" t="s">
        <v>839</v>
      </c>
      <c r="S384" s="15" t="s">
        <v>841</v>
      </c>
      <c r="T384" s="15" t="s">
        <v>1048</v>
      </c>
      <c r="U384" s="15" t="s">
        <v>416</v>
      </c>
      <c r="V384" s="496" t="s">
        <v>1453</v>
      </c>
      <c r="W384" s="166" t="s">
        <v>415</v>
      </c>
      <c r="X384" s="166">
        <v>10</v>
      </c>
      <c r="Y384" s="416" t="s">
        <v>848</v>
      </c>
      <c r="Z384" s="166">
        <f>49+5</f>
        <v>54</v>
      </c>
      <c r="AA384" s="158" t="s">
        <v>434</v>
      </c>
      <c r="AB384" s="419">
        <v>7.0000000000000007E-2</v>
      </c>
      <c r="AC384" s="417" t="s">
        <v>849</v>
      </c>
      <c r="AD384" s="426">
        <v>0.72</v>
      </c>
      <c r="AE384" s="158" t="s">
        <v>411</v>
      </c>
      <c r="AF384" s="166">
        <v>5113</v>
      </c>
      <c r="AG384" s="166" t="s">
        <v>410</v>
      </c>
      <c r="AH384" s="419">
        <v>0.72</v>
      </c>
      <c r="AI384" s="496" t="s">
        <v>1452</v>
      </c>
      <c r="AJ384" s="497">
        <v>1.1000000000000001</v>
      </c>
      <c r="AK384" s="496" t="s">
        <v>1454</v>
      </c>
      <c r="AL384" s="497">
        <v>1</v>
      </c>
      <c r="AM384" s="166"/>
      <c r="AN384" s="166"/>
      <c r="AO384" s="166"/>
      <c r="AP384" s="166"/>
      <c r="AQ384" s="166"/>
      <c r="AR384" s="166"/>
      <c r="AS384" s="166"/>
      <c r="AT384" s="166"/>
      <c r="AU384" s="363"/>
      <c r="AV384" s="368"/>
      <c r="AW384" s="363"/>
      <c r="AX384" s="363"/>
      <c r="AY384" s="364"/>
      <c r="AZ384" s="365"/>
      <c r="BA384" s="366"/>
      <c r="BB384" s="27"/>
    </row>
    <row r="385" spans="1:54">
      <c r="A385" s="2" t="str">
        <f t="shared" si="51"/>
        <v>Low Income - SF Retrofit_Wall Insulation</v>
      </c>
      <c r="B385" s="18">
        <v>382</v>
      </c>
      <c r="C385" s="23" t="s">
        <v>714</v>
      </c>
      <c r="D385" s="18" t="s">
        <v>680</v>
      </c>
      <c r="E385" s="23" t="s">
        <v>418</v>
      </c>
      <c r="F385" s="23">
        <v>300</v>
      </c>
      <c r="G385" s="154">
        <v>1</v>
      </c>
      <c r="H385" s="469">
        <v>25</v>
      </c>
      <c r="I385" s="465">
        <v>20</v>
      </c>
      <c r="J385" s="23">
        <v>28</v>
      </c>
      <c r="K385" s="23">
        <v>28</v>
      </c>
      <c r="L385" s="23">
        <v>28</v>
      </c>
      <c r="M385" s="23">
        <v>28</v>
      </c>
      <c r="N385" s="411">
        <f>((((1/X385-1/Z385)*1*(1-AB385))*24*AF385)/(AH385*100000)*AD385)</f>
        <v>7.90190909090909E-2</v>
      </c>
      <c r="O385" s="215">
        <f t="shared" si="55"/>
        <v>7.90190909090909E-2</v>
      </c>
      <c r="P385" s="215">
        <f t="shared" si="55"/>
        <v>7.90190909090909E-2</v>
      </c>
      <c r="Q385" s="215">
        <f t="shared" si="55"/>
        <v>7.90190909090909E-2</v>
      </c>
      <c r="R385" s="15" t="s">
        <v>839</v>
      </c>
      <c r="S385" s="15" t="s">
        <v>841</v>
      </c>
      <c r="T385" s="15" t="s">
        <v>417</v>
      </c>
      <c r="U385" s="15" t="s">
        <v>416</v>
      </c>
      <c r="V385" s="416" t="s">
        <v>850</v>
      </c>
      <c r="W385" s="166" t="s">
        <v>415</v>
      </c>
      <c r="X385" s="166">
        <v>3.3</v>
      </c>
      <c r="Y385" s="416" t="s">
        <v>851</v>
      </c>
      <c r="Z385" s="166">
        <v>5</v>
      </c>
      <c r="AA385" s="158" t="s">
        <v>433</v>
      </c>
      <c r="AB385" s="419">
        <v>0.25</v>
      </c>
      <c r="AC385" s="417" t="s">
        <v>852</v>
      </c>
      <c r="AD385" s="419">
        <v>0.6</v>
      </c>
      <c r="AE385" s="158" t="s">
        <v>411</v>
      </c>
      <c r="AF385" s="166">
        <v>5113</v>
      </c>
      <c r="AG385" s="166" t="s">
        <v>410</v>
      </c>
      <c r="AH385" s="419">
        <v>0.72</v>
      </c>
      <c r="AI385" s="166"/>
      <c r="AJ385" s="166"/>
      <c r="AK385" s="166"/>
      <c r="AL385" s="166"/>
      <c r="AM385" s="166"/>
      <c r="AN385" s="166"/>
      <c r="AO385" s="166"/>
      <c r="AP385" s="166"/>
      <c r="AQ385" s="166"/>
      <c r="AR385" s="166"/>
      <c r="AS385" s="166"/>
      <c r="AT385" s="166"/>
      <c r="AU385" s="363"/>
      <c r="AV385" s="368"/>
      <c r="AW385" s="363"/>
      <c r="AX385" s="363"/>
      <c r="AY385" s="364"/>
      <c r="AZ385" s="365"/>
      <c r="BA385" s="366"/>
      <c r="BB385" s="27"/>
    </row>
    <row r="386" spans="1:54">
      <c r="A386" s="2" t="str">
        <f t="shared" si="51"/>
        <v>Low Income - SF Retrofit_Foundation Insulation</v>
      </c>
      <c r="B386" s="18">
        <v>383</v>
      </c>
      <c r="C386" s="23" t="s">
        <v>714</v>
      </c>
      <c r="D386" s="18" t="s">
        <v>432</v>
      </c>
      <c r="E386" s="23" t="s">
        <v>418</v>
      </c>
      <c r="F386" s="23">
        <v>50</v>
      </c>
      <c r="G386" s="154">
        <v>1</v>
      </c>
      <c r="H386" s="469">
        <v>25</v>
      </c>
      <c r="I386" s="458">
        <v>25</v>
      </c>
      <c r="J386" s="23">
        <v>11</v>
      </c>
      <c r="K386" s="23">
        <v>11</v>
      </c>
      <c r="L386" s="23">
        <v>11</v>
      </c>
      <c r="M386" s="23">
        <v>11</v>
      </c>
      <c r="N386" s="216">
        <f>(1/X386-1/Z386)*(1-AB386)*24*AF386/(AH386*100067)*AD386</f>
        <v>8.2417994229580488E-2</v>
      </c>
      <c r="O386" s="215">
        <f t="shared" si="55"/>
        <v>8.2417994229580488E-2</v>
      </c>
      <c r="P386" s="215">
        <f t="shared" si="55"/>
        <v>8.2417994229580488E-2</v>
      </c>
      <c r="Q386" s="215">
        <f t="shared" si="55"/>
        <v>8.2417994229580488E-2</v>
      </c>
      <c r="R386" s="15" t="s">
        <v>839</v>
      </c>
      <c r="S386" s="15" t="s">
        <v>841</v>
      </c>
      <c r="T386" s="15" t="s">
        <v>431</v>
      </c>
      <c r="U386" s="15" t="s">
        <v>430</v>
      </c>
      <c r="V386" s="166" t="s">
        <v>409</v>
      </c>
      <c r="W386" s="166" t="s">
        <v>415</v>
      </c>
      <c r="X386" s="166">
        <v>4</v>
      </c>
      <c r="Y386" s="166" t="s">
        <v>414</v>
      </c>
      <c r="Z386" s="166">
        <f>13+1</f>
        <v>14</v>
      </c>
      <c r="AA386" s="158" t="s">
        <v>413</v>
      </c>
      <c r="AB386" s="419">
        <v>0.25</v>
      </c>
      <c r="AC386" s="158" t="s">
        <v>412</v>
      </c>
      <c r="AD386" s="419">
        <v>0.6</v>
      </c>
      <c r="AE386" s="158" t="s">
        <v>411</v>
      </c>
      <c r="AF386" s="166">
        <v>3079</v>
      </c>
      <c r="AG386" s="166" t="s">
        <v>410</v>
      </c>
      <c r="AH386" s="419">
        <v>0.72</v>
      </c>
      <c r="AI386" s="166"/>
      <c r="AJ386" s="166"/>
      <c r="AK386" s="166"/>
      <c r="AL386" s="166"/>
      <c r="AM386" s="166"/>
      <c r="AN386" s="166"/>
      <c r="AO386" s="166"/>
      <c r="AP386" s="166"/>
      <c r="AQ386" s="166"/>
      <c r="AR386" s="166"/>
      <c r="AS386" s="166"/>
      <c r="AT386" s="166"/>
      <c r="AU386" s="363"/>
      <c r="AV386" s="368"/>
      <c r="AW386" s="363"/>
      <c r="AX386" s="363"/>
      <c r="AY386" s="364"/>
      <c r="AZ386" s="365"/>
      <c r="BA386" s="366"/>
      <c r="BB386" s="27"/>
    </row>
    <row r="387" spans="1:54">
      <c r="A387" s="2" t="str">
        <f t="shared" si="51"/>
        <v>Low Income - SF Retrofit_Rim Joist Insulation</v>
      </c>
      <c r="B387" s="18">
        <v>384</v>
      </c>
      <c r="C387" s="23" t="s">
        <v>714</v>
      </c>
      <c r="D387" s="18" t="s">
        <v>419</v>
      </c>
      <c r="E387" s="23" t="s">
        <v>418</v>
      </c>
      <c r="F387" s="23">
        <v>50</v>
      </c>
      <c r="G387" s="154">
        <v>1</v>
      </c>
      <c r="H387" s="469">
        <v>25</v>
      </c>
      <c r="I387" s="458">
        <v>25</v>
      </c>
      <c r="J387" s="23">
        <v>11</v>
      </c>
      <c r="K387" s="23">
        <v>11</v>
      </c>
      <c r="L387" s="23">
        <v>11</v>
      </c>
      <c r="M387" s="23">
        <v>11</v>
      </c>
      <c r="N387" s="411">
        <f xml:space="preserve">  (1/X387 - 1/Z387) * 1 * (1-AB387) * AF387 * 24 * AD387 / (AH387 * 100000)</f>
        <v>0.6476466666666667</v>
      </c>
      <c r="O387" s="215">
        <f t="shared" si="55"/>
        <v>0.6476466666666667</v>
      </c>
      <c r="P387" s="215">
        <f t="shared" si="55"/>
        <v>0.6476466666666667</v>
      </c>
      <c r="Q387" s="215">
        <f t="shared" si="55"/>
        <v>0.6476466666666667</v>
      </c>
      <c r="R387" s="15" t="s">
        <v>839</v>
      </c>
      <c r="S387" s="15" t="s">
        <v>841</v>
      </c>
      <c r="T387" s="15" t="s">
        <v>417</v>
      </c>
      <c r="U387" s="15" t="s">
        <v>416</v>
      </c>
      <c r="V387" s="416" t="s">
        <v>855</v>
      </c>
      <c r="W387" s="166" t="s">
        <v>415</v>
      </c>
      <c r="X387" s="166">
        <v>1</v>
      </c>
      <c r="Y387" s="416" t="s">
        <v>856</v>
      </c>
      <c r="Z387" s="166">
        <v>3</v>
      </c>
      <c r="AA387" s="417" t="s">
        <v>857</v>
      </c>
      <c r="AB387" s="426">
        <v>0.05</v>
      </c>
      <c r="AC387" s="417" t="s">
        <v>858</v>
      </c>
      <c r="AD387" s="419">
        <v>0.6</v>
      </c>
      <c r="AE387" s="158" t="s">
        <v>411</v>
      </c>
      <c r="AF387" s="166">
        <v>5113</v>
      </c>
      <c r="AG387" s="166" t="s">
        <v>410</v>
      </c>
      <c r="AH387" s="419">
        <v>0.72</v>
      </c>
      <c r="AI387" s="166"/>
      <c r="AJ387" s="166"/>
      <c r="AK387" s="166"/>
      <c r="AL387" s="166"/>
      <c r="AM387" s="166"/>
      <c r="AN387" s="166"/>
      <c r="AO387" s="166"/>
      <c r="AP387" s="166"/>
      <c r="AQ387" s="166"/>
      <c r="AR387" s="166"/>
      <c r="AS387" s="166"/>
      <c r="AT387" s="166"/>
      <c r="AU387" s="363"/>
      <c r="AV387" s="368"/>
      <c r="AW387" s="363"/>
      <c r="AX387" s="363"/>
      <c r="AY387" s="364"/>
      <c r="AZ387" s="365"/>
      <c r="BA387" s="366"/>
      <c r="BB387" s="27"/>
    </row>
    <row r="388" spans="1:54">
      <c r="A388" s="2" t="str">
        <f t="shared" si="51"/>
        <v>Low Income - SF Retrofit_Water Heater - Storage 0.67 EF</v>
      </c>
      <c r="B388" s="18">
        <v>385</v>
      </c>
      <c r="C388" s="23" t="s">
        <v>714</v>
      </c>
      <c r="D388" s="18" t="s">
        <v>387</v>
      </c>
      <c r="E388" s="23" t="s">
        <v>150</v>
      </c>
      <c r="F388" s="23">
        <v>1</v>
      </c>
      <c r="G388" s="154">
        <v>1</v>
      </c>
      <c r="H388" s="469">
        <v>13</v>
      </c>
      <c r="I388" s="458">
        <v>13</v>
      </c>
      <c r="J388" s="23">
        <v>3</v>
      </c>
      <c r="K388" s="23">
        <v>3</v>
      </c>
      <c r="L388" s="23">
        <v>3</v>
      </c>
      <c r="M388" s="23">
        <v>3</v>
      </c>
      <c r="N388" s="455">
        <f>(((1/X388)-(1/Z388))*(AB388*AD388*365.25*AF388*(AH388-AJ388)*1))/100000</f>
        <v>15.645447674402874</v>
      </c>
      <c r="O388" s="215">
        <f t="shared" si="55"/>
        <v>15.645447674402874</v>
      </c>
      <c r="P388" s="215">
        <f t="shared" si="55"/>
        <v>15.645447674402874</v>
      </c>
      <c r="Q388" s="215">
        <f t="shared" si="55"/>
        <v>15.645447674402874</v>
      </c>
      <c r="R388" s="15" t="s">
        <v>839</v>
      </c>
      <c r="S388" s="15" t="s">
        <v>841</v>
      </c>
      <c r="T388" s="15" t="s">
        <v>386</v>
      </c>
      <c r="U388" s="15" t="s">
        <v>385</v>
      </c>
      <c r="V388" s="417" t="s">
        <v>859</v>
      </c>
      <c r="W388" s="416" t="s">
        <v>860</v>
      </c>
      <c r="X388" s="444">
        <f xml:space="preserve"> 0.6483 - ( 0.0017 * AL388 )</f>
        <v>0.58030000000000004</v>
      </c>
      <c r="Y388" s="416" t="s">
        <v>861</v>
      </c>
      <c r="Z388" s="416">
        <v>0.64</v>
      </c>
      <c r="AA388" s="158" t="s">
        <v>256</v>
      </c>
      <c r="AB388" s="166">
        <v>17.600000000000001</v>
      </c>
      <c r="AC388" s="158" t="s">
        <v>384</v>
      </c>
      <c r="AD388" s="166">
        <v>2.56</v>
      </c>
      <c r="AE388" s="166" t="s">
        <v>383</v>
      </c>
      <c r="AF388" s="166">
        <v>8.33</v>
      </c>
      <c r="AG388" s="166" t="s">
        <v>257</v>
      </c>
      <c r="AH388" s="166">
        <v>125</v>
      </c>
      <c r="AI388" s="166" t="s">
        <v>250</v>
      </c>
      <c r="AJ388" s="166">
        <v>54</v>
      </c>
      <c r="AK388" s="166" t="s">
        <v>382</v>
      </c>
      <c r="AL388" s="166">
        <v>40</v>
      </c>
      <c r="AM388" s="166"/>
      <c r="AN388" s="166"/>
      <c r="AO388" s="166"/>
      <c r="AP388" s="166"/>
      <c r="AQ388" s="166"/>
      <c r="AR388" s="166"/>
      <c r="AS388" s="166"/>
      <c r="AT388" s="166"/>
      <c r="AU388" s="363"/>
      <c r="AV388" s="368"/>
      <c r="AW388" s="363"/>
      <c r="AX388" s="363"/>
      <c r="AY388" s="364"/>
      <c r="AZ388" s="365"/>
      <c r="BA388" s="366"/>
      <c r="BB388" s="27"/>
    </row>
    <row r="389" spans="1:54">
      <c r="A389" s="2" t="str">
        <f t="shared" ref="A389:A421" si="57">C389&amp;"_"&amp;D389</f>
        <v>Low Income - SF Retrofit_Boiler ≥90% AFUE, &lt;300MBh</v>
      </c>
      <c r="B389" s="18">
        <v>386</v>
      </c>
      <c r="C389" s="23" t="s">
        <v>714</v>
      </c>
      <c r="D389" s="18" t="s">
        <v>730</v>
      </c>
      <c r="E389" s="23" t="s">
        <v>150</v>
      </c>
      <c r="F389" s="23">
        <v>1</v>
      </c>
      <c r="G389" s="154">
        <v>1</v>
      </c>
      <c r="H389" s="469">
        <v>25</v>
      </c>
      <c r="I389" s="458">
        <v>25</v>
      </c>
      <c r="J389" s="23">
        <v>3</v>
      </c>
      <c r="K389" s="23">
        <v>3</v>
      </c>
      <c r="L389" s="23">
        <v>3</v>
      </c>
      <c r="M389" s="23">
        <v>3</v>
      </c>
      <c r="N389" s="455">
        <f xml:space="preserve"> (X389 * Z389 * (AB389 / AD389 -1)) / 100000</f>
        <v>95.219512195122036</v>
      </c>
      <c r="O389" s="215">
        <f t="shared" si="55"/>
        <v>95.219512195122036</v>
      </c>
      <c r="P389" s="215">
        <f t="shared" si="55"/>
        <v>95.219512195122036</v>
      </c>
      <c r="Q389" s="215">
        <f t="shared" si="55"/>
        <v>95.219512195122036</v>
      </c>
      <c r="R389" s="15" t="s">
        <v>839</v>
      </c>
      <c r="S389" s="15" t="s">
        <v>841</v>
      </c>
      <c r="T389" s="15" t="s">
        <v>405</v>
      </c>
      <c r="U389" s="15" t="s">
        <v>404</v>
      </c>
      <c r="V389" s="416" t="s">
        <v>844</v>
      </c>
      <c r="W389" s="416" t="s">
        <v>303</v>
      </c>
      <c r="X389" s="422">
        <v>976</v>
      </c>
      <c r="Y389" s="416" t="s">
        <v>845</v>
      </c>
      <c r="Z389" s="423">
        <v>100000</v>
      </c>
      <c r="AA389" s="158" t="s">
        <v>299</v>
      </c>
      <c r="AB389" s="419">
        <v>0.9</v>
      </c>
      <c r="AC389" s="158" t="s">
        <v>390</v>
      </c>
      <c r="AD389" s="421">
        <v>0.82</v>
      </c>
      <c r="AE389" s="158"/>
      <c r="AF389" s="421"/>
      <c r="AG389" s="166"/>
      <c r="AH389" s="166"/>
      <c r="AI389" s="166"/>
      <c r="AJ389" s="166"/>
      <c r="AK389" s="166"/>
      <c r="AL389" s="166"/>
      <c r="AM389" s="166"/>
      <c r="AN389" s="166"/>
      <c r="AO389" s="166"/>
      <c r="AP389" s="166"/>
      <c r="AQ389" s="166"/>
      <c r="AR389" s="166"/>
      <c r="AS389" s="166"/>
      <c r="AT389" s="166"/>
      <c r="AU389" s="363"/>
      <c r="AV389" s="368"/>
      <c r="AW389" s="363"/>
      <c r="AX389" s="363"/>
      <c r="AY389" s="364"/>
      <c r="AZ389" s="365"/>
      <c r="BA389" s="366"/>
      <c r="BB389" s="27"/>
    </row>
    <row r="390" spans="1:54">
      <c r="A390" s="2" t="str">
        <f t="shared" si="57"/>
        <v>Low Income - SF Retrofit_Furnace &gt;95% AFUE</v>
      </c>
      <c r="B390" s="18">
        <v>387</v>
      </c>
      <c r="C390" s="23" t="s">
        <v>714</v>
      </c>
      <c r="D390" s="18" t="s">
        <v>1060</v>
      </c>
      <c r="E390" s="23" t="s">
        <v>150</v>
      </c>
      <c r="F390" s="23">
        <v>1</v>
      </c>
      <c r="G390" s="154">
        <v>1</v>
      </c>
      <c r="H390" s="469">
        <v>20</v>
      </c>
      <c r="I390" s="458">
        <v>20</v>
      </c>
      <c r="J390" s="23">
        <v>3</v>
      </c>
      <c r="K390" s="23">
        <v>3</v>
      </c>
      <c r="L390" s="23">
        <v>3</v>
      </c>
      <c r="M390" s="23">
        <v>3</v>
      </c>
      <c r="N390" s="455">
        <f xml:space="preserve"> ((X390 * Z390)/(1-AH390) * (((AD390 * (1-AH390)) / (AB390 * (1-AF390))) - 1)) / 100000</f>
        <v>156.41025641025624</v>
      </c>
      <c r="O390" s="215">
        <f t="shared" si="55"/>
        <v>156.41025641025624</v>
      </c>
      <c r="P390" s="215">
        <f t="shared" si="55"/>
        <v>156.41025641025624</v>
      </c>
      <c r="Q390" s="215">
        <f t="shared" si="55"/>
        <v>156.41025641025624</v>
      </c>
      <c r="R390" s="15" t="s">
        <v>839</v>
      </c>
      <c r="S390" s="15" t="s">
        <v>841</v>
      </c>
      <c r="T390" s="15" t="s">
        <v>401</v>
      </c>
      <c r="U390" s="15" t="s">
        <v>400</v>
      </c>
      <c r="V390" s="416" t="s">
        <v>846</v>
      </c>
      <c r="W390" s="416" t="s">
        <v>303</v>
      </c>
      <c r="X390" s="422">
        <v>976</v>
      </c>
      <c r="Y390" s="416" t="s">
        <v>845</v>
      </c>
      <c r="Z390" s="424">
        <v>80000</v>
      </c>
      <c r="AA390" s="158" t="s">
        <v>390</v>
      </c>
      <c r="AB390" s="419">
        <v>0.8</v>
      </c>
      <c r="AC390" s="158" t="s">
        <v>299</v>
      </c>
      <c r="AD390" s="419">
        <v>0.95</v>
      </c>
      <c r="AE390" s="165" t="s">
        <v>398</v>
      </c>
      <c r="AF390" s="421">
        <v>6.4000000000000001E-2</v>
      </c>
      <c r="AG390" s="166" t="s">
        <v>397</v>
      </c>
      <c r="AH390" s="421">
        <v>6.4000000000000001E-2</v>
      </c>
      <c r="AI390" s="166"/>
      <c r="AJ390" s="166"/>
      <c r="AK390" s="166"/>
      <c r="AL390" s="166"/>
      <c r="AM390" s="166"/>
      <c r="AN390" s="166"/>
      <c r="AO390" s="166"/>
      <c r="AP390" s="166"/>
      <c r="AQ390" s="166"/>
      <c r="AR390" s="166"/>
      <c r="AS390" s="166"/>
      <c r="AT390" s="166"/>
      <c r="AU390" s="363"/>
      <c r="AV390" s="368"/>
      <c r="AW390" s="363"/>
      <c r="AX390" s="363"/>
      <c r="AY390" s="364"/>
      <c r="AZ390" s="365"/>
      <c r="BA390" s="366"/>
      <c r="BB390" s="27"/>
    </row>
    <row r="391" spans="1:54">
      <c r="A391" s="2" t="str">
        <f t="shared" si="57"/>
        <v>Low Income - SF Retrofit_Furnace Clean &amp; Tune</v>
      </c>
      <c r="B391" s="18">
        <v>388</v>
      </c>
      <c r="C391" s="23" t="s">
        <v>714</v>
      </c>
      <c r="D391" s="18" t="s">
        <v>395</v>
      </c>
      <c r="E391" s="23" t="s">
        <v>150</v>
      </c>
      <c r="F391" s="23">
        <v>1</v>
      </c>
      <c r="G391" s="154">
        <v>1</v>
      </c>
      <c r="H391" s="469">
        <v>2</v>
      </c>
      <c r="I391" s="458">
        <v>2</v>
      </c>
      <c r="J391" s="23">
        <v>56</v>
      </c>
      <c r="K391" s="23">
        <v>56</v>
      </c>
      <c r="L391" s="23">
        <v>56</v>
      </c>
      <c r="M391" s="23">
        <v>56</v>
      </c>
      <c r="N391" s="216">
        <f>Z391*X391*(1/(AB391*(1-AD391))-1/(AB391*(1-AF391)))</f>
        <v>71.282051282051214</v>
      </c>
      <c r="O391" s="215">
        <f t="shared" ref="O391:Q410" si="58">N391</f>
        <v>71.282051282051214</v>
      </c>
      <c r="P391" s="215">
        <f t="shared" si="58"/>
        <v>71.282051282051214</v>
      </c>
      <c r="Q391" s="215">
        <f t="shared" si="58"/>
        <v>71.282051282051214</v>
      </c>
      <c r="R391" s="15" t="s">
        <v>839</v>
      </c>
      <c r="S391" s="15" t="s">
        <v>841</v>
      </c>
      <c r="T391" s="15" t="s">
        <v>394</v>
      </c>
      <c r="U391" s="15" t="s">
        <v>393</v>
      </c>
      <c r="V391" s="166"/>
      <c r="W391" s="166" t="s">
        <v>392</v>
      </c>
      <c r="X391" s="419">
        <v>1</v>
      </c>
      <c r="Y391" s="166" t="s">
        <v>391</v>
      </c>
      <c r="Z391" s="166">
        <v>834</v>
      </c>
      <c r="AA391" s="158" t="s">
        <v>390</v>
      </c>
      <c r="AB391" s="419">
        <v>0.8</v>
      </c>
      <c r="AC391" s="158" t="s">
        <v>389</v>
      </c>
      <c r="AD391" s="167">
        <v>6.4000000000000001E-2</v>
      </c>
      <c r="AE391" s="158" t="s">
        <v>388</v>
      </c>
      <c r="AF391" s="168">
        <v>0</v>
      </c>
      <c r="AG391" s="158"/>
      <c r="AH391" s="158"/>
      <c r="AI391" s="158"/>
      <c r="AJ391" s="158"/>
      <c r="AK391" s="158"/>
      <c r="AL391" s="158"/>
      <c r="AM391" s="158"/>
      <c r="AN391" s="158"/>
      <c r="AO391" s="166"/>
      <c r="AP391" s="166"/>
      <c r="AQ391" s="166"/>
      <c r="AR391" s="166"/>
      <c r="AS391" s="166"/>
      <c r="AT391" s="166"/>
      <c r="AU391" s="363"/>
      <c r="AV391" s="368"/>
      <c r="AW391" s="363"/>
      <c r="AX391" s="363"/>
      <c r="AY391" s="364"/>
      <c r="AZ391" s="365"/>
      <c r="BA391" s="366"/>
      <c r="BB391" s="27"/>
    </row>
    <row r="392" spans="1:54">
      <c r="A392" s="2" t="str">
        <f t="shared" si="57"/>
        <v>Low Income - SF Retrofit_Weatherstripping/Door Sweeps</v>
      </c>
      <c r="B392" s="18">
        <v>389</v>
      </c>
      <c r="C392" s="23" t="s">
        <v>714</v>
      </c>
      <c r="D392" s="18" t="s">
        <v>677</v>
      </c>
      <c r="E392" s="23" t="s">
        <v>691</v>
      </c>
      <c r="F392" s="23">
        <v>3</v>
      </c>
      <c r="G392" s="154">
        <v>1</v>
      </c>
      <c r="H392" s="469">
        <v>15</v>
      </c>
      <c r="I392" s="458">
        <v>15</v>
      </c>
      <c r="J392" s="23">
        <v>56</v>
      </c>
      <c r="K392" s="23">
        <v>56</v>
      </c>
      <c r="L392" s="23">
        <v>56</v>
      </c>
      <c r="M392" s="23">
        <v>56</v>
      </c>
      <c r="N392" s="217">
        <v>98</v>
      </c>
      <c r="O392" s="215">
        <f t="shared" si="58"/>
        <v>98</v>
      </c>
      <c r="P392" s="215">
        <f t="shared" si="58"/>
        <v>98</v>
      </c>
      <c r="Q392" s="215">
        <f t="shared" si="58"/>
        <v>98</v>
      </c>
      <c r="R392" s="15" t="s">
        <v>839</v>
      </c>
      <c r="S392" s="15" t="s">
        <v>841</v>
      </c>
      <c r="T392" s="19" t="s">
        <v>438</v>
      </c>
      <c r="U392" s="18" t="s">
        <v>437</v>
      </c>
      <c r="V392" s="412"/>
      <c r="W392" s="169"/>
      <c r="X392" s="169"/>
      <c r="Y392" s="412"/>
      <c r="Z392" s="412"/>
      <c r="AA392" s="170"/>
      <c r="AB392" s="412"/>
      <c r="AC392" s="157"/>
      <c r="AD392" s="412"/>
      <c r="AE392" s="157"/>
      <c r="AF392" s="412"/>
      <c r="AG392" s="412"/>
      <c r="AH392" s="412"/>
      <c r="AI392" s="412"/>
      <c r="AJ392" s="412"/>
      <c r="AK392" s="412"/>
      <c r="AL392" s="412"/>
      <c r="AM392" s="412"/>
      <c r="AN392" s="412"/>
      <c r="AO392" s="412"/>
      <c r="AP392" s="412"/>
      <c r="AQ392" s="412"/>
      <c r="AR392" s="412"/>
      <c r="AS392" s="412"/>
      <c r="AT392" s="412"/>
      <c r="AU392" s="363"/>
      <c r="AV392" s="368"/>
      <c r="AW392" s="363"/>
      <c r="AX392" s="363"/>
      <c r="AY392" s="364"/>
      <c r="AZ392" s="365"/>
      <c r="BA392" s="366"/>
      <c r="BB392" s="27"/>
    </row>
    <row r="393" spans="1:54">
      <c r="A393" s="2" t="str">
        <f t="shared" si="57"/>
        <v>Low Income - MF Retrofit_Bathroom Aerator</v>
      </c>
      <c r="B393" s="18">
        <v>390</v>
      </c>
      <c r="C393" s="23" t="s">
        <v>715</v>
      </c>
      <c r="D393" s="23" t="s">
        <v>733</v>
      </c>
      <c r="E393" s="23" t="s">
        <v>150</v>
      </c>
      <c r="F393" s="23">
        <v>1</v>
      </c>
      <c r="G393" s="154">
        <v>1</v>
      </c>
      <c r="H393" s="469">
        <v>9</v>
      </c>
      <c r="I393" s="465">
        <v>10</v>
      </c>
      <c r="J393" s="23">
        <v>188</v>
      </c>
      <c r="K393" s="23">
        <v>188</v>
      </c>
      <c r="L393" s="23">
        <v>188</v>
      </c>
      <c r="M393" s="23">
        <v>188</v>
      </c>
      <c r="N393" s="215">
        <f>100%*(((X393*AB393)-(Z393*AB393))*AL393*365.25*AD393/AF393)*AH393*AJ393</f>
        <v>1.6368815404525978</v>
      </c>
      <c r="O393" s="215">
        <f t="shared" si="58"/>
        <v>1.6368815404525978</v>
      </c>
      <c r="P393" s="215">
        <f t="shared" si="58"/>
        <v>1.6368815404525978</v>
      </c>
      <c r="Q393" s="215">
        <f t="shared" si="58"/>
        <v>1.6368815404525978</v>
      </c>
      <c r="R393" s="15" t="s">
        <v>839</v>
      </c>
      <c r="S393" s="15" t="s">
        <v>841</v>
      </c>
      <c r="T393" s="15" t="s">
        <v>470</v>
      </c>
      <c r="U393" s="15" t="s">
        <v>469</v>
      </c>
      <c r="V393" s="412" t="s">
        <v>467</v>
      </c>
      <c r="W393" s="413" t="s">
        <v>359</v>
      </c>
      <c r="X393" s="413">
        <v>1.53</v>
      </c>
      <c r="Y393" s="412" t="s">
        <v>358</v>
      </c>
      <c r="Z393" s="412">
        <v>0.94</v>
      </c>
      <c r="AA393" s="157" t="s">
        <v>357</v>
      </c>
      <c r="AB393" s="412">
        <v>1.6</v>
      </c>
      <c r="AC393" s="157" t="s">
        <v>468</v>
      </c>
      <c r="AD393" s="414">
        <v>0.9</v>
      </c>
      <c r="AE393" s="157" t="s">
        <v>364</v>
      </c>
      <c r="AF393" s="412">
        <v>1.5</v>
      </c>
      <c r="AG393" s="412" t="s">
        <v>355</v>
      </c>
      <c r="AH393" s="415">
        <f>8.33*1*(86-54.1)/(AN393*100000)</f>
        <v>3.9660746268656713E-3</v>
      </c>
      <c r="AI393" s="412" t="s">
        <v>354</v>
      </c>
      <c r="AJ393" s="412">
        <v>0.95</v>
      </c>
      <c r="AK393" s="412" t="s">
        <v>462</v>
      </c>
      <c r="AL393" s="412">
        <v>2.1</v>
      </c>
      <c r="AM393" s="412" t="s">
        <v>461</v>
      </c>
      <c r="AN393" s="414">
        <v>0.67</v>
      </c>
      <c r="AO393" s="166"/>
      <c r="AP393" s="166"/>
      <c r="AQ393" s="166"/>
      <c r="AR393" s="166"/>
      <c r="AS393" s="166"/>
      <c r="AT393" s="166"/>
      <c r="AU393" s="363"/>
      <c r="AV393" s="368"/>
      <c r="AW393" s="363"/>
      <c r="AX393" s="363"/>
      <c r="AY393" s="364"/>
      <c r="AZ393" s="365"/>
      <c r="BA393" s="366"/>
      <c r="BB393" s="27"/>
    </row>
    <row r="394" spans="1:54">
      <c r="A394" s="2" t="str">
        <f t="shared" si="57"/>
        <v>Low Income - MF Retrofit_Kitchen Aerator</v>
      </c>
      <c r="B394" s="18">
        <v>391</v>
      </c>
      <c r="C394" s="23" t="s">
        <v>715</v>
      </c>
      <c r="D394" s="23" t="s">
        <v>732</v>
      </c>
      <c r="E394" s="23" t="s">
        <v>150</v>
      </c>
      <c r="F394" s="23">
        <v>1</v>
      </c>
      <c r="G394" s="154">
        <v>1</v>
      </c>
      <c r="H394" s="469">
        <v>9</v>
      </c>
      <c r="I394" s="465">
        <v>10</v>
      </c>
      <c r="J394" s="23">
        <v>154</v>
      </c>
      <c r="K394" s="23">
        <v>154</v>
      </c>
      <c r="L394" s="23">
        <v>154</v>
      </c>
      <c r="M394" s="23">
        <v>154</v>
      </c>
      <c r="N394" s="215">
        <f>100%*(((X394*AB394)-(Z394*AB394))*AL394*365.25*AD394/AF394)*AH394*AJ394</f>
        <v>7.8612856931203403</v>
      </c>
      <c r="O394" s="215">
        <f t="shared" si="58"/>
        <v>7.8612856931203403</v>
      </c>
      <c r="P394" s="215">
        <f t="shared" si="58"/>
        <v>7.8612856931203403</v>
      </c>
      <c r="Q394" s="215">
        <f t="shared" si="58"/>
        <v>7.8612856931203403</v>
      </c>
      <c r="R394" s="15" t="s">
        <v>839</v>
      </c>
      <c r="S394" s="15" t="s">
        <v>841</v>
      </c>
      <c r="T394" s="15" t="s">
        <v>470</v>
      </c>
      <c r="U394" s="15" t="s">
        <v>469</v>
      </c>
      <c r="V394" s="412" t="s">
        <v>467</v>
      </c>
      <c r="W394" s="413" t="s">
        <v>359</v>
      </c>
      <c r="X394" s="413">
        <v>1.63</v>
      </c>
      <c r="Y394" s="412" t="s">
        <v>358</v>
      </c>
      <c r="Z394" s="412">
        <v>0.94</v>
      </c>
      <c r="AA394" s="157" t="s">
        <v>357</v>
      </c>
      <c r="AB394" s="412">
        <v>4.5</v>
      </c>
      <c r="AC394" s="157" t="s">
        <v>468</v>
      </c>
      <c r="AD394" s="414">
        <v>0.75</v>
      </c>
      <c r="AE394" s="157" t="s">
        <v>364</v>
      </c>
      <c r="AF394" s="412">
        <v>1</v>
      </c>
      <c r="AG394" s="412" t="s">
        <v>355</v>
      </c>
      <c r="AH394" s="415">
        <f>8.33*1*(93-54.1)/(AN394*100000)</f>
        <v>4.836373134328358E-3</v>
      </c>
      <c r="AI394" s="412" t="s">
        <v>354</v>
      </c>
      <c r="AJ394" s="412">
        <v>0.91</v>
      </c>
      <c r="AK394" s="412" t="s">
        <v>462</v>
      </c>
      <c r="AL394" s="412">
        <v>2.1</v>
      </c>
      <c r="AM394" s="412" t="s">
        <v>461</v>
      </c>
      <c r="AN394" s="414">
        <v>0.67</v>
      </c>
      <c r="AO394" s="166"/>
      <c r="AP394" s="166"/>
      <c r="AQ394" s="166"/>
      <c r="AR394" s="166"/>
      <c r="AS394" s="166"/>
      <c r="AT394" s="166"/>
      <c r="AU394" s="363"/>
      <c r="AV394" s="368"/>
      <c r="AW394" s="363"/>
      <c r="AX394" s="363"/>
      <c r="AY394" s="364"/>
      <c r="AZ394" s="365"/>
      <c r="BA394" s="366"/>
      <c r="BB394" s="27"/>
    </row>
    <row r="395" spans="1:54">
      <c r="A395" s="2" t="str">
        <f t="shared" si="57"/>
        <v>Low Income - MF Retrofit_Showerhead</v>
      </c>
      <c r="B395" s="18">
        <v>392</v>
      </c>
      <c r="C395" s="23" t="s">
        <v>715</v>
      </c>
      <c r="D395" s="23" t="s">
        <v>731</v>
      </c>
      <c r="E395" s="23" t="s">
        <v>150</v>
      </c>
      <c r="F395" s="23">
        <v>1</v>
      </c>
      <c r="G395" s="154">
        <v>1</v>
      </c>
      <c r="H395" s="469">
        <v>10</v>
      </c>
      <c r="I395" s="458">
        <v>10</v>
      </c>
      <c r="J395" s="23">
        <v>190</v>
      </c>
      <c r="K395" s="23">
        <v>190</v>
      </c>
      <c r="L395" s="23">
        <v>190</v>
      </c>
      <c r="M395" s="23">
        <v>190</v>
      </c>
      <c r="N395" s="215">
        <f>100%*((X395*AB395-Z395*AB395)*AL395*AF395*365.25/AH395)*AD395*AJ395</f>
        <v>11.319060638970004</v>
      </c>
      <c r="O395" s="215">
        <f t="shared" si="58"/>
        <v>11.319060638970004</v>
      </c>
      <c r="P395" s="215">
        <f t="shared" si="58"/>
        <v>11.319060638970004</v>
      </c>
      <c r="Q395" s="215">
        <f t="shared" si="58"/>
        <v>11.319060638970004</v>
      </c>
      <c r="R395" s="15" t="s">
        <v>839</v>
      </c>
      <c r="S395" s="15" t="s">
        <v>841</v>
      </c>
      <c r="T395" s="15" t="s">
        <v>466</v>
      </c>
      <c r="U395" s="15" t="s">
        <v>465</v>
      </c>
      <c r="V395" s="412" t="s">
        <v>460</v>
      </c>
      <c r="W395" s="413" t="s">
        <v>359</v>
      </c>
      <c r="X395" s="413">
        <v>2.2400000000000002</v>
      </c>
      <c r="Y395" s="412" t="s">
        <v>358</v>
      </c>
      <c r="Z395" s="412">
        <v>1.5</v>
      </c>
      <c r="AA395" s="157" t="s">
        <v>357</v>
      </c>
      <c r="AB395" s="412">
        <v>7.8</v>
      </c>
      <c r="AC395" s="157" t="s">
        <v>355</v>
      </c>
      <c r="AD395" s="415">
        <f>8.33*1*(101-54.1)/(AN395*100000)</f>
        <v>5.8309999999999994E-3</v>
      </c>
      <c r="AE395" s="157" t="s">
        <v>464</v>
      </c>
      <c r="AF395" s="412">
        <v>0.6</v>
      </c>
      <c r="AG395" s="412" t="s">
        <v>463</v>
      </c>
      <c r="AH395" s="412">
        <v>1.3</v>
      </c>
      <c r="AI395" s="412" t="s">
        <v>354</v>
      </c>
      <c r="AJ395" s="412">
        <v>0.95</v>
      </c>
      <c r="AK395" s="412" t="s">
        <v>462</v>
      </c>
      <c r="AL395" s="412">
        <v>2.1</v>
      </c>
      <c r="AM395" s="412" t="s">
        <v>461</v>
      </c>
      <c r="AN395" s="414">
        <v>0.67</v>
      </c>
      <c r="AO395" s="166"/>
      <c r="AP395" s="166"/>
      <c r="AQ395" s="166"/>
      <c r="AR395" s="166"/>
      <c r="AS395" s="166"/>
      <c r="AT395" s="166"/>
      <c r="AU395" s="363"/>
      <c r="AV395" s="368"/>
      <c r="AW395" s="363"/>
      <c r="AX395" s="363"/>
      <c r="AY395" s="364"/>
      <c r="AZ395" s="365"/>
      <c r="BA395" s="366"/>
      <c r="BB395" s="27"/>
    </row>
    <row r="396" spans="1:54">
      <c r="A396" s="2" t="str">
        <f t="shared" si="57"/>
        <v>Low Income - MF Retrofit_Pipe Insulation (DHW)</v>
      </c>
      <c r="B396" s="18">
        <v>393</v>
      </c>
      <c r="C396" s="23" t="s">
        <v>715</v>
      </c>
      <c r="D396" s="23" t="s">
        <v>1053</v>
      </c>
      <c r="E396" s="23" t="s">
        <v>210</v>
      </c>
      <c r="F396" s="23">
        <v>3</v>
      </c>
      <c r="G396" s="154">
        <v>1</v>
      </c>
      <c r="H396" s="469">
        <v>15</v>
      </c>
      <c r="I396" s="458">
        <v>15</v>
      </c>
      <c r="J396" s="23">
        <v>130</v>
      </c>
      <c r="K396" s="23">
        <v>130</v>
      </c>
      <c r="L396" s="23">
        <v>130</v>
      </c>
      <c r="M396" s="23">
        <v>130</v>
      </c>
      <c r="N396" s="411">
        <f xml:space="preserve"> ((X396 / Z396 - AB396 / AD396) * AF396 * AH396 * 8766) / AJ396 / 100000</f>
        <v>0.77039653846153844</v>
      </c>
      <c r="O396" s="215">
        <f t="shared" si="58"/>
        <v>0.77039653846153844</v>
      </c>
      <c r="P396" s="215">
        <f t="shared" si="58"/>
        <v>0.77039653846153844</v>
      </c>
      <c r="Q396" s="215">
        <f t="shared" si="58"/>
        <v>0.77039653846153844</v>
      </c>
      <c r="R396" s="15" t="s">
        <v>839</v>
      </c>
      <c r="S396" s="15" t="s">
        <v>841</v>
      </c>
      <c r="T396" s="15" t="s">
        <v>459</v>
      </c>
      <c r="U396" s="15" t="s">
        <v>458</v>
      </c>
      <c r="V396" s="416" t="s">
        <v>842</v>
      </c>
      <c r="W396" s="158" t="s">
        <v>451</v>
      </c>
      <c r="X396" s="166">
        <v>0.19600000000000001</v>
      </c>
      <c r="Y396" s="166" t="s">
        <v>454</v>
      </c>
      <c r="Z396" s="166">
        <v>1</v>
      </c>
      <c r="AA396" s="417" t="s">
        <v>843</v>
      </c>
      <c r="AB396" s="416">
        <v>0.32700000000000001</v>
      </c>
      <c r="AC396" s="166" t="s">
        <v>453</v>
      </c>
      <c r="AD396" s="166">
        <f>(1+3)</f>
        <v>4</v>
      </c>
      <c r="AE396" s="158" t="s">
        <v>260</v>
      </c>
      <c r="AF396" s="166">
        <v>1</v>
      </c>
      <c r="AG396" s="158" t="s">
        <v>304</v>
      </c>
      <c r="AH396" s="166">
        <v>60</v>
      </c>
      <c r="AI396" s="166" t="s">
        <v>457</v>
      </c>
      <c r="AJ396" s="166">
        <v>0.78</v>
      </c>
      <c r="AK396" s="166"/>
      <c r="AL396" s="166"/>
      <c r="AM396" s="166"/>
      <c r="AN396" s="166"/>
      <c r="AO396" s="166"/>
      <c r="AP396" s="166"/>
      <c r="AQ396" s="166"/>
      <c r="AR396" s="166"/>
      <c r="AS396" s="166"/>
      <c r="AT396" s="166"/>
      <c r="AU396" s="363"/>
      <c r="AV396" s="368"/>
      <c r="AW396" s="363"/>
      <c r="AX396" s="363"/>
      <c r="AY396" s="364"/>
      <c r="AZ396" s="366"/>
      <c r="BA396" s="366"/>
      <c r="BB396" s="27"/>
    </row>
    <row r="397" spans="1:54">
      <c r="A397" s="2" t="str">
        <f t="shared" si="57"/>
        <v>Low Income - MF Retrofit_Programmable Thermostat - Furnace</v>
      </c>
      <c r="B397" s="18">
        <v>394</v>
      </c>
      <c r="C397" s="23" t="s">
        <v>715</v>
      </c>
      <c r="D397" s="18" t="s">
        <v>702</v>
      </c>
      <c r="E397" s="23" t="s">
        <v>150</v>
      </c>
      <c r="F397" s="23">
        <v>1</v>
      </c>
      <c r="G397" s="154">
        <v>1</v>
      </c>
      <c r="H397" s="469">
        <v>5</v>
      </c>
      <c r="I397" s="465">
        <v>8</v>
      </c>
      <c r="J397" s="23">
        <v>130</v>
      </c>
      <c r="K397" s="23">
        <v>130</v>
      </c>
      <c r="L397" s="23">
        <v>130</v>
      </c>
      <c r="M397" s="23">
        <v>130</v>
      </c>
      <c r="N397" s="374">
        <f t="shared" ref="N397:N402" si="59">X397*Z397*AB397*AD397</f>
        <v>40.5015</v>
      </c>
      <c r="O397" s="215">
        <f t="shared" si="58"/>
        <v>40.5015</v>
      </c>
      <c r="P397" s="215">
        <f t="shared" si="58"/>
        <v>40.5015</v>
      </c>
      <c r="Q397" s="215">
        <f t="shared" si="58"/>
        <v>40.5015</v>
      </c>
      <c r="R397" s="15" t="s">
        <v>839</v>
      </c>
      <c r="S397" s="15" t="s">
        <v>841</v>
      </c>
      <c r="T397" s="15" t="s">
        <v>447</v>
      </c>
      <c r="U397" s="15" t="s">
        <v>446</v>
      </c>
      <c r="V397" s="412" t="s">
        <v>441</v>
      </c>
      <c r="W397" s="159" t="s">
        <v>445</v>
      </c>
      <c r="X397" s="160">
        <v>1005</v>
      </c>
      <c r="Y397" s="161" t="s">
        <v>444</v>
      </c>
      <c r="Z397" s="162">
        <v>6.2E-2</v>
      </c>
      <c r="AA397" s="157" t="s">
        <v>399</v>
      </c>
      <c r="AB397" s="163">
        <v>0.65</v>
      </c>
      <c r="AC397" s="157" t="s">
        <v>443</v>
      </c>
      <c r="AD397" s="163">
        <v>1</v>
      </c>
      <c r="AE397" s="157" t="s">
        <v>442</v>
      </c>
      <c r="AF397" s="164">
        <v>3.1399999999999997E-2</v>
      </c>
      <c r="AG397" s="166"/>
      <c r="AH397" s="166"/>
      <c r="AI397" s="166"/>
      <c r="AJ397" s="166"/>
      <c r="AK397" s="166"/>
      <c r="AL397" s="166"/>
      <c r="AM397" s="166"/>
      <c r="AN397" s="166"/>
      <c r="AO397" s="166"/>
      <c r="AP397" s="166"/>
      <c r="AQ397" s="166"/>
      <c r="AR397" s="166"/>
      <c r="AS397" s="166"/>
      <c r="AT397" s="166"/>
      <c r="AU397" s="363"/>
      <c r="AV397" s="368"/>
      <c r="AW397" s="363"/>
      <c r="AX397" s="363"/>
      <c r="AY397" s="364"/>
      <c r="AZ397" s="365"/>
      <c r="BA397" s="366"/>
      <c r="BB397" s="27"/>
    </row>
    <row r="398" spans="1:54">
      <c r="A398" s="2" t="str">
        <f t="shared" si="57"/>
        <v>Low Income - MF Retrofit_Programmable Thermostat - Boiler</v>
      </c>
      <c r="B398" s="18">
        <v>395</v>
      </c>
      <c r="C398" s="23" t="s">
        <v>715</v>
      </c>
      <c r="D398" s="18" t="s">
        <v>1054</v>
      </c>
      <c r="E398" s="23" t="s">
        <v>150</v>
      </c>
      <c r="F398" s="23">
        <v>1</v>
      </c>
      <c r="G398" s="154">
        <v>1</v>
      </c>
      <c r="H398" s="469">
        <v>5</v>
      </c>
      <c r="I398" s="465">
        <v>8</v>
      </c>
      <c r="J398" s="23">
        <v>10</v>
      </c>
      <c r="K398" s="23">
        <v>10</v>
      </c>
      <c r="L398" s="23">
        <v>10</v>
      </c>
      <c r="M398" s="23">
        <v>10</v>
      </c>
      <c r="N398" s="374">
        <f t="shared" si="59"/>
        <v>49.085400000000007</v>
      </c>
      <c r="O398" s="215">
        <f t="shared" si="58"/>
        <v>49.085400000000007</v>
      </c>
      <c r="P398" s="215">
        <f t="shared" si="58"/>
        <v>49.085400000000007</v>
      </c>
      <c r="Q398" s="215">
        <f t="shared" si="58"/>
        <v>49.085400000000007</v>
      </c>
      <c r="R398" s="15" t="s">
        <v>839</v>
      </c>
      <c r="S398" s="15" t="s">
        <v>841</v>
      </c>
      <c r="T398" s="15" t="s">
        <v>447</v>
      </c>
      <c r="U398" s="15" t="s">
        <v>446</v>
      </c>
      <c r="V398" s="412" t="s">
        <v>441</v>
      </c>
      <c r="W398" s="159" t="s">
        <v>445</v>
      </c>
      <c r="X398" s="160">
        <v>1218</v>
      </c>
      <c r="Y398" s="161" t="s">
        <v>444</v>
      </c>
      <c r="Z398" s="162">
        <v>6.2E-2</v>
      </c>
      <c r="AA398" s="157" t="s">
        <v>399</v>
      </c>
      <c r="AB398" s="163">
        <v>0.65</v>
      </c>
      <c r="AC398" s="157" t="s">
        <v>443</v>
      </c>
      <c r="AD398" s="163">
        <v>1</v>
      </c>
      <c r="AE398" s="157" t="s">
        <v>442</v>
      </c>
      <c r="AF398" s="164">
        <v>3.1399999999999997E-2</v>
      </c>
      <c r="AG398" s="166"/>
      <c r="AH398" s="166"/>
      <c r="AI398" s="166"/>
      <c r="AJ398" s="166"/>
      <c r="AK398" s="166"/>
      <c r="AL398" s="166"/>
      <c r="AM398" s="166"/>
      <c r="AN398" s="166"/>
      <c r="AO398" s="166"/>
      <c r="AP398" s="166"/>
      <c r="AQ398" s="166"/>
      <c r="AR398" s="166"/>
      <c r="AS398" s="166"/>
      <c r="AT398" s="166"/>
      <c r="AU398" s="363"/>
      <c r="AV398" s="368"/>
      <c r="AW398" s="363"/>
      <c r="AX398" s="363"/>
      <c r="AY398" s="364"/>
      <c r="AZ398" s="370"/>
      <c r="BA398" s="366"/>
      <c r="BB398" s="27"/>
    </row>
    <row r="399" spans="1:54">
      <c r="A399" s="2" t="str">
        <f t="shared" si="57"/>
        <v>Low Income - MF Retrofit_Advanced Thermostat - Furnace (Replace Manual)</v>
      </c>
      <c r="B399" s="18">
        <v>396</v>
      </c>
      <c r="C399" s="23" t="s">
        <v>715</v>
      </c>
      <c r="D399" s="18" t="s">
        <v>699</v>
      </c>
      <c r="E399" s="23" t="s">
        <v>150</v>
      </c>
      <c r="F399" s="23">
        <v>1</v>
      </c>
      <c r="G399" s="154">
        <v>1</v>
      </c>
      <c r="H399" s="469">
        <v>10</v>
      </c>
      <c r="I399" s="465">
        <v>11</v>
      </c>
      <c r="J399" s="23">
        <v>0</v>
      </c>
      <c r="K399" s="23">
        <f>J399</f>
        <v>0</v>
      </c>
      <c r="L399" s="23">
        <f>K399</f>
        <v>0</v>
      </c>
      <c r="M399" s="23">
        <f>L399</f>
        <v>0</v>
      </c>
      <c r="N399" s="217">
        <f t="shared" si="59"/>
        <v>57.485999999999997</v>
      </c>
      <c r="O399" s="215">
        <f t="shared" si="58"/>
        <v>57.485999999999997</v>
      </c>
      <c r="P399" s="215">
        <f t="shared" si="58"/>
        <v>57.485999999999997</v>
      </c>
      <c r="Q399" s="215">
        <f t="shared" si="58"/>
        <v>57.485999999999997</v>
      </c>
      <c r="R399" s="15" t="s">
        <v>839</v>
      </c>
      <c r="S399" s="15" t="s">
        <v>841</v>
      </c>
      <c r="T399" s="15" t="s">
        <v>49</v>
      </c>
      <c r="U399" s="15" t="s">
        <v>60</v>
      </c>
      <c r="V399" s="412" t="s">
        <v>441</v>
      </c>
      <c r="W399" s="159" t="s">
        <v>445</v>
      </c>
      <c r="X399" s="160">
        <v>1005</v>
      </c>
      <c r="Y399" s="161" t="s">
        <v>444</v>
      </c>
      <c r="Z399" s="162">
        <v>8.7999999999999995E-2</v>
      </c>
      <c r="AA399" s="157" t="s">
        <v>399</v>
      </c>
      <c r="AB399" s="163">
        <v>0.65</v>
      </c>
      <c r="AC399" s="157" t="s">
        <v>443</v>
      </c>
      <c r="AD399" s="163">
        <v>1</v>
      </c>
      <c r="AE399" s="157" t="s">
        <v>442</v>
      </c>
      <c r="AF399" s="164">
        <v>3.1399999999999997E-2</v>
      </c>
      <c r="AG399" s="166"/>
      <c r="AH399" s="166"/>
      <c r="AI399" s="166"/>
      <c r="AJ399" s="166"/>
      <c r="AK399" s="166"/>
      <c r="AL399" s="166"/>
      <c r="AM399" s="166"/>
      <c r="AN399" s="166"/>
      <c r="AO399" s="166"/>
      <c r="AP399" s="166"/>
      <c r="AQ399" s="166"/>
      <c r="AR399" s="166"/>
      <c r="AS399" s="166"/>
      <c r="AT399" s="166"/>
      <c r="AU399" s="363"/>
      <c r="AV399" s="368"/>
      <c r="AW399" s="363"/>
      <c r="AX399" s="363"/>
      <c r="AY399" s="364"/>
      <c r="AZ399" s="365"/>
      <c r="BA399" s="366"/>
      <c r="BB399" s="27"/>
    </row>
    <row r="400" spans="1:54">
      <c r="A400" s="2" t="str">
        <f t="shared" si="57"/>
        <v>Low Income - MF Retrofit_Advanced Thermostat - Boiler (Replace Manual)</v>
      </c>
      <c r="B400" s="18">
        <v>397</v>
      </c>
      <c r="C400" s="23" t="s">
        <v>715</v>
      </c>
      <c r="D400" s="18" t="s">
        <v>1055</v>
      </c>
      <c r="E400" s="23" t="s">
        <v>150</v>
      </c>
      <c r="F400" s="23">
        <v>1</v>
      </c>
      <c r="G400" s="154">
        <v>1</v>
      </c>
      <c r="H400" s="469">
        <v>10</v>
      </c>
      <c r="I400" s="465">
        <v>11</v>
      </c>
      <c r="J400" s="23">
        <v>4</v>
      </c>
      <c r="K400" s="23">
        <v>4</v>
      </c>
      <c r="L400" s="23">
        <v>4</v>
      </c>
      <c r="M400" s="23">
        <v>4</v>
      </c>
      <c r="N400" s="217">
        <f t="shared" si="59"/>
        <v>69.669600000000003</v>
      </c>
      <c r="O400" s="215">
        <f t="shared" si="58"/>
        <v>69.669600000000003</v>
      </c>
      <c r="P400" s="215">
        <f t="shared" si="58"/>
        <v>69.669600000000003</v>
      </c>
      <c r="Q400" s="215">
        <f t="shared" si="58"/>
        <v>69.669600000000003</v>
      </c>
      <c r="R400" s="15" t="s">
        <v>839</v>
      </c>
      <c r="S400" s="15" t="s">
        <v>841</v>
      </c>
      <c r="T400" s="15" t="s">
        <v>49</v>
      </c>
      <c r="U400" s="15" t="s">
        <v>60</v>
      </c>
      <c r="V400" s="412" t="s">
        <v>441</v>
      </c>
      <c r="W400" s="159" t="s">
        <v>445</v>
      </c>
      <c r="X400" s="160">
        <v>1218</v>
      </c>
      <c r="Y400" s="161" t="s">
        <v>444</v>
      </c>
      <c r="Z400" s="162">
        <v>8.7999999999999995E-2</v>
      </c>
      <c r="AA400" s="157" t="s">
        <v>399</v>
      </c>
      <c r="AB400" s="163">
        <v>0.65</v>
      </c>
      <c r="AC400" s="157" t="s">
        <v>443</v>
      </c>
      <c r="AD400" s="163">
        <v>1</v>
      </c>
      <c r="AE400" s="157" t="s">
        <v>442</v>
      </c>
      <c r="AF400" s="164">
        <v>3.1399999999999997E-2</v>
      </c>
      <c r="AG400" s="166"/>
      <c r="AH400" s="166"/>
      <c r="AI400" s="166"/>
      <c r="AJ400" s="166"/>
      <c r="AK400" s="166"/>
      <c r="AL400" s="166"/>
      <c r="AM400" s="166"/>
      <c r="AN400" s="166"/>
      <c r="AO400" s="166"/>
      <c r="AP400" s="166"/>
      <c r="AQ400" s="166"/>
      <c r="AR400" s="166"/>
      <c r="AS400" s="166"/>
      <c r="AT400" s="166"/>
      <c r="AU400" s="363"/>
      <c r="AV400" s="368"/>
      <c r="AW400" s="363"/>
      <c r="AX400" s="363"/>
      <c r="AY400" s="364"/>
      <c r="AZ400" s="365"/>
      <c r="BA400" s="366"/>
      <c r="BB400" s="27"/>
    </row>
    <row r="401" spans="1:54">
      <c r="A401" s="2" t="str">
        <f t="shared" si="57"/>
        <v>Low Income - MF Retrofit_Advanced Thermostat - Furnace (Replace Programmable)</v>
      </c>
      <c r="B401" s="18">
        <v>398</v>
      </c>
      <c r="C401" s="23" t="s">
        <v>715</v>
      </c>
      <c r="D401" s="18" t="s">
        <v>1056</v>
      </c>
      <c r="E401" s="23" t="s">
        <v>150</v>
      </c>
      <c r="F401" s="23">
        <v>1</v>
      </c>
      <c r="G401" s="154">
        <v>1</v>
      </c>
      <c r="H401" s="469">
        <v>10</v>
      </c>
      <c r="I401" s="465">
        <v>11</v>
      </c>
      <c r="J401" s="23">
        <v>0</v>
      </c>
      <c r="K401" s="23">
        <v>0</v>
      </c>
      <c r="L401" s="23">
        <v>0</v>
      </c>
      <c r="M401" s="23">
        <v>0</v>
      </c>
      <c r="N401" s="217">
        <f t="shared" si="59"/>
        <v>36.582000000000001</v>
      </c>
      <c r="O401" s="215">
        <f t="shared" si="58"/>
        <v>36.582000000000001</v>
      </c>
      <c r="P401" s="215">
        <f t="shared" si="58"/>
        <v>36.582000000000001</v>
      </c>
      <c r="Q401" s="215">
        <f t="shared" si="58"/>
        <v>36.582000000000001</v>
      </c>
      <c r="R401" s="15" t="s">
        <v>839</v>
      </c>
      <c r="S401" s="15" t="s">
        <v>841</v>
      </c>
      <c r="T401" s="15" t="s">
        <v>49</v>
      </c>
      <c r="U401" s="15" t="s">
        <v>60</v>
      </c>
      <c r="V401" s="412" t="s">
        <v>441</v>
      </c>
      <c r="W401" s="159" t="s">
        <v>445</v>
      </c>
      <c r="X401" s="160">
        <v>1005</v>
      </c>
      <c r="Y401" s="161" t="s">
        <v>444</v>
      </c>
      <c r="Z401" s="162">
        <v>5.6000000000000001E-2</v>
      </c>
      <c r="AA401" s="157" t="s">
        <v>399</v>
      </c>
      <c r="AB401" s="163">
        <v>0.65</v>
      </c>
      <c r="AC401" s="157" t="s">
        <v>443</v>
      </c>
      <c r="AD401" s="163">
        <v>1</v>
      </c>
      <c r="AE401" s="157" t="s">
        <v>442</v>
      </c>
      <c r="AF401" s="164">
        <v>3.1399999999999997E-2</v>
      </c>
      <c r="AG401" s="166"/>
      <c r="AH401" s="166"/>
      <c r="AI401" s="166"/>
      <c r="AJ401" s="166"/>
      <c r="AK401" s="166"/>
      <c r="AL401" s="166"/>
      <c r="AM401" s="166"/>
      <c r="AN401" s="166"/>
      <c r="AO401" s="166"/>
      <c r="AP401" s="166"/>
      <c r="AQ401" s="166"/>
      <c r="AR401" s="166"/>
      <c r="AS401" s="166"/>
      <c r="AT401" s="166"/>
      <c r="AU401" s="363"/>
      <c r="AV401" s="368"/>
      <c r="AW401" s="363"/>
      <c r="AX401" s="363"/>
      <c r="AY401" s="364"/>
      <c r="AZ401" s="365"/>
      <c r="BA401" s="366"/>
      <c r="BB401" s="27"/>
    </row>
    <row r="402" spans="1:54">
      <c r="A402" s="2" t="str">
        <f t="shared" si="57"/>
        <v>Low Income - MF Retrofit_Advanced Thermostat - Boiler (Replace Programmable)</v>
      </c>
      <c r="B402" s="18">
        <v>399</v>
      </c>
      <c r="C402" s="23" t="s">
        <v>715</v>
      </c>
      <c r="D402" s="18" t="s">
        <v>704</v>
      </c>
      <c r="E402" s="23" t="s">
        <v>150</v>
      </c>
      <c r="F402" s="23">
        <v>1</v>
      </c>
      <c r="G402" s="154">
        <v>1</v>
      </c>
      <c r="H402" s="469">
        <v>10</v>
      </c>
      <c r="I402" s="465">
        <v>11</v>
      </c>
      <c r="J402" s="23">
        <v>4</v>
      </c>
      <c r="K402" s="23">
        <v>4</v>
      </c>
      <c r="L402" s="23">
        <v>4</v>
      </c>
      <c r="M402" s="23">
        <v>4</v>
      </c>
      <c r="N402" s="217">
        <f t="shared" si="59"/>
        <v>44.3352</v>
      </c>
      <c r="O402" s="215">
        <f t="shared" si="58"/>
        <v>44.3352</v>
      </c>
      <c r="P402" s="215">
        <f t="shared" si="58"/>
        <v>44.3352</v>
      </c>
      <c r="Q402" s="215">
        <f t="shared" si="58"/>
        <v>44.3352</v>
      </c>
      <c r="R402" s="15" t="s">
        <v>839</v>
      </c>
      <c r="S402" s="15" t="s">
        <v>841</v>
      </c>
      <c r="T402" s="15" t="s">
        <v>49</v>
      </c>
      <c r="U402" s="15" t="s">
        <v>60</v>
      </c>
      <c r="V402" s="412" t="s">
        <v>441</v>
      </c>
      <c r="W402" s="159" t="s">
        <v>445</v>
      </c>
      <c r="X402" s="160">
        <v>1218</v>
      </c>
      <c r="Y402" s="161" t="s">
        <v>444</v>
      </c>
      <c r="Z402" s="162">
        <v>5.6000000000000001E-2</v>
      </c>
      <c r="AA402" s="157" t="s">
        <v>399</v>
      </c>
      <c r="AB402" s="163">
        <v>0.65</v>
      </c>
      <c r="AC402" s="157" t="s">
        <v>443</v>
      </c>
      <c r="AD402" s="163">
        <v>1</v>
      </c>
      <c r="AE402" s="157" t="s">
        <v>442</v>
      </c>
      <c r="AF402" s="164">
        <v>3.1399999999999997E-2</v>
      </c>
      <c r="AG402" s="166"/>
      <c r="AH402" s="166"/>
      <c r="AI402" s="166"/>
      <c r="AJ402" s="166"/>
      <c r="AK402" s="166"/>
      <c r="AL402" s="166"/>
      <c r="AM402" s="166"/>
      <c r="AN402" s="166"/>
      <c r="AO402" s="166"/>
      <c r="AP402" s="166"/>
      <c r="AQ402" s="166"/>
      <c r="AR402" s="166"/>
      <c r="AS402" s="166"/>
      <c r="AT402" s="166"/>
      <c r="AU402" s="363"/>
      <c r="AV402" s="368"/>
      <c r="AW402" s="363"/>
      <c r="AX402" s="363"/>
      <c r="AY402" s="364"/>
      <c r="AZ402" s="365"/>
      <c r="BA402" s="366"/>
      <c r="BB402" s="27"/>
    </row>
    <row r="403" spans="1:54">
      <c r="A403" s="2" t="str">
        <f t="shared" si="57"/>
        <v>Low Income - MF Retrofit_Water Heater Setback</v>
      </c>
      <c r="B403" s="18">
        <v>400</v>
      </c>
      <c r="C403" s="23" t="s">
        <v>715</v>
      </c>
      <c r="D403" s="18" t="s">
        <v>377</v>
      </c>
      <c r="E403" s="23" t="s">
        <v>150</v>
      </c>
      <c r="F403" s="23">
        <v>1</v>
      </c>
      <c r="G403" s="154">
        <v>1</v>
      </c>
      <c r="H403" s="469">
        <v>2</v>
      </c>
      <c r="I403" s="458">
        <v>2</v>
      </c>
      <c r="J403" s="23">
        <v>100</v>
      </c>
      <c r="K403" s="23">
        <v>100</v>
      </c>
      <c r="L403" s="23">
        <v>100</v>
      </c>
      <c r="M403" s="23">
        <v>100</v>
      </c>
      <c r="N403" s="215">
        <f>(AB403*AD403*(X403-Z403)*AF403)/(100000*AH403)</f>
        <v>4.0706360194029854</v>
      </c>
      <c r="O403" s="215">
        <f t="shared" si="58"/>
        <v>4.0706360194029854</v>
      </c>
      <c r="P403" s="215">
        <f t="shared" si="58"/>
        <v>4.0706360194029854</v>
      </c>
      <c r="Q403" s="215">
        <f t="shared" si="58"/>
        <v>4.0706360194029854</v>
      </c>
      <c r="R403" s="15" t="s">
        <v>839</v>
      </c>
      <c r="S403" s="15" t="s">
        <v>841</v>
      </c>
      <c r="T403" s="18" t="s">
        <v>376</v>
      </c>
      <c r="U403" s="18" t="s">
        <v>375</v>
      </c>
      <c r="V403" s="412" t="s">
        <v>369</v>
      </c>
      <c r="W403" s="412" t="s">
        <v>374</v>
      </c>
      <c r="X403" s="412">
        <v>135</v>
      </c>
      <c r="Y403" s="412" t="s">
        <v>373</v>
      </c>
      <c r="Z403" s="412">
        <v>120</v>
      </c>
      <c r="AA403" s="412" t="s">
        <v>372</v>
      </c>
      <c r="AB403" s="412">
        <v>8.3000000000000004E-2</v>
      </c>
      <c r="AC403" s="412" t="s">
        <v>371</v>
      </c>
      <c r="AD403" s="412">
        <v>24.99</v>
      </c>
      <c r="AE403" s="412" t="s">
        <v>153</v>
      </c>
      <c r="AF403" s="412">
        <v>8766</v>
      </c>
      <c r="AG403" s="412" t="s">
        <v>370</v>
      </c>
      <c r="AH403" s="443">
        <v>0.67</v>
      </c>
      <c r="AI403" s="412"/>
      <c r="AJ403" s="412"/>
      <c r="AK403" s="412"/>
      <c r="AL403" s="412"/>
      <c r="AM403" s="412"/>
      <c r="AN403" s="412"/>
      <c r="AO403" s="412"/>
      <c r="AP403" s="412"/>
      <c r="AQ403" s="412"/>
      <c r="AR403" s="412"/>
      <c r="AS403" s="412"/>
      <c r="AT403" s="412"/>
      <c r="AU403" s="363"/>
      <c r="AV403" s="368"/>
      <c r="AW403" s="363"/>
      <c r="AX403" s="363"/>
      <c r="AY403" s="364"/>
      <c r="AZ403" s="365"/>
      <c r="BA403" s="366"/>
      <c r="BB403" s="27"/>
    </row>
    <row r="404" spans="1:54">
      <c r="A404" s="2" t="str">
        <f t="shared" si="57"/>
        <v>Low Income - MF Retrofit_Air Sealing</v>
      </c>
      <c r="B404" s="18">
        <v>401</v>
      </c>
      <c r="C404" s="23" t="s">
        <v>715</v>
      </c>
      <c r="D404" s="18" t="s">
        <v>678</v>
      </c>
      <c r="E404" s="23" t="s">
        <v>150</v>
      </c>
      <c r="F404" s="23">
        <v>1</v>
      </c>
      <c r="G404" s="154">
        <v>1</v>
      </c>
      <c r="H404" s="469">
        <v>15</v>
      </c>
      <c r="I404" s="465">
        <v>20</v>
      </c>
      <c r="J404" s="23">
        <v>5</v>
      </c>
      <c r="K404" s="23">
        <v>5</v>
      </c>
      <c r="L404" s="23">
        <v>5</v>
      </c>
      <c r="M404" s="23">
        <v>5</v>
      </c>
      <c r="N404" s="29">
        <v>600</v>
      </c>
      <c r="O404" s="29">
        <f t="shared" si="58"/>
        <v>600</v>
      </c>
      <c r="P404" s="29">
        <f t="shared" si="58"/>
        <v>600</v>
      </c>
      <c r="Q404" s="29">
        <f t="shared" si="58"/>
        <v>600</v>
      </c>
      <c r="R404" s="18" t="s">
        <v>140</v>
      </c>
      <c r="S404" s="18" t="s">
        <v>140</v>
      </c>
      <c r="T404" s="18" t="s">
        <v>140</v>
      </c>
      <c r="U404" s="18" t="s">
        <v>140</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U404" s="363"/>
      <c r="AV404" s="368"/>
      <c r="AW404" s="363"/>
      <c r="AX404" s="363"/>
      <c r="AY404" s="364"/>
      <c r="AZ404" s="365"/>
      <c r="BA404" s="366"/>
      <c r="BB404" s="27"/>
    </row>
    <row r="405" spans="1:54">
      <c r="A405" s="2" t="str">
        <f t="shared" si="57"/>
        <v>Low Income - MF Retrofit_Attic Insulation &amp; Air Sealing</v>
      </c>
      <c r="B405" s="18">
        <v>402</v>
      </c>
      <c r="C405" s="23" t="s">
        <v>715</v>
      </c>
      <c r="D405" s="18" t="s">
        <v>679</v>
      </c>
      <c r="E405" s="23" t="s">
        <v>150</v>
      </c>
      <c r="F405" s="23">
        <v>1</v>
      </c>
      <c r="G405" s="154">
        <v>1</v>
      </c>
      <c r="H405" s="469">
        <v>15</v>
      </c>
      <c r="I405" s="465">
        <v>20</v>
      </c>
      <c r="J405" s="23">
        <v>5</v>
      </c>
      <c r="K405" s="23">
        <v>5</v>
      </c>
      <c r="L405" s="23">
        <v>5</v>
      </c>
      <c r="M405" s="23">
        <v>5</v>
      </c>
      <c r="N405" s="29">
        <v>1400</v>
      </c>
      <c r="O405" s="29">
        <f t="shared" si="58"/>
        <v>1400</v>
      </c>
      <c r="P405" s="29">
        <f t="shared" si="58"/>
        <v>1400</v>
      </c>
      <c r="Q405" s="29">
        <f t="shared" si="58"/>
        <v>1400</v>
      </c>
      <c r="R405" s="18" t="s">
        <v>140</v>
      </c>
      <c r="S405" s="18" t="s">
        <v>140</v>
      </c>
      <c r="T405" s="18" t="s">
        <v>140</v>
      </c>
      <c r="U405" s="18" t="s">
        <v>140</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U405" s="363"/>
      <c r="AV405" s="368"/>
      <c r="AW405" s="363"/>
      <c r="AX405" s="363"/>
      <c r="AY405" s="364"/>
      <c r="AZ405" s="365"/>
      <c r="BA405" s="366"/>
      <c r="BB405" s="27"/>
    </row>
    <row r="406" spans="1:54">
      <c r="A406" s="2" t="str">
        <f t="shared" si="57"/>
        <v>Low Income - MF Retrofit_Wall Insulation</v>
      </c>
      <c r="B406" s="18">
        <v>403</v>
      </c>
      <c r="C406" s="23" t="s">
        <v>715</v>
      </c>
      <c r="D406" s="18" t="s">
        <v>680</v>
      </c>
      <c r="E406" s="23" t="s">
        <v>150</v>
      </c>
      <c r="F406" s="23">
        <v>1</v>
      </c>
      <c r="G406" s="154">
        <v>1</v>
      </c>
      <c r="H406" s="469">
        <v>25</v>
      </c>
      <c r="I406" s="465">
        <v>20</v>
      </c>
      <c r="J406" s="23">
        <v>1</v>
      </c>
      <c r="K406" s="23">
        <v>1</v>
      </c>
      <c r="L406" s="23">
        <v>1</v>
      </c>
      <c r="M406" s="23">
        <v>1</v>
      </c>
      <c r="N406" s="215">
        <v>1500</v>
      </c>
      <c r="O406" s="215">
        <f t="shared" si="58"/>
        <v>1500</v>
      </c>
      <c r="P406" s="215">
        <f t="shared" si="58"/>
        <v>1500</v>
      </c>
      <c r="Q406" s="215">
        <f t="shared" si="58"/>
        <v>1500</v>
      </c>
      <c r="R406" s="18" t="s">
        <v>140</v>
      </c>
      <c r="S406" s="18" t="s">
        <v>140</v>
      </c>
      <c r="T406" s="18" t="s">
        <v>140</v>
      </c>
      <c r="U406" s="18" t="s">
        <v>140</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U406" s="363"/>
      <c r="AV406" s="368"/>
      <c r="AW406" s="363"/>
      <c r="AX406" s="363"/>
      <c r="AY406" s="364"/>
      <c r="AZ406" s="365"/>
      <c r="BA406" s="366"/>
      <c r="BB406" s="27"/>
    </row>
    <row r="407" spans="1:54">
      <c r="A407" s="2" t="str">
        <f t="shared" si="57"/>
        <v>Low Income - MF Retrofit_Pipe Insulation - DHW</v>
      </c>
      <c r="B407" s="18">
        <v>404</v>
      </c>
      <c r="C407" s="23" t="s">
        <v>715</v>
      </c>
      <c r="D407" s="18" t="s">
        <v>681</v>
      </c>
      <c r="E407" s="23" t="s">
        <v>150</v>
      </c>
      <c r="F407" s="23">
        <v>1</v>
      </c>
      <c r="G407" s="154">
        <v>1</v>
      </c>
      <c r="H407" s="469">
        <v>15</v>
      </c>
      <c r="I407" s="458">
        <v>15</v>
      </c>
      <c r="J407" s="23">
        <v>3</v>
      </c>
      <c r="K407" s="23">
        <v>3</v>
      </c>
      <c r="L407" s="23">
        <v>3</v>
      </c>
      <c r="M407" s="23">
        <v>3</v>
      </c>
      <c r="N407" s="215">
        <v>700</v>
      </c>
      <c r="O407" s="215">
        <f t="shared" si="58"/>
        <v>700</v>
      </c>
      <c r="P407" s="215">
        <f t="shared" si="58"/>
        <v>700</v>
      </c>
      <c r="Q407" s="215">
        <f t="shared" si="58"/>
        <v>700</v>
      </c>
      <c r="R407" s="18" t="s">
        <v>140</v>
      </c>
      <c r="S407" s="18" t="s">
        <v>140</v>
      </c>
      <c r="T407" s="18" t="s">
        <v>140</v>
      </c>
      <c r="U407" s="18" t="s">
        <v>140</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U407" s="363"/>
      <c r="AV407" s="368"/>
      <c r="AW407" s="363"/>
      <c r="AX407" s="363"/>
      <c r="AY407" s="364"/>
      <c r="AZ407" s="365"/>
      <c r="BA407" s="366"/>
      <c r="BB407" s="27"/>
    </row>
    <row r="408" spans="1:54">
      <c r="A408" s="2" t="str">
        <f t="shared" si="57"/>
        <v>Low Income - MF Retrofit_Pipe Insulation - Heating</v>
      </c>
      <c r="B408" s="18">
        <v>405</v>
      </c>
      <c r="C408" s="23" t="s">
        <v>715</v>
      </c>
      <c r="D408" s="18" t="s">
        <v>682</v>
      </c>
      <c r="E408" s="23" t="s">
        <v>150</v>
      </c>
      <c r="F408" s="23">
        <v>1</v>
      </c>
      <c r="G408" s="154">
        <v>1</v>
      </c>
      <c r="H408" s="469">
        <v>15</v>
      </c>
      <c r="I408" s="458">
        <v>15</v>
      </c>
      <c r="J408" s="23">
        <v>4</v>
      </c>
      <c r="K408" s="23">
        <v>4</v>
      </c>
      <c r="L408" s="23">
        <v>4</v>
      </c>
      <c r="M408" s="23">
        <v>4</v>
      </c>
      <c r="N408" s="215">
        <v>1100</v>
      </c>
      <c r="O408" s="215">
        <f t="shared" si="58"/>
        <v>1100</v>
      </c>
      <c r="P408" s="215">
        <f t="shared" si="58"/>
        <v>1100</v>
      </c>
      <c r="Q408" s="215">
        <f t="shared" si="58"/>
        <v>1100</v>
      </c>
      <c r="R408" s="18" t="s">
        <v>140</v>
      </c>
      <c r="S408" s="18" t="s">
        <v>140</v>
      </c>
      <c r="T408" s="18" t="s">
        <v>140</v>
      </c>
      <c r="U408" s="18" t="s">
        <v>140</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U408" s="363"/>
      <c r="AV408" s="368"/>
      <c r="AW408" s="363"/>
      <c r="AX408" s="363"/>
      <c r="AY408" s="364"/>
      <c r="AZ408" s="365"/>
      <c r="BA408" s="366"/>
      <c r="BB408" s="27"/>
    </row>
    <row r="409" spans="1:54">
      <c r="A409" s="2" t="str">
        <f t="shared" si="57"/>
        <v>Low Income - MF Retrofit_Boiler Tune-ups</v>
      </c>
      <c r="B409" s="18">
        <v>406</v>
      </c>
      <c r="C409" s="23" t="s">
        <v>715</v>
      </c>
      <c r="D409" s="18" t="s">
        <v>683</v>
      </c>
      <c r="E409" s="23" t="s">
        <v>150</v>
      </c>
      <c r="F409" s="23">
        <v>1</v>
      </c>
      <c r="G409" s="154">
        <v>1</v>
      </c>
      <c r="H409" s="469">
        <v>3</v>
      </c>
      <c r="I409" s="458">
        <v>3</v>
      </c>
      <c r="J409" s="23">
        <v>1</v>
      </c>
      <c r="K409" s="23">
        <v>1</v>
      </c>
      <c r="L409" s="23">
        <v>1</v>
      </c>
      <c r="M409" s="23">
        <v>1</v>
      </c>
      <c r="N409" s="215">
        <v>130</v>
      </c>
      <c r="O409" s="215">
        <f t="shared" si="58"/>
        <v>130</v>
      </c>
      <c r="P409" s="215">
        <f t="shared" si="58"/>
        <v>130</v>
      </c>
      <c r="Q409" s="215">
        <f t="shared" si="58"/>
        <v>130</v>
      </c>
      <c r="R409" s="18" t="s">
        <v>140</v>
      </c>
      <c r="S409" s="18" t="s">
        <v>140</v>
      </c>
      <c r="T409" s="18" t="s">
        <v>140</v>
      </c>
      <c r="U409" s="18" t="s">
        <v>140</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U409" s="363"/>
      <c r="AV409" s="368"/>
      <c r="AW409" s="363"/>
      <c r="AX409" s="363"/>
      <c r="AY409" s="364"/>
      <c r="AZ409" s="366"/>
      <c r="BA409" s="366"/>
      <c r="BB409" s="27"/>
    </row>
    <row r="410" spans="1:54">
      <c r="A410" s="2" t="str">
        <f t="shared" si="57"/>
        <v>Low Income - MF Retrofit_Outdoor Resets/Cutouts</v>
      </c>
      <c r="B410" s="18">
        <v>407</v>
      </c>
      <c r="C410" s="23" t="s">
        <v>715</v>
      </c>
      <c r="D410" s="18" t="s">
        <v>684</v>
      </c>
      <c r="E410" s="23" t="s">
        <v>150</v>
      </c>
      <c r="F410" s="23">
        <v>1</v>
      </c>
      <c r="G410" s="154">
        <v>1</v>
      </c>
      <c r="H410" s="469">
        <v>20</v>
      </c>
      <c r="I410" s="458">
        <v>20</v>
      </c>
      <c r="J410" s="23">
        <v>0</v>
      </c>
      <c r="K410" s="23">
        <f t="shared" ref="K410:M421" si="60">J410</f>
        <v>0</v>
      </c>
      <c r="L410" s="23">
        <f t="shared" si="60"/>
        <v>0</v>
      </c>
      <c r="M410" s="23">
        <f t="shared" si="60"/>
        <v>0</v>
      </c>
      <c r="N410" s="215">
        <v>1000</v>
      </c>
      <c r="O410" s="215">
        <f t="shared" si="58"/>
        <v>1000</v>
      </c>
      <c r="P410" s="215">
        <f t="shared" si="58"/>
        <v>1000</v>
      </c>
      <c r="Q410" s="215">
        <f t="shared" si="58"/>
        <v>1000</v>
      </c>
      <c r="R410" s="18" t="s">
        <v>140</v>
      </c>
      <c r="S410" s="18" t="s">
        <v>140</v>
      </c>
      <c r="T410" s="18" t="s">
        <v>140</v>
      </c>
      <c r="U410" s="18" t="s">
        <v>140</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U410" s="363"/>
      <c r="AV410" s="368"/>
      <c r="AW410" s="363"/>
      <c r="AX410" s="363"/>
      <c r="AY410" s="364"/>
      <c r="AZ410" s="366"/>
      <c r="BA410" s="366"/>
      <c r="BB410" s="27"/>
    </row>
    <row r="411" spans="1:54">
      <c r="A411" s="2" t="str">
        <f t="shared" si="57"/>
        <v>Low Income - MF Retrofit_Steam Trap</v>
      </c>
      <c r="B411" s="18">
        <v>408</v>
      </c>
      <c r="C411" s="23" t="s">
        <v>715</v>
      </c>
      <c r="D411" s="18" t="s">
        <v>685</v>
      </c>
      <c r="E411" s="23" t="s">
        <v>150</v>
      </c>
      <c r="F411" s="23">
        <v>75</v>
      </c>
      <c r="G411" s="154">
        <v>1</v>
      </c>
      <c r="H411" s="469">
        <v>6</v>
      </c>
      <c r="I411" s="458">
        <v>6</v>
      </c>
      <c r="J411" s="23">
        <v>1</v>
      </c>
      <c r="K411" s="23">
        <f t="shared" si="60"/>
        <v>1</v>
      </c>
      <c r="L411" s="23">
        <f t="shared" si="60"/>
        <v>1</v>
      </c>
      <c r="M411" s="23">
        <f t="shared" si="60"/>
        <v>1</v>
      </c>
      <c r="N411" s="217">
        <v>110</v>
      </c>
      <c r="O411" s="215">
        <f t="shared" ref="O411:Q421" si="61">N411</f>
        <v>110</v>
      </c>
      <c r="P411" s="215">
        <f t="shared" si="61"/>
        <v>110</v>
      </c>
      <c r="Q411" s="215">
        <f t="shared" si="61"/>
        <v>110</v>
      </c>
      <c r="R411" s="18" t="s">
        <v>140</v>
      </c>
      <c r="S411" s="18" t="s">
        <v>140</v>
      </c>
      <c r="T411" s="18" t="s">
        <v>140</v>
      </c>
      <c r="U411" s="18" t="s">
        <v>140</v>
      </c>
      <c r="V411" s="412"/>
      <c r="W411" s="169"/>
      <c r="X411" s="169"/>
      <c r="Y411" s="412"/>
      <c r="Z411" s="412"/>
      <c r="AA411" s="170"/>
      <c r="AB411" s="412"/>
      <c r="AC411" s="157"/>
      <c r="AD411" s="412"/>
      <c r="AE411" s="157"/>
      <c r="AF411" s="412"/>
      <c r="AG411" s="412"/>
      <c r="AH411" s="412"/>
      <c r="AI411" s="412"/>
      <c r="AJ411" s="412"/>
      <c r="AK411" s="412"/>
      <c r="AL411" s="412"/>
      <c r="AM411" s="412"/>
      <c r="AN411" s="412"/>
      <c r="AO411" s="412"/>
      <c r="AP411" s="412"/>
      <c r="AQ411" s="412"/>
      <c r="AR411" s="412"/>
      <c r="AS411" s="412"/>
      <c r="AT411" s="412"/>
      <c r="AU411" s="363"/>
      <c r="AV411" s="368"/>
      <c r="AW411" s="363"/>
      <c r="AX411" s="363"/>
      <c r="AY411" s="364"/>
      <c r="AZ411" s="366"/>
      <c r="BA411" s="366"/>
      <c r="BB411" s="27"/>
    </row>
    <row r="412" spans="1:54">
      <c r="A412" s="2" t="str">
        <f t="shared" si="57"/>
        <v>Low Income - MF Retrofit_Controls for Central DHW Pumps</v>
      </c>
      <c r="B412" s="18">
        <v>409</v>
      </c>
      <c r="C412" s="23" t="s">
        <v>715</v>
      </c>
      <c r="D412" s="18" t="s">
        <v>686</v>
      </c>
      <c r="E412" s="23" t="s">
        <v>150</v>
      </c>
      <c r="F412" s="23">
        <v>1</v>
      </c>
      <c r="G412" s="154">
        <v>1</v>
      </c>
      <c r="H412" s="469">
        <v>15</v>
      </c>
      <c r="I412" s="458">
        <v>15</v>
      </c>
      <c r="J412" s="23">
        <v>1</v>
      </c>
      <c r="K412" s="23">
        <f t="shared" si="60"/>
        <v>1</v>
      </c>
      <c r="L412" s="23">
        <f t="shared" si="60"/>
        <v>1</v>
      </c>
      <c r="M412" s="23">
        <f t="shared" si="60"/>
        <v>1</v>
      </c>
      <c r="N412" s="217">
        <v>1300</v>
      </c>
      <c r="O412" s="215">
        <f t="shared" si="61"/>
        <v>1300</v>
      </c>
      <c r="P412" s="215">
        <f t="shared" si="61"/>
        <v>1300</v>
      </c>
      <c r="Q412" s="215">
        <f t="shared" si="61"/>
        <v>1300</v>
      </c>
      <c r="R412" s="18" t="s">
        <v>140</v>
      </c>
      <c r="S412" s="18" t="s">
        <v>140</v>
      </c>
      <c r="T412" s="18" t="s">
        <v>140</v>
      </c>
      <c r="U412" s="18" t="s">
        <v>140</v>
      </c>
      <c r="V412" s="412"/>
      <c r="W412" s="169"/>
      <c r="X412" s="169"/>
      <c r="Y412" s="412"/>
      <c r="Z412" s="412"/>
      <c r="AA412" s="170"/>
      <c r="AB412" s="412"/>
      <c r="AC412" s="157"/>
      <c r="AD412" s="412"/>
      <c r="AE412" s="157"/>
      <c r="AF412" s="412"/>
      <c r="AG412" s="412"/>
      <c r="AH412" s="412"/>
      <c r="AI412" s="412"/>
      <c r="AJ412" s="412"/>
      <c r="AK412" s="412"/>
      <c r="AL412" s="412"/>
      <c r="AM412" s="412"/>
      <c r="AN412" s="412"/>
      <c r="AO412" s="412"/>
      <c r="AP412" s="412"/>
      <c r="AQ412" s="412"/>
      <c r="AR412" s="412"/>
      <c r="AS412" s="412"/>
      <c r="AT412" s="412"/>
      <c r="AU412" s="363"/>
      <c r="AV412" s="368"/>
      <c r="AW412" s="363"/>
      <c r="AX412" s="363"/>
      <c r="AY412" s="364"/>
      <c r="AZ412" s="366"/>
      <c r="BA412" s="366"/>
      <c r="BB412" s="27"/>
    </row>
    <row r="413" spans="1:54">
      <c r="A413" s="2" t="str">
        <f t="shared" si="57"/>
        <v>Low Income - MF Retrofit_Steam Boiler Averaging Controls</v>
      </c>
      <c r="B413" s="18">
        <v>410</v>
      </c>
      <c r="C413" s="23" t="s">
        <v>715</v>
      </c>
      <c r="D413" s="18" t="s">
        <v>277</v>
      </c>
      <c r="E413" s="23" t="s">
        <v>150</v>
      </c>
      <c r="F413" s="23">
        <v>1</v>
      </c>
      <c r="G413" s="154">
        <v>1</v>
      </c>
      <c r="H413" s="469">
        <v>15</v>
      </c>
      <c r="I413" s="458">
        <v>15</v>
      </c>
      <c r="J413" s="23">
        <v>1</v>
      </c>
      <c r="K413" s="23">
        <f t="shared" si="60"/>
        <v>1</v>
      </c>
      <c r="L413" s="23">
        <f t="shared" si="60"/>
        <v>1</v>
      </c>
      <c r="M413" s="23">
        <f t="shared" si="60"/>
        <v>1</v>
      </c>
      <c r="N413" s="215">
        <v>1200</v>
      </c>
      <c r="O413" s="215">
        <f t="shared" si="61"/>
        <v>1200</v>
      </c>
      <c r="P413" s="215">
        <f t="shared" si="61"/>
        <v>1200</v>
      </c>
      <c r="Q413" s="215">
        <f t="shared" si="61"/>
        <v>1200</v>
      </c>
      <c r="R413" s="18" t="s">
        <v>140</v>
      </c>
      <c r="S413" s="18" t="s">
        <v>140</v>
      </c>
      <c r="T413" s="18" t="s">
        <v>140</v>
      </c>
      <c r="U413" s="18" t="s">
        <v>140</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U413" s="363"/>
      <c r="AV413" s="368"/>
      <c r="AW413" s="363"/>
      <c r="AX413" s="363"/>
      <c r="AY413" s="364"/>
      <c r="AZ413" s="366"/>
      <c r="BA413" s="366"/>
      <c r="BB413" s="27"/>
    </row>
    <row r="414" spans="1:54">
      <c r="A414" s="2" t="str">
        <f t="shared" si="57"/>
        <v>Low Income - MF Retrofit_Boiler Replacement</v>
      </c>
      <c r="B414" s="18">
        <v>411</v>
      </c>
      <c r="C414" s="23" t="s">
        <v>715</v>
      </c>
      <c r="D414" s="18" t="s">
        <v>687</v>
      </c>
      <c r="E414" s="23" t="s">
        <v>150</v>
      </c>
      <c r="F414" s="23">
        <v>1</v>
      </c>
      <c r="G414" s="154">
        <v>1</v>
      </c>
      <c r="H414" s="469">
        <v>20</v>
      </c>
      <c r="I414" s="458">
        <v>20</v>
      </c>
      <c r="J414" s="23">
        <v>1</v>
      </c>
      <c r="K414" s="23">
        <f t="shared" si="60"/>
        <v>1</v>
      </c>
      <c r="L414" s="23">
        <f t="shared" si="60"/>
        <v>1</v>
      </c>
      <c r="M414" s="23">
        <f t="shared" si="60"/>
        <v>1</v>
      </c>
      <c r="N414" s="215">
        <v>1300</v>
      </c>
      <c r="O414" s="215">
        <f t="shared" si="61"/>
        <v>1300</v>
      </c>
      <c r="P414" s="215">
        <f t="shared" si="61"/>
        <v>1300</v>
      </c>
      <c r="Q414" s="215">
        <f t="shared" si="61"/>
        <v>1300</v>
      </c>
      <c r="R414" s="18" t="s">
        <v>140</v>
      </c>
      <c r="S414" s="18" t="s">
        <v>140</v>
      </c>
      <c r="T414" s="18" t="s">
        <v>140</v>
      </c>
      <c r="U414" s="18" t="s">
        <v>140</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U414" s="363"/>
      <c r="AV414" s="368"/>
      <c r="AW414" s="363"/>
      <c r="AX414" s="363"/>
      <c r="AY414" s="364"/>
      <c r="AZ414" s="366"/>
      <c r="BA414" s="366"/>
      <c r="BB414" s="27"/>
    </row>
    <row r="415" spans="1:54">
      <c r="A415" s="2" t="str">
        <f t="shared" si="57"/>
        <v>Low Income - MF Retrofit_DHW Replacement</v>
      </c>
      <c r="B415" s="18">
        <v>412</v>
      </c>
      <c r="C415" s="23" t="s">
        <v>715</v>
      </c>
      <c r="D415" s="18" t="s">
        <v>688</v>
      </c>
      <c r="E415" s="23" t="s">
        <v>150</v>
      </c>
      <c r="F415" s="23">
        <v>1</v>
      </c>
      <c r="G415" s="154">
        <v>1</v>
      </c>
      <c r="H415" s="469">
        <v>15</v>
      </c>
      <c r="I415" s="458">
        <v>15</v>
      </c>
      <c r="J415" s="23">
        <v>1</v>
      </c>
      <c r="K415" s="23">
        <f t="shared" si="60"/>
        <v>1</v>
      </c>
      <c r="L415" s="23">
        <f t="shared" si="60"/>
        <v>1</v>
      </c>
      <c r="M415" s="23">
        <f t="shared" si="60"/>
        <v>1</v>
      </c>
      <c r="N415" s="215">
        <v>800</v>
      </c>
      <c r="O415" s="215">
        <f t="shared" si="61"/>
        <v>800</v>
      </c>
      <c r="P415" s="215">
        <f t="shared" si="61"/>
        <v>800</v>
      </c>
      <c r="Q415" s="215">
        <f t="shared" si="61"/>
        <v>800</v>
      </c>
      <c r="R415" s="18" t="s">
        <v>140</v>
      </c>
      <c r="S415" s="18" t="s">
        <v>140</v>
      </c>
      <c r="T415" s="18" t="s">
        <v>140</v>
      </c>
      <c r="U415" s="18" t="s">
        <v>140</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U415" s="363"/>
      <c r="AV415" s="368"/>
      <c r="AW415" s="363"/>
      <c r="AX415" s="363"/>
      <c r="AY415" s="364"/>
      <c r="AZ415" s="366"/>
      <c r="BA415" s="366"/>
      <c r="BB415" s="27"/>
    </row>
    <row r="416" spans="1:54">
      <c r="A416" s="2" t="str">
        <f t="shared" si="57"/>
        <v>Low Income - MF Retrofit_HVAC Balancing/Optimizing</v>
      </c>
      <c r="B416" s="18">
        <v>413</v>
      </c>
      <c r="C416" s="23" t="s">
        <v>715</v>
      </c>
      <c r="D416" s="18" t="s">
        <v>689</v>
      </c>
      <c r="E416" s="23" t="s">
        <v>150</v>
      </c>
      <c r="F416" s="23">
        <v>1</v>
      </c>
      <c r="G416" s="154">
        <v>1</v>
      </c>
      <c r="H416" s="469">
        <v>15</v>
      </c>
      <c r="I416" s="458">
        <v>15</v>
      </c>
      <c r="J416" s="23">
        <v>1</v>
      </c>
      <c r="K416" s="23">
        <f t="shared" si="60"/>
        <v>1</v>
      </c>
      <c r="L416" s="23">
        <f t="shared" si="60"/>
        <v>1</v>
      </c>
      <c r="M416" s="23">
        <f t="shared" si="60"/>
        <v>1</v>
      </c>
      <c r="N416" s="215">
        <v>680</v>
      </c>
      <c r="O416" s="215">
        <f t="shared" si="61"/>
        <v>680</v>
      </c>
      <c r="P416" s="215">
        <f t="shared" si="61"/>
        <v>680</v>
      </c>
      <c r="Q416" s="215">
        <f t="shared" si="61"/>
        <v>680</v>
      </c>
      <c r="R416" s="18" t="s">
        <v>140</v>
      </c>
      <c r="S416" s="18" t="s">
        <v>140</v>
      </c>
      <c r="T416" s="18" t="s">
        <v>140</v>
      </c>
      <c r="U416" s="18" t="s">
        <v>140</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U416" s="363"/>
      <c r="AV416" s="368"/>
      <c r="AW416" s="363"/>
      <c r="AX416" s="363"/>
      <c r="AY416" s="364"/>
      <c r="AZ416" s="366"/>
      <c r="BA416" s="366"/>
      <c r="BB416" s="27"/>
    </row>
    <row r="417" spans="1:54">
      <c r="A417" s="2" t="str">
        <f t="shared" si="57"/>
        <v>Low Income - SF New Construction_Furnace &gt;95% AFUE</v>
      </c>
      <c r="B417" s="18">
        <v>414</v>
      </c>
      <c r="C417" s="23" t="s">
        <v>716</v>
      </c>
      <c r="D417" s="23" t="s">
        <v>1060</v>
      </c>
      <c r="E417" s="23" t="s">
        <v>150</v>
      </c>
      <c r="F417" s="23">
        <v>1</v>
      </c>
      <c r="G417" s="154">
        <v>1</v>
      </c>
      <c r="H417" s="469">
        <v>20</v>
      </c>
      <c r="I417" s="458">
        <v>20</v>
      </c>
      <c r="J417" s="23">
        <v>0</v>
      </c>
      <c r="K417" s="23">
        <f t="shared" si="60"/>
        <v>0</v>
      </c>
      <c r="L417" s="23">
        <f t="shared" si="60"/>
        <v>0</v>
      </c>
      <c r="M417" s="23">
        <f t="shared" si="60"/>
        <v>0</v>
      </c>
      <c r="N417" s="455">
        <f xml:space="preserve"> ((X417 * Z417)/(1-AH417) * (((AD417 * (1-AH417)) / (AB417 * (1-AF417))) - 1)) / 100000</f>
        <v>156.41025641025624</v>
      </c>
      <c r="O417" s="215">
        <f t="shared" si="61"/>
        <v>156.41025641025624</v>
      </c>
      <c r="P417" s="215">
        <f t="shared" si="61"/>
        <v>156.41025641025624</v>
      </c>
      <c r="Q417" s="215">
        <f t="shared" si="61"/>
        <v>156.41025641025624</v>
      </c>
      <c r="R417" s="15" t="s">
        <v>839</v>
      </c>
      <c r="S417" s="15" t="s">
        <v>841</v>
      </c>
      <c r="T417" s="15" t="s">
        <v>401</v>
      </c>
      <c r="U417" s="15" t="s">
        <v>400</v>
      </c>
      <c r="V417" s="416" t="s">
        <v>846</v>
      </c>
      <c r="W417" s="416" t="s">
        <v>303</v>
      </c>
      <c r="X417" s="422">
        <v>976</v>
      </c>
      <c r="Y417" s="416" t="s">
        <v>845</v>
      </c>
      <c r="Z417" s="424">
        <v>80000</v>
      </c>
      <c r="AA417" s="158" t="s">
        <v>390</v>
      </c>
      <c r="AB417" s="419">
        <v>0.8</v>
      </c>
      <c r="AC417" s="158" t="s">
        <v>299</v>
      </c>
      <c r="AD417" s="419">
        <v>0.95</v>
      </c>
      <c r="AE417" s="165" t="s">
        <v>398</v>
      </c>
      <c r="AF417" s="421">
        <v>6.4000000000000001E-2</v>
      </c>
      <c r="AG417" s="166" t="s">
        <v>397</v>
      </c>
      <c r="AH417" s="421">
        <v>6.4000000000000001E-2</v>
      </c>
      <c r="AI417" s="166"/>
      <c r="AJ417" s="166"/>
      <c r="AK417" s="166"/>
      <c r="AL417" s="166"/>
      <c r="AM417" s="166"/>
      <c r="AN417" s="166"/>
      <c r="AO417" s="166"/>
      <c r="AP417" s="166"/>
      <c r="AQ417" s="166"/>
      <c r="AR417" s="166"/>
      <c r="AS417" s="166"/>
      <c r="AT417" s="166"/>
      <c r="AU417" s="363"/>
      <c r="AV417" s="368"/>
      <c r="AW417" s="363"/>
      <c r="AX417" s="363"/>
      <c r="AY417" s="364"/>
      <c r="AZ417" s="366"/>
      <c r="BA417" s="366"/>
      <c r="BB417" s="27"/>
    </row>
    <row r="418" spans="1:54">
      <c r="A418" s="2" t="str">
        <f t="shared" si="57"/>
        <v>Low Income - SF New Construction_Water Heater - Storage 0.67 EF</v>
      </c>
      <c r="B418" s="18">
        <v>415</v>
      </c>
      <c r="C418" s="23" t="s">
        <v>716</v>
      </c>
      <c r="D418" s="23" t="s">
        <v>387</v>
      </c>
      <c r="E418" s="23" t="s">
        <v>150</v>
      </c>
      <c r="F418" s="23">
        <v>1</v>
      </c>
      <c r="G418" s="154">
        <v>1</v>
      </c>
      <c r="H418" s="469">
        <v>13</v>
      </c>
      <c r="I418" s="458">
        <v>13</v>
      </c>
      <c r="J418" s="23">
        <v>0</v>
      </c>
      <c r="K418" s="23">
        <f t="shared" si="60"/>
        <v>0</v>
      </c>
      <c r="L418" s="23">
        <f t="shared" si="60"/>
        <v>0</v>
      </c>
      <c r="M418" s="23">
        <f t="shared" si="60"/>
        <v>0</v>
      </c>
      <c r="N418" s="455">
        <f>(((1/X418)-(1/Z418))*(AB418*AD418*365.25*AF418*(AH418-AJ418)*1))/100000</f>
        <v>15.645447674402874</v>
      </c>
      <c r="O418" s="215">
        <f t="shared" si="61"/>
        <v>15.645447674402874</v>
      </c>
      <c r="P418" s="215">
        <f t="shared" si="61"/>
        <v>15.645447674402874</v>
      </c>
      <c r="Q418" s="215">
        <f t="shared" si="61"/>
        <v>15.645447674402874</v>
      </c>
      <c r="R418" s="15" t="s">
        <v>839</v>
      </c>
      <c r="S418" s="15" t="s">
        <v>841</v>
      </c>
      <c r="T418" s="15" t="s">
        <v>386</v>
      </c>
      <c r="U418" s="15" t="s">
        <v>385</v>
      </c>
      <c r="V418" s="417" t="s">
        <v>859</v>
      </c>
      <c r="W418" s="416" t="s">
        <v>860</v>
      </c>
      <c r="X418" s="444">
        <f xml:space="preserve"> 0.6483 - ( 0.0017 * AL418 )</f>
        <v>0.58030000000000004</v>
      </c>
      <c r="Y418" s="416" t="s">
        <v>861</v>
      </c>
      <c r="Z418" s="416">
        <v>0.64</v>
      </c>
      <c r="AA418" s="158" t="s">
        <v>256</v>
      </c>
      <c r="AB418" s="166">
        <v>17.600000000000001</v>
      </c>
      <c r="AC418" s="158" t="s">
        <v>384</v>
      </c>
      <c r="AD418" s="166">
        <v>2.56</v>
      </c>
      <c r="AE418" s="166" t="s">
        <v>383</v>
      </c>
      <c r="AF418" s="166">
        <v>8.33</v>
      </c>
      <c r="AG418" s="166" t="s">
        <v>257</v>
      </c>
      <c r="AH418" s="166">
        <v>125</v>
      </c>
      <c r="AI418" s="166" t="s">
        <v>250</v>
      </c>
      <c r="AJ418" s="166">
        <v>54</v>
      </c>
      <c r="AK418" s="166" t="s">
        <v>382</v>
      </c>
      <c r="AL418" s="166">
        <v>40</v>
      </c>
      <c r="AM418" s="166"/>
      <c r="AN418" s="166"/>
      <c r="AO418" s="166"/>
      <c r="AP418" s="166"/>
      <c r="AQ418" s="166"/>
      <c r="AR418" s="166"/>
      <c r="AS418" s="166"/>
      <c r="AT418" s="166"/>
      <c r="AU418" s="363"/>
      <c r="AV418" s="368"/>
      <c r="AW418" s="363"/>
      <c r="AX418" s="363"/>
      <c r="AY418" s="366"/>
      <c r="AZ418" s="366"/>
      <c r="BA418" s="366"/>
      <c r="BB418" s="27"/>
    </row>
    <row r="419" spans="1:54">
      <c r="A419" s="2" t="str">
        <f t="shared" si="57"/>
        <v>Low Income - SF New Construction_Programmable Thermostat - Furnace</v>
      </c>
      <c r="B419" s="18">
        <v>416</v>
      </c>
      <c r="C419" s="23" t="s">
        <v>716</v>
      </c>
      <c r="D419" s="23" t="s">
        <v>702</v>
      </c>
      <c r="E419" s="23" t="s">
        <v>150</v>
      </c>
      <c r="F419" s="23">
        <v>1</v>
      </c>
      <c r="G419" s="154">
        <v>1</v>
      </c>
      <c r="H419" s="469">
        <v>5</v>
      </c>
      <c r="I419" s="465">
        <v>8</v>
      </c>
      <c r="J419" s="23">
        <v>0</v>
      </c>
      <c r="K419" s="23">
        <f t="shared" si="60"/>
        <v>0</v>
      </c>
      <c r="L419" s="23">
        <f t="shared" si="60"/>
        <v>0</v>
      </c>
      <c r="M419" s="23">
        <f t="shared" si="60"/>
        <v>0</v>
      </c>
      <c r="N419" s="374">
        <f>X419*Z419*AB419*AD419</f>
        <v>34.893600000000006</v>
      </c>
      <c r="O419" s="215">
        <f t="shared" si="61"/>
        <v>34.893600000000006</v>
      </c>
      <c r="P419" s="215">
        <f t="shared" si="61"/>
        <v>34.893600000000006</v>
      </c>
      <c r="Q419" s="215">
        <f t="shared" si="61"/>
        <v>34.893600000000006</v>
      </c>
      <c r="R419" s="15" t="s">
        <v>839</v>
      </c>
      <c r="S419" s="15" t="s">
        <v>841</v>
      </c>
      <c r="T419" s="15" t="s">
        <v>447</v>
      </c>
      <c r="U419" s="15" t="s">
        <v>446</v>
      </c>
      <c r="V419" s="412" t="s">
        <v>441</v>
      </c>
      <c r="W419" s="159" t="s">
        <v>445</v>
      </c>
      <c r="X419" s="160">
        <v>1005</v>
      </c>
      <c r="Y419" s="161" t="s">
        <v>444</v>
      </c>
      <c r="Z419" s="162">
        <v>6.2E-2</v>
      </c>
      <c r="AA419" s="157" t="s">
        <v>392</v>
      </c>
      <c r="AB419" s="163">
        <v>1</v>
      </c>
      <c r="AC419" s="157" t="s">
        <v>443</v>
      </c>
      <c r="AD419" s="163">
        <v>0.56000000000000005</v>
      </c>
      <c r="AE419" s="157" t="s">
        <v>442</v>
      </c>
      <c r="AF419" s="164">
        <v>3.1399999999999997E-2</v>
      </c>
      <c r="AG419" s="166"/>
      <c r="AH419" s="166"/>
      <c r="AI419" s="166"/>
      <c r="AJ419" s="166"/>
      <c r="AK419" s="166"/>
      <c r="AL419" s="166"/>
      <c r="AM419" s="166"/>
      <c r="AN419" s="166"/>
      <c r="AO419" s="166"/>
      <c r="AP419" s="166"/>
      <c r="AQ419" s="166"/>
      <c r="AR419" s="166"/>
      <c r="AS419" s="166"/>
      <c r="AT419" s="166"/>
      <c r="AU419" s="363"/>
      <c r="AV419" s="368"/>
      <c r="AW419" s="363"/>
      <c r="AX419" s="363"/>
      <c r="AY419" s="366"/>
      <c r="AZ419" s="366"/>
      <c r="BA419" s="366"/>
      <c r="BB419" s="27"/>
    </row>
    <row r="420" spans="1:54">
      <c r="A420" s="2" t="str">
        <f t="shared" si="57"/>
        <v>Low Income - SF New Construction_Duct Sealing</v>
      </c>
      <c r="B420" s="18">
        <v>417</v>
      </c>
      <c r="C420" s="23" t="s">
        <v>716</v>
      </c>
      <c r="D420" s="23" t="s">
        <v>707</v>
      </c>
      <c r="E420" s="23" t="s">
        <v>429</v>
      </c>
      <c r="F420" s="23">
        <v>120</v>
      </c>
      <c r="G420" s="154">
        <v>1</v>
      </c>
      <c r="H420" s="469">
        <v>20</v>
      </c>
      <c r="I420" s="458">
        <v>20</v>
      </c>
      <c r="J420" s="23">
        <v>0</v>
      </c>
      <c r="K420" s="23">
        <f t="shared" si="60"/>
        <v>0</v>
      </c>
      <c r="L420" s="23">
        <f t="shared" si="60"/>
        <v>0</v>
      </c>
      <c r="M420" s="23">
        <f t="shared" si="60"/>
        <v>0</v>
      </c>
      <c r="N420" s="216">
        <f>X420/(Z420*0.0123)*AB420*Z420*AH420*(AD420/AF420)/100000</f>
        <v>0.70950058072009281</v>
      </c>
      <c r="O420" s="215">
        <f t="shared" si="61"/>
        <v>0.70950058072009281</v>
      </c>
      <c r="P420" s="215">
        <f t="shared" si="61"/>
        <v>0.70950058072009281</v>
      </c>
      <c r="Q420" s="215">
        <f t="shared" si="61"/>
        <v>0.70950058072009281</v>
      </c>
      <c r="R420" s="15" t="s">
        <v>839</v>
      </c>
      <c r="S420" s="15" t="s">
        <v>841</v>
      </c>
      <c r="T420" s="15" t="s">
        <v>428</v>
      </c>
      <c r="U420" s="15" t="s">
        <v>427</v>
      </c>
      <c r="V420" s="166" t="s">
        <v>420</v>
      </c>
      <c r="W420" s="166" t="s">
        <v>426</v>
      </c>
      <c r="X420" s="166">
        <v>1</v>
      </c>
      <c r="Y420" s="166" t="s">
        <v>425</v>
      </c>
      <c r="Z420" s="420">
        <v>76000</v>
      </c>
      <c r="AA420" s="158" t="s">
        <v>424</v>
      </c>
      <c r="AB420" s="420">
        <v>1840</v>
      </c>
      <c r="AC420" s="158" t="s">
        <v>423</v>
      </c>
      <c r="AD420" s="425">
        <v>0.83</v>
      </c>
      <c r="AE420" s="158" t="s">
        <v>422</v>
      </c>
      <c r="AF420" s="419">
        <v>0.7</v>
      </c>
      <c r="AG420" s="166" t="s">
        <v>421</v>
      </c>
      <c r="AH420" s="419">
        <v>0.4</v>
      </c>
      <c r="AI420" s="166"/>
      <c r="AJ420" s="166"/>
      <c r="AK420" s="166"/>
      <c r="AL420" s="166"/>
      <c r="AM420" s="166"/>
      <c r="AN420" s="166"/>
      <c r="AO420" s="166"/>
      <c r="AP420" s="166"/>
      <c r="AQ420" s="166"/>
      <c r="AR420" s="166"/>
      <c r="AS420" s="166"/>
      <c r="AT420" s="166"/>
      <c r="AU420" s="363"/>
      <c r="AV420" s="368"/>
      <c r="AW420" s="363"/>
      <c r="AX420" s="363"/>
      <c r="AY420" s="366"/>
      <c r="AZ420" s="366"/>
      <c r="BA420" s="366"/>
      <c r="BB420" s="27"/>
    </row>
    <row r="421" spans="1:54">
      <c r="A421" s="2" t="str">
        <f t="shared" si="57"/>
        <v>Low Income - MF New Construction_New Construction</v>
      </c>
      <c r="B421" s="18">
        <v>418</v>
      </c>
      <c r="C421" s="23" t="s">
        <v>717</v>
      </c>
      <c r="D421" s="23" t="s">
        <v>676</v>
      </c>
      <c r="E421" s="23" t="s">
        <v>150</v>
      </c>
      <c r="F421" s="23">
        <v>1</v>
      </c>
      <c r="G421" s="154">
        <v>1</v>
      </c>
      <c r="H421" s="469">
        <v>15</v>
      </c>
      <c r="I421" s="458">
        <v>15</v>
      </c>
      <c r="J421" s="23">
        <v>0</v>
      </c>
      <c r="K421" s="23">
        <f t="shared" si="60"/>
        <v>0</v>
      </c>
      <c r="L421" s="23">
        <f t="shared" si="60"/>
        <v>0</v>
      </c>
      <c r="M421" s="23">
        <f t="shared" si="60"/>
        <v>0</v>
      </c>
      <c r="N421" s="215">
        <v>6100</v>
      </c>
      <c r="O421" s="215">
        <f t="shared" si="61"/>
        <v>6100</v>
      </c>
      <c r="P421" s="215">
        <f t="shared" si="61"/>
        <v>6100</v>
      </c>
      <c r="Q421" s="215">
        <f t="shared" si="61"/>
        <v>6100</v>
      </c>
      <c r="R421" s="18" t="s">
        <v>140</v>
      </c>
      <c r="S421" s="18" t="s">
        <v>140</v>
      </c>
      <c r="T421" s="18" t="s">
        <v>140</v>
      </c>
      <c r="U421" s="18" t="s">
        <v>140</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U421" s="363"/>
      <c r="AV421" s="368"/>
      <c r="AW421" s="363"/>
      <c r="AX421" s="363"/>
      <c r="AY421" s="366"/>
      <c r="AZ421" s="366"/>
      <c r="BA421" s="366"/>
      <c r="BB421" s="27"/>
    </row>
    <row r="422" spans="1:54">
      <c r="N422" s="461"/>
      <c r="O422" s="461"/>
      <c r="P422" s="461"/>
      <c r="Q422" s="461"/>
      <c r="U422" s="2"/>
      <c r="W422" s="2"/>
      <c r="X422" s="2"/>
      <c r="Y422" s="2"/>
      <c r="Z422" s="2"/>
      <c r="AA422" s="2"/>
      <c r="AC422" s="2"/>
      <c r="AE422" s="2"/>
      <c r="AU422" s="363"/>
      <c r="AV422" s="368"/>
      <c r="AW422" s="363"/>
      <c r="AX422" s="363"/>
      <c r="AY422" s="366"/>
      <c r="AZ422" s="365"/>
      <c r="BA422" s="366"/>
      <c r="BB422" s="27"/>
    </row>
    <row r="423" spans="1:54">
      <c r="N423" s="461"/>
      <c r="O423" s="461"/>
      <c r="P423" s="461"/>
      <c r="Q423" s="461"/>
      <c r="U423" s="2"/>
      <c r="W423" s="2"/>
      <c r="X423" s="2"/>
      <c r="Y423" s="2"/>
      <c r="Z423" s="2"/>
      <c r="AA423" s="2"/>
      <c r="AC423" s="2"/>
      <c r="AE423" s="2"/>
      <c r="AU423" s="363"/>
      <c r="AV423" s="368"/>
      <c r="AW423" s="363"/>
      <c r="AX423" s="363"/>
      <c r="AY423" s="366"/>
      <c r="AZ423" s="365"/>
      <c r="BA423" s="366"/>
      <c r="BB423" s="27"/>
    </row>
    <row r="424" spans="1:54">
      <c r="N424" s="461"/>
      <c r="O424" s="461"/>
      <c r="P424" s="461"/>
      <c r="Q424" s="461"/>
      <c r="U424" s="2"/>
      <c r="W424" s="2"/>
      <c r="X424" s="2"/>
      <c r="Y424" s="2"/>
      <c r="Z424" s="2"/>
      <c r="AA424" s="2"/>
      <c r="AC424" s="2"/>
      <c r="AE424" s="2"/>
      <c r="AU424" s="363"/>
      <c r="AV424" s="368"/>
      <c r="AW424" s="363"/>
      <c r="AX424" s="363"/>
      <c r="AY424" s="366"/>
      <c r="AZ424" s="365"/>
      <c r="BA424" s="366"/>
      <c r="BB424" s="27"/>
    </row>
    <row r="425" spans="1:54">
      <c r="N425" s="461"/>
      <c r="O425" s="461"/>
      <c r="P425" s="461"/>
      <c r="Q425" s="461"/>
      <c r="U425" s="2"/>
      <c r="W425" s="2"/>
      <c r="X425" s="2"/>
      <c r="Y425" s="2"/>
      <c r="Z425" s="2"/>
      <c r="AA425" s="2"/>
      <c r="AC425" s="2"/>
      <c r="AE425" s="2"/>
      <c r="AU425" s="363"/>
      <c r="AV425" s="368"/>
      <c r="AW425" s="363"/>
      <c r="AX425" s="363"/>
      <c r="AY425" s="366"/>
      <c r="AZ425" s="365"/>
      <c r="BA425" s="366"/>
      <c r="BB425" s="27"/>
    </row>
    <row r="426" spans="1:54">
      <c r="N426" s="461"/>
      <c r="O426" s="461"/>
      <c r="P426" s="461"/>
      <c r="Q426" s="461"/>
      <c r="U426" s="2"/>
      <c r="W426" s="2"/>
      <c r="X426" s="2"/>
      <c r="Y426" s="2"/>
      <c r="Z426" s="2"/>
      <c r="AA426" s="2"/>
      <c r="AC426" s="2"/>
      <c r="AE426" s="2"/>
      <c r="AU426" s="363"/>
      <c r="AV426" s="368"/>
      <c r="AW426" s="363"/>
      <c r="AX426" s="363"/>
      <c r="AY426" s="366"/>
      <c r="AZ426" s="365"/>
      <c r="BA426" s="366"/>
      <c r="BB426" s="27"/>
    </row>
  </sheetData>
  <autoFilter ref="B3:AT421" xr:uid="{9816017E-AB62-4B15-A2CF-1B8D2F988D31}"/>
  <sortState ref="C164:AO290">
    <sortCondition ref="D167:D293"/>
  </sortState>
  <mergeCells count="2">
    <mergeCell ref="J2:M2"/>
    <mergeCell ref="N2:Q2"/>
  </mergeCells>
  <pageMargins left="0.7" right="0.7" top="0.75" bottom="0.75" header="0.3" footer="0.3"/>
  <pageSetup scale="26" orientation="landscape" verticalDpi="0" r:id="rId1"/>
  <colBreaks count="1" manualBreakCount="1">
    <brk id="2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O65"/>
  <sheetViews>
    <sheet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7" customFormat="1" ht="13">
      <c r="A3" s="72" t="s">
        <v>650</v>
      </c>
      <c r="B3" s="72"/>
      <c r="C3" s="72"/>
      <c r="D3" s="148"/>
      <c r="E3" s="148"/>
      <c r="F3" s="148"/>
      <c r="H3" s="148"/>
      <c r="I3" s="148"/>
      <c r="J3" s="148"/>
      <c r="K3" s="148"/>
      <c r="L3" s="148"/>
      <c r="M3" s="148"/>
      <c r="N3" s="148"/>
      <c r="O3" s="148"/>
    </row>
    <row r="4" spans="1:15" s="31" customFormat="1" ht="13">
      <c r="A4" s="117" t="s">
        <v>649</v>
      </c>
      <c r="B4" s="117"/>
      <c r="C4" s="117"/>
      <c r="D4" s="117"/>
      <c r="E4" s="117"/>
      <c r="F4" s="117"/>
      <c r="G4" s="117"/>
      <c r="H4" s="117"/>
      <c r="I4" s="117"/>
    </row>
    <row r="5" spans="1:15" s="31" customFormat="1" ht="13">
      <c r="A5" s="117" t="s">
        <v>648</v>
      </c>
      <c r="B5" s="117"/>
      <c r="C5" s="117"/>
      <c r="D5" s="117"/>
      <c r="E5" s="117"/>
      <c r="F5" s="117"/>
      <c r="G5" s="117"/>
      <c r="H5" s="117"/>
      <c r="I5" s="117"/>
    </row>
    <row r="6" spans="1:15" s="31" customFormat="1" ht="13">
      <c r="A6" s="117" t="s">
        <v>647</v>
      </c>
      <c r="B6" s="117"/>
      <c r="C6" s="117"/>
      <c r="D6" s="117"/>
      <c r="E6" s="117"/>
      <c r="F6" s="117"/>
      <c r="G6" s="117"/>
      <c r="H6" s="117"/>
      <c r="I6" s="117"/>
      <c r="J6" s="117"/>
      <c r="K6" s="117"/>
      <c r="L6" s="117"/>
      <c r="M6" s="117"/>
      <c r="N6" s="117"/>
      <c r="O6" s="117"/>
    </row>
    <row r="7" spans="1:15" s="31" customFormat="1" ht="13">
      <c r="A7" s="117" t="s">
        <v>646</v>
      </c>
      <c r="B7" s="117"/>
      <c r="C7" s="117"/>
      <c r="D7" s="117"/>
      <c r="E7" s="117"/>
      <c r="F7" s="117"/>
      <c r="G7" s="117"/>
      <c r="H7" s="117"/>
      <c r="I7" s="117"/>
      <c r="J7" s="117"/>
      <c r="K7" s="117"/>
      <c r="L7" s="117"/>
      <c r="M7" s="117"/>
      <c r="N7" s="117"/>
      <c r="O7" s="117"/>
    </row>
    <row r="8" spans="1:15" s="31" customFormat="1" ht="13">
      <c r="A8" s="117" t="s">
        <v>645</v>
      </c>
      <c r="B8" s="117"/>
      <c r="C8" s="117"/>
      <c r="D8" s="117"/>
      <c r="E8" s="117"/>
      <c r="F8" s="117"/>
      <c r="G8" s="117"/>
      <c r="H8" s="117"/>
      <c r="I8" s="117"/>
      <c r="J8" s="117"/>
      <c r="K8" s="117"/>
      <c r="L8" s="117"/>
      <c r="M8" s="117"/>
      <c r="N8" s="117"/>
      <c r="O8" s="117"/>
    </row>
    <row r="9" spans="1:15" s="31" customFormat="1" ht="13.5" thickBot="1">
      <c r="A9" s="117"/>
      <c r="B9" s="117"/>
      <c r="C9" s="117"/>
      <c r="D9" s="117"/>
      <c r="E9" s="117"/>
      <c r="F9" s="117"/>
      <c r="G9" s="117"/>
      <c r="H9" s="117"/>
      <c r="I9" s="117"/>
      <c r="J9" s="117"/>
      <c r="K9" s="117"/>
      <c r="L9" s="117"/>
      <c r="M9" s="117"/>
      <c r="N9" s="117"/>
      <c r="O9" s="117"/>
    </row>
    <row r="10" spans="1:15" s="2" customFormat="1" ht="13">
      <c r="A10" s="5"/>
      <c r="B10" s="146" t="s">
        <v>611</v>
      </c>
      <c r="C10" s="145" t="s">
        <v>644</v>
      </c>
      <c r="D10" s="144" t="s">
        <v>643</v>
      </c>
      <c r="E10" s="144" t="s">
        <v>642</v>
      </c>
      <c r="F10" s="5"/>
      <c r="G10" s="5"/>
      <c r="H10" s="5"/>
      <c r="I10" s="5"/>
      <c r="J10" s="5"/>
      <c r="K10" s="5"/>
      <c r="L10" s="5"/>
      <c r="M10" s="5"/>
      <c r="N10" s="5"/>
    </row>
    <row r="11" spans="1:15" s="2" customFormat="1" ht="13">
      <c r="A11" s="5"/>
      <c r="B11" s="131" t="s">
        <v>641</v>
      </c>
      <c r="C11" s="136">
        <v>200</v>
      </c>
      <c r="D11" s="143">
        <v>250</v>
      </c>
      <c r="E11" s="143">
        <v>400</v>
      </c>
      <c r="F11" s="5" t="s">
        <v>640</v>
      </c>
      <c r="G11" s="5"/>
      <c r="H11" s="5"/>
      <c r="I11" s="5"/>
      <c r="J11" s="5"/>
      <c r="K11" s="5"/>
      <c r="L11" s="5"/>
      <c r="M11" s="5"/>
      <c r="N11" s="5"/>
    </row>
    <row r="12" spans="1:15" s="2" customFormat="1" ht="13">
      <c r="A12" s="5"/>
      <c r="B12" s="131" t="s">
        <v>639</v>
      </c>
      <c r="C12" s="142">
        <v>250</v>
      </c>
      <c r="D12" s="141">
        <v>250</v>
      </c>
      <c r="E12" s="141">
        <v>250</v>
      </c>
      <c r="F12" s="5" t="s">
        <v>602</v>
      </c>
      <c r="G12" s="5"/>
      <c r="H12" s="5"/>
      <c r="I12" s="5"/>
      <c r="J12" s="5"/>
      <c r="K12" s="5"/>
      <c r="L12" s="5"/>
      <c r="M12" s="5"/>
      <c r="N12" s="5"/>
    </row>
    <row r="13" spans="1:15" s="2" customFormat="1" ht="13">
      <c r="A13" s="5"/>
      <c r="B13" s="131" t="s">
        <v>638</v>
      </c>
      <c r="C13" s="140">
        <v>0.52</v>
      </c>
      <c r="D13" s="139">
        <v>0.52</v>
      </c>
      <c r="E13" s="139">
        <v>0.52</v>
      </c>
      <c r="F13" s="5"/>
      <c r="G13" s="5"/>
      <c r="H13" s="5"/>
      <c r="I13" s="5"/>
      <c r="J13" s="5"/>
      <c r="K13" s="5"/>
      <c r="L13" s="5"/>
      <c r="M13" s="5"/>
      <c r="N13" s="5"/>
    </row>
    <row r="14" spans="1:15" s="2" customFormat="1" ht="13">
      <c r="A14" s="5"/>
      <c r="B14" s="131" t="s">
        <v>637</v>
      </c>
      <c r="C14" s="138">
        <v>0.56000000000000005</v>
      </c>
      <c r="D14" s="137">
        <v>0.56000000000000005</v>
      </c>
      <c r="E14" s="137">
        <v>0.56000000000000005</v>
      </c>
      <c r="F14" s="5"/>
      <c r="G14" s="5"/>
      <c r="H14" s="5"/>
      <c r="I14" s="5"/>
      <c r="J14" s="5"/>
      <c r="K14" s="5"/>
      <c r="L14" s="5"/>
      <c r="M14" s="5"/>
      <c r="N14" s="5"/>
    </row>
    <row r="15" spans="1:15" s="2" customFormat="1" ht="13">
      <c r="A15" s="5"/>
      <c r="B15" s="131" t="s">
        <v>636</v>
      </c>
      <c r="C15" s="138">
        <v>0.5</v>
      </c>
      <c r="D15" s="137">
        <v>0.5</v>
      </c>
      <c r="E15" s="137">
        <v>0.5</v>
      </c>
      <c r="F15" s="5"/>
      <c r="G15" s="5"/>
      <c r="H15" s="5"/>
      <c r="I15" s="5"/>
      <c r="J15" s="5"/>
      <c r="K15" s="5"/>
      <c r="L15" s="5"/>
      <c r="M15" s="5"/>
      <c r="N15" s="5"/>
    </row>
    <row r="16" spans="1:15" s="2" customFormat="1" ht="13">
      <c r="A16" s="5"/>
      <c r="B16" s="131" t="s">
        <v>635</v>
      </c>
      <c r="C16" s="130">
        <v>18658</v>
      </c>
      <c r="D16" s="129">
        <v>24562</v>
      </c>
      <c r="E16" s="129">
        <v>43300</v>
      </c>
      <c r="F16" s="5" t="s">
        <v>594</v>
      </c>
      <c r="G16" s="5"/>
      <c r="H16" s="5"/>
      <c r="I16" s="5"/>
      <c r="J16" s="5"/>
      <c r="K16" s="5"/>
      <c r="L16" s="5"/>
      <c r="M16" s="5"/>
      <c r="N16" s="5"/>
    </row>
    <row r="17" spans="1:14" s="2" customFormat="1" ht="13">
      <c r="A17" s="5"/>
      <c r="B17" s="131" t="s">
        <v>634</v>
      </c>
      <c r="C17" s="130">
        <v>195</v>
      </c>
      <c r="D17" s="129">
        <v>211</v>
      </c>
      <c r="E17" s="129">
        <v>579</v>
      </c>
      <c r="F17" s="5" t="s">
        <v>592</v>
      </c>
      <c r="G17" s="5"/>
      <c r="H17" s="5"/>
      <c r="I17" s="5"/>
      <c r="J17" s="5"/>
      <c r="K17" s="5"/>
      <c r="L17" s="5"/>
      <c r="M17" s="5"/>
      <c r="N17" s="5"/>
    </row>
    <row r="18" spans="1:14" s="2" customFormat="1" ht="13">
      <c r="A18" s="5"/>
      <c r="B18" s="131" t="s">
        <v>633</v>
      </c>
      <c r="C18" s="130">
        <v>105</v>
      </c>
      <c r="D18" s="132">
        <v>105</v>
      </c>
      <c r="E18" s="132">
        <v>105</v>
      </c>
      <c r="F18" s="5"/>
      <c r="G18" s="5"/>
      <c r="H18" s="5"/>
      <c r="I18" s="5"/>
      <c r="J18" s="5"/>
      <c r="K18" s="5"/>
      <c r="L18" s="5"/>
      <c r="M18" s="5"/>
      <c r="N18" s="5"/>
    </row>
    <row r="19" spans="1:14" s="2" customFormat="1" ht="13">
      <c r="A19" s="5"/>
      <c r="B19" s="131" t="s">
        <v>632</v>
      </c>
      <c r="C19" s="134">
        <v>0.39</v>
      </c>
      <c r="D19" s="133">
        <v>0.39</v>
      </c>
      <c r="E19" s="133">
        <v>0.39</v>
      </c>
      <c r="F19" s="5"/>
      <c r="G19" s="5"/>
      <c r="H19" s="5"/>
      <c r="I19" s="5"/>
      <c r="J19" s="5"/>
      <c r="K19" s="5"/>
      <c r="L19" s="5"/>
      <c r="M19" s="5"/>
      <c r="N19" s="5"/>
    </row>
    <row r="20" spans="1:14" s="2" customFormat="1" ht="13">
      <c r="A20" s="5"/>
      <c r="B20" s="131" t="s">
        <v>631</v>
      </c>
      <c r="C20" s="134">
        <v>0.41</v>
      </c>
      <c r="D20" s="133">
        <v>0.41</v>
      </c>
      <c r="E20" s="133">
        <v>0.41</v>
      </c>
      <c r="F20" s="5"/>
      <c r="G20" s="5"/>
      <c r="H20" s="5"/>
      <c r="I20" s="5"/>
      <c r="J20" s="5"/>
      <c r="K20" s="5"/>
      <c r="L20" s="5"/>
      <c r="M20" s="5"/>
      <c r="N20" s="5"/>
    </row>
    <row r="21" spans="1:14" s="2" customFormat="1" ht="13">
      <c r="A21" s="5"/>
      <c r="B21" s="131" t="s">
        <v>153</v>
      </c>
      <c r="C21" s="136">
        <v>12</v>
      </c>
      <c r="D21" s="135">
        <v>12</v>
      </c>
      <c r="E21" s="135">
        <v>12</v>
      </c>
      <c r="F21" s="5"/>
      <c r="G21" s="5"/>
      <c r="H21" s="5"/>
      <c r="I21" s="5"/>
      <c r="J21" s="5"/>
      <c r="K21" s="5"/>
      <c r="L21" s="5"/>
      <c r="M21" s="5"/>
      <c r="N21" s="5"/>
    </row>
    <row r="22" spans="1:14" s="2" customFormat="1" ht="13">
      <c r="A22" s="5"/>
      <c r="B22" s="131" t="s">
        <v>630</v>
      </c>
      <c r="C22" s="134">
        <v>0.5</v>
      </c>
      <c r="D22" s="133">
        <v>0.5</v>
      </c>
      <c r="E22" s="133">
        <v>0.5</v>
      </c>
      <c r="F22" s="5"/>
      <c r="G22" s="5"/>
      <c r="H22" s="5"/>
      <c r="I22" s="5"/>
      <c r="J22" s="5"/>
      <c r="K22" s="5"/>
      <c r="L22" s="5"/>
      <c r="M22" s="5"/>
      <c r="N22" s="5"/>
    </row>
    <row r="23" spans="1:14" s="2" customFormat="1" ht="13">
      <c r="A23" s="5"/>
      <c r="B23" s="131" t="s">
        <v>629</v>
      </c>
      <c r="C23" s="130">
        <v>8747</v>
      </c>
      <c r="D23" s="130">
        <v>10788</v>
      </c>
      <c r="E23" s="132">
        <v>13000</v>
      </c>
      <c r="F23" s="5"/>
      <c r="G23" s="5"/>
      <c r="H23" s="5"/>
      <c r="I23" s="5"/>
      <c r="J23" s="5"/>
      <c r="K23" s="5"/>
      <c r="L23" s="5"/>
      <c r="M23" s="5"/>
      <c r="N23" s="5"/>
    </row>
    <row r="24" spans="1:14" s="2" customFormat="1" ht="13">
      <c r="A24" s="5"/>
      <c r="B24" s="131" t="s">
        <v>628</v>
      </c>
      <c r="C24" s="130">
        <v>125</v>
      </c>
      <c r="D24" s="129">
        <v>176</v>
      </c>
      <c r="E24" s="129">
        <v>392</v>
      </c>
      <c r="F24" s="5"/>
      <c r="G24" s="5"/>
      <c r="H24" s="5"/>
      <c r="I24" s="5"/>
      <c r="J24" s="5"/>
      <c r="K24" s="5"/>
      <c r="L24" s="5"/>
      <c r="M24" s="5"/>
      <c r="N24" s="5"/>
    </row>
    <row r="25" spans="1:14" s="2" customFormat="1" ht="13">
      <c r="A25" s="5"/>
      <c r="B25" s="128" t="s">
        <v>627</v>
      </c>
      <c r="C25" s="127">
        <v>124</v>
      </c>
      <c r="D25" s="126">
        <v>210</v>
      </c>
      <c r="E25" s="126">
        <v>394</v>
      </c>
      <c r="F25" s="5"/>
      <c r="G25" s="5"/>
      <c r="H25" s="5"/>
      <c r="I25" s="5"/>
      <c r="J25" s="5"/>
      <c r="K25" s="5"/>
      <c r="L25" s="5"/>
      <c r="M25" s="5"/>
      <c r="N25" s="5"/>
    </row>
    <row r="26" spans="1:14" s="2" customFormat="1" ht="13">
      <c r="A26" s="5"/>
      <c r="B26" s="128" t="s">
        <v>626</v>
      </c>
      <c r="C26" s="127">
        <f>150*15+5425</f>
        <v>7675</v>
      </c>
      <c r="D26" s="126">
        <f>150*22+5425</f>
        <v>8725</v>
      </c>
      <c r="E26" s="126">
        <f>150*30+5425</f>
        <v>9925</v>
      </c>
      <c r="F26" s="5"/>
      <c r="G26" s="5"/>
      <c r="H26" s="5"/>
      <c r="I26" s="5"/>
      <c r="J26" s="5"/>
      <c r="K26" s="5"/>
      <c r="L26" s="5"/>
      <c r="M26" s="5"/>
      <c r="N26" s="5"/>
    </row>
    <row r="27" spans="1:14" s="2" customFormat="1" ht="13">
      <c r="A27" s="5"/>
      <c r="B27" s="128" t="s">
        <v>625</v>
      </c>
      <c r="C27" s="127">
        <f>200*15+6511</f>
        <v>9511</v>
      </c>
      <c r="D27" s="126">
        <f>200*22+6511</f>
        <v>10911</v>
      </c>
      <c r="E27" s="126">
        <f>200*30+6511</f>
        <v>12511</v>
      </c>
      <c r="F27" s="5"/>
      <c r="G27" s="5"/>
      <c r="H27" s="5"/>
      <c r="I27" s="5"/>
      <c r="J27" s="5"/>
      <c r="K27" s="5"/>
      <c r="L27" s="5"/>
      <c r="M27" s="5"/>
      <c r="N27" s="5"/>
    </row>
    <row r="28" spans="1:14" s="2" customFormat="1" ht="13.5" thickBot="1">
      <c r="A28" s="5"/>
      <c r="B28" s="128" t="s">
        <v>624</v>
      </c>
      <c r="C28" s="127">
        <v>172</v>
      </c>
      <c r="D28" s="126">
        <v>277</v>
      </c>
      <c r="E28" s="126">
        <v>640</v>
      </c>
      <c r="F28" s="5"/>
      <c r="G28" s="5"/>
      <c r="H28" s="5"/>
      <c r="I28" s="5"/>
      <c r="J28" s="5"/>
      <c r="K28" s="5"/>
      <c r="L28" s="5"/>
      <c r="M28" s="5"/>
      <c r="N28" s="5"/>
    </row>
    <row r="29" spans="1:14" s="2" customFormat="1" ht="13">
      <c r="A29" s="5"/>
      <c r="B29" s="125" t="s">
        <v>623</v>
      </c>
      <c r="C29" s="124">
        <f>C11*(C12/C13-C12/C14)*C15</f>
        <v>3434.0659340659386</v>
      </c>
      <c r="D29" s="124">
        <f>D11*(D12/D13-D12/D14)*D15</f>
        <v>4292.5824175824237</v>
      </c>
      <c r="E29" s="124">
        <f>E11*(E12/E13-E12/E14)*E15</f>
        <v>6868.1318681318771</v>
      </c>
      <c r="F29" s="5"/>
      <c r="G29" s="5"/>
      <c r="H29" s="5"/>
      <c r="I29" s="5"/>
      <c r="J29" s="5"/>
      <c r="K29" s="5"/>
      <c r="L29" s="5"/>
      <c r="M29" s="5"/>
      <c r="N29" s="5"/>
    </row>
    <row r="30" spans="1:14" s="2" customFormat="1" ht="13">
      <c r="A30" s="5"/>
      <c r="B30" s="123" t="s">
        <v>622</v>
      </c>
      <c r="C30" s="122">
        <f>(C16*((C21-C11/C17)*C22))-C27*((C21-C11/C28)*C22)</f>
        <v>50843.446034585577</v>
      </c>
      <c r="D30" s="122">
        <f>(D16*((D21-D11/D17)*D22))-D27*((D21-D11/D28)*D22)</f>
        <v>72278.788594795275</v>
      </c>
      <c r="E30" s="122">
        <f>(E16*((E21-E11/E17)*E22))-E27*((E21-E11/E28)*E22)</f>
        <v>173686.86539291881</v>
      </c>
      <c r="F30" s="5"/>
      <c r="G30" s="5"/>
      <c r="H30" s="5"/>
      <c r="I30" s="5"/>
      <c r="J30" s="5"/>
      <c r="K30" s="5"/>
      <c r="L30" s="5"/>
      <c r="M30" s="5"/>
      <c r="N30" s="5"/>
    </row>
    <row r="31" spans="1:14" s="2" customFormat="1" ht="13">
      <c r="A31" s="5"/>
      <c r="B31" s="121" t="s">
        <v>621</v>
      </c>
      <c r="C31" s="120">
        <f>C11*(C18/C19-C18/C20)*C22</f>
        <v>1313.3208255159445</v>
      </c>
      <c r="D31" s="120">
        <f>D11*(D18/D19-D18/D20)*D22</f>
        <v>1641.6510318949306</v>
      </c>
      <c r="E31" s="120">
        <f>E11*(E18/E19-E18/E20)*E22</f>
        <v>2626.6416510318891</v>
      </c>
      <c r="F31" s="5"/>
      <c r="G31" s="5"/>
      <c r="H31" s="5"/>
      <c r="I31" s="5"/>
      <c r="J31" s="5"/>
      <c r="K31" s="5"/>
      <c r="L31" s="5"/>
      <c r="M31" s="5"/>
      <c r="N31" s="5"/>
    </row>
    <row r="32" spans="1:14" s="2" customFormat="1" ht="13.5" thickBot="1">
      <c r="A32" s="5"/>
      <c r="B32" s="121" t="s">
        <v>620</v>
      </c>
      <c r="C32" s="120">
        <f>(C23*((C21-C11/C24)*C15))-C26*((C21-C11/C25)*C15)</f>
        <v>5623.9161290322591</v>
      </c>
      <c r="D32" s="120">
        <f>(D23*((D21-D11/D24)*D15))-D26*((D21-D11/D25)*D15)</f>
        <v>9909.5205627705582</v>
      </c>
      <c r="E32" s="120">
        <f>(E23*((E21-E11/E24)*E15))-E26*((E21-E11/E25)*E15)</f>
        <v>16855.41800476535</v>
      </c>
      <c r="F32" s="5"/>
      <c r="G32" s="5"/>
      <c r="H32" s="5"/>
      <c r="I32" s="5"/>
      <c r="J32" s="5"/>
      <c r="K32" s="5"/>
      <c r="L32" s="5"/>
      <c r="M32" s="5"/>
      <c r="N32" s="5"/>
    </row>
    <row r="33" spans="1:14" s="2" customFormat="1" ht="13.5" thickBot="1">
      <c r="A33" s="5"/>
      <c r="B33" s="119" t="s">
        <v>619</v>
      </c>
      <c r="C33" s="118">
        <f>(C29+C31+C32+C30)*365/100000</f>
        <v>223.43383356967897</v>
      </c>
      <c r="D33" s="118">
        <f>(D29+D31+D32+D30)*365/100000</f>
        <v>321.64728051570762</v>
      </c>
      <c r="E33" s="118">
        <f>(E29+E31+E32+E30)*365/100000</f>
        <v>730.13525774649497</v>
      </c>
      <c r="F33" s="5"/>
      <c r="G33" s="5"/>
      <c r="H33" s="5"/>
      <c r="I33" s="5"/>
      <c r="J33" s="5"/>
      <c r="K33" s="5"/>
      <c r="L33" s="5"/>
      <c r="M33" s="5"/>
      <c r="N33" s="5"/>
    </row>
    <row r="34" spans="1:14" s="2" customFormat="1" ht="13"/>
    <row r="35" spans="1:14" s="2" customFormat="1" ht="13"/>
    <row r="36" spans="1:14" s="79" customFormat="1" ht="13">
      <c r="A36" s="72" t="s">
        <v>618</v>
      </c>
      <c r="B36" s="72"/>
    </row>
    <row r="37" spans="1:14" s="2" customFormat="1" ht="13">
      <c r="A37" s="117" t="s">
        <v>617</v>
      </c>
    </row>
    <row r="38" spans="1:14" s="2" customFormat="1" ht="13">
      <c r="A38" s="117" t="s">
        <v>616</v>
      </c>
    </row>
    <row r="39" spans="1:14" s="2" customFormat="1" ht="13">
      <c r="A39" s="117" t="s">
        <v>615</v>
      </c>
    </row>
    <row r="40" spans="1:14" s="2" customFormat="1" ht="13">
      <c r="A40" s="117" t="s">
        <v>614</v>
      </c>
    </row>
    <row r="41" spans="1:14" s="2" customFormat="1" ht="13">
      <c r="A41" s="117" t="s">
        <v>613</v>
      </c>
    </row>
    <row r="42" spans="1:14" s="2" customFormat="1" ht="13.5" thickBot="1">
      <c r="A42" s="31"/>
    </row>
    <row r="43" spans="1:14" s="2" customFormat="1" ht="13.5" thickBot="1">
      <c r="C43" s="116" t="s">
        <v>612</v>
      </c>
      <c r="D43" s="115"/>
      <c r="E43" s="115"/>
      <c r="F43" s="114"/>
    </row>
    <row r="44" spans="1:14" s="109" customFormat="1" ht="13">
      <c r="B44" s="113" t="s">
        <v>611</v>
      </c>
      <c r="C44" s="112" t="s">
        <v>610</v>
      </c>
      <c r="D44" s="111" t="s">
        <v>609</v>
      </c>
      <c r="E44" s="111" t="s">
        <v>608</v>
      </c>
      <c r="F44" s="110" t="s">
        <v>607</v>
      </c>
    </row>
    <row r="45" spans="1:14" s="2" customFormat="1" ht="13">
      <c r="B45" s="100" t="s">
        <v>606</v>
      </c>
      <c r="C45" s="104">
        <v>0.9</v>
      </c>
      <c r="D45" s="103">
        <v>0.9</v>
      </c>
      <c r="E45" s="103">
        <v>0.9</v>
      </c>
      <c r="F45" s="102">
        <v>0.9</v>
      </c>
    </row>
    <row r="46" spans="1:14" s="2" customFormat="1" ht="13">
      <c r="B46" s="100" t="s">
        <v>605</v>
      </c>
      <c r="C46" s="108">
        <v>11000</v>
      </c>
      <c r="D46" s="78">
        <v>14667</v>
      </c>
      <c r="E46" s="78">
        <v>18333</v>
      </c>
      <c r="F46" s="98">
        <v>22000</v>
      </c>
      <c r="G46" s="2" t="s">
        <v>594</v>
      </c>
    </row>
    <row r="47" spans="1:14" s="2" customFormat="1" ht="13">
      <c r="B47" s="100" t="s">
        <v>604</v>
      </c>
      <c r="C47" s="108">
        <v>65</v>
      </c>
      <c r="D47" s="78">
        <v>87</v>
      </c>
      <c r="E47" s="78">
        <v>108</v>
      </c>
      <c r="F47" s="98">
        <v>130</v>
      </c>
      <c r="G47" s="2" t="s">
        <v>592</v>
      </c>
    </row>
    <row r="48" spans="1:14" s="2" customFormat="1" ht="13">
      <c r="B48" s="100" t="s">
        <v>603</v>
      </c>
      <c r="C48" s="108">
        <v>105</v>
      </c>
      <c r="D48" s="78">
        <v>105</v>
      </c>
      <c r="E48" s="78">
        <v>105</v>
      </c>
      <c r="F48" s="98">
        <v>105</v>
      </c>
      <c r="G48" s="2" t="s">
        <v>602</v>
      </c>
    </row>
    <row r="49" spans="2:7" s="2" customFormat="1" ht="13">
      <c r="B49" s="100" t="s">
        <v>601</v>
      </c>
      <c r="C49" s="104">
        <v>0.15</v>
      </c>
      <c r="D49" s="103">
        <v>0.15</v>
      </c>
      <c r="E49" s="103">
        <v>0.15</v>
      </c>
      <c r="F49" s="102">
        <v>0.15</v>
      </c>
    </row>
    <row r="50" spans="2:7" s="2" customFormat="1" ht="13">
      <c r="B50" s="100" t="s">
        <v>600</v>
      </c>
      <c r="C50" s="107">
        <v>6</v>
      </c>
      <c r="D50" s="106">
        <v>6</v>
      </c>
      <c r="E50" s="106">
        <v>6</v>
      </c>
      <c r="F50" s="105">
        <v>6</v>
      </c>
      <c r="G50" s="2" t="s">
        <v>599</v>
      </c>
    </row>
    <row r="51" spans="2:7" s="2" customFormat="1" ht="13">
      <c r="B51" s="100" t="s">
        <v>598</v>
      </c>
      <c r="C51" s="107">
        <v>100</v>
      </c>
      <c r="D51" s="106">
        <v>100</v>
      </c>
      <c r="E51" s="106">
        <v>100</v>
      </c>
      <c r="F51" s="105">
        <v>100</v>
      </c>
      <c r="G51" s="2" t="s">
        <v>597</v>
      </c>
    </row>
    <row r="52" spans="2:7" s="2" customFormat="1" ht="13">
      <c r="B52" s="100" t="s">
        <v>596</v>
      </c>
      <c r="C52" s="104">
        <v>0</v>
      </c>
      <c r="D52" s="103">
        <v>0</v>
      </c>
      <c r="E52" s="103">
        <v>0</v>
      </c>
      <c r="F52" s="102">
        <v>0</v>
      </c>
    </row>
    <row r="53" spans="2:7" s="2" customFormat="1" ht="13">
      <c r="B53" s="100" t="s">
        <v>595</v>
      </c>
      <c r="C53" s="60">
        <v>6250</v>
      </c>
      <c r="D53" s="19">
        <v>8333</v>
      </c>
      <c r="E53" s="19">
        <v>10417</v>
      </c>
      <c r="F53" s="101">
        <v>12500</v>
      </c>
      <c r="G53" s="2" t="s">
        <v>594</v>
      </c>
    </row>
    <row r="54" spans="2:7" s="2" customFormat="1" ht="13">
      <c r="B54" s="100" t="s">
        <v>593</v>
      </c>
      <c r="C54" s="60">
        <v>55</v>
      </c>
      <c r="D54" s="19">
        <v>73</v>
      </c>
      <c r="E54" s="19">
        <v>92</v>
      </c>
      <c r="F54" s="101">
        <v>110</v>
      </c>
      <c r="G54" s="2" t="s">
        <v>592</v>
      </c>
    </row>
    <row r="55" spans="2:7" s="2" customFormat="1" ht="13">
      <c r="B55" s="100" t="s">
        <v>591</v>
      </c>
      <c r="C55" s="104">
        <v>0.38</v>
      </c>
      <c r="D55" s="103">
        <v>0.38</v>
      </c>
      <c r="E55" s="103">
        <v>0.38</v>
      </c>
      <c r="F55" s="102">
        <v>0.38</v>
      </c>
    </row>
    <row r="56" spans="2:7" s="2" customFormat="1" ht="13">
      <c r="B56" s="100" t="s">
        <v>590</v>
      </c>
      <c r="C56" s="60">
        <v>1</v>
      </c>
      <c r="D56" s="19">
        <v>1</v>
      </c>
      <c r="E56" s="19">
        <v>1</v>
      </c>
      <c r="F56" s="101">
        <v>1</v>
      </c>
      <c r="G56" s="2" t="s">
        <v>589</v>
      </c>
    </row>
    <row r="57" spans="2:7" s="2" customFormat="1" ht="13">
      <c r="B57" s="100" t="s">
        <v>588</v>
      </c>
      <c r="C57" s="99">
        <v>11000</v>
      </c>
      <c r="D57" s="78">
        <v>11000</v>
      </c>
      <c r="E57" s="78">
        <v>11000</v>
      </c>
      <c r="F57" s="98">
        <v>11000</v>
      </c>
      <c r="G57" s="2" t="s">
        <v>587</v>
      </c>
    </row>
    <row r="58" spans="2:7" s="2" customFormat="1" ht="13.5" thickBot="1">
      <c r="B58" s="97" t="s">
        <v>586</v>
      </c>
      <c r="C58" s="96">
        <v>365.25</v>
      </c>
      <c r="D58" s="95">
        <v>365.25</v>
      </c>
      <c r="E58" s="95">
        <v>365.25</v>
      </c>
      <c r="F58" s="94">
        <v>365.25</v>
      </c>
    </row>
    <row r="59" spans="2:7" s="2" customFormat="1" ht="13">
      <c r="B59" s="93" t="s">
        <v>585</v>
      </c>
      <c r="C59" s="92">
        <f>((1-C$45)*C$46+C$45*C$47*C$48/C$49)*(C$50-(C$51/C$47)-(C$56*0.25))-((1-C$52)*C$53+C$52*C$54*C$48/C$55)*(C$50-(C$51/C$54)-(C$56*0.25))</f>
        <v>152521.32867132867</v>
      </c>
      <c r="D59" s="92">
        <f>((1-D$45)*D$46+D$45*D$47*D$48/D$49)*(D$50-(D$51/D$47)-(D$56*0.25))-((1-D$52)*D$53+D$52*D$54*D$48/D$55)*(D$50-(D$51/D$54)-(D$56*0.25))</f>
        <v>222405.48142418516</v>
      </c>
      <c r="E59" s="92">
        <f>((1-E$45)*E$46+E$45*E$47*E$48/E$49)*(E$50-(E$51/E$47)-(E$56*0.25))-((1-E$52)*E$53+E$52*E$54*E$48/E$55)*(E$50-(E$51/E$54)-(E$56*0.25))</f>
        <v>288499.05108695658</v>
      </c>
      <c r="F59" s="92">
        <f>((1-F$45)*F$46+F$45*F$47*F$48/F$49)*(F$50-(F$51/F$47)-(F$56*0.25))-((1-F$52)*F$53+F$52*F$54*F$48/F$55)*(F$50-(F$51/F$54)-(F$56*0.25))</f>
        <v>358371.32867132867</v>
      </c>
    </row>
    <row r="60" spans="2:7" s="2" customFormat="1" ht="13">
      <c r="B60" s="91" t="s">
        <v>584</v>
      </c>
      <c r="C60" s="90">
        <f>C$56*C$57</f>
        <v>11000</v>
      </c>
      <c r="D60" s="89">
        <f>D$56*D$57</f>
        <v>11000</v>
      </c>
      <c r="E60" s="89">
        <f>E$56*E$57</f>
        <v>11000</v>
      </c>
      <c r="F60" s="88">
        <f>F$56*F$57</f>
        <v>11000</v>
      </c>
    </row>
    <row r="61" spans="2:7" s="2" customFormat="1" ht="13.5" thickBot="1">
      <c r="B61" s="87" t="s">
        <v>583</v>
      </c>
      <c r="C61" s="86">
        <f>((1/C$49)-(1/C$55))*C51*C48</f>
        <v>42368.42105263158</v>
      </c>
      <c r="D61" s="85">
        <f>((1/D$49)-(1/D$55))*D51*D48</f>
        <v>42368.42105263158</v>
      </c>
      <c r="E61" s="85">
        <f>((1/E$49)-(1/E$55))*E51*E48</f>
        <v>42368.42105263158</v>
      </c>
      <c r="F61" s="84">
        <f>((1/F$49)-(1/F$55))*F51*F48</f>
        <v>42368.42105263158</v>
      </c>
    </row>
    <row r="62" spans="2:7" s="2" customFormat="1" ht="13.5" thickBot="1">
      <c r="B62" s="83" t="s">
        <v>582</v>
      </c>
      <c r="C62" s="82">
        <f>((C$61+C$60+C$59)/100000)*C$58</f>
        <v>752.01231086676478</v>
      </c>
      <c r="D62" s="81">
        <f>((D$61+D$60+D$59)/100000)*D$58</f>
        <v>1007.2641787965732</v>
      </c>
      <c r="E62" s="81">
        <f>((E$61+E$60+E$59)/100000)*E$58</f>
        <v>1248.6709419898457</v>
      </c>
      <c r="F62" s="80">
        <f>((F$61+F$60+F$59)/100000)*F$58</f>
        <v>1503.8794358667649</v>
      </c>
    </row>
    <row r="63" spans="2:7" s="2" customFormat="1" ht="13"/>
    <row r="64" spans="2:7" s="4" customFormat="1" ht="13"/>
    <row r="65" s="4" customFormat="1" ht="13"/>
  </sheetData>
  <pageMargins left="0.7" right="0.7" top="0.75" bottom="0.75" header="0.3" footer="0.3"/>
  <pageSetup scale="2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AD120"/>
  <sheetViews>
    <sheetView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71" customFormat="1" ht="13">
      <c r="A3" s="72" t="s">
        <v>540</v>
      </c>
      <c r="B3" s="72"/>
      <c r="C3" s="72"/>
    </row>
    <row r="4" spans="1:30" s="69" customFormat="1" ht="13">
      <c r="A4" s="67" t="s">
        <v>539</v>
      </c>
      <c r="B4" s="70"/>
      <c r="C4" s="70"/>
      <c r="D4" s="70"/>
      <c r="E4" s="70"/>
      <c r="F4" s="70"/>
      <c r="G4" s="70"/>
      <c r="H4" s="70"/>
      <c r="I4" s="70"/>
      <c r="J4" s="70"/>
      <c r="K4" s="70"/>
      <c r="L4" s="70"/>
      <c r="M4" s="70"/>
      <c r="N4" s="70"/>
      <c r="O4" s="70"/>
      <c r="Z4" s="6"/>
      <c r="AA4" s="6"/>
      <c r="AB4" s="6"/>
      <c r="AC4" s="6"/>
      <c r="AD4" s="6"/>
    </row>
    <row r="5" spans="1:30" s="6" customFormat="1" ht="13">
      <c r="A5" s="68" t="s">
        <v>538</v>
      </c>
      <c r="B5" s="67"/>
      <c r="C5" s="67"/>
      <c r="D5" s="67"/>
      <c r="E5" s="67"/>
      <c r="F5" s="67"/>
      <c r="G5" s="67"/>
      <c r="H5" s="67"/>
      <c r="I5" s="67"/>
      <c r="J5" s="67"/>
      <c r="K5" s="67"/>
      <c r="L5" s="67"/>
      <c r="M5" s="67"/>
      <c r="N5" s="67"/>
      <c r="O5" s="67"/>
    </row>
    <row r="6" spans="1:30" s="4" customFormat="1" ht="13">
      <c r="A6" s="2"/>
      <c r="B6" s="2"/>
      <c r="C6" s="2"/>
      <c r="D6" s="2"/>
      <c r="E6" s="2"/>
      <c r="F6" s="31"/>
      <c r="G6" s="31"/>
      <c r="H6" s="31"/>
      <c r="I6" s="31"/>
      <c r="J6" s="31"/>
      <c r="K6" s="31"/>
      <c r="L6" s="31"/>
      <c r="M6" s="31"/>
      <c r="N6" s="27"/>
      <c r="O6" s="27"/>
      <c r="P6" s="27"/>
      <c r="Q6" s="31"/>
      <c r="R6" s="31"/>
      <c r="S6" s="31"/>
    </row>
    <row r="7" spans="1:30" s="4" customFormat="1" ht="13">
      <c r="A7" s="538" t="s">
        <v>537</v>
      </c>
      <c r="B7" s="538" t="s">
        <v>536</v>
      </c>
      <c r="C7" s="538"/>
      <c r="D7" s="538"/>
      <c r="E7" s="538"/>
      <c r="F7" s="538"/>
      <c r="G7" s="538" t="s">
        <v>535</v>
      </c>
      <c r="H7" s="538"/>
      <c r="I7" s="538"/>
      <c r="J7" s="537" t="s">
        <v>534</v>
      </c>
      <c r="K7" s="537"/>
      <c r="L7" s="537"/>
      <c r="M7" s="537"/>
      <c r="N7" s="537"/>
      <c r="O7" s="537"/>
      <c r="P7" s="31"/>
      <c r="Q7" s="31"/>
      <c r="R7" s="539" t="s">
        <v>533</v>
      </c>
      <c r="S7" s="540"/>
    </row>
    <row r="8" spans="1:30" s="4" customFormat="1" ht="26">
      <c r="A8" s="538"/>
      <c r="B8" s="66" t="s">
        <v>532</v>
      </c>
      <c r="C8" s="66" t="s">
        <v>532</v>
      </c>
      <c r="D8" s="66" t="s">
        <v>531</v>
      </c>
      <c r="E8" s="66" t="s">
        <v>530</v>
      </c>
      <c r="F8" s="66" t="s">
        <v>529</v>
      </c>
      <c r="G8" s="66" t="s">
        <v>531</v>
      </c>
      <c r="H8" s="66" t="s">
        <v>530</v>
      </c>
      <c r="I8" s="66" t="s">
        <v>529</v>
      </c>
      <c r="J8" s="65" t="s">
        <v>523</v>
      </c>
      <c r="K8" s="65" t="s">
        <v>522</v>
      </c>
      <c r="L8" s="65" t="s">
        <v>528</v>
      </c>
      <c r="M8" s="65" t="s">
        <v>527</v>
      </c>
      <c r="N8" s="65" t="s">
        <v>526</v>
      </c>
      <c r="O8" s="65" t="s">
        <v>525</v>
      </c>
      <c r="P8" s="65" t="s">
        <v>524</v>
      </c>
      <c r="Q8" s="31"/>
      <c r="R8" s="64" t="s">
        <v>523</v>
      </c>
      <c r="S8" s="64" t="s">
        <v>522</v>
      </c>
    </row>
    <row r="9" spans="1:30" s="4" customFormat="1" ht="13">
      <c r="A9" s="542" t="s">
        <v>521</v>
      </c>
      <c r="B9" s="57">
        <v>114.8</v>
      </c>
      <c r="C9" s="57">
        <v>27.34</v>
      </c>
      <c r="D9" s="55">
        <v>69.760000000000005</v>
      </c>
      <c r="E9" s="55">
        <v>46</v>
      </c>
      <c r="F9" s="55"/>
      <c r="G9" s="55">
        <v>16.170000000000002</v>
      </c>
      <c r="H9" s="55">
        <v>11.69</v>
      </c>
      <c r="I9" s="55"/>
      <c r="J9" s="54">
        <f t="shared" ref="J9:J25" si="0">((B9-C9)*$B$36*$B$33)/(100000*$B$30)</f>
        <v>3.7651150681536549</v>
      </c>
      <c r="K9" s="54"/>
      <c r="L9" s="54"/>
      <c r="M9" s="54">
        <f t="shared" ref="M9:M15" si="1">((D9-G9)*$B$36*$B$33)/(100000*$B$31)</f>
        <v>2.8731021450617282</v>
      </c>
      <c r="N9" s="58">
        <f t="shared" ref="N9:N20" si="2">(((E9-H9)+(D9-G9))/2*$B$36*$B$33)/(100000*$B$32)</f>
        <v>1.8643064102564104</v>
      </c>
      <c r="O9" s="58"/>
      <c r="P9" s="52"/>
      <c r="Q9" s="63"/>
      <c r="R9" s="62"/>
      <c r="S9" s="62"/>
    </row>
    <row r="10" spans="1:30" s="4" customFormat="1" ht="13">
      <c r="A10" s="542"/>
      <c r="B10" s="57">
        <v>140.19999999999999</v>
      </c>
      <c r="C10" s="57">
        <v>28.46</v>
      </c>
      <c r="D10" s="55">
        <v>80.05</v>
      </c>
      <c r="E10" s="55">
        <v>56.07</v>
      </c>
      <c r="F10" s="55">
        <v>38.5</v>
      </c>
      <c r="G10" s="55">
        <v>16.850000000000001</v>
      </c>
      <c r="H10" s="55">
        <v>12.19</v>
      </c>
      <c r="I10" s="55">
        <v>8.6999999999999993</v>
      </c>
      <c r="J10" s="54">
        <f t="shared" si="0"/>
        <v>4.8103585377942988</v>
      </c>
      <c r="K10" s="54"/>
      <c r="L10" s="54">
        <f t="shared" ref="L10:L15" si="3">((D10-G10)*$B$36*$B$33)/(100000*$B$30)</f>
        <v>2.7207325898389092</v>
      </c>
      <c r="M10" s="54">
        <f t="shared" si="1"/>
        <v>3.3883197530864191</v>
      </c>
      <c r="N10" s="58">
        <f t="shared" si="2"/>
        <v>2.2711027350427346</v>
      </c>
      <c r="O10" s="58">
        <f t="shared" ref="O10:O15" si="4">((F10-I10)*$B$35*$B$34)/(100000*$B$32)</f>
        <v>2.6792492307692308</v>
      </c>
      <c r="P10" s="52">
        <v>1</v>
      </c>
      <c r="Q10" s="51">
        <f t="shared" ref="Q10:Q25" si="5">28.716*P10^3</f>
        <v>28.716000000000001</v>
      </c>
      <c r="R10" s="541">
        <f>(1/Q10*L10+1/Q11*L11+1/Q12*L12+1/Q13*L13)/(1/Q10+1/Q11+1/Q12+1/Q13)</f>
        <v>3.1854757047967208</v>
      </c>
      <c r="S10" s="541">
        <f>(1/Q10*M10+1/Q11*M11+1/Q12*M12+1/Q13*M13)/(1/Q10+1/Q11+1/Q12+1/Q13)</f>
        <v>3.967097058288509</v>
      </c>
    </row>
    <row r="11" spans="1:30" s="4" customFormat="1" ht="13">
      <c r="A11" s="542"/>
      <c r="B11" s="57">
        <v>172.9</v>
      </c>
      <c r="C11" s="57">
        <v>36.479999999999997</v>
      </c>
      <c r="D11" s="55">
        <v>98.61</v>
      </c>
      <c r="E11" s="55">
        <v>69.040000000000006</v>
      </c>
      <c r="F11" s="55">
        <v>47.38</v>
      </c>
      <c r="G11" s="55">
        <v>21.56</v>
      </c>
      <c r="H11" s="55">
        <v>15.58</v>
      </c>
      <c r="I11" s="55">
        <v>11.1</v>
      </c>
      <c r="J11" s="54">
        <f t="shared" si="0"/>
        <v>5.8728218339529121</v>
      </c>
      <c r="K11" s="54"/>
      <c r="L11" s="54">
        <f t="shared" si="3"/>
        <v>3.3169690830235434</v>
      </c>
      <c r="M11" s="54">
        <f t="shared" si="1"/>
        <v>4.1308550154320987</v>
      </c>
      <c r="N11" s="58">
        <f t="shared" si="2"/>
        <v>2.7680390170940163</v>
      </c>
      <c r="O11" s="58">
        <f t="shared" si="4"/>
        <v>3.2618510769230769</v>
      </c>
      <c r="P11" s="52">
        <v>1.25</v>
      </c>
      <c r="Q11" s="51">
        <f t="shared" si="5"/>
        <v>56.0859375</v>
      </c>
      <c r="R11" s="541"/>
      <c r="S11" s="541"/>
    </row>
    <row r="12" spans="1:30" s="4" customFormat="1" ht="13">
      <c r="A12" s="542"/>
      <c r="B12" s="57">
        <v>195.5</v>
      </c>
      <c r="C12" s="57">
        <v>36.99</v>
      </c>
      <c r="D12" s="55">
        <v>111.4</v>
      </c>
      <c r="E12" s="55">
        <v>77.98</v>
      </c>
      <c r="F12" s="55">
        <v>53.5</v>
      </c>
      <c r="G12" s="55">
        <v>21.88</v>
      </c>
      <c r="H12" s="55">
        <v>15.82</v>
      </c>
      <c r="I12" s="55">
        <v>11.28</v>
      </c>
      <c r="J12" s="54">
        <f t="shared" si="0"/>
        <v>6.823786753407683</v>
      </c>
      <c r="K12" s="54"/>
      <c r="L12" s="54">
        <f t="shared" si="3"/>
        <v>3.8537971747211901</v>
      </c>
      <c r="M12" s="54">
        <f t="shared" si="1"/>
        <v>4.7994048148148156</v>
      </c>
      <c r="N12" s="58">
        <f t="shared" si="2"/>
        <v>3.2170420512820512</v>
      </c>
      <c r="O12" s="58">
        <f t="shared" si="4"/>
        <v>3.7959027692307687</v>
      </c>
      <c r="P12" s="52">
        <v>1.5</v>
      </c>
      <c r="Q12" s="51">
        <f t="shared" si="5"/>
        <v>96.916499999999999</v>
      </c>
      <c r="R12" s="541"/>
      <c r="S12" s="541"/>
    </row>
    <row r="13" spans="1:30" s="4" customFormat="1" ht="13">
      <c r="A13" s="542" t="s">
        <v>520</v>
      </c>
      <c r="B13" s="57">
        <v>239.9</v>
      </c>
      <c r="C13" s="57">
        <v>43.22</v>
      </c>
      <c r="D13" s="55">
        <v>136.6</v>
      </c>
      <c r="E13" s="55">
        <v>95.55</v>
      </c>
      <c r="F13" s="55">
        <v>65.53</v>
      </c>
      <c r="G13" s="55">
        <v>25.55</v>
      </c>
      <c r="H13" s="55">
        <v>18.48</v>
      </c>
      <c r="I13" s="55">
        <v>13.17</v>
      </c>
      <c r="J13" s="54">
        <f t="shared" si="0"/>
        <v>8.4669886988847569</v>
      </c>
      <c r="K13" s="54"/>
      <c r="L13" s="54">
        <f t="shared" si="3"/>
        <v>4.7806543370508052</v>
      </c>
      <c r="M13" s="54">
        <f t="shared" si="1"/>
        <v>5.9536852623456786</v>
      </c>
      <c r="N13" s="58">
        <f t="shared" si="2"/>
        <v>3.9899126495726498</v>
      </c>
      <c r="O13" s="58">
        <f t="shared" si="4"/>
        <v>4.7075667692307697</v>
      </c>
      <c r="P13" s="52">
        <v>2</v>
      </c>
      <c r="Q13" s="51">
        <f t="shared" si="5"/>
        <v>229.72800000000001</v>
      </c>
      <c r="R13" s="541"/>
      <c r="S13" s="541"/>
    </row>
    <row r="14" spans="1:30" s="4" customFormat="1" ht="13">
      <c r="A14" s="542"/>
      <c r="B14" s="57">
        <v>286.2</v>
      </c>
      <c r="C14" s="57">
        <v>49.65</v>
      </c>
      <c r="D14" s="55">
        <v>162.80000000000001</v>
      </c>
      <c r="E14" s="55">
        <v>113.9</v>
      </c>
      <c r="F14" s="55">
        <v>78.069999999999993</v>
      </c>
      <c r="G14" s="55">
        <v>29.35</v>
      </c>
      <c r="H14" s="55">
        <v>21.21</v>
      </c>
      <c r="I14" s="55">
        <v>15.12</v>
      </c>
      <c r="J14" s="54">
        <f t="shared" si="0"/>
        <v>10.183374907063195</v>
      </c>
      <c r="K14" s="22"/>
      <c r="L14" s="22">
        <f t="shared" si="3"/>
        <v>5.7449646220570019</v>
      </c>
      <c r="M14" s="22">
        <f t="shared" si="1"/>
        <v>7.154608719135803</v>
      </c>
      <c r="N14" s="61">
        <f t="shared" si="2"/>
        <v>4.7962941025641026</v>
      </c>
      <c r="O14" s="61">
        <f t="shared" si="4"/>
        <v>5.6596892307692306</v>
      </c>
      <c r="P14" s="60">
        <v>2.5</v>
      </c>
      <c r="Q14" s="59">
        <f t="shared" si="5"/>
        <v>448.6875</v>
      </c>
      <c r="R14" s="543">
        <f>(1/Q14*L14+1/Q15*L15+1/Q16*J16+1/Q17*J17+1/Q18*J18+1/Q19*J19)/(1/Q14+1/Q15+1/Q16+1/Q17+1/Q18+1/Q19)</f>
        <v>9.7774837796756167</v>
      </c>
      <c r="S14" s="541">
        <f>(1/Q14*M14+1/Q15*M15+1/Q16*K16+1/Q17*K17+1/Q18*K18+1/Q19*K19)/(1/Q14+1/Q15+1/Q16+1/Q17+1/Q18+1/Q19)</f>
        <v>12.176588595984912</v>
      </c>
    </row>
    <row r="15" spans="1:30" s="4" customFormat="1" ht="13">
      <c r="A15" s="542"/>
      <c r="B15" s="57">
        <v>343.7</v>
      </c>
      <c r="C15" s="57">
        <v>58.69</v>
      </c>
      <c r="D15" s="56">
        <v>195.4</v>
      </c>
      <c r="E15" s="55">
        <v>136.6</v>
      </c>
      <c r="F15" s="56">
        <v>93.64</v>
      </c>
      <c r="G15" s="55">
        <v>34.67</v>
      </c>
      <c r="H15" s="55">
        <v>25.05</v>
      </c>
      <c r="I15" s="55">
        <v>17.850000000000001</v>
      </c>
      <c r="J15" s="54">
        <f t="shared" si="0"/>
        <v>12.269556889714993</v>
      </c>
      <c r="K15" s="22"/>
      <c r="L15" s="22">
        <f t="shared" si="3"/>
        <v>6.9193567905824036</v>
      </c>
      <c r="M15" s="22">
        <f t="shared" si="1"/>
        <v>8.6171619290123456</v>
      </c>
      <c r="N15" s="61">
        <f t="shared" si="2"/>
        <v>5.774895897435897</v>
      </c>
      <c r="O15" s="61">
        <f t="shared" si="4"/>
        <v>6.8141039999999986</v>
      </c>
      <c r="P15" s="60">
        <v>3</v>
      </c>
      <c r="Q15" s="59">
        <f t="shared" si="5"/>
        <v>775.33199999999999</v>
      </c>
      <c r="R15" s="543"/>
      <c r="S15" s="541"/>
    </row>
    <row r="16" spans="1:30" s="4" customFormat="1" ht="13">
      <c r="A16" s="542"/>
      <c r="B16" s="57">
        <v>389.5</v>
      </c>
      <c r="C16" s="57">
        <v>55.22</v>
      </c>
      <c r="D16" s="56">
        <v>221.4</v>
      </c>
      <c r="E16" s="55">
        <v>154.69999999999999</v>
      </c>
      <c r="F16" s="56">
        <v>106</v>
      </c>
      <c r="G16" s="55">
        <v>32.67</v>
      </c>
      <c r="H16" s="55">
        <v>23.63</v>
      </c>
      <c r="I16" s="55">
        <v>16.86</v>
      </c>
      <c r="J16" s="22">
        <f t="shared" si="0"/>
        <v>14.390609021065673</v>
      </c>
      <c r="K16" s="22">
        <f t="shared" ref="K16:K25" si="6">((B16-C16)*$B$36*$B$33)/(100000*$B$31)</f>
        <v>17.921638086419751</v>
      </c>
      <c r="L16" s="22"/>
      <c r="M16" s="22"/>
      <c r="N16" s="61">
        <f t="shared" si="2"/>
        <v>6.7827666666666664</v>
      </c>
      <c r="O16" s="61"/>
      <c r="P16" s="60">
        <v>3.5</v>
      </c>
      <c r="Q16" s="59">
        <f t="shared" si="5"/>
        <v>1231.1985</v>
      </c>
      <c r="R16" s="543"/>
      <c r="S16" s="541"/>
    </row>
    <row r="17" spans="1:19" s="4" customFormat="1" ht="13">
      <c r="A17" s="542"/>
      <c r="B17" s="57">
        <v>435.2</v>
      </c>
      <c r="C17" s="57">
        <v>70.19</v>
      </c>
      <c r="D17" s="56">
        <v>247.2</v>
      </c>
      <c r="E17" s="55">
        <v>172.8</v>
      </c>
      <c r="F17" s="56">
        <v>118.4</v>
      </c>
      <c r="G17" s="55">
        <v>41.46</v>
      </c>
      <c r="H17" s="55">
        <v>29.96</v>
      </c>
      <c r="I17" s="55">
        <v>21.35</v>
      </c>
      <c r="J17" s="22">
        <f t="shared" si="0"/>
        <v>15.713522193308549</v>
      </c>
      <c r="K17" s="22">
        <f t="shared" si="6"/>
        <v>19.569154953703702</v>
      </c>
      <c r="L17" s="22"/>
      <c r="M17" s="22"/>
      <c r="N17" s="61">
        <f t="shared" si="2"/>
        <v>7.3931732478632473</v>
      </c>
      <c r="O17" s="61">
        <f>((F17-I17)*$B$35*$B$34)/(100000*$B$32)</f>
        <v>8.72554153846154</v>
      </c>
      <c r="P17" s="60">
        <v>4</v>
      </c>
      <c r="Q17" s="59">
        <f t="shared" si="5"/>
        <v>1837.8240000000001</v>
      </c>
      <c r="R17" s="543"/>
      <c r="S17" s="541"/>
    </row>
    <row r="18" spans="1:19" s="4" customFormat="1" ht="13">
      <c r="A18" s="542"/>
      <c r="B18" s="57">
        <v>480.7</v>
      </c>
      <c r="C18" s="57">
        <v>65.72</v>
      </c>
      <c r="D18" s="56">
        <v>273</v>
      </c>
      <c r="E18" s="55">
        <v>190.8</v>
      </c>
      <c r="F18" s="56">
        <v>130.69999999999999</v>
      </c>
      <c r="G18" s="55">
        <v>38.869999999999997</v>
      </c>
      <c r="H18" s="55">
        <v>28.12</v>
      </c>
      <c r="I18" s="55">
        <v>20.05</v>
      </c>
      <c r="J18" s="22">
        <f t="shared" si="0"/>
        <v>17.864709021065675</v>
      </c>
      <c r="K18" s="22">
        <f t="shared" si="6"/>
        <v>22.248179290123456</v>
      </c>
      <c r="L18" s="22"/>
      <c r="M18" s="22"/>
      <c r="N18" s="61">
        <f t="shared" si="2"/>
        <v>8.4161026923076925</v>
      </c>
      <c r="O18" s="61">
        <f>((F18-I18)*$B$35*$B$34)/(100000*$B$32)</f>
        <v>9.9482861538461513</v>
      </c>
      <c r="P18" s="60">
        <v>4.5</v>
      </c>
      <c r="Q18" s="59">
        <f t="shared" si="5"/>
        <v>2616.7455</v>
      </c>
      <c r="R18" s="543"/>
      <c r="S18" s="541"/>
    </row>
    <row r="19" spans="1:19" s="4" customFormat="1" ht="13">
      <c r="A19" s="542" t="s">
        <v>519</v>
      </c>
      <c r="B19" s="57">
        <v>531.79999999999995</v>
      </c>
      <c r="C19" s="57">
        <v>87.36</v>
      </c>
      <c r="D19" s="56">
        <v>301.89999999999998</v>
      </c>
      <c r="E19" s="55">
        <v>210.9</v>
      </c>
      <c r="F19" s="56">
        <v>144.5</v>
      </c>
      <c r="G19" s="55">
        <v>51.57</v>
      </c>
      <c r="H19" s="55">
        <v>37.24</v>
      </c>
      <c r="I19" s="55">
        <v>26.53</v>
      </c>
      <c r="J19" s="22">
        <f t="shared" si="0"/>
        <v>19.132949244113998</v>
      </c>
      <c r="K19" s="22">
        <f t="shared" si="6"/>
        <v>23.827608086419747</v>
      </c>
      <c r="L19" s="22"/>
      <c r="M19" s="22"/>
      <c r="N19" s="61">
        <f t="shared" si="2"/>
        <v>8.9925742307692307</v>
      </c>
      <c r="O19" s="61">
        <f>((F19-I19)*$B$35*$B$34)/(100000*$B$32)</f>
        <v>10.606410461538461</v>
      </c>
      <c r="P19" s="60">
        <v>5</v>
      </c>
      <c r="Q19" s="59">
        <f t="shared" si="5"/>
        <v>3589.5</v>
      </c>
      <c r="R19" s="543"/>
      <c r="S19" s="541"/>
    </row>
    <row r="20" spans="1:19" s="4" customFormat="1" ht="13">
      <c r="A20" s="542"/>
      <c r="B20" s="57">
        <v>627.9</v>
      </c>
      <c r="C20" s="57">
        <v>103.5</v>
      </c>
      <c r="D20" s="56">
        <v>356.3</v>
      </c>
      <c r="E20" s="55">
        <v>248.9</v>
      </c>
      <c r="F20" s="56">
        <v>170.5</v>
      </c>
      <c r="G20" s="55">
        <v>61.09</v>
      </c>
      <c r="H20" s="55">
        <v>44.11</v>
      </c>
      <c r="I20" s="55">
        <v>31.41</v>
      </c>
      <c r="J20" s="54">
        <f t="shared" si="0"/>
        <v>22.575192565055762</v>
      </c>
      <c r="K20" s="54">
        <f t="shared" si="6"/>
        <v>28.114475925925927</v>
      </c>
      <c r="L20" s="54"/>
      <c r="M20" s="54"/>
      <c r="N20" s="58">
        <f t="shared" si="2"/>
        <v>10.604700854700855</v>
      </c>
      <c r="O20" s="58">
        <f>((F20-I20)*$B$35*$B$34)/(100000*$B$32)</f>
        <v>12.505260923076923</v>
      </c>
      <c r="P20" s="52">
        <v>6</v>
      </c>
      <c r="Q20" s="51">
        <f t="shared" si="5"/>
        <v>6202.6559999999999</v>
      </c>
      <c r="R20" s="541">
        <f>(1/Q20*J20+1/Q21*J21+1/Q22*J22)/(1/Q20+1/Q21+1/Q22)</f>
        <v>24.999763600321025</v>
      </c>
      <c r="S20" s="541">
        <f>(1/Q20*K20+1/Q21*K21+1/Q22*K22)/(1/Q20+1/Q21+1/Q22)</f>
        <v>31.133964854103496</v>
      </c>
    </row>
    <row r="21" spans="1:19" s="4" customFormat="1" ht="13">
      <c r="A21" s="542"/>
      <c r="B21" s="57">
        <v>718</v>
      </c>
      <c r="C21" s="57">
        <v>116.9</v>
      </c>
      <c r="D21" s="56"/>
      <c r="E21" s="55"/>
      <c r="F21" s="56"/>
      <c r="G21" s="55"/>
      <c r="H21" s="55"/>
      <c r="I21" s="55"/>
      <c r="J21" s="54">
        <f t="shared" si="0"/>
        <v>25.877094299876084</v>
      </c>
      <c r="K21" s="54">
        <f t="shared" si="6"/>
        <v>32.226566512345677</v>
      </c>
      <c r="L21" s="54"/>
      <c r="M21" s="54"/>
      <c r="N21" s="58"/>
      <c r="O21" s="58"/>
      <c r="P21" s="52">
        <v>7</v>
      </c>
      <c r="Q21" s="51">
        <f t="shared" si="5"/>
        <v>9849.5879999999997</v>
      </c>
      <c r="R21" s="541"/>
      <c r="S21" s="541"/>
    </row>
    <row r="22" spans="1:19" s="4" customFormat="1" ht="13">
      <c r="A22" s="542"/>
      <c r="B22" s="57">
        <v>807.8</v>
      </c>
      <c r="C22" s="57">
        <v>124</v>
      </c>
      <c r="D22" s="56"/>
      <c r="E22" s="55"/>
      <c r="F22" s="56"/>
      <c r="G22" s="55"/>
      <c r="H22" s="55"/>
      <c r="I22" s="55"/>
      <c r="J22" s="54">
        <f t="shared" si="0"/>
        <v>29.437293432465918</v>
      </c>
      <c r="K22" s="54">
        <f t="shared" si="6"/>
        <v>36.660333024691354</v>
      </c>
      <c r="L22" s="54"/>
      <c r="M22" s="54"/>
      <c r="N22" s="53"/>
      <c r="O22" s="53"/>
      <c r="P22" s="52">
        <v>8</v>
      </c>
      <c r="Q22" s="51">
        <f t="shared" si="5"/>
        <v>14702.592000000001</v>
      </c>
      <c r="R22" s="541"/>
      <c r="S22" s="541"/>
    </row>
    <row r="23" spans="1:19" s="4" customFormat="1" ht="13">
      <c r="A23" s="542" t="s">
        <v>518</v>
      </c>
      <c r="B23" s="57">
        <v>897.4</v>
      </c>
      <c r="C23" s="57">
        <v>136.6</v>
      </c>
      <c r="D23" s="56"/>
      <c r="E23" s="55"/>
      <c r="F23" s="56"/>
      <c r="G23" s="55"/>
      <c r="H23" s="55"/>
      <c r="I23" s="55"/>
      <c r="J23" s="54">
        <f t="shared" si="0"/>
        <v>32.752110037174717</v>
      </c>
      <c r="K23" s="54">
        <f t="shared" si="6"/>
        <v>40.788507407407401</v>
      </c>
      <c r="L23" s="54"/>
      <c r="M23" s="54"/>
      <c r="N23" s="53"/>
      <c r="O23" s="53"/>
      <c r="P23" s="52">
        <v>9</v>
      </c>
      <c r="Q23" s="51">
        <f t="shared" si="5"/>
        <v>20933.964</v>
      </c>
      <c r="R23" s="541">
        <f>(1/Q23*J23+1/Q24*J24+1/Q25*J25)/(1/Q23+1/Q24+1/Q25)</f>
        <v>35.984797966765058</v>
      </c>
      <c r="S23" s="541">
        <f>(1/Q23*K23+1/Q24*K24+1/Q25*K25)/(1/Q23+1/Q24+1/Q25)</f>
        <v>44.814401171573145</v>
      </c>
    </row>
    <row r="24" spans="1:19" s="4" customFormat="1" ht="13">
      <c r="A24" s="542"/>
      <c r="B24" s="57">
        <v>997.9</v>
      </c>
      <c r="C24" s="57">
        <v>158.6</v>
      </c>
      <c r="D24" s="56"/>
      <c r="E24" s="55"/>
      <c r="F24" s="56"/>
      <c r="G24" s="55"/>
      <c r="H24" s="55"/>
      <c r="I24" s="55"/>
      <c r="J24" s="54">
        <f t="shared" si="0"/>
        <v>36.131500991325893</v>
      </c>
      <c r="K24" s="54">
        <f t="shared" si="6"/>
        <v>44.997100771604927</v>
      </c>
      <c r="L24" s="54"/>
      <c r="M24" s="54"/>
      <c r="N24" s="53"/>
      <c r="O24" s="53"/>
      <c r="P24" s="52">
        <v>10</v>
      </c>
      <c r="Q24" s="51">
        <f t="shared" si="5"/>
        <v>28716</v>
      </c>
      <c r="R24" s="541"/>
      <c r="S24" s="541"/>
    </row>
    <row r="25" spans="1:19" s="4" customFormat="1" ht="13">
      <c r="A25" s="542"/>
      <c r="B25" s="57">
        <v>1177</v>
      </c>
      <c r="C25" s="57">
        <v>169</v>
      </c>
      <c r="D25" s="56"/>
      <c r="E25" s="55"/>
      <c r="F25" s="56"/>
      <c r="G25" s="55"/>
      <c r="H25" s="55"/>
      <c r="I25" s="55"/>
      <c r="J25" s="54">
        <f t="shared" si="0"/>
        <v>43.393962825278805</v>
      </c>
      <c r="K25" s="54">
        <f t="shared" si="6"/>
        <v>54.041555555555547</v>
      </c>
      <c r="L25" s="54"/>
      <c r="M25" s="54"/>
      <c r="N25" s="53"/>
      <c r="O25" s="53"/>
      <c r="P25" s="52">
        <v>12</v>
      </c>
      <c r="Q25" s="51">
        <f t="shared" si="5"/>
        <v>49621.248</v>
      </c>
      <c r="R25" s="541"/>
      <c r="S25" s="541"/>
    </row>
    <row r="26" spans="1:19" s="4" customFormat="1" ht="13">
      <c r="A26" s="2"/>
      <c r="B26" s="2"/>
      <c r="C26" s="2"/>
      <c r="D26" s="2"/>
      <c r="E26" s="2"/>
      <c r="F26" s="2"/>
      <c r="G26" s="2"/>
      <c r="H26" s="2"/>
      <c r="I26" s="2"/>
      <c r="J26" s="2"/>
      <c r="K26" s="2"/>
      <c r="L26" s="2"/>
      <c r="M26" s="2"/>
      <c r="N26" s="8"/>
      <c r="O26" s="2"/>
      <c r="P26" s="2"/>
      <c r="Q26" s="2"/>
      <c r="R26" s="2"/>
      <c r="S26" s="2"/>
    </row>
    <row r="27" spans="1:19" s="4" customFormat="1" ht="13">
      <c r="A27" s="2"/>
      <c r="B27" s="2"/>
      <c r="C27" s="2"/>
      <c r="D27" s="2"/>
      <c r="E27" s="536" t="s">
        <v>517</v>
      </c>
      <c r="F27" s="536"/>
      <c r="G27" s="536"/>
      <c r="H27" s="536"/>
      <c r="I27" s="536"/>
      <c r="J27" s="536"/>
      <c r="K27" s="536"/>
      <c r="L27" s="26"/>
      <c r="M27" s="2"/>
      <c r="N27" s="27"/>
      <c r="O27" s="27"/>
      <c r="P27" s="27"/>
      <c r="Q27" s="27"/>
      <c r="R27" s="27"/>
      <c r="S27" s="27"/>
    </row>
    <row r="28" spans="1:19" s="4" customFormat="1" ht="26">
      <c r="C28" s="2"/>
      <c r="D28" s="2"/>
      <c r="E28" s="50" t="s">
        <v>516</v>
      </c>
      <c r="F28" s="49" t="s">
        <v>515</v>
      </c>
      <c r="G28" s="49" t="s">
        <v>514</v>
      </c>
      <c r="H28" s="49" t="s">
        <v>513</v>
      </c>
      <c r="I28" s="49" t="s">
        <v>512</v>
      </c>
      <c r="J28" s="49" t="s">
        <v>511</v>
      </c>
      <c r="K28" s="49" t="s">
        <v>510</v>
      </c>
      <c r="L28" s="27"/>
      <c r="M28" s="2"/>
      <c r="N28" s="2"/>
      <c r="O28" s="2"/>
      <c r="P28" s="27"/>
      <c r="Q28" s="2"/>
      <c r="R28" s="2"/>
      <c r="S28" s="2"/>
    </row>
    <row r="29" spans="1:19" s="4" customFormat="1" ht="13">
      <c r="C29" s="2"/>
      <c r="D29" s="2"/>
      <c r="E29" s="36">
        <v>1</v>
      </c>
      <c r="F29" s="35">
        <v>0.1</v>
      </c>
      <c r="G29" s="35">
        <v>0.3</v>
      </c>
      <c r="H29" s="35">
        <v>0.38</v>
      </c>
      <c r="I29" s="34">
        <f>F29/G29</f>
        <v>0.33333333333333337</v>
      </c>
      <c r="J29" s="35">
        <v>0.69</v>
      </c>
      <c r="K29" s="34">
        <f>J29/I29</f>
        <v>2.0699999999999994</v>
      </c>
      <c r="L29" s="27"/>
      <c r="O29" s="2"/>
      <c r="P29" s="2"/>
      <c r="Q29" s="2"/>
      <c r="R29" s="2"/>
      <c r="S29" s="2"/>
    </row>
    <row r="30" spans="1:19" s="4" customFormat="1" ht="13">
      <c r="A30" s="48" t="s">
        <v>509</v>
      </c>
      <c r="B30" s="47">
        <v>0.80700000000000005</v>
      </c>
      <c r="C30" s="2"/>
      <c r="D30" s="2"/>
      <c r="E30" s="36">
        <v>3</v>
      </c>
      <c r="F30" s="35">
        <v>0.93</v>
      </c>
      <c r="G30" s="35">
        <v>1.01</v>
      </c>
      <c r="H30" s="35">
        <v>0.84</v>
      </c>
      <c r="I30" s="34">
        <f>F30/G30</f>
        <v>0.92079207920792083</v>
      </c>
      <c r="J30" s="35">
        <v>3.37</v>
      </c>
      <c r="K30" s="34">
        <f>J30/I30</f>
        <v>3.6598924731182794</v>
      </c>
      <c r="L30" s="27"/>
      <c r="O30" s="2"/>
      <c r="P30" s="2"/>
      <c r="Q30" s="2"/>
      <c r="R30" s="2"/>
      <c r="S30" s="2"/>
    </row>
    <row r="31" spans="1:19" s="4" customFormat="1" ht="13">
      <c r="A31" s="43" t="s">
        <v>508</v>
      </c>
      <c r="B31" s="46">
        <v>0.64800000000000002</v>
      </c>
      <c r="C31" s="2"/>
      <c r="D31" s="2"/>
      <c r="E31" s="37">
        <v>4</v>
      </c>
      <c r="F31" s="35">
        <v>1.64</v>
      </c>
      <c r="G31" s="35">
        <v>1.4</v>
      </c>
      <c r="H31" s="35">
        <v>1.03</v>
      </c>
      <c r="I31" s="34">
        <f>F31/G31</f>
        <v>1.1714285714285715</v>
      </c>
      <c r="J31" s="35">
        <v>4.68</v>
      </c>
      <c r="K31" s="34">
        <f>J31/I31</f>
        <v>3.9951219512195117</v>
      </c>
      <c r="L31" s="2"/>
      <c r="O31" s="2"/>
      <c r="P31" s="2"/>
      <c r="Q31" s="2"/>
      <c r="R31" s="2"/>
      <c r="S31" s="2"/>
    </row>
    <row r="32" spans="1:19" s="4" customFormat="1" ht="13">
      <c r="A32" s="43" t="s">
        <v>507</v>
      </c>
      <c r="B32" s="46">
        <v>0.81899999999999995</v>
      </c>
      <c r="C32" s="2"/>
      <c r="D32" s="2"/>
      <c r="E32" s="37">
        <v>5</v>
      </c>
      <c r="F32" s="35"/>
      <c r="G32" s="35">
        <v>1.76</v>
      </c>
      <c r="H32" s="35">
        <v>1.22</v>
      </c>
      <c r="I32" s="34"/>
      <c r="J32" s="41"/>
      <c r="K32" s="40"/>
      <c r="L32" s="2"/>
      <c r="O32" s="2"/>
      <c r="P32" s="2"/>
      <c r="Q32" s="2"/>
      <c r="R32" s="2"/>
      <c r="S32" s="2"/>
    </row>
    <row r="33" spans="1:19" s="4" customFormat="1" ht="13">
      <c r="A33" s="43" t="s">
        <v>506</v>
      </c>
      <c r="B33" s="45">
        <v>4963</v>
      </c>
      <c r="C33" s="2"/>
      <c r="D33" s="2"/>
      <c r="E33" s="37">
        <v>6</v>
      </c>
      <c r="F33" s="35">
        <v>3.7</v>
      </c>
      <c r="G33" s="35">
        <v>2.13</v>
      </c>
      <c r="H33" s="35">
        <v>1.41</v>
      </c>
      <c r="I33" s="34">
        <f>F33/G33</f>
        <v>1.7370892018779345</v>
      </c>
      <c r="J33" s="35">
        <v>7.03</v>
      </c>
      <c r="K33" s="34">
        <f>J33/I33</f>
        <v>4.0469999999999997</v>
      </c>
      <c r="L33" s="27"/>
      <c r="O33" s="2"/>
      <c r="P33" s="2"/>
      <c r="Q33" s="2"/>
      <c r="R33" s="2"/>
      <c r="S33" s="2"/>
    </row>
    <row r="34" spans="1:19" s="4" customFormat="1" ht="13">
      <c r="A34" s="43" t="s">
        <v>505</v>
      </c>
      <c r="B34" s="44">
        <v>8766</v>
      </c>
      <c r="C34" s="2"/>
      <c r="D34" s="2"/>
      <c r="E34" s="37">
        <v>8</v>
      </c>
      <c r="F34" s="35">
        <v>6.58</v>
      </c>
      <c r="G34" s="35">
        <v>2.91</v>
      </c>
      <c r="H34" s="35">
        <v>1.75</v>
      </c>
      <c r="I34" s="34">
        <f>F34/G34</f>
        <v>2.261168384879725</v>
      </c>
      <c r="J34" s="35">
        <v>10.3</v>
      </c>
      <c r="K34" s="34">
        <f>J34/I34</f>
        <v>4.55516717325228</v>
      </c>
      <c r="L34" s="27"/>
      <c r="O34" s="2"/>
      <c r="P34" s="2"/>
      <c r="Q34" s="2"/>
      <c r="R34" s="2"/>
      <c r="S34" s="2"/>
    </row>
    <row r="35" spans="1:19" s="4" customFormat="1" ht="13">
      <c r="A35" s="43" t="s">
        <v>504</v>
      </c>
      <c r="B35" s="42">
        <v>0.84</v>
      </c>
      <c r="C35" s="2"/>
      <c r="D35" s="2"/>
      <c r="E35" s="37">
        <v>5</v>
      </c>
      <c r="F35" s="35"/>
      <c r="G35" s="35">
        <v>1.76</v>
      </c>
      <c r="H35" s="35">
        <v>1.22</v>
      </c>
      <c r="I35" s="34"/>
      <c r="J35" s="41"/>
      <c r="K35" s="40"/>
      <c r="L35" s="27"/>
      <c r="O35" s="2"/>
      <c r="P35" s="2"/>
      <c r="Q35" s="2"/>
      <c r="R35" s="2"/>
      <c r="S35" s="2"/>
    </row>
    <row r="36" spans="1:19" s="4" customFormat="1" ht="13">
      <c r="A36" s="39" t="s">
        <v>503</v>
      </c>
      <c r="B36" s="38">
        <v>0.7</v>
      </c>
      <c r="C36" s="2"/>
      <c r="D36" s="2"/>
      <c r="E36" s="37">
        <v>6</v>
      </c>
      <c r="F36" s="35">
        <v>3.7</v>
      </c>
      <c r="G36" s="35">
        <v>2.13</v>
      </c>
      <c r="H36" s="35">
        <v>1.41</v>
      </c>
      <c r="I36" s="34">
        <f>F36/G36</f>
        <v>1.7370892018779345</v>
      </c>
      <c r="J36" s="35">
        <v>7.03</v>
      </c>
      <c r="K36" s="34">
        <f>J36/I36</f>
        <v>4.0469999999999997</v>
      </c>
      <c r="L36" s="2"/>
      <c r="M36" s="2"/>
      <c r="N36" s="2"/>
      <c r="O36" s="2"/>
      <c r="P36" s="2"/>
      <c r="Q36" s="2"/>
      <c r="R36" s="2"/>
      <c r="S36" s="2"/>
    </row>
    <row r="37" spans="1:19" s="4" customFormat="1" ht="13">
      <c r="A37" s="2"/>
      <c r="B37" s="2"/>
      <c r="C37" s="2"/>
      <c r="D37" s="2"/>
      <c r="E37" s="37">
        <v>8</v>
      </c>
      <c r="F37" s="35">
        <v>6.58</v>
      </c>
      <c r="G37" s="35">
        <v>2.91</v>
      </c>
      <c r="H37" s="35">
        <v>1.75</v>
      </c>
      <c r="I37" s="34">
        <f>F37/G37</f>
        <v>2.261168384879725</v>
      </c>
      <c r="J37" s="35">
        <v>10.3</v>
      </c>
      <c r="K37" s="34">
        <f>J37/I37</f>
        <v>4.55516717325228</v>
      </c>
      <c r="L37" s="2"/>
      <c r="M37" s="2"/>
      <c r="N37" s="2"/>
      <c r="O37" s="2"/>
      <c r="P37" s="2"/>
      <c r="Q37" s="2"/>
      <c r="R37" s="2"/>
      <c r="S37" s="2"/>
    </row>
    <row r="38" spans="1:19" s="4" customFormat="1" ht="13">
      <c r="A38" s="2"/>
      <c r="B38" s="2"/>
      <c r="C38" s="2"/>
      <c r="D38" s="2"/>
      <c r="E38" s="37">
        <v>10</v>
      </c>
      <c r="F38" s="35">
        <v>10.28</v>
      </c>
      <c r="G38" s="35">
        <v>3.65</v>
      </c>
      <c r="H38" s="35">
        <v>2.13</v>
      </c>
      <c r="I38" s="34">
        <f>F38/G38</f>
        <v>2.8164383561643835</v>
      </c>
      <c r="J38" s="35">
        <v>13.8</v>
      </c>
      <c r="K38" s="34">
        <f>J38/I38</f>
        <v>4.8998054474708175</v>
      </c>
      <c r="L38" s="2"/>
      <c r="M38" s="2"/>
      <c r="N38" s="2"/>
      <c r="O38" s="2"/>
      <c r="P38" s="2"/>
      <c r="Q38" s="2"/>
      <c r="R38" s="2"/>
      <c r="S38" s="2"/>
    </row>
    <row r="39" spans="1:19" s="4" customFormat="1" ht="13">
      <c r="A39" s="2"/>
      <c r="B39" s="2"/>
      <c r="C39" s="2"/>
      <c r="D39" s="2"/>
      <c r="E39" s="36">
        <v>12</v>
      </c>
      <c r="F39" s="35">
        <v>14.8</v>
      </c>
      <c r="G39" s="35">
        <v>4.4400000000000004</v>
      </c>
      <c r="H39" s="35">
        <v>2.5</v>
      </c>
      <c r="I39" s="34">
        <f>F39/G39</f>
        <v>3.333333333333333</v>
      </c>
      <c r="J39" s="35">
        <v>16.100000000000001</v>
      </c>
      <c r="K39" s="34">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33" t="s">
        <v>1</v>
      </c>
      <c r="B43" s="33" t="s">
        <v>502</v>
      </c>
      <c r="C43" s="33" t="s">
        <v>218</v>
      </c>
      <c r="D43" s="27"/>
      <c r="E43" s="2"/>
      <c r="F43" s="2"/>
      <c r="G43" s="2"/>
      <c r="H43" s="2"/>
      <c r="I43" s="2"/>
      <c r="J43" s="2"/>
      <c r="K43" s="2"/>
      <c r="L43" s="2"/>
      <c r="M43" s="2"/>
      <c r="N43" s="2"/>
      <c r="O43" s="2"/>
      <c r="P43" s="2"/>
      <c r="Q43" s="2"/>
      <c r="R43" s="2"/>
      <c r="S43" s="2"/>
    </row>
    <row r="44" spans="1:19" s="4" customFormat="1" ht="13">
      <c r="A44" s="32" t="s">
        <v>221</v>
      </c>
      <c r="B44" s="29"/>
      <c r="C44" s="29">
        <f>AVERAGE(N9:N11)</f>
        <v>2.3011493874643869</v>
      </c>
      <c r="D44" s="2"/>
      <c r="E44" s="2"/>
      <c r="F44" s="2"/>
      <c r="G44" s="2"/>
      <c r="H44" s="2"/>
      <c r="I44" s="2"/>
      <c r="J44" s="2"/>
      <c r="K44" s="2"/>
      <c r="L44" s="31"/>
      <c r="M44" s="2"/>
      <c r="N44" s="2"/>
      <c r="O44" s="2"/>
      <c r="P44" s="2"/>
      <c r="Q44" s="2"/>
      <c r="R44" s="2"/>
      <c r="S44" s="2"/>
    </row>
    <row r="45" spans="1:19" s="4" customFormat="1" ht="13">
      <c r="A45" s="19" t="s">
        <v>220</v>
      </c>
      <c r="B45" s="29"/>
      <c r="C45" s="29">
        <f>AVERAGE(N12:N13)</f>
        <v>3.6034773504273505</v>
      </c>
      <c r="D45" s="2"/>
      <c r="E45" s="26"/>
      <c r="F45" s="2"/>
      <c r="G45" s="2"/>
      <c r="H45" s="2"/>
      <c r="I45" s="2"/>
      <c r="J45" s="2"/>
      <c r="K45" s="2"/>
      <c r="L45" s="31"/>
      <c r="M45" s="31"/>
      <c r="N45" s="2"/>
      <c r="O45" s="2"/>
      <c r="P45" s="2"/>
      <c r="Q45" s="2"/>
      <c r="R45" s="2"/>
      <c r="S45" s="2"/>
    </row>
    <row r="46" spans="1:19" s="4" customFormat="1" ht="13">
      <c r="A46" s="19" t="s">
        <v>219</v>
      </c>
      <c r="B46" s="29"/>
      <c r="C46" s="29">
        <f>AVERAGE(N14:N17)</f>
        <v>6.1867824786324785</v>
      </c>
      <c r="D46" s="2"/>
      <c r="E46" s="26"/>
      <c r="F46" s="2"/>
      <c r="G46" s="2"/>
      <c r="H46" s="2"/>
      <c r="I46" s="2"/>
      <c r="J46" s="2"/>
      <c r="K46" s="2"/>
      <c r="L46" s="31"/>
      <c r="M46" s="31"/>
      <c r="N46" s="2"/>
      <c r="O46" s="2"/>
      <c r="P46" s="2"/>
      <c r="Q46" s="2"/>
      <c r="R46" s="2"/>
      <c r="S46" s="2"/>
    </row>
    <row r="47" spans="1:19" s="4" customFormat="1" ht="13">
      <c r="A47" s="19" t="s">
        <v>217</v>
      </c>
      <c r="B47" s="29">
        <f>(1/Q10*N10+1/Q11*N11+1/Q12*N12+1/Q13*N13)/(1/Q10+1/Q11+1/Q12+1/Q13)</f>
        <v>2.6588140926267867</v>
      </c>
      <c r="C47" s="29">
        <f>(1/Q10*O10+1/Q11*O11+1/Q12*O12+1/Q13*O13)/(1/Q10+1/Q11+1/Q12+1/Q13)</f>
        <v>3.1358228800964363</v>
      </c>
      <c r="D47" s="27"/>
      <c r="E47" s="26"/>
      <c r="F47" s="2"/>
      <c r="G47" s="2"/>
      <c r="H47" s="2"/>
      <c r="I47" s="2"/>
      <c r="J47" s="2"/>
      <c r="K47" s="2"/>
      <c r="L47" s="31"/>
      <c r="M47" s="2"/>
      <c r="N47" s="2"/>
      <c r="O47" s="2"/>
      <c r="P47" s="2"/>
      <c r="Q47" s="2"/>
      <c r="R47" s="2"/>
      <c r="S47" s="2"/>
    </row>
    <row r="48" spans="1:19" s="4" customFormat="1" ht="13">
      <c r="A48" s="19" t="s">
        <v>216</v>
      </c>
      <c r="B48" s="29">
        <f>(1/Q14*N14+1/Q15*N14+1/Q16*N15+1/Q17*N17)/(1/Q14+1/Q15+1/Q16+1/Q17)</f>
        <v>5.2492031493764015</v>
      </c>
      <c r="C48" s="29">
        <f>(1/Q14*O14+1/Q15*O14+1/Q16*O15+1/Q17*O17)/(1/Q14+1/Q15+1/Q16+1/Q17)</f>
        <v>6.1942373572810965</v>
      </c>
      <c r="D48" s="27"/>
      <c r="E48" s="26"/>
      <c r="F48" s="2"/>
      <c r="G48" s="2"/>
      <c r="H48" s="2"/>
      <c r="I48" s="2"/>
      <c r="J48" s="2"/>
      <c r="K48" s="2"/>
      <c r="L48" s="31"/>
      <c r="M48" s="2"/>
      <c r="N48" s="2"/>
      <c r="O48" s="2"/>
      <c r="P48" s="2"/>
      <c r="Q48" s="2"/>
      <c r="R48" s="2"/>
      <c r="S48" s="2"/>
    </row>
    <row r="49" spans="1:19" s="4" customFormat="1" ht="13">
      <c r="A49" s="19" t="s">
        <v>215</v>
      </c>
      <c r="B49" s="29">
        <f>(1/Q18*N18+1/Q19*N19+1/Q20*N20)/(1/Q18+1/Q19+1/Q20)</f>
        <v>9.0407613085908682</v>
      </c>
      <c r="C49" s="29">
        <f>(1/Q18*O18+1/Q19*O19+1/Q20*O20)/(1/Q18+1/Q19+1/Q20)</f>
        <v>10.672873287490331</v>
      </c>
      <c r="D49" s="27"/>
      <c r="E49" s="26"/>
      <c r="F49" s="2"/>
      <c r="G49" s="2"/>
      <c r="H49" s="2"/>
      <c r="I49" s="2"/>
      <c r="J49" s="2"/>
      <c r="K49" s="2"/>
      <c r="L49" s="31"/>
      <c r="M49" s="2"/>
      <c r="N49" s="2"/>
      <c r="O49" s="2"/>
      <c r="P49" s="2"/>
      <c r="Q49" s="2"/>
      <c r="R49" s="2"/>
      <c r="S49" s="2"/>
    </row>
    <row r="50" spans="1:19" s="4" customFormat="1" ht="13">
      <c r="A50" s="19" t="s">
        <v>214</v>
      </c>
      <c r="B50" s="29">
        <f>R10</f>
        <v>3.1854757047967208</v>
      </c>
      <c r="C50" s="29">
        <f>S10</f>
        <v>3.967097058288509</v>
      </c>
      <c r="D50" s="27"/>
      <c r="E50" s="26"/>
      <c r="F50" s="2"/>
      <c r="G50" s="2"/>
      <c r="H50" s="2"/>
      <c r="I50" s="2"/>
      <c r="J50" s="2"/>
      <c r="K50" s="2"/>
      <c r="L50" s="2"/>
      <c r="M50" s="2"/>
      <c r="N50" s="2"/>
      <c r="O50" s="2"/>
      <c r="P50" s="2"/>
      <c r="Q50" s="2"/>
      <c r="R50" s="2"/>
      <c r="S50" s="2"/>
    </row>
    <row r="51" spans="1:19" s="4" customFormat="1" ht="13">
      <c r="A51" s="19" t="s">
        <v>501</v>
      </c>
      <c r="B51" s="29">
        <f>AVERAGE(J13:J18)</f>
        <v>13.148126788517139</v>
      </c>
      <c r="C51" s="29">
        <f>(K16+K17+K18+M13+M14+M15)/6</f>
        <v>13.577404706790121</v>
      </c>
      <c r="D51" s="27"/>
      <c r="E51" s="26"/>
      <c r="F51" s="2"/>
      <c r="G51" s="2"/>
      <c r="H51" s="2"/>
      <c r="I51" s="2"/>
      <c r="J51" s="2"/>
      <c r="K51" s="2"/>
      <c r="L51" s="2"/>
      <c r="M51" s="2"/>
      <c r="N51" s="2"/>
      <c r="O51" s="2"/>
      <c r="P51" s="2"/>
      <c r="Q51" s="2"/>
      <c r="R51" s="2"/>
      <c r="S51" s="2"/>
    </row>
    <row r="52" spans="1:19" s="4" customFormat="1" ht="13">
      <c r="A52" s="19" t="s">
        <v>500</v>
      </c>
      <c r="B52" s="29">
        <f>AVERAGE(J19:J22)</f>
        <v>24.25563238537794</v>
      </c>
      <c r="C52" s="29">
        <f>AVERAGE(K19:K22)</f>
        <v>30.207245887345675</v>
      </c>
      <c r="D52" s="27"/>
      <c r="E52" s="26"/>
      <c r="F52" s="2"/>
      <c r="G52" s="2"/>
      <c r="H52" s="2"/>
      <c r="I52" s="2"/>
      <c r="J52" s="2"/>
      <c r="K52" s="2"/>
      <c r="L52" s="2"/>
      <c r="M52" s="2"/>
      <c r="N52" s="2"/>
      <c r="O52" s="2"/>
      <c r="P52" s="2"/>
      <c r="Q52" s="2"/>
      <c r="R52" s="2"/>
      <c r="S52" s="2"/>
    </row>
    <row r="53" spans="1:19" s="4" customFormat="1" ht="13">
      <c r="A53" s="19" t="s">
        <v>211</v>
      </c>
      <c r="B53" s="29">
        <f>R23</f>
        <v>35.984797966765058</v>
      </c>
      <c r="C53" s="29">
        <f>S23</f>
        <v>44.814401171573145</v>
      </c>
      <c r="D53" s="27"/>
      <c r="E53" s="26"/>
      <c r="F53" s="2"/>
      <c r="G53" s="2"/>
      <c r="H53" s="2"/>
      <c r="I53" s="2"/>
      <c r="J53" s="2"/>
      <c r="K53" s="2"/>
      <c r="L53" s="31"/>
      <c r="M53" s="2"/>
      <c r="N53" s="2"/>
      <c r="O53" s="2"/>
      <c r="P53" s="2"/>
      <c r="Q53" s="2"/>
      <c r="R53" s="2"/>
      <c r="S53" s="2"/>
    </row>
    <row r="54" spans="1:19" s="4" customFormat="1" ht="13">
      <c r="A54" s="19" t="s">
        <v>209</v>
      </c>
      <c r="B54" s="29">
        <f>AVERAGE(J9:J12)*AVERAGE($G29:$H29)</f>
        <v>1.8081269864312264</v>
      </c>
      <c r="C54" s="30">
        <f>AVERAGE(M9:M12)*AVERAGE($G29:$H29)</f>
        <v>1.2912929469135801</v>
      </c>
      <c r="D54" s="27"/>
      <c r="E54" s="26"/>
      <c r="F54" s="2"/>
      <c r="G54" s="2"/>
      <c r="H54" s="2"/>
      <c r="I54" s="2"/>
      <c r="J54" s="2"/>
      <c r="K54" s="2"/>
      <c r="L54" s="2"/>
      <c r="M54" s="2"/>
      <c r="N54" s="2"/>
      <c r="O54" s="2"/>
      <c r="P54" s="2"/>
      <c r="Q54" s="2"/>
      <c r="R54" s="2"/>
      <c r="S54" s="2"/>
    </row>
    <row r="55" spans="1:19" s="4" customFormat="1" ht="13">
      <c r="A55" s="19" t="s">
        <v>208</v>
      </c>
      <c r="B55" s="29">
        <f>AVERAGE(G30,G31,G32,G35,H30,H31,H32,H35)*R14</f>
        <v>12.515179237984789</v>
      </c>
      <c r="C55" s="29">
        <f>AVERAGE(G30,G31,G32,G35,H30,H31,H32,H35)*S14</f>
        <v>15.586033402860688</v>
      </c>
      <c r="D55" s="27"/>
      <c r="E55" s="26"/>
      <c r="F55" s="2"/>
      <c r="G55" s="2"/>
      <c r="H55" s="2"/>
      <c r="I55" s="2"/>
      <c r="J55" s="2"/>
      <c r="K55" s="2"/>
      <c r="L55" s="2"/>
      <c r="M55" s="2"/>
      <c r="N55" s="2"/>
      <c r="O55" s="2"/>
      <c r="P55" s="2"/>
      <c r="Q55" s="2"/>
      <c r="R55" s="2"/>
      <c r="S55" s="2"/>
    </row>
    <row r="56" spans="1:19" s="4" customFormat="1" ht="13">
      <c r="A56" s="19" t="s">
        <v>207</v>
      </c>
      <c r="B56" s="29">
        <f>AVERAGE(G33,G34,H33,H34,G36,G37,H36,H37)*R20</f>
        <v>51.249515380658096</v>
      </c>
      <c r="C56" s="29">
        <f>AVERAGE(G33,G34,H33,H34,G36,G37,H36,H37)*S20</f>
        <v>63.824627950912159</v>
      </c>
      <c r="D56" s="27"/>
      <c r="E56" s="26"/>
      <c r="F56" s="2"/>
      <c r="G56" s="2"/>
      <c r="H56" s="2"/>
      <c r="I56" s="2"/>
      <c r="J56" s="2"/>
      <c r="K56" s="2"/>
      <c r="L56" s="2"/>
      <c r="M56" s="2"/>
      <c r="N56" s="2"/>
      <c r="O56" s="2"/>
      <c r="P56" s="2"/>
      <c r="Q56" s="2"/>
      <c r="R56" s="2"/>
      <c r="S56" s="2"/>
    </row>
    <row r="57" spans="1:19" s="4" customFormat="1" ht="13">
      <c r="A57" s="19" t="s">
        <v>206</v>
      </c>
      <c r="B57" s="29">
        <f>AVERAGE(G34,G37,G38,G39,H34,H37,H38,H39)*R23</f>
        <v>99.138118398437726</v>
      </c>
      <c r="C57" s="29">
        <f>AVERAGE(G34,G37,G38,G39,H34,H37,H38,H39)*S23</f>
        <v>123.46367522768401</v>
      </c>
      <c r="D57" s="27"/>
      <c r="E57" s="26"/>
      <c r="F57" s="2"/>
      <c r="G57" s="2"/>
      <c r="H57" s="2"/>
      <c r="I57" s="2"/>
      <c r="J57" s="2"/>
      <c r="K57" s="2"/>
      <c r="L57" s="2"/>
      <c r="M57" s="2"/>
      <c r="N57" s="2"/>
      <c r="O57" s="2"/>
      <c r="P57" s="2"/>
      <c r="Q57" s="2"/>
      <c r="R57" s="2"/>
      <c r="S57" s="2"/>
    </row>
    <row r="58" spans="1:19" s="4" customFormat="1" ht="13">
      <c r="A58" s="19" t="s">
        <v>205</v>
      </c>
      <c r="B58" s="29">
        <f>AVERAGE(J9:J12)*$K$29</f>
        <v>11.008302535037171</v>
      </c>
      <c r="C58" s="30">
        <f>AVERAGE(M9:M12)*$K$29</f>
        <v>7.8616952944444423</v>
      </c>
      <c r="D58" s="27"/>
      <c r="E58" s="26"/>
      <c r="F58" s="2"/>
      <c r="G58" s="2"/>
      <c r="H58" s="2"/>
      <c r="I58" s="2"/>
      <c r="J58" s="2"/>
      <c r="K58" s="2"/>
      <c r="L58" s="2"/>
      <c r="M58" s="2"/>
      <c r="N58" s="2"/>
      <c r="O58" s="2"/>
      <c r="P58" s="2"/>
      <c r="Q58" s="2"/>
      <c r="R58" s="2"/>
      <c r="S58" s="2"/>
    </row>
    <row r="59" spans="1:19" s="4" customFormat="1" ht="13">
      <c r="A59" s="19" t="s">
        <v>204</v>
      </c>
      <c r="B59" s="29">
        <f>AVERAGE(K30,K31)*R14</f>
        <v>37.423389683572815</v>
      </c>
      <c r="C59" s="29">
        <f>AVERAGE(K30,K31)*S14</f>
        <v>46.605980670745772</v>
      </c>
      <c r="D59" s="27"/>
      <c r="E59" s="26"/>
      <c r="F59" s="2"/>
      <c r="G59" s="2"/>
      <c r="H59" s="2"/>
      <c r="I59" s="2"/>
      <c r="J59" s="2"/>
      <c r="K59" s="2"/>
      <c r="L59" s="2"/>
      <c r="M59" s="2"/>
      <c r="N59" s="2"/>
      <c r="O59" s="2"/>
      <c r="P59" s="2"/>
      <c r="Q59" s="2"/>
      <c r="R59" s="2"/>
      <c r="S59" s="2"/>
    </row>
    <row r="60" spans="1:19" s="4" customFormat="1" ht="13">
      <c r="A60" s="19" t="s">
        <v>203</v>
      </c>
      <c r="B60" s="28">
        <f>AVERAGE(K33,K34,K36,K37)*R20</f>
        <v>107.52607289087437</v>
      </c>
      <c r="C60" s="28">
        <f>AVERAGE(K33,K34,K36,K37)*S20</f>
        <v>133.90978522057964</v>
      </c>
      <c r="D60" s="27"/>
      <c r="E60" s="26"/>
      <c r="F60" s="2"/>
      <c r="G60" s="2"/>
      <c r="H60" s="2"/>
      <c r="I60" s="2"/>
      <c r="J60" s="2"/>
      <c r="K60" s="2"/>
      <c r="L60" s="2"/>
      <c r="M60" s="2"/>
      <c r="N60" s="2"/>
      <c r="O60" s="2"/>
      <c r="P60" s="2"/>
      <c r="Q60" s="2"/>
      <c r="R60" s="2"/>
      <c r="S60" s="2"/>
    </row>
    <row r="61" spans="1:19" s="4" customFormat="1" ht="13">
      <c r="A61" s="19" t="s">
        <v>202</v>
      </c>
      <c r="B61" s="28">
        <f>AVERAGE(K38,K39)*R23</f>
        <v>175.06254164158375</v>
      </c>
      <c r="C61" s="28">
        <f>AVERAGE(K38,K39)*S23</f>
        <v>218.0177023221575</v>
      </c>
      <c r="D61" s="27"/>
      <c r="E61" s="26"/>
      <c r="F61" s="2"/>
      <c r="G61" s="2"/>
      <c r="H61" s="2"/>
      <c r="I61" s="2"/>
      <c r="J61" s="2"/>
      <c r="K61" s="2"/>
      <c r="L61" s="2"/>
      <c r="M61" s="2"/>
      <c r="N61" s="2"/>
      <c r="O61" s="2"/>
      <c r="P61" s="2"/>
      <c r="Q61" s="2"/>
      <c r="R61" s="2"/>
      <c r="S61" s="2"/>
    </row>
    <row r="62" spans="1:19" s="4" customFormat="1" ht="13"/>
    <row r="64" spans="1:19" s="71" customFormat="1" ht="13">
      <c r="A64" s="72" t="s">
        <v>563</v>
      </c>
      <c r="B64" s="72"/>
      <c r="C64" s="72"/>
    </row>
    <row r="65" spans="1:7" s="4" customFormat="1" ht="13"/>
    <row r="66" spans="1:7" s="2" customFormat="1" ht="13">
      <c r="A66" s="2" t="s">
        <v>562</v>
      </c>
    </row>
    <row r="67" spans="1:7" s="2" customFormat="1" ht="13">
      <c r="A67" s="2" t="s">
        <v>561</v>
      </c>
      <c r="B67" s="24" t="s">
        <v>560</v>
      </c>
      <c r="C67" s="24" t="s">
        <v>559</v>
      </c>
      <c r="D67" s="24" t="s">
        <v>558</v>
      </c>
      <c r="E67" s="24" t="s">
        <v>557</v>
      </c>
    </row>
    <row r="68" spans="1:7" s="2" customFormat="1" ht="13">
      <c r="A68" s="75" t="s">
        <v>556</v>
      </c>
      <c r="B68" s="76">
        <v>888</v>
      </c>
      <c r="C68" s="76">
        <v>464</v>
      </c>
      <c r="D68" s="76">
        <v>148</v>
      </c>
      <c r="E68" s="19"/>
    </row>
    <row r="69" spans="1:7" s="2" customFormat="1" ht="13">
      <c r="A69" s="75" t="s">
        <v>555</v>
      </c>
      <c r="B69" s="19">
        <v>1710</v>
      </c>
      <c r="C69" s="19">
        <v>1832</v>
      </c>
      <c r="D69" s="19">
        <v>285</v>
      </c>
      <c r="E69" s="19"/>
    </row>
    <row r="70" spans="1:7" s="2" customFormat="1" ht="13">
      <c r="A70" s="75" t="s">
        <v>554</v>
      </c>
      <c r="B70" s="19">
        <v>11928</v>
      </c>
      <c r="C70" s="19">
        <v>5699</v>
      </c>
      <c r="D70" s="19">
        <v>695</v>
      </c>
      <c r="E70" s="19">
        <v>272</v>
      </c>
    </row>
    <row r="71" spans="1:7" s="2" customFormat="1" ht="13"/>
    <row r="72" spans="1:7" s="2" customFormat="1" ht="13"/>
    <row r="73" spans="1:7" s="2" customFormat="1" ht="13">
      <c r="B73" s="36" t="s">
        <v>421</v>
      </c>
      <c r="C73" s="36" t="s">
        <v>553</v>
      </c>
      <c r="D73" s="36" t="s">
        <v>552</v>
      </c>
      <c r="E73" s="36" t="s">
        <v>551</v>
      </c>
      <c r="F73" s="36" t="s">
        <v>550</v>
      </c>
      <c r="G73" s="36" t="s">
        <v>549</v>
      </c>
    </row>
    <row r="74" spans="1:7" s="2" customFormat="1" ht="13">
      <c r="B74" s="36">
        <f>0.15*0.53+0.47</f>
        <v>0.54949999999999999</v>
      </c>
      <c r="C74" s="36">
        <v>2425</v>
      </c>
      <c r="D74" s="36">
        <f>325</f>
        <v>325</v>
      </c>
      <c r="E74" s="36">
        <v>70</v>
      </c>
      <c r="F74" s="36">
        <v>0.5</v>
      </c>
      <c r="G74" s="36">
        <v>0.80700000000000005</v>
      </c>
    </row>
    <row r="75" spans="1:7" s="2" customFormat="1" ht="13"/>
    <row r="76" spans="1:7" s="2" customFormat="1" ht="13">
      <c r="B76" s="24" t="s">
        <v>548</v>
      </c>
      <c r="C76" s="24" t="s">
        <v>547</v>
      </c>
      <c r="D76" s="24" t="s">
        <v>546</v>
      </c>
      <c r="E76" s="24" t="s">
        <v>545</v>
      </c>
    </row>
    <row r="77" spans="1:7" s="2" customFormat="1" ht="13">
      <c r="B77" s="24" t="s">
        <v>544</v>
      </c>
      <c r="C77" s="24" t="s">
        <v>543</v>
      </c>
      <c r="D77" s="24" t="s">
        <v>543</v>
      </c>
      <c r="E77" s="24" t="s">
        <v>542</v>
      </c>
    </row>
    <row r="78" spans="1:7" s="2" customFormat="1" ht="13">
      <c r="A78" s="2">
        <v>100</v>
      </c>
      <c r="B78" s="19">
        <v>0.5</v>
      </c>
      <c r="C78" s="19">
        <v>185</v>
      </c>
      <c r="D78" s="19">
        <v>53.44</v>
      </c>
      <c r="E78" s="54">
        <f>(C78-D78)*B$74*C$74/G$74/100000</f>
        <v>2.172349857496902</v>
      </c>
    </row>
    <row r="79" spans="1:7" s="2" customFormat="1" ht="13">
      <c r="B79" s="19">
        <v>0.75</v>
      </c>
      <c r="C79" s="19">
        <v>225.5</v>
      </c>
      <c r="D79" s="19">
        <v>60.66</v>
      </c>
      <c r="E79" s="54">
        <f>(C79-D79)*B$74*C$74/G$74/100000</f>
        <v>2.72187709417596</v>
      </c>
    </row>
    <row r="80" spans="1:7" s="2" customFormat="1" ht="13">
      <c r="A80" s="2">
        <f>148+128</f>
        <v>276</v>
      </c>
      <c r="B80" s="19">
        <v>1</v>
      </c>
      <c r="C80" s="19">
        <v>275.89999999999998</v>
      </c>
      <c r="D80" s="19">
        <v>71.02</v>
      </c>
      <c r="E80" s="54">
        <f>(C80-D80)*B$74*C$74/G$74/100000</f>
        <v>3.3830270508054521</v>
      </c>
    </row>
    <row r="81" spans="1:22" s="2" customFormat="1" ht="13">
      <c r="A81" s="2">
        <v>59</v>
      </c>
      <c r="B81" s="19">
        <v>1.25</v>
      </c>
      <c r="C81" s="19">
        <v>341.1</v>
      </c>
      <c r="D81" s="19">
        <v>88.22</v>
      </c>
      <c r="E81" s="54">
        <f>(C81-D81)*B$74*C$74/G$74/100000</f>
        <v>4.1756144114002476</v>
      </c>
    </row>
    <row r="82" spans="1:22" s="2" customFormat="1" ht="13">
      <c r="A82" s="2">
        <v>695</v>
      </c>
      <c r="B82" s="19">
        <v>1.5</v>
      </c>
      <c r="C82" s="19">
        <v>386.1</v>
      </c>
      <c r="D82" s="19">
        <v>99.13</v>
      </c>
      <c r="E82" s="54">
        <f>(C82-D82)*B$74*C$74/G$74/100000</f>
        <v>4.7385165597893435</v>
      </c>
    </row>
    <row r="83" spans="1:22" s="2" customFormat="1" ht="13"/>
    <row r="84" spans="1:22" s="2" customFormat="1" ht="13">
      <c r="B84" s="2" t="s">
        <v>541</v>
      </c>
      <c r="C84" s="74">
        <f>(0.3+0.66)*0.5*E84</f>
        <v>1.9924590631213606</v>
      </c>
      <c r="E84" s="73">
        <f>SUMPRODUCT(A78:A82, E78:E82)/SUM(A78:A82)</f>
        <v>4.1509563815028345</v>
      </c>
    </row>
    <row r="85" spans="1:22" s="2" customFormat="1" ht="13"/>
    <row r="87" spans="1:22" hidden="1">
      <c r="A87" s="72" t="s">
        <v>581</v>
      </c>
      <c r="B87" s="72"/>
      <c r="C87" s="79"/>
      <c r="D87" s="79"/>
      <c r="E87" s="79"/>
      <c r="F87" s="79"/>
      <c r="G87" s="79"/>
      <c r="H87" s="79"/>
      <c r="I87" s="79"/>
      <c r="J87" s="79"/>
      <c r="K87" s="79"/>
      <c r="L87" s="79"/>
      <c r="M87" s="79"/>
      <c r="N87" s="79"/>
      <c r="O87" s="79"/>
      <c r="P87" s="79"/>
      <c r="Q87" s="79"/>
      <c r="R87" s="79"/>
      <c r="S87" s="79"/>
      <c r="T87" s="79"/>
      <c r="U87" s="79"/>
      <c r="V87" s="79"/>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9" t="s">
        <v>580</v>
      </c>
      <c r="B89" s="19">
        <v>9.8900000000000002E-2</v>
      </c>
      <c r="C89" s="19" t="s">
        <v>565</v>
      </c>
      <c r="D89" s="19">
        <v>1</v>
      </c>
      <c r="E89" s="19">
        <v>98</v>
      </c>
      <c r="F89" s="19">
        <v>5</v>
      </c>
      <c r="G89" s="19"/>
      <c r="H89" s="19">
        <v>0.8</v>
      </c>
      <c r="I89" s="19">
        <v>76</v>
      </c>
      <c r="J89" s="2"/>
      <c r="K89" s="54">
        <f>B89+D89*(0.00405*F89+0.000519*E89-0.11)+F89*(0.0000689*E89-0.0118)+0.0022*E89</f>
        <v>0.25037300000000001</v>
      </c>
      <c r="L89" s="372">
        <f t="shared" ref="L89:L96" si="7">K89*I89*H89</f>
        <v>15.222678400000001</v>
      </c>
      <c r="M89" s="2"/>
      <c r="N89" s="2" t="s">
        <v>579</v>
      </c>
      <c r="O89" s="2"/>
      <c r="P89" s="2"/>
      <c r="Q89" s="2"/>
      <c r="R89" s="2"/>
      <c r="S89" s="2"/>
      <c r="T89" s="2"/>
      <c r="U89" s="2"/>
      <c r="V89" s="2"/>
    </row>
    <row r="90" spans="1:22" hidden="1">
      <c r="A90" s="19" t="s">
        <v>578</v>
      </c>
      <c r="B90" s="19">
        <v>0.85399999999999998</v>
      </c>
      <c r="C90" s="19" t="s">
        <v>565</v>
      </c>
      <c r="D90" s="19">
        <v>1</v>
      </c>
      <c r="E90" s="19">
        <v>108</v>
      </c>
      <c r="F90" s="19">
        <v>5</v>
      </c>
      <c r="G90" s="19"/>
      <c r="H90" s="19">
        <v>0.8</v>
      </c>
      <c r="I90" s="19">
        <v>76</v>
      </c>
      <c r="J90" s="2"/>
      <c r="K90" s="54">
        <f>B90+D90*(0.00231*F90-0.0349)+F90*(0.000309*E90-0.0494)+0.00266*E90</f>
        <v>1.03779</v>
      </c>
      <c r="L90" s="372">
        <f t="shared" si="7"/>
        <v>63.097632000000004</v>
      </c>
      <c r="M90" s="2"/>
      <c r="N90" s="2" t="s">
        <v>577</v>
      </c>
      <c r="O90" s="2"/>
      <c r="P90" s="2"/>
      <c r="Q90" s="2"/>
      <c r="R90" s="2"/>
      <c r="S90" s="2"/>
      <c r="T90" s="2"/>
      <c r="U90" s="2"/>
      <c r="V90" s="2"/>
    </row>
    <row r="91" spans="1:22" hidden="1">
      <c r="A91" s="19" t="s">
        <v>576</v>
      </c>
      <c r="B91" s="19">
        <v>3.0219999999999998</v>
      </c>
      <c r="C91" s="19" t="s">
        <v>565</v>
      </c>
      <c r="D91" s="19">
        <v>1</v>
      </c>
      <c r="E91" s="19">
        <v>55</v>
      </c>
      <c r="F91" s="19">
        <v>5</v>
      </c>
      <c r="G91" s="19"/>
      <c r="H91" s="19">
        <v>0.8</v>
      </c>
      <c r="I91" s="19">
        <v>76</v>
      </c>
      <c r="J91" s="2"/>
      <c r="K91" s="54">
        <f>B91+D91*(0.00745*F91-0.142)+F91*(0.00077*E91-0.111)+0.00199*E91</f>
        <v>2.6834499999999997</v>
      </c>
      <c r="L91" s="372">
        <f t="shared" si="7"/>
        <v>163.15376000000001</v>
      </c>
      <c r="M91" s="2"/>
      <c r="N91" s="2" t="s">
        <v>575</v>
      </c>
      <c r="O91" s="2"/>
      <c r="P91" s="2"/>
      <c r="Q91" s="2"/>
      <c r="R91" s="2"/>
      <c r="S91" s="2"/>
      <c r="T91" s="2"/>
      <c r="U91" s="2"/>
      <c r="V91" s="2"/>
    </row>
    <row r="92" spans="1:22" hidden="1">
      <c r="A92" s="19" t="s">
        <v>574</v>
      </c>
      <c r="B92" s="19">
        <v>5.3680000000000003</v>
      </c>
      <c r="C92" s="19" t="s">
        <v>565</v>
      </c>
      <c r="D92" s="19">
        <v>1</v>
      </c>
      <c r="E92" s="19">
        <v>133</v>
      </c>
      <c r="F92" s="19">
        <v>5</v>
      </c>
      <c r="G92" s="19"/>
      <c r="H92" s="19">
        <v>0.8</v>
      </c>
      <c r="I92" s="19">
        <v>76</v>
      </c>
      <c r="J92" s="2"/>
      <c r="K92" s="54">
        <f>B92+D92*(0.00143*F92-0.0309)+F92*(0.0008*E92-0.134)+0.00219*E92</f>
        <v>5.4975200000000006</v>
      </c>
      <c r="L92" s="372">
        <f t="shared" si="7"/>
        <v>334.24921600000005</v>
      </c>
      <c r="M92" s="2"/>
      <c r="N92" s="2" t="s">
        <v>573</v>
      </c>
      <c r="O92" s="2"/>
      <c r="P92" s="2"/>
      <c r="Q92" s="2"/>
      <c r="R92" s="2"/>
      <c r="S92" s="2"/>
      <c r="T92" s="2"/>
      <c r="U92" s="2"/>
      <c r="V92" s="2"/>
    </row>
    <row r="93" spans="1:22" hidden="1">
      <c r="A93" s="19" t="s">
        <v>572</v>
      </c>
      <c r="B93" s="19">
        <v>0.63600000000000001</v>
      </c>
      <c r="C93" s="19" t="s">
        <v>565</v>
      </c>
      <c r="D93" s="19">
        <v>1</v>
      </c>
      <c r="E93" s="19">
        <v>108</v>
      </c>
      <c r="F93" s="19">
        <v>5</v>
      </c>
      <c r="G93" s="19"/>
      <c r="H93" s="19">
        <v>0.8</v>
      </c>
      <c r="I93" s="19">
        <v>76</v>
      </c>
      <c r="J93" s="2"/>
      <c r="K93" s="54">
        <f>B93+D93*(0.0125*F93+0.0036*E93-0.71)+F93*(0.000329*E93-0.0615)+0.00738*E93</f>
        <v>1.0445000000000002</v>
      </c>
      <c r="L93" s="372">
        <f t="shared" si="7"/>
        <v>63.505600000000015</v>
      </c>
      <c r="M93" s="2"/>
      <c r="N93" s="2" t="s">
        <v>571</v>
      </c>
      <c r="O93" s="2"/>
      <c r="P93" s="2"/>
      <c r="Q93" s="2"/>
      <c r="R93" s="2"/>
      <c r="S93" s="2"/>
      <c r="T93" s="2"/>
      <c r="U93" s="2"/>
      <c r="V93" s="2"/>
    </row>
    <row r="94" spans="1:22" hidden="1">
      <c r="A94" s="19" t="s">
        <v>570</v>
      </c>
      <c r="B94" s="19">
        <v>0.70399999999999996</v>
      </c>
      <c r="C94" s="19" t="s">
        <v>565</v>
      </c>
      <c r="D94" s="19">
        <v>1</v>
      </c>
      <c r="E94" s="19">
        <v>117</v>
      </c>
      <c r="F94" s="19">
        <v>5</v>
      </c>
      <c r="G94" s="19"/>
      <c r="H94" s="19">
        <v>0.8</v>
      </c>
      <c r="I94" s="19">
        <v>76</v>
      </c>
      <c r="J94" s="2"/>
      <c r="K94" s="54">
        <f>B94+D94*(0.00144*F94+0.000262*E94-0.0553)+F94*(0.00018*E94-0.0299)+0.00166*E94</f>
        <v>0.83657399999999993</v>
      </c>
      <c r="L94" s="372">
        <f t="shared" si="7"/>
        <v>50.863699199999999</v>
      </c>
      <c r="M94" s="2"/>
      <c r="N94" s="2" t="s">
        <v>569</v>
      </c>
      <c r="O94" s="2"/>
      <c r="P94" s="2"/>
      <c r="Q94" s="2"/>
      <c r="R94" s="2"/>
      <c r="S94" s="2"/>
      <c r="T94" s="2"/>
      <c r="U94" s="2"/>
      <c r="V94" s="2"/>
    </row>
    <row r="95" spans="1:22" hidden="1">
      <c r="A95" s="19" t="s">
        <v>568</v>
      </c>
      <c r="B95" s="19">
        <v>2.6720000000000002</v>
      </c>
      <c r="C95" s="19" t="s">
        <v>565</v>
      </c>
      <c r="D95" s="19">
        <v>1</v>
      </c>
      <c r="E95" s="19">
        <v>93</v>
      </c>
      <c r="F95" s="19">
        <v>5</v>
      </c>
      <c r="G95" s="19"/>
      <c r="H95" s="19">
        <v>0.8</v>
      </c>
      <c r="I95" s="19">
        <v>76</v>
      </c>
      <c r="J95" s="2"/>
      <c r="K95" s="54">
        <f>B95+F95*(0.000406*E95-0.0611)+0.00228*E95</f>
        <v>2.7673300000000003</v>
      </c>
      <c r="L95" s="372">
        <f t="shared" si="7"/>
        <v>168.25366400000004</v>
      </c>
      <c r="M95" s="2"/>
      <c r="N95" s="2" t="s">
        <v>567</v>
      </c>
      <c r="O95" s="2"/>
      <c r="P95" s="2"/>
      <c r="Q95" s="2"/>
      <c r="R95" s="2"/>
      <c r="S95" s="2"/>
      <c r="T95" s="2"/>
      <c r="U95" s="2"/>
      <c r="V95" s="2"/>
    </row>
    <row r="96" spans="1:22" hidden="1">
      <c r="A96" s="19" t="s">
        <v>566</v>
      </c>
      <c r="B96" s="19">
        <v>2.2919999999999998</v>
      </c>
      <c r="C96" s="19" t="s">
        <v>565</v>
      </c>
      <c r="D96" s="19">
        <v>1</v>
      </c>
      <c r="E96" s="19">
        <v>93</v>
      </c>
      <c r="F96" s="19">
        <v>5</v>
      </c>
      <c r="G96" s="19"/>
      <c r="H96" s="19">
        <v>0.8</v>
      </c>
      <c r="I96" s="19">
        <v>76</v>
      </c>
      <c r="J96" s="2"/>
      <c r="K96" s="54">
        <f>B96+D96*(0.00383*F96-0.0656)+F96*(0.000575*E96-0.0912)+0.00249*E96</f>
        <v>2.2884949999999997</v>
      </c>
      <c r="L96" s="372">
        <f t="shared" si="7"/>
        <v>139.14049599999998</v>
      </c>
      <c r="M96" s="2"/>
      <c r="N96" s="2" t="s">
        <v>564</v>
      </c>
      <c r="O96" s="2"/>
      <c r="P96" s="2"/>
      <c r="Q96" s="2"/>
      <c r="R96" s="2"/>
      <c r="S96" s="2"/>
      <c r="T96" s="2"/>
      <c r="U96" s="2"/>
      <c r="V96" s="2"/>
    </row>
    <row r="97" spans="1:22" hidden="1">
      <c r="A97" s="2"/>
      <c r="B97" s="2"/>
      <c r="C97" s="2"/>
      <c r="D97" s="2"/>
      <c r="E97" s="2"/>
      <c r="F97" s="2"/>
      <c r="G97" s="2"/>
      <c r="H97" s="2"/>
      <c r="I97" s="2"/>
      <c r="J97" s="2"/>
      <c r="K97" s="77">
        <f>AVERAGE(K89:K96)</f>
        <v>2.050754</v>
      </c>
      <c r="L97" s="373">
        <f>AVERAGE(L89:L96)</f>
        <v>124.68584320000001</v>
      </c>
      <c r="M97" s="2"/>
      <c r="N97" s="2"/>
      <c r="O97" s="2"/>
      <c r="P97" s="2"/>
      <c r="Q97" s="2"/>
      <c r="R97" s="2"/>
      <c r="S97" s="2"/>
      <c r="T97" s="2"/>
      <c r="U97" s="2"/>
      <c r="V97" s="2"/>
    </row>
    <row r="98" spans="1:22" hidden="1"/>
    <row r="99" spans="1:22" hidden="1"/>
    <row r="100" spans="1:22" hidden="1">
      <c r="A100" s="71" t="s">
        <v>666</v>
      </c>
      <c r="B100" s="79"/>
      <c r="C100" s="79"/>
      <c r="D100" s="79"/>
      <c r="E100" s="79"/>
      <c r="F100" s="79"/>
      <c r="G100" s="79"/>
      <c r="H100" s="79"/>
      <c r="I100" s="79"/>
      <c r="J100" s="79"/>
      <c r="K100" s="79"/>
      <c r="L100" s="79"/>
      <c r="M100" s="79"/>
      <c r="N100" s="79"/>
      <c r="O100" s="79"/>
    </row>
    <row r="101" spans="1:22" hidden="1">
      <c r="A101" s="13"/>
      <c r="B101" s="13"/>
      <c r="C101" s="2"/>
      <c r="D101" s="2"/>
      <c r="E101" s="2"/>
      <c r="F101" s="2"/>
      <c r="G101" s="2"/>
      <c r="H101" s="2"/>
      <c r="I101" s="2"/>
      <c r="J101" s="2"/>
      <c r="K101" s="2"/>
      <c r="L101" s="2"/>
      <c r="M101" s="2"/>
      <c r="N101" s="2"/>
      <c r="O101" s="2"/>
    </row>
    <row r="102" spans="1:22" hidden="1">
      <c r="A102" s="14" t="s">
        <v>251</v>
      </c>
      <c r="B102" s="20">
        <v>140</v>
      </c>
      <c r="C102" s="2"/>
      <c r="D102" s="2"/>
      <c r="E102" s="2"/>
      <c r="F102" s="2"/>
      <c r="G102" s="2"/>
      <c r="H102" s="2"/>
      <c r="I102" s="2"/>
      <c r="J102" s="2"/>
      <c r="K102" s="2"/>
      <c r="L102" s="2"/>
      <c r="M102" s="2"/>
      <c r="N102" s="2"/>
      <c r="O102" s="2"/>
    </row>
    <row r="103" spans="1:22" hidden="1">
      <c r="A103" s="14" t="s">
        <v>250</v>
      </c>
      <c r="B103" s="20">
        <v>54.1</v>
      </c>
      <c r="C103" s="2"/>
      <c r="D103" s="2"/>
      <c r="E103" s="2"/>
      <c r="F103" s="2"/>
      <c r="G103" s="2"/>
      <c r="H103" s="2"/>
      <c r="I103" s="2"/>
      <c r="J103" s="2"/>
      <c r="K103" s="2"/>
      <c r="L103" s="2"/>
      <c r="M103" s="2"/>
      <c r="N103" s="2"/>
      <c r="O103" s="2"/>
    </row>
    <row r="104" spans="1:22" hidden="1">
      <c r="A104" s="14" t="s">
        <v>383</v>
      </c>
      <c r="B104" s="14">
        <v>8.33</v>
      </c>
      <c r="C104" s="2"/>
      <c r="D104" s="2"/>
      <c r="E104" s="2"/>
      <c r="F104" s="2"/>
      <c r="G104" s="2"/>
      <c r="H104" s="2"/>
      <c r="I104" s="2"/>
      <c r="J104" s="2"/>
      <c r="K104" s="2"/>
      <c r="L104" s="2"/>
      <c r="M104" s="2"/>
      <c r="N104" s="2"/>
      <c r="O104" s="2"/>
    </row>
    <row r="105" spans="1:22" hidden="1">
      <c r="A105" s="14" t="s">
        <v>249</v>
      </c>
      <c r="B105" s="150">
        <f>B109*B110*365</f>
        <v>4927.5</v>
      </c>
      <c r="C105" s="2"/>
      <c r="D105" s="2"/>
      <c r="E105" s="2"/>
      <c r="F105" s="2"/>
      <c r="G105" s="2"/>
      <c r="H105" s="2"/>
      <c r="I105" s="2"/>
      <c r="J105" s="2"/>
      <c r="K105" s="2"/>
      <c r="L105" s="2"/>
      <c r="M105" s="2"/>
      <c r="N105" s="2"/>
      <c r="O105" s="2"/>
    </row>
    <row r="106" spans="1:22" hidden="1">
      <c r="A106" s="20" t="s">
        <v>665</v>
      </c>
      <c r="B106" s="21">
        <v>0.8</v>
      </c>
      <c r="C106" s="2"/>
      <c r="D106" s="2"/>
      <c r="E106" s="2"/>
      <c r="F106" s="2"/>
      <c r="G106" s="2"/>
      <c r="H106" s="2"/>
      <c r="I106" s="2"/>
      <c r="J106" s="2"/>
      <c r="K106" s="2"/>
      <c r="L106" s="2"/>
      <c r="M106" s="2"/>
      <c r="N106" s="2"/>
      <c r="O106" s="2"/>
    </row>
    <row r="107" spans="1:22" hidden="1">
      <c r="A107" s="20" t="s">
        <v>664</v>
      </c>
      <c r="B107" s="20">
        <v>0.65</v>
      </c>
      <c r="C107" s="2"/>
      <c r="D107" s="2"/>
      <c r="E107" s="2"/>
      <c r="F107" s="2"/>
      <c r="G107" s="2"/>
      <c r="H107" s="2"/>
      <c r="I107" s="2"/>
      <c r="J107" s="2"/>
      <c r="K107" s="2"/>
      <c r="L107" s="2"/>
      <c r="M107" s="2"/>
      <c r="N107" s="2"/>
      <c r="O107" s="2"/>
    </row>
    <row r="108" spans="1:22" hidden="1">
      <c r="A108" s="13"/>
      <c r="B108" s="13"/>
      <c r="C108" s="2"/>
      <c r="D108" s="75" t="s">
        <v>663</v>
      </c>
      <c r="E108" s="2"/>
      <c r="F108" s="2"/>
      <c r="G108" s="2"/>
      <c r="H108" s="2"/>
      <c r="I108" s="2"/>
      <c r="J108" s="2"/>
      <c r="K108" s="2"/>
      <c r="L108" s="2"/>
      <c r="M108" s="2"/>
      <c r="N108" s="2"/>
      <c r="O108" s="2"/>
    </row>
    <row r="109" spans="1:22" hidden="1">
      <c r="A109" s="2" t="s">
        <v>662</v>
      </c>
      <c r="B109" s="19">
        <v>3</v>
      </c>
      <c r="C109" s="2"/>
      <c r="D109" s="75" t="s">
        <v>661</v>
      </c>
      <c r="E109" s="2"/>
      <c r="F109" s="2"/>
      <c r="G109" s="2"/>
      <c r="H109" s="2"/>
      <c r="I109" s="2"/>
      <c r="J109" s="2"/>
      <c r="K109" s="2"/>
      <c r="L109" s="2"/>
      <c r="M109" s="2"/>
      <c r="N109" s="2"/>
      <c r="O109" s="2"/>
    </row>
    <row r="110" spans="1:22" hidden="1">
      <c r="A110" s="2" t="s">
        <v>660</v>
      </c>
      <c r="B110" s="19">
        <v>4.5</v>
      </c>
      <c r="C110" s="2" t="s">
        <v>659</v>
      </c>
      <c r="D110" s="75" t="s">
        <v>658</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8" t="s">
        <v>657</v>
      </c>
      <c r="B112" s="23">
        <f>2*B110*B107*B104*(B102-B103)/B106</f>
        <v>5232.4374375000007</v>
      </c>
      <c r="C112" s="18" t="s">
        <v>656</v>
      </c>
      <c r="D112" s="2"/>
      <c r="E112" s="2"/>
      <c r="F112" s="2"/>
      <c r="G112" s="2"/>
      <c r="H112" s="2"/>
      <c r="I112" s="2"/>
      <c r="J112" s="2"/>
      <c r="K112" s="2"/>
      <c r="L112" s="2"/>
      <c r="M112" s="2"/>
      <c r="N112" s="2"/>
      <c r="O112" s="2"/>
    </row>
    <row r="113" spans="1:15" hidden="1">
      <c r="A113" s="18" t="s">
        <v>655</v>
      </c>
      <c r="B113" s="23">
        <f>B105*B104*(B102-B103)/B106</f>
        <v>4407322.3031249996</v>
      </c>
      <c r="C113" s="18" t="s">
        <v>255</v>
      </c>
      <c r="D113" s="2"/>
      <c r="E113" s="2"/>
      <c r="F113" s="2"/>
      <c r="G113" s="2"/>
      <c r="H113" s="2"/>
      <c r="I113" s="2"/>
      <c r="J113" s="2"/>
      <c r="K113" s="2"/>
      <c r="L113" s="2"/>
      <c r="M113" s="2"/>
      <c r="N113" s="2"/>
      <c r="O113" s="2"/>
    </row>
    <row r="114" spans="1:15" hidden="1">
      <c r="A114" s="18" t="s">
        <v>303</v>
      </c>
      <c r="B114" s="23">
        <f>B113/B112+1*0.01*8760</f>
        <v>929.90769230769217</v>
      </c>
      <c r="C114" s="18" t="s">
        <v>654</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4" t="s">
        <v>240</v>
      </c>
      <c r="B116" s="20">
        <v>1</v>
      </c>
      <c r="C116" s="20">
        <v>1</v>
      </c>
      <c r="D116" s="2"/>
      <c r="E116" s="2"/>
      <c r="F116" s="2"/>
      <c r="G116" s="2"/>
      <c r="H116" s="2"/>
      <c r="I116" s="2"/>
      <c r="J116" s="2"/>
      <c r="K116" s="2"/>
      <c r="L116" s="2"/>
      <c r="M116" s="2"/>
      <c r="N116" s="2"/>
      <c r="O116" s="2"/>
    </row>
    <row r="117" spans="1:15" hidden="1">
      <c r="A117" s="14" t="s">
        <v>653</v>
      </c>
      <c r="B117" s="20">
        <v>0.8</v>
      </c>
      <c r="C117" s="20">
        <v>0.8</v>
      </c>
      <c r="D117" s="2"/>
      <c r="E117" s="2"/>
      <c r="F117" s="2"/>
      <c r="G117" s="2"/>
      <c r="H117" s="2"/>
      <c r="I117" s="2"/>
      <c r="J117" s="2"/>
      <c r="K117" s="2"/>
      <c r="L117" s="2"/>
      <c r="M117" s="2"/>
      <c r="N117" s="2"/>
      <c r="O117" s="2"/>
    </row>
    <row r="118" spans="1:15" hidden="1">
      <c r="A118" s="14" t="s">
        <v>652</v>
      </c>
      <c r="B118" s="20">
        <v>0.88</v>
      </c>
      <c r="C118" s="20">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651</v>
      </c>
      <c r="B120" s="149">
        <f>B116*B114*(1/B117-1/B118)/100</f>
        <v>1.0567132867132856</v>
      </c>
      <c r="C120" s="149">
        <f>B116*B114*(1/C117-1/C118)/100</f>
        <v>1.8353441295546562</v>
      </c>
      <c r="D120" s="2"/>
      <c r="E120" s="2"/>
      <c r="F120" s="2"/>
      <c r="G120" s="2"/>
      <c r="H120" s="2"/>
      <c r="I120" s="2"/>
      <c r="J120" s="2"/>
      <c r="K120" s="2"/>
      <c r="L120" s="2"/>
      <c r="M120" s="2"/>
      <c r="N120" s="2"/>
      <c r="O120" s="2"/>
    </row>
  </sheetData>
  <mergeCells count="18">
    <mergeCell ref="A9:A12"/>
    <mergeCell ref="A7:A8"/>
    <mergeCell ref="A23:A25"/>
    <mergeCell ref="R20:R22"/>
    <mergeCell ref="S20:S22"/>
    <mergeCell ref="A19:A22"/>
    <mergeCell ref="R14:R19"/>
    <mergeCell ref="S14:S19"/>
    <mergeCell ref="A13:A18"/>
    <mergeCell ref="R10:R13"/>
    <mergeCell ref="S10:S13"/>
    <mergeCell ref="E27:K27"/>
    <mergeCell ref="J7:O7"/>
    <mergeCell ref="B7:F7"/>
    <mergeCell ref="G7:I7"/>
    <mergeCell ref="R7:S7"/>
    <mergeCell ref="R23:R25"/>
    <mergeCell ref="S23:S25"/>
  </mergeCells>
  <hyperlinks>
    <hyperlink ref="A68" display="JO, CHANG dba VILLAGE CLEANERS - 1120366 - Steam Pipe Insulation" xr:uid="{00000000-0004-0000-0400-000000000000}"/>
    <hyperlink ref="A69" display="Evergreen Plaza Cleaners -1101378 - Pipe Insulation" xr:uid="{00000000-0004-0000-0400-000001000000}"/>
    <hyperlink ref="A70" display="JEFFERSON PARK VALET SHOP - 6022 N Keystone Ave (#997264) - Custom Pipe Insul" xr:uid="{00000000-0004-0000-0400-000002000000}"/>
    <hyperlink ref="D108" display="http://www.bandctech.com/Manuals/commercial-laundry-planning-guide.pdf" xr:uid="{00000000-0004-0000-0400-000003000000}"/>
    <hyperlink ref="D109" display="http://www1.eere.energy.gov/buildings/appliance_standards/commercial/pdfs/ccw_snopr_chap6.pdf" xr:uid="{00000000-0004-0000-0400-000004000000}"/>
    <hyperlink ref="D110" display="http://www.allianceforwaterefficiency.org/laundromats.aspx" xr:uid="{00000000-0004-0000-0400-000005000000}"/>
  </hyperlinks>
  <pageMargins left="0.7" right="0.7" top="0.75" bottom="0.75" header="0.3" footer="0.3"/>
  <pageSetup scale="28"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N15"/>
  <sheetViews>
    <sheetView zoomScale="70" zoomScaleNormal="70" zoomScaleSheetLayoutView="70" workbookViewId="0"/>
  </sheetViews>
  <sheetFormatPr defaultRowHeight="14.5"/>
  <sheetData>
    <row r="3" spans="1:14" s="79" customFormat="1" ht="13">
      <c r="A3" s="72" t="s">
        <v>581</v>
      </c>
      <c r="B3" s="72"/>
    </row>
    <row r="4" spans="1:14" s="4" customFormat="1" ht="13"/>
    <row r="5" spans="1:14" s="2" customFormat="1" ht="13">
      <c r="A5" s="19" t="s">
        <v>580</v>
      </c>
      <c r="B5" s="19">
        <v>9.8900000000000002E-2</v>
      </c>
      <c r="C5" s="19" t="s">
        <v>565</v>
      </c>
      <c r="D5" s="19">
        <v>1</v>
      </c>
      <c r="E5" s="19">
        <v>98</v>
      </c>
      <c r="F5" s="19">
        <v>5</v>
      </c>
      <c r="G5" s="19"/>
      <c r="H5" s="19">
        <v>0.8</v>
      </c>
      <c r="I5" s="19">
        <v>76</v>
      </c>
      <c r="K5" s="54">
        <f>B5+D5*(0.00405*F5+0.000519*E5-0.11)+F5*(0.0000689*E5-0.0118)+0.0022*E5</f>
        <v>0.25037300000000001</v>
      </c>
      <c r="L5" s="372">
        <f t="shared" ref="L5:L12" si="0">K5*I5*H5</f>
        <v>15.222678400000001</v>
      </c>
      <c r="N5" s="2" t="s">
        <v>579</v>
      </c>
    </row>
    <row r="6" spans="1:14" s="2" customFormat="1" ht="13">
      <c r="A6" s="19" t="s">
        <v>578</v>
      </c>
      <c r="B6" s="19">
        <v>0.85399999999999998</v>
      </c>
      <c r="C6" s="19" t="s">
        <v>565</v>
      </c>
      <c r="D6" s="19">
        <v>1</v>
      </c>
      <c r="E6" s="19">
        <v>108</v>
      </c>
      <c r="F6" s="19">
        <v>5</v>
      </c>
      <c r="G6" s="19"/>
      <c r="H6" s="19">
        <v>0.8</v>
      </c>
      <c r="I6" s="19">
        <v>76</v>
      </c>
      <c r="K6" s="54">
        <f>B6+D6*(0.00231*F6-0.0349)+F6*(0.000309*E6-0.0494)+0.00266*E6</f>
        <v>1.03779</v>
      </c>
      <c r="L6" s="372">
        <f t="shared" si="0"/>
        <v>63.097632000000004</v>
      </c>
      <c r="N6" s="2" t="s">
        <v>577</v>
      </c>
    </row>
    <row r="7" spans="1:14" s="2" customFormat="1" ht="13">
      <c r="A7" s="19" t="s">
        <v>576</v>
      </c>
      <c r="B7" s="19">
        <v>3.0219999999999998</v>
      </c>
      <c r="C7" s="19" t="s">
        <v>565</v>
      </c>
      <c r="D7" s="19">
        <v>1</v>
      </c>
      <c r="E7" s="19">
        <v>55</v>
      </c>
      <c r="F7" s="19">
        <v>5</v>
      </c>
      <c r="G7" s="19"/>
      <c r="H7" s="19">
        <v>0.8</v>
      </c>
      <c r="I7" s="19">
        <v>76</v>
      </c>
      <c r="K7" s="54">
        <f>B7+D7*(0.00745*F7-0.142)+F7*(0.00077*E7-0.111)+0.00199*E7</f>
        <v>2.6834499999999997</v>
      </c>
      <c r="L7" s="372">
        <f t="shared" si="0"/>
        <v>163.15376000000001</v>
      </c>
      <c r="N7" s="2" t="s">
        <v>575</v>
      </c>
    </row>
    <row r="8" spans="1:14" s="2" customFormat="1" ht="13">
      <c r="A8" s="19" t="s">
        <v>574</v>
      </c>
      <c r="B8" s="19">
        <v>5.3680000000000003</v>
      </c>
      <c r="C8" s="19" t="s">
        <v>565</v>
      </c>
      <c r="D8" s="19">
        <v>1</v>
      </c>
      <c r="E8" s="19">
        <v>133</v>
      </c>
      <c r="F8" s="19">
        <v>5</v>
      </c>
      <c r="G8" s="19"/>
      <c r="H8" s="19">
        <v>0.8</v>
      </c>
      <c r="I8" s="19">
        <v>76</v>
      </c>
      <c r="K8" s="54">
        <f>B8+D8*(0.00143*F8-0.0309)+F8*(0.0008*E8-0.134)+0.00219*E8</f>
        <v>5.4975200000000006</v>
      </c>
      <c r="L8" s="372">
        <f t="shared" si="0"/>
        <v>334.24921600000005</v>
      </c>
      <c r="N8" s="2" t="s">
        <v>573</v>
      </c>
    </row>
    <row r="9" spans="1:14" s="2" customFormat="1" ht="13">
      <c r="A9" s="19" t="s">
        <v>572</v>
      </c>
      <c r="B9" s="19">
        <v>0.63600000000000001</v>
      </c>
      <c r="C9" s="19" t="s">
        <v>565</v>
      </c>
      <c r="D9" s="19">
        <v>1</v>
      </c>
      <c r="E9" s="19">
        <v>108</v>
      </c>
      <c r="F9" s="19">
        <v>5</v>
      </c>
      <c r="G9" s="19"/>
      <c r="H9" s="19">
        <v>0.8</v>
      </c>
      <c r="I9" s="19">
        <v>76</v>
      </c>
      <c r="K9" s="54">
        <f>B9+D9*(0.0125*F9+0.0036*E9-0.71)+F9*(0.000329*E9-0.0615)+0.00738*E9</f>
        <v>1.0445000000000002</v>
      </c>
      <c r="L9" s="372">
        <f t="shared" si="0"/>
        <v>63.505600000000015</v>
      </c>
      <c r="N9" s="2" t="s">
        <v>571</v>
      </c>
    </row>
    <row r="10" spans="1:14" s="2" customFormat="1" ht="13">
      <c r="A10" s="19" t="s">
        <v>570</v>
      </c>
      <c r="B10" s="19">
        <v>0.70399999999999996</v>
      </c>
      <c r="C10" s="19" t="s">
        <v>565</v>
      </c>
      <c r="D10" s="19">
        <v>1</v>
      </c>
      <c r="E10" s="19">
        <v>117</v>
      </c>
      <c r="F10" s="19">
        <v>5</v>
      </c>
      <c r="G10" s="19"/>
      <c r="H10" s="19">
        <v>0.8</v>
      </c>
      <c r="I10" s="19">
        <v>76</v>
      </c>
      <c r="K10" s="54">
        <f>B10+D10*(0.00144*F10+0.000262*E10-0.0553)+F10*(0.00018*E10-0.0299)+0.00166*E10</f>
        <v>0.83657399999999993</v>
      </c>
      <c r="L10" s="372">
        <f t="shared" si="0"/>
        <v>50.863699199999999</v>
      </c>
      <c r="N10" s="2" t="s">
        <v>569</v>
      </c>
    </row>
    <row r="11" spans="1:14" s="2" customFormat="1" ht="13">
      <c r="A11" s="19" t="s">
        <v>568</v>
      </c>
      <c r="B11" s="19">
        <v>2.6720000000000002</v>
      </c>
      <c r="C11" s="19" t="s">
        <v>565</v>
      </c>
      <c r="D11" s="19">
        <v>1</v>
      </c>
      <c r="E11" s="19">
        <v>93</v>
      </c>
      <c r="F11" s="19">
        <v>5</v>
      </c>
      <c r="G11" s="19"/>
      <c r="H11" s="19">
        <v>0.8</v>
      </c>
      <c r="I11" s="19">
        <v>76</v>
      </c>
      <c r="K11" s="54">
        <f>B11+F11*(0.000406*E11-0.0611)+0.00228*E11</f>
        <v>2.7673300000000003</v>
      </c>
      <c r="L11" s="372">
        <f t="shared" si="0"/>
        <v>168.25366400000004</v>
      </c>
      <c r="N11" s="2" t="s">
        <v>567</v>
      </c>
    </row>
    <row r="12" spans="1:14" s="2" customFormat="1" ht="13">
      <c r="A12" s="19" t="s">
        <v>566</v>
      </c>
      <c r="B12" s="19">
        <v>2.2919999999999998</v>
      </c>
      <c r="C12" s="19" t="s">
        <v>565</v>
      </c>
      <c r="D12" s="19">
        <v>1</v>
      </c>
      <c r="E12" s="19">
        <v>93</v>
      </c>
      <c r="F12" s="19">
        <v>5</v>
      </c>
      <c r="G12" s="19"/>
      <c r="H12" s="19">
        <v>0.8</v>
      </c>
      <c r="I12" s="19">
        <v>76</v>
      </c>
      <c r="K12" s="54">
        <f>B12+D12*(0.00383*F12-0.0656)+F12*(0.000575*E12-0.0912)+0.00249*E12</f>
        <v>2.2884949999999997</v>
      </c>
      <c r="L12" s="372">
        <f t="shared" si="0"/>
        <v>139.14049599999998</v>
      </c>
      <c r="N12" s="2" t="s">
        <v>564</v>
      </c>
    </row>
    <row r="13" spans="1:14" s="2" customFormat="1" ht="13">
      <c r="K13" s="77">
        <f>AVERAGE(K5:K12)</f>
        <v>2.050754</v>
      </c>
      <c r="L13" s="373">
        <f>AVERAGE(L5:L12)</f>
        <v>124.68584320000001</v>
      </c>
    </row>
    <row r="14" spans="1:14" s="4" customFormat="1" ht="13"/>
    <row r="15" spans="1:14" s="2" customFormat="1" ht="13"/>
  </sheetData>
  <pageMargins left="0.7" right="0.7" top="0.75" bottom="0.75" header="0.3" footer="0.3"/>
  <pageSetup scale="42"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X28"/>
  <sheetViews>
    <sheetView zoomScale="70" zoomScaleNormal="70" zoomScaleSheetLayoutView="70" workbookViewId="0"/>
  </sheetViews>
  <sheetFormatPr defaultRowHeight="14.5"/>
  <cols>
    <col min="1" max="1" width="25" bestFit="1" customWidth="1"/>
    <col min="2" max="2" width="10" bestFit="1" customWidth="1"/>
    <col min="3" max="3" width="15.453125" bestFit="1" customWidth="1"/>
  </cols>
  <sheetData>
    <row r="3" spans="1:24" s="151" customFormat="1" ht="13.5" customHeight="1">
      <c r="A3" s="71" t="s">
        <v>666</v>
      </c>
      <c r="B3" s="79"/>
      <c r="C3" s="79"/>
      <c r="D3" s="79"/>
      <c r="E3" s="79"/>
      <c r="F3" s="79"/>
      <c r="G3" s="79"/>
      <c r="H3" s="79"/>
      <c r="I3" s="79"/>
      <c r="J3" s="79"/>
      <c r="K3" s="79"/>
      <c r="L3" s="79"/>
      <c r="M3" s="79"/>
      <c r="N3" s="79"/>
      <c r="O3" s="79"/>
      <c r="P3" s="79"/>
      <c r="Q3" s="79"/>
      <c r="R3" s="79"/>
      <c r="S3" s="79"/>
      <c r="T3" s="79"/>
      <c r="U3" s="79"/>
      <c r="V3" s="79"/>
      <c r="W3" s="79"/>
      <c r="X3" s="79"/>
    </row>
    <row r="4" spans="1:24" s="13" customFormat="1" ht="13">
      <c r="C4" s="2"/>
      <c r="D4" s="2"/>
      <c r="E4" s="2"/>
      <c r="F4" s="2"/>
      <c r="G4" s="2"/>
      <c r="H4" s="2"/>
      <c r="I4" s="2"/>
      <c r="J4" s="2"/>
      <c r="K4" s="2"/>
      <c r="L4" s="2"/>
      <c r="M4" s="2"/>
      <c r="N4" s="2"/>
      <c r="O4" s="2"/>
      <c r="P4" s="2"/>
      <c r="Q4" s="2"/>
      <c r="R4" s="2"/>
      <c r="S4" s="2"/>
      <c r="T4" s="2"/>
      <c r="U4" s="2"/>
      <c r="V4" s="2"/>
      <c r="W4" s="2"/>
      <c r="X4" s="2"/>
    </row>
    <row r="5" spans="1:24" s="13" customFormat="1" ht="13">
      <c r="A5" s="14" t="s">
        <v>251</v>
      </c>
      <c r="B5" s="20">
        <v>140</v>
      </c>
      <c r="C5" s="2"/>
      <c r="D5" s="2"/>
      <c r="E5" s="2"/>
      <c r="F5" s="2"/>
      <c r="G5" s="2"/>
      <c r="H5" s="2"/>
      <c r="I5" s="2"/>
      <c r="J5" s="2"/>
      <c r="K5" s="2"/>
      <c r="L5" s="2"/>
      <c r="M5" s="2"/>
      <c r="N5" s="2"/>
      <c r="O5" s="2"/>
      <c r="P5" s="2"/>
      <c r="Q5" s="2"/>
      <c r="R5" s="2"/>
      <c r="S5" s="2"/>
      <c r="T5" s="2"/>
      <c r="U5" s="2"/>
      <c r="V5" s="2"/>
      <c r="W5" s="2"/>
      <c r="X5" s="2"/>
    </row>
    <row r="6" spans="1:24" s="13" customFormat="1" ht="13">
      <c r="A6" s="14" t="s">
        <v>250</v>
      </c>
      <c r="B6" s="20">
        <v>54.1</v>
      </c>
      <c r="C6" s="2"/>
      <c r="D6" s="2"/>
      <c r="E6" s="2"/>
      <c r="F6" s="2"/>
      <c r="G6" s="2"/>
      <c r="H6" s="2"/>
      <c r="I6" s="2"/>
      <c r="J6" s="2"/>
      <c r="K6" s="2"/>
      <c r="L6" s="2"/>
      <c r="M6" s="2"/>
      <c r="N6" s="2"/>
      <c r="O6" s="2"/>
      <c r="P6" s="2"/>
      <c r="Q6" s="2"/>
      <c r="R6" s="2"/>
      <c r="S6" s="2"/>
      <c r="T6" s="2"/>
      <c r="U6" s="2"/>
      <c r="V6" s="2"/>
      <c r="W6" s="2"/>
      <c r="X6" s="2"/>
    </row>
    <row r="7" spans="1:24" s="13" customFormat="1" ht="13">
      <c r="A7" s="14" t="s">
        <v>383</v>
      </c>
      <c r="B7" s="14">
        <v>8.33</v>
      </c>
      <c r="C7" s="2"/>
      <c r="D7" s="2"/>
      <c r="E7" s="2"/>
      <c r="F7" s="2"/>
      <c r="G7" s="2"/>
      <c r="H7" s="2"/>
      <c r="I7" s="2"/>
      <c r="J7" s="2"/>
      <c r="K7" s="2"/>
      <c r="L7" s="2"/>
      <c r="M7" s="2"/>
      <c r="N7" s="2"/>
      <c r="O7" s="2"/>
      <c r="P7" s="2"/>
      <c r="Q7" s="2"/>
      <c r="R7" s="2"/>
      <c r="S7" s="2"/>
      <c r="T7" s="2"/>
      <c r="U7" s="2"/>
      <c r="V7" s="2"/>
      <c r="W7" s="2"/>
      <c r="X7" s="2"/>
    </row>
    <row r="8" spans="1:24" s="2" customFormat="1" ht="13">
      <c r="A8" s="14" t="s">
        <v>249</v>
      </c>
      <c r="B8" s="150">
        <f>B12*B13*365</f>
        <v>4927.5</v>
      </c>
    </row>
    <row r="9" spans="1:24" s="2" customFormat="1" ht="13">
      <c r="A9" s="20" t="s">
        <v>665</v>
      </c>
      <c r="B9" s="21">
        <v>0.8</v>
      </c>
    </row>
    <row r="10" spans="1:24" s="13" customFormat="1" ht="13">
      <c r="A10" s="20" t="s">
        <v>664</v>
      </c>
      <c r="B10" s="20">
        <v>0.65</v>
      </c>
      <c r="C10" s="2"/>
      <c r="D10" s="2"/>
      <c r="E10" s="2"/>
      <c r="F10" s="2"/>
      <c r="G10" s="2"/>
      <c r="H10" s="2"/>
      <c r="I10" s="2"/>
      <c r="J10" s="2"/>
      <c r="K10" s="2"/>
      <c r="L10" s="2"/>
      <c r="M10" s="2"/>
      <c r="N10" s="2"/>
      <c r="O10" s="2"/>
      <c r="P10" s="2"/>
      <c r="Q10" s="2"/>
      <c r="R10" s="2"/>
      <c r="S10" s="2"/>
      <c r="T10" s="2"/>
      <c r="U10" s="2"/>
      <c r="V10" s="2"/>
      <c r="W10" s="2"/>
      <c r="X10" s="2"/>
    </row>
    <row r="11" spans="1:24" s="13" customFormat="1" ht="13">
      <c r="C11" s="2"/>
      <c r="D11" s="75" t="s">
        <v>663</v>
      </c>
      <c r="E11" s="2"/>
      <c r="F11" s="2"/>
      <c r="G11" s="2"/>
      <c r="H11" s="2"/>
      <c r="I11" s="2"/>
      <c r="J11" s="2"/>
      <c r="K11" s="2"/>
      <c r="L11" s="2"/>
      <c r="M11" s="2"/>
      <c r="N11" s="2"/>
      <c r="O11" s="2"/>
      <c r="P11" s="2"/>
      <c r="Q11" s="2"/>
      <c r="R11" s="2"/>
      <c r="S11" s="2"/>
      <c r="T11" s="2"/>
      <c r="U11" s="2"/>
      <c r="V11" s="2"/>
      <c r="W11" s="2"/>
      <c r="X11" s="2"/>
    </row>
    <row r="12" spans="1:24" s="13" customFormat="1" ht="13">
      <c r="A12" s="2" t="s">
        <v>662</v>
      </c>
      <c r="B12" s="19">
        <v>3</v>
      </c>
      <c r="C12" s="2"/>
      <c r="D12" s="75" t="s">
        <v>661</v>
      </c>
      <c r="E12" s="2"/>
      <c r="F12" s="2"/>
      <c r="G12" s="2"/>
      <c r="H12" s="2"/>
      <c r="I12" s="2"/>
      <c r="J12" s="2"/>
      <c r="K12" s="2"/>
      <c r="L12" s="2"/>
      <c r="M12" s="2"/>
      <c r="N12" s="2"/>
      <c r="O12" s="2"/>
      <c r="P12" s="2"/>
      <c r="Q12" s="2"/>
      <c r="R12" s="2"/>
      <c r="S12" s="2"/>
      <c r="T12" s="2"/>
      <c r="U12" s="2"/>
      <c r="V12" s="2"/>
      <c r="W12" s="2"/>
      <c r="X12" s="2"/>
    </row>
    <row r="13" spans="1:24" s="13" customFormat="1" ht="13">
      <c r="A13" s="2" t="s">
        <v>660</v>
      </c>
      <c r="B13" s="19">
        <v>4.5</v>
      </c>
      <c r="C13" s="2" t="s">
        <v>659</v>
      </c>
      <c r="D13" s="75" t="s">
        <v>658</v>
      </c>
      <c r="E13" s="2"/>
      <c r="F13" s="2"/>
      <c r="G13" s="2"/>
      <c r="H13" s="2"/>
      <c r="I13" s="2"/>
      <c r="J13" s="2"/>
      <c r="K13" s="2"/>
      <c r="L13" s="2"/>
      <c r="M13" s="2"/>
      <c r="N13" s="2"/>
      <c r="O13" s="2"/>
      <c r="P13" s="2"/>
      <c r="Q13" s="2"/>
      <c r="R13" s="2"/>
      <c r="S13" s="2"/>
      <c r="T13" s="2"/>
      <c r="U13" s="2"/>
      <c r="V13" s="2"/>
      <c r="W13" s="2"/>
      <c r="X13" s="2"/>
    </row>
    <row r="14" spans="1:24" s="13"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8" t="s">
        <v>657</v>
      </c>
      <c r="B15" s="23">
        <f>2*B13*B10*B7*(B5-B6)/B9</f>
        <v>5232.4374375000007</v>
      </c>
      <c r="C15" s="18" t="s">
        <v>656</v>
      </c>
    </row>
    <row r="16" spans="1:24" s="2" customFormat="1" ht="13">
      <c r="A16" s="18" t="s">
        <v>655</v>
      </c>
      <c r="B16" s="23">
        <f>B8*B7*(B5-B6)/B9</f>
        <v>4407322.3031249996</v>
      </c>
      <c r="C16" s="18" t="s">
        <v>255</v>
      </c>
    </row>
    <row r="17" spans="1:3" s="2" customFormat="1" ht="13">
      <c r="A17" s="18" t="s">
        <v>303</v>
      </c>
      <c r="B17" s="23">
        <f>B16/B15+1*0.01*8760</f>
        <v>929.90769230769217</v>
      </c>
      <c r="C17" s="18" t="s">
        <v>654</v>
      </c>
    </row>
    <row r="18" spans="1:3" s="2" customFormat="1" ht="13"/>
    <row r="19" spans="1:3" s="2" customFormat="1" ht="13">
      <c r="A19" s="14" t="s">
        <v>240</v>
      </c>
      <c r="B19" s="20">
        <v>1</v>
      </c>
      <c r="C19" s="20">
        <v>1</v>
      </c>
    </row>
    <row r="20" spans="1:3" s="2" customFormat="1" ht="13">
      <c r="A20" s="14" t="s">
        <v>653</v>
      </c>
      <c r="B20" s="20">
        <v>0.8</v>
      </c>
      <c r="C20" s="20">
        <v>0.8</v>
      </c>
    </row>
    <row r="21" spans="1:3" s="2" customFormat="1" ht="13">
      <c r="A21" s="14" t="s">
        <v>652</v>
      </c>
      <c r="B21" s="20">
        <v>0.88</v>
      </c>
      <c r="C21" s="20">
        <v>0.95</v>
      </c>
    </row>
    <row r="22" spans="1:3" s="2" customFormat="1" ht="13"/>
    <row r="23" spans="1:3" s="2" customFormat="1" ht="13">
      <c r="A23" s="2" t="s">
        <v>651</v>
      </c>
      <c r="B23" s="149">
        <f>B19*B17*(1/B20-1/B21)/100</f>
        <v>1.0567132867132856</v>
      </c>
      <c r="C23" s="149">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600-000000000000}"/>
    <hyperlink ref="D12" display="http://www1.eere.energy.gov/buildings/appliance_standards/commercial/pdfs/ccw_snopr_chap6.pdf" xr:uid="{00000000-0004-0000-0600-000001000000}"/>
    <hyperlink ref="D13" display="http://www.allianceforwaterefficiency.org/laundromats.aspx" xr:uid="{00000000-0004-0000-0600-000002000000}"/>
  </hyperlinks>
  <pageMargins left="0.7" right="0.7" top="0.75" bottom="0.75" header="0.3" footer="0.3"/>
  <pageSetup scale="56" orientation="portrait" verticalDpi="0" r:id="rId1"/>
  <colBreaks count="1" manualBreakCount="1">
    <brk id="1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8" ma:contentTypeDescription="Create a new document." ma:contentTypeScope="" ma:versionID="96189253b603adcdee5e11e8305fdbc1">
  <xsd:schema xmlns:xsd="http://www.w3.org/2001/XMLSchema" xmlns:xs="http://www.w3.org/2001/XMLSchema" xmlns:p="http://schemas.microsoft.com/office/2006/metadata/properties" xmlns:ns3="765227eb-2557-40de-b741-36f4bef2b5cf" targetNamespace="http://schemas.microsoft.com/office/2006/metadata/properties" ma:root="true" ma:fieldsID="262b951d8398fa4a7bed29d482218062"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F0DFEA-C62A-4922-A3FF-DC9D15E9BD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838916-2FA4-4D90-9E0A-60E3F6212CC1}">
  <ds:schemaRefs>
    <ds:schemaRef ds:uri="http://schemas.microsoft.com/sharepoint/v3/contenttype/forms"/>
  </ds:schemaRefs>
</ds:datastoreItem>
</file>

<file path=customXml/itemProps3.xml><?xml version="1.0" encoding="utf-8"?>
<ds:datastoreItem xmlns:ds="http://schemas.openxmlformats.org/officeDocument/2006/customXml" ds:itemID="{456F56AD-E689-41D1-908C-467419B7FA3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v8 Revisions</vt:lpstr>
      <vt:lpstr>Program-Level Adjustments Tab</vt:lpstr>
      <vt:lpstr>Measure-Level Adjustments Tab</vt:lpstr>
      <vt:lpstr>WAML</vt:lpstr>
      <vt:lpstr>Unit Savings Calculations</vt:lpstr>
      <vt:lpstr>Food Equipment Detail</vt:lpstr>
      <vt:lpstr>Pipe Insulation Detail</vt:lpstr>
      <vt:lpstr>Thermostat Detail</vt:lpstr>
      <vt:lpstr>Laundromat Boiler Detail</vt:lpstr>
      <vt:lpstr>Behavior</vt:lpstr>
      <vt:lpstr>'v8 Revisions'!_Hlk514074254</vt:lpstr>
      <vt:lpstr>'Food Equipment Detail'!Print_Area</vt:lpstr>
      <vt:lpstr>'Laundromat Boiler Detail'!Print_Area</vt:lpstr>
      <vt:lpstr>'Measure-Level Adjustments Tab'!Print_Area</vt:lpstr>
      <vt:lpstr>'Pipe Insulation Detail'!Print_Area</vt:lpstr>
      <vt:lpstr>'Program-Level Adjustments Tab'!Print_Area</vt:lpstr>
      <vt:lpstr>'Thermostat Detail'!Print_Area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2020-01-30T20:42:45Z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