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Utility Reports/ComEd/"/>
    </mc:Choice>
  </mc:AlternateContent>
  <xr:revisionPtr revIDLastSave="0" documentId="8_{F10613BF-DF66-450C-9FF7-0270E9610B2D}" xr6:coauthVersionLast="45" xr6:coauthVersionMax="45" xr10:uidLastSave="{00000000-0000-0000-0000-000000000000}"/>
  <bookViews>
    <workbookView xWindow="-110" yWindow="-110" windowWidth="19420" windowHeight="10420" xr2:uid="{00000000-000D-0000-FFFF-FFFF00000000}"/>
  </bookViews>
  <sheets>
    <sheet name="1- Ex Ante Results" sheetId="1" r:id="rId1"/>
    <sheet name="2- Costs" sheetId="2" r:id="rId2"/>
    <sheet name="3- Energy" sheetId="3" r:id="rId3"/>
    <sheet name="4- Other" sheetId="4" r:id="rId4"/>
    <sheet name="5- CPAS" sheetId="7" r:id="rId5"/>
    <sheet name="6- Historical Costs" sheetId="8" r:id="rId6"/>
  </sheets>
  <definedNames>
    <definedName name="_xlnm._FilterDatabase" localSheetId="0" hidden="1">'1- Ex Ante Results'!$B$20:$M$117</definedName>
    <definedName name="_xlnm.Print_Area" localSheetId="0">'1- Ex Ante Results'!$A$1:$M$125</definedName>
    <definedName name="_xlnm.Print_Area" localSheetId="5">'6- Historical Costs'!$A$1:$G$31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5" i="1" l="1"/>
  <c r="H55" i="1" l="1"/>
  <c r="H50" i="1"/>
  <c r="L84" i="1"/>
  <c r="L55" i="1"/>
  <c r="L88" i="1"/>
  <c r="L89" i="1"/>
  <c r="L82" i="1"/>
  <c r="L50" i="1"/>
  <c r="H84" i="1" l="1"/>
  <c r="H89" i="1" l="1"/>
  <c r="H88" i="1"/>
  <c r="H82" i="1"/>
  <c r="G104" i="1" l="1"/>
  <c r="G103" i="1" l="1"/>
  <c r="M98" i="1" l="1"/>
  <c r="M96" i="1"/>
  <c r="M97" i="1"/>
  <c r="M99" i="1"/>
  <c r="C114" i="1"/>
  <c r="I47" i="1" l="1"/>
  <c r="I105" i="1"/>
  <c r="I104" i="1"/>
  <c r="I103" i="1"/>
  <c r="I102" i="1"/>
  <c r="I101" i="1"/>
  <c r="I100" i="1"/>
  <c r="I99" i="1"/>
  <c r="I98" i="1"/>
  <c r="I97" i="1"/>
  <c r="I96" i="1"/>
  <c r="I95" i="1"/>
  <c r="I90" i="1"/>
  <c r="I89" i="1"/>
  <c r="I88" i="1"/>
  <c r="I87" i="1"/>
  <c r="I83" i="1"/>
  <c r="I82" i="1"/>
  <c r="I81" i="1"/>
  <c r="I80" i="1"/>
  <c r="I79" i="1"/>
  <c r="I78" i="1"/>
  <c r="I77" i="1"/>
  <c r="I71" i="1"/>
  <c r="I69" i="1"/>
  <c r="I67" i="1"/>
  <c r="I66" i="1"/>
  <c r="I65" i="1"/>
  <c r="I64" i="1"/>
  <c r="I63" i="1"/>
  <c r="I62" i="1"/>
  <c r="I61" i="1"/>
  <c r="I59" i="1"/>
  <c r="I58" i="1"/>
  <c r="I50" i="1"/>
  <c r="I49" i="1"/>
  <c r="I48" i="1"/>
  <c r="I46" i="1"/>
  <c r="I45" i="1"/>
  <c r="I44" i="1"/>
  <c r="I42" i="1"/>
  <c r="I41" i="1"/>
  <c r="M16" i="4" l="1"/>
  <c r="M15" i="4"/>
  <c r="M14" i="4"/>
  <c r="M13" i="4"/>
  <c r="L13" i="4" l="1"/>
  <c r="L15" i="4" l="1"/>
  <c r="L40" i="1"/>
  <c r="K56" i="1"/>
  <c r="K29" i="1" l="1"/>
  <c r="K28" i="1"/>
  <c r="K27" i="1"/>
  <c r="K74" i="1"/>
  <c r="L57" i="1"/>
  <c r="K22" i="1" l="1"/>
  <c r="D67" i="1"/>
  <c r="D50" i="1"/>
  <c r="D40" i="1"/>
  <c r="D57" i="1"/>
  <c r="D114" i="1"/>
  <c r="D22" i="1" l="1"/>
  <c r="F40" i="1"/>
  <c r="C40" i="1"/>
  <c r="C57" i="1"/>
  <c r="M113" i="1" l="1"/>
  <c r="E112" i="1"/>
  <c r="H40" i="1"/>
  <c r="E31" i="8" l="1"/>
  <c r="E30" i="8"/>
  <c r="D27" i="8"/>
  <c r="D31" i="8" s="1"/>
  <c r="F25" i="8"/>
  <c r="D25" i="8"/>
  <c r="C25" i="8"/>
  <c r="E24" i="8"/>
  <c r="G24" i="8" s="1"/>
  <c r="G23" i="8"/>
  <c r="E23" i="8"/>
  <c r="E22" i="8"/>
  <c r="G22" i="8" s="1"/>
  <c r="F21" i="8"/>
  <c r="D21" i="8"/>
  <c r="C21" i="8"/>
  <c r="E21" i="8" s="1"/>
  <c r="G21" i="8" s="1"/>
  <c r="E20" i="8"/>
  <c r="G20" i="8" s="1"/>
  <c r="E19" i="8"/>
  <c r="G19" i="8" s="1"/>
  <c r="E18" i="8"/>
  <c r="G18" i="8" s="1"/>
  <c r="F17" i="8"/>
  <c r="D17" i="8"/>
  <c r="C17" i="8"/>
  <c r="E16" i="8"/>
  <c r="G16" i="8" s="1"/>
  <c r="G15" i="8"/>
  <c r="E15" i="8"/>
  <c r="G14" i="8"/>
  <c r="E14" i="8"/>
  <c r="E33" i="7"/>
  <c r="E23" i="7"/>
  <c r="E24" i="7" s="1"/>
  <c r="E18" i="7"/>
  <c r="L18" i="4"/>
  <c r="K18" i="4"/>
  <c r="L16" i="4"/>
  <c r="K16" i="4"/>
  <c r="J16" i="4"/>
  <c r="I16" i="4"/>
  <c r="H16" i="4"/>
  <c r="G16" i="4"/>
  <c r="F16" i="4"/>
  <c r="E16" i="4"/>
  <c r="D16" i="4"/>
  <c r="C16" i="4"/>
  <c r="K15" i="4"/>
  <c r="J15" i="4"/>
  <c r="I15" i="4"/>
  <c r="H15" i="4"/>
  <c r="G15" i="4"/>
  <c r="F15" i="4"/>
  <c r="E15" i="4"/>
  <c r="D15" i="4"/>
  <c r="C15" i="4"/>
  <c r="L14" i="4"/>
  <c r="K14" i="4"/>
  <c r="J14" i="4"/>
  <c r="I14" i="4"/>
  <c r="H14" i="4"/>
  <c r="G14" i="4"/>
  <c r="F14" i="4"/>
  <c r="E14" i="4"/>
  <c r="D14" i="4"/>
  <c r="C14" i="4"/>
  <c r="K13" i="4"/>
  <c r="J13" i="4"/>
  <c r="I13" i="4"/>
  <c r="H13" i="4"/>
  <c r="G13" i="4"/>
  <c r="F13" i="4"/>
  <c r="E13" i="4"/>
  <c r="D13" i="4"/>
  <c r="C13" i="4"/>
  <c r="E30" i="3"/>
  <c r="G29" i="3"/>
  <c r="F29" i="3"/>
  <c r="F28" i="3"/>
  <c r="F27" i="3"/>
  <c r="F26" i="3"/>
  <c r="G26" i="3" s="1"/>
  <c r="E25" i="3"/>
  <c r="D25" i="3"/>
  <c r="F24" i="3"/>
  <c r="G24" i="3" s="1"/>
  <c r="F23" i="3"/>
  <c r="G23" i="3" s="1"/>
  <c r="F22" i="3"/>
  <c r="G22" i="3" s="1"/>
  <c r="E21" i="3"/>
  <c r="D21" i="3"/>
  <c r="G20" i="3"/>
  <c r="G19" i="3"/>
  <c r="F19" i="3"/>
  <c r="F18" i="3"/>
  <c r="G18" i="3" s="1"/>
  <c r="E17" i="3"/>
  <c r="D17" i="3"/>
  <c r="F16" i="3"/>
  <c r="G16" i="3" s="1"/>
  <c r="F15" i="3"/>
  <c r="G15" i="3" s="1"/>
  <c r="G14" i="3"/>
  <c r="F14" i="3"/>
  <c r="G116" i="1"/>
  <c r="G115" i="1"/>
  <c r="L114" i="1"/>
  <c r="K114" i="1"/>
  <c r="I114" i="1"/>
  <c r="H114" i="1"/>
  <c r="F114" i="1"/>
  <c r="E114" i="1"/>
  <c r="G112" i="1"/>
  <c r="M111" i="1"/>
  <c r="J111" i="1"/>
  <c r="J114" i="1" s="1"/>
  <c r="E111" i="1"/>
  <c r="L109" i="1"/>
  <c r="K109" i="1"/>
  <c r="F109" i="1"/>
  <c r="D109" i="1"/>
  <c r="C109" i="1"/>
  <c r="M108" i="1"/>
  <c r="J108" i="1"/>
  <c r="G108" i="1"/>
  <c r="E108" i="1"/>
  <c r="M107" i="1"/>
  <c r="J107" i="1"/>
  <c r="G107" i="1"/>
  <c r="E107" i="1"/>
  <c r="M106" i="1"/>
  <c r="J106" i="1"/>
  <c r="G106" i="1"/>
  <c r="E106" i="1"/>
  <c r="M105" i="1"/>
  <c r="J105" i="1"/>
  <c r="G105" i="1"/>
  <c r="E105" i="1"/>
  <c r="M104" i="1"/>
  <c r="J104" i="1"/>
  <c r="E104" i="1"/>
  <c r="M103" i="1"/>
  <c r="J103" i="1"/>
  <c r="E103" i="1"/>
  <c r="M102" i="1"/>
  <c r="J102" i="1"/>
  <c r="G102" i="1"/>
  <c r="E102" i="1"/>
  <c r="M101" i="1"/>
  <c r="J101" i="1"/>
  <c r="G101" i="1"/>
  <c r="E101" i="1"/>
  <c r="M100" i="1"/>
  <c r="H109" i="1"/>
  <c r="G100" i="1"/>
  <c r="E100" i="1"/>
  <c r="J99" i="1"/>
  <c r="G99" i="1"/>
  <c r="E99" i="1"/>
  <c r="J98" i="1"/>
  <c r="G98" i="1"/>
  <c r="E98" i="1"/>
  <c r="J97" i="1"/>
  <c r="G97" i="1"/>
  <c r="E97" i="1"/>
  <c r="J96" i="1"/>
  <c r="G96" i="1"/>
  <c r="E96" i="1"/>
  <c r="M95" i="1"/>
  <c r="J95" i="1"/>
  <c r="G95" i="1"/>
  <c r="E95" i="1"/>
  <c r="L93" i="1"/>
  <c r="K93" i="1"/>
  <c r="H93" i="1"/>
  <c r="C16" i="2" s="1"/>
  <c r="F93" i="1"/>
  <c r="D93" i="1"/>
  <c r="C93" i="1"/>
  <c r="J92" i="1"/>
  <c r="E92" i="1"/>
  <c r="M91" i="1"/>
  <c r="J91" i="1"/>
  <c r="E91" i="1"/>
  <c r="M90" i="1"/>
  <c r="J90" i="1"/>
  <c r="G90" i="1"/>
  <c r="E90" i="1"/>
  <c r="M89" i="1"/>
  <c r="J89" i="1"/>
  <c r="G89" i="1"/>
  <c r="E89" i="1"/>
  <c r="M88" i="1"/>
  <c r="J88" i="1"/>
  <c r="G88" i="1"/>
  <c r="E88" i="1"/>
  <c r="M87" i="1"/>
  <c r="J87" i="1"/>
  <c r="G87" i="1"/>
  <c r="E87" i="1"/>
  <c r="L85" i="1"/>
  <c r="K85" i="1"/>
  <c r="F85" i="1"/>
  <c r="D85" i="1"/>
  <c r="E85" i="1" s="1"/>
  <c r="C85" i="1"/>
  <c r="M84" i="1"/>
  <c r="E84" i="1"/>
  <c r="M83" i="1"/>
  <c r="J83" i="1"/>
  <c r="G83" i="1"/>
  <c r="E83" i="1"/>
  <c r="M82" i="1"/>
  <c r="J82" i="1"/>
  <c r="G82" i="1"/>
  <c r="E82" i="1"/>
  <c r="M81" i="1"/>
  <c r="J81" i="1"/>
  <c r="G81" i="1"/>
  <c r="E81" i="1"/>
  <c r="M80" i="1"/>
  <c r="J80" i="1"/>
  <c r="G80" i="1"/>
  <c r="E80" i="1"/>
  <c r="M79" i="1"/>
  <c r="J79" i="1"/>
  <c r="G79" i="1"/>
  <c r="E79" i="1"/>
  <c r="M78" i="1"/>
  <c r="J78" i="1"/>
  <c r="G78" i="1"/>
  <c r="E78" i="1"/>
  <c r="M77" i="1"/>
  <c r="G77" i="1"/>
  <c r="E77" i="1"/>
  <c r="M76" i="1"/>
  <c r="G76" i="1"/>
  <c r="E76" i="1"/>
  <c r="D74" i="1"/>
  <c r="M73" i="1"/>
  <c r="J73" i="1"/>
  <c r="E73" i="1"/>
  <c r="M72" i="1"/>
  <c r="J72" i="1"/>
  <c r="E72" i="1"/>
  <c r="M71" i="1"/>
  <c r="I36" i="1"/>
  <c r="G71" i="1"/>
  <c r="E71" i="1"/>
  <c r="E36" i="1" s="1"/>
  <c r="M70" i="1"/>
  <c r="J70" i="1"/>
  <c r="G70" i="1"/>
  <c r="E70" i="1"/>
  <c r="M69" i="1"/>
  <c r="I34" i="1"/>
  <c r="G69" i="1"/>
  <c r="E69" i="1"/>
  <c r="M68" i="1"/>
  <c r="J68" i="1"/>
  <c r="G68" i="1"/>
  <c r="E68" i="1"/>
  <c r="M67" i="1"/>
  <c r="J67" i="1"/>
  <c r="G67" i="1"/>
  <c r="E67" i="1"/>
  <c r="M66" i="1"/>
  <c r="J66" i="1"/>
  <c r="G66" i="1"/>
  <c r="E66" i="1"/>
  <c r="M65" i="1"/>
  <c r="J65" i="1"/>
  <c r="G65" i="1"/>
  <c r="E65" i="1"/>
  <c r="M64" i="1"/>
  <c r="J64" i="1"/>
  <c r="G64" i="1"/>
  <c r="E64" i="1"/>
  <c r="M63" i="1"/>
  <c r="J63" i="1"/>
  <c r="G63" i="1"/>
  <c r="E63" i="1"/>
  <c r="M62" i="1"/>
  <c r="J62" i="1"/>
  <c r="G62" i="1"/>
  <c r="E62" i="1"/>
  <c r="M61" i="1"/>
  <c r="J61" i="1"/>
  <c r="G61" i="1"/>
  <c r="E61" i="1"/>
  <c r="M60" i="1"/>
  <c r="J60" i="1"/>
  <c r="G60" i="1"/>
  <c r="E60" i="1"/>
  <c r="M59" i="1"/>
  <c r="J59" i="1"/>
  <c r="G59" i="1"/>
  <c r="E59" i="1"/>
  <c r="M58" i="1"/>
  <c r="J58" i="1"/>
  <c r="G58" i="1"/>
  <c r="E58" i="1"/>
  <c r="H57" i="1"/>
  <c r="H74" i="1" s="1"/>
  <c r="F57" i="1"/>
  <c r="G57" i="1" s="1"/>
  <c r="E57" i="1"/>
  <c r="C74" i="1"/>
  <c r="D56" i="1"/>
  <c r="C56" i="1"/>
  <c r="M55" i="1"/>
  <c r="E55" i="1"/>
  <c r="M54" i="1"/>
  <c r="J54" i="1"/>
  <c r="E54" i="1"/>
  <c r="M53" i="1"/>
  <c r="J53" i="1"/>
  <c r="G53" i="1"/>
  <c r="E53" i="1"/>
  <c r="M52" i="1"/>
  <c r="J52" i="1"/>
  <c r="G52" i="1"/>
  <c r="E52" i="1"/>
  <c r="M51" i="1"/>
  <c r="J51" i="1"/>
  <c r="G51" i="1"/>
  <c r="E51" i="1"/>
  <c r="M50" i="1"/>
  <c r="J50" i="1"/>
  <c r="G50" i="1"/>
  <c r="E50" i="1"/>
  <c r="M49" i="1"/>
  <c r="J49" i="1"/>
  <c r="G49" i="1"/>
  <c r="E49" i="1"/>
  <c r="M48" i="1"/>
  <c r="G48" i="1"/>
  <c r="E48" i="1"/>
  <c r="M47" i="1"/>
  <c r="J47" i="1"/>
  <c r="G47" i="1"/>
  <c r="E47" i="1"/>
  <c r="M46" i="1"/>
  <c r="J46" i="1"/>
  <c r="G46" i="1"/>
  <c r="E46" i="1"/>
  <c r="M45" i="1"/>
  <c r="E45" i="1"/>
  <c r="M44" i="1"/>
  <c r="J44" i="1"/>
  <c r="G44" i="1"/>
  <c r="E44" i="1"/>
  <c r="M43" i="1"/>
  <c r="J43" i="1"/>
  <c r="G43" i="1"/>
  <c r="E43" i="1"/>
  <c r="M42" i="1"/>
  <c r="G42" i="1"/>
  <c r="E42" i="1"/>
  <c r="M41" i="1"/>
  <c r="I40" i="1"/>
  <c r="G41" i="1"/>
  <c r="E41" i="1"/>
  <c r="L56" i="1"/>
  <c r="H56" i="1"/>
  <c r="F56" i="1"/>
  <c r="E40" i="1"/>
  <c r="L38" i="1"/>
  <c r="K38" i="1"/>
  <c r="I38" i="1"/>
  <c r="H38" i="1"/>
  <c r="E38" i="1"/>
  <c r="L37" i="1"/>
  <c r="K37" i="1"/>
  <c r="I37" i="1"/>
  <c r="H37" i="1"/>
  <c r="E37" i="1"/>
  <c r="L36" i="1"/>
  <c r="K36" i="1"/>
  <c r="H36" i="1"/>
  <c r="F36" i="1"/>
  <c r="D36" i="1"/>
  <c r="C36" i="1"/>
  <c r="L35" i="1"/>
  <c r="K35" i="1"/>
  <c r="I35" i="1"/>
  <c r="H35" i="1"/>
  <c r="F35" i="1"/>
  <c r="D35" i="1"/>
  <c r="E35" i="1" s="1"/>
  <c r="C35" i="1"/>
  <c r="L34" i="1"/>
  <c r="K34" i="1"/>
  <c r="H34" i="1"/>
  <c r="F34" i="1"/>
  <c r="D34" i="1"/>
  <c r="E34" i="1" s="1"/>
  <c r="C34" i="1"/>
  <c r="L33" i="1"/>
  <c r="K33" i="1"/>
  <c r="I33" i="1"/>
  <c r="H33" i="1"/>
  <c r="F33" i="1"/>
  <c r="D33" i="1"/>
  <c r="E33" i="1" s="1"/>
  <c r="C33" i="1"/>
  <c r="L32" i="1"/>
  <c r="K32" i="1"/>
  <c r="H32" i="1"/>
  <c r="F32" i="1"/>
  <c r="D32" i="1"/>
  <c r="E32" i="1" s="1"/>
  <c r="C32" i="1"/>
  <c r="L31" i="1"/>
  <c r="K31" i="1"/>
  <c r="H31" i="1"/>
  <c r="F31" i="1"/>
  <c r="D31" i="1"/>
  <c r="E31" i="1" s="1"/>
  <c r="C31" i="1"/>
  <c r="L30" i="1"/>
  <c r="K30" i="1"/>
  <c r="H30" i="1"/>
  <c r="F30" i="1"/>
  <c r="D30" i="1"/>
  <c r="E30" i="1" s="1"/>
  <c r="C30" i="1"/>
  <c r="L29" i="1"/>
  <c r="M29" i="1" s="1"/>
  <c r="H29" i="1"/>
  <c r="F29" i="1"/>
  <c r="G29" i="1" s="1"/>
  <c r="D29" i="1"/>
  <c r="E29" i="1" s="1"/>
  <c r="C29" i="1"/>
  <c r="L28" i="1"/>
  <c r="H28" i="1"/>
  <c r="F28" i="1"/>
  <c r="D28" i="1"/>
  <c r="C28" i="1"/>
  <c r="L27" i="1"/>
  <c r="H27" i="1"/>
  <c r="F27" i="1"/>
  <c r="D27" i="1"/>
  <c r="E27" i="1" s="1"/>
  <c r="C27" i="1"/>
  <c r="L26" i="1"/>
  <c r="H26" i="1"/>
  <c r="F26" i="1"/>
  <c r="G26" i="1" s="1"/>
  <c r="E26" i="1"/>
  <c r="C26" i="1"/>
  <c r="L25" i="1"/>
  <c r="I25" i="1"/>
  <c r="H25" i="1"/>
  <c r="F25" i="1"/>
  <c r="G25" i="1" s="1"/>
  <c r="E25" i="1"/>
  <c r="C25" i="1"/>
  <c r="L24" i="1"/>
  <c r="H24" i="1"/>
  <c r="F24" i="1"/>
  <c r="E24" i="1"/>
  <c r="C24" i="1"/>
  <c r="L23" i="1"/>
  <c r="I23" i="1"/>
  <c r="H23" i="1"/>
  <c r="F23" i="1"/>
  <c r="E23" i="1"/>
  <c r="C23" i="1"/>
  <c r="E22" i="1"/>
  <c r="C22" i="1"/>
  <c r="G21" i="3" l="1"/>
  <c r="E37" i="7"/>
  <c r="E26" i="7"/>
  <c r="E17" i="8"/>
  <c r="G17" i="8" s="1"/>
  <c r="E25" i="8"/>
  <c r="G25" i="8" s="1"/>
  <c r="G17" i="3"/>
  <c r="F21" i="3"/>
  <c r="F17" i="3"/>
  <c r="J33" i="1"/>
  <c r="M36" i="1"/>
  <c r="M38" i="1"/>
  <c r="E27" i="7"/>
  <c r="J69" i="1"/>
  <c r="J34" i="1" s="1"/>
  <c r="I27" i="1"/>
  <c r="M114" i="1"/>
  <c r="H22" i="1"/>
  <c r="H39" i="1" s="1"/>
  <c r="G27" i="1"/>
  <c r="I29" i="1"/>
  <c r="G85" i="1"/>
  <c r="F30" i="3"/>
  <c r="G114" i="1"/>
  <c r="G109" i="1"/>
  <c r="M93" i="1"/>
  <c r="J32" i="1"/>
  <c r="J31" i="1"/>
  <c r="I30" i="1"/>
  <c r="J29" i="1"/>
  <c r="I28" i="1"/>
  <c r="I26" i="1"/>
  <c r="J25" i="1"/>
  <c r="I24" i="1"/>
  <c r="F22" i="1"/>
  <c r="F39" i="1" s="1"/>
  <c r="F117" i="1" s="1"/>
  <c r="M37" i="1"/>
  <c r="M23" i="1"/>
  <c r="I32" i="1"/>
  <c r="M27" i="1"/>
  <c r="M32" i="1"/>
  <c r="M33" i="1"/>
  <c r="M25" i="1"/>
  <c r="G35" i="1"/>
  <c r="C18" i="2"/>
  <c r="M109" i="1"/>
  <c r="M28" i="1"/>
  <c r="G32" i="1"/>
  <c r="M34" i="1"/>
  <c r="J42" i="1"/>
  <c r="J24" i="1" s="1"/>
  <c r="M57" i="1"/>
  <c r="J37" i="1"/>
  <c r="C21" i="2"/>
  <c r="C26" i="2" s="1"/>
  <c r="J28" i="1"/>
  <c r="J35" i="1"/>
  <c r="G24" i="1"/>
  <c r="C39" i="1"/>
  <c r="C117" i="1" s="1"/>
  <c r="J100" i="1"/>
  <c r="J109" i="1" s="1"/>
  <c r="E109" i="1"/>
  <c r="M26" i="1"/>
  <c r="D39" i="1"/>
  <c r="D117" i="1" s="1"/>
  <c r="N12" i="4" s="1"/>
  <c r="E56" i="1"/>
  <c r="J41" i="1"/>
  <c r="J23" i="1" s="1"/>
  <c r="J48" i="1"/>
  <c r="J30" i="1" s="1"/>
  <c r="E74" i="1"/>
  <c r="J76" i="1"/>
  <c r="G93" i="1"/>
  <c r="E93" i="1"/>
  <c r="M24" i="1"/>
  <c r="K39" i="1"/>
  <c r="K117" i="1" s="1"/>
  <c r="I57" i="1"/>
  <c r="I74" i="1" s="1"/>
  <c r="F74" i="1"/>
  <c r="G74" i="1" s="1"/>
  <c r="I85" i="1"/>
  <c r="M30" i="1"/>
  <c r="M31" i="1"/>
  <c r="M35" i="1"/>
  <c r="M40" i="1"/>
  <c r="J77" i="1"/>
  <c r="G36" i="1"/>
  <c r="G33" i="1"/>
  <c r="G23" i="1"/>
  <c r="G34" i="1"/>
  <c r="G28" i="1"/>
  <c r="G30" i="1"/>
  <c r="J26" i="1"/>
  <c r="M56" i="1"/>
  <c r="C13" i="2"/>
  <c r="C14" i="2"/>
  <c r="G56" i="1"/>
  <c r="J93" i="1"/>
  <c r="E34" i="7"/>
  <c r="E27" i="8"/>
  <c r="G31" i="1"/>
  <c r="J71" i="1"/>
  <c r="J36" i="1" s="1"/>
  <c r="I109" i="1"/>
  <c r="F25" i="3"/>
  <c r="G25" i="3" s="1"/>
  <c r="L22" i="1"/>
  <c r="I31" i="1"/>
  <c r="G40" i="1"/>
  <c r="J55" i="1"/>
  <c r="J38" i="1" s="1"/>
  <c r="I56" i="1"/>
  <c r="J56" i="1" s="1"/>
  <c r="L74" i="1"/>
  <c r="M74" i="1" s="1"/>
  <c r="I93" i="1"/>
  <c r="E28" i="1"/>
  <c r="E39" i="1" s="1"/>
  <c r="J45" i="1"/>
  <c r="J27" i="1" s="1"/>
  <c r="J84" i="1"/>
  <c r="H85" i="1"/>
  <c r="G117" i="1" l="1"/>
  <c r="E35" i="7"/>
  <c r="G22" i="1"/>
  <c r="D28" i="3"/>
  <c r="G28" i="3" s="1"/>
  <c r="N16" i="4"/>
  <c r="N15" i="4"/>
  <c r="N14" i="4"/>
  <c r="N13" i="4"/>
  <c r="E117" i="1"/>
  <c r="J85" i="1"/>
  <c r="J57" i="1"/>
  <c r="J74" i="1" s="1"/>
  <c r="G39" i="1"/>
  <c r="H117" i="1"/>
  <c r="J40" i="1"/>
  <c r="I22" i="1"/>
  <c r="I39" i="1" s="1"/>
  <c r="I117" i="1" s="1"/>
  <c r="E29" i="7"/>
  <c r="E28" i="7"/>
  <c r="C15" i="2"/>
  <c r="C19" i="2" s="1"/>
  <c r="C27" i="2" s="1"/>
  <c r="M85" i="1"/>
  <c r="L39" i="1"/>
  <c r="M22" i="1"/>
  <c r="C32" i="2" l="1"/>
  <c r="J22" i="1"/>
  <c r="J39" i="1" s="1"/>
  <c r="J117" i="1" s="1"/>
  <c r="E30" i="7"/>
  <c r="E36" i="7"/>
  <c r="E38" i="7" s="1"/>
  <c r="E39" i="7" s="1"/>
  <c r="L117" i="1"/>
  <c r="M117" i="1" s="1"/>
  <c r="M39" i="1"/>
  <c r="G27" i="3"/>
  <c r="D30" i="3"/>
  <c r="G30" i="3" s="1"/>
  <c r="C29" i="8" l="1"/>
  <c r="E29" i="8" s="1"/>
  <c r="E32" i="2"/>
  <c r="E28" i="8"/>
  <c r="C31"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tc={5A8F77E8-8BBF-466C-8705-1E22A7236E6C}</author>
    <author>tc={F5AFB128-45BC-421C-AC33-3A1CE674BDAF}</author>
    <author>tc={9332729E-CBA3-42CA-9A42-3573626B3DBA}</author>
    <author>tc={7E7C4305-F617-4724-A96D-32974B65B4AD}</author>
    <author>tc={9D86DA26-FAD6-48F7-8721-7C933F7DB921}</author>
    <author>tc={4E61C077-C1A1-4073-941B-35349B32421E}</author>
    <author>tc={9D40F547-6FB5-4851-ADCF-015F1CD0D6ED}</author>
  </authors>
  <commentList>
    <comment ref="K20" authorId="0" shapeId="0" xr:uid="{5A8F77E8-8BBF-466C-8705-1E22A7236E6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Filed Goal</t>
        </r>
      </text>
    </comment>
    <comment ref="L20" authorId="1" shapeId="0" xr:uid="{F5AFB128-45BC-421C-AC33-3A1CE674BDA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Fadila's LRP</t>
        </r>
      </text>
    </comment>
    <comment ref="H50" authorId="2" shapeId="0" xr:uid="{9332729E-CBA3-42CA-9A42-3573626B3DB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RCx+Power TakeOff</t>
        </r>
      </text>
    </comment>
    <comment ref="H55" authorId="3" shapeId="0" xr:uid="{7E7C4305-F617-4724-A96D-32974B65B4A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Add value from reporting Quarter in this cell, Q1+Q2+Q3+Q4+C&amp;I General portion of BIDA</t>
        </r>
      </text>
    </comment>
    <comment ref="D82" authorId="4" shapeId="0" xr:uid="{9D86DA26-FAD6-48F7-8721-7C933F7DB92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Includes Weatherization</t>
        </r>
      </text>
    </comment>
    <comment ref="H84" authorId="5" shapeId="0" xr:uid="{4E61C077-C1A1-4073-941B-35349B32421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Includes Residential portion of BIDA</t>
        </r>
      </text>
    </comment>
    <comment ref="K111" authorId="6" shapeId="0" xr:uid="{9D40F547-6FB5-4851-ADCF-015F1CD0D6E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Per PLAN, Table 16, Page 220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tc={37BF8CD4-100D-4905-B53A-559DD370F7DC}</author>
    <author>tc={2A6E292A-DAFA-4B03-AEDC-B75A6F41BBA3}</author>
  </authors>
  <commentList>
    <comment ref="D27" authorId="0" shapeId="0" xr:uid="{37BF8CD4-100D-4905-B53A-559DD370F7D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Per Summary Impact Evaluation Report 2020 received from Guide House</t>
        </r>
      </text>
    </comment>
    <comment ref="E28" authorId="1" shapeId="0" xr:uid="{2A6E292A-DAFA-4B03-AEDC-B75A6F41BBA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Per scorecard 1,637,572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tc={7C430A48-ABBD-4834-849E-E86F3243F48C}</author>
  </authors>
  <commentList>
    <comment ref="M12" authorId="0" shapeId="0" xr:uid="{7C430A48-ABBD-4834-849E-E86F3243F48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Per Summary Impact Evaluation Report 2020 received from Guide House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tc={C4E463DE-9E7D-4ABA-B406-D767EEBBD410}</author>
    <author>tc={359A4220-8E9B-4C33-9204-4DDE1A656BB0}</author>
  </authors>
  <commentList>
    <comment ref="E19" authorId="0" shapeId="0" xr:uid="{C4E463DE-9E7D-4ABA-B406-D767EEBBD41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Per Summary Impact Evaluation Report 2020 received from Guide House, Table 2_7, Cell H49</t>
        </r>
      </text>
    </comment>
    <comment ref="E25" authorId="1" shapeId="0" xr:uid="{359A4220-8E9B-4C33-9204-4DDE1A656BB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Per Summary Impact Evaluation Report 2020 received from Guide House, Table 2_7, Cell I50+I51</t>
        </r>
      </text>
    </comment>
  </commentList>
</comments>
</file>

<file path=xl/sharedStrings.xml><?xml version="1.0" encoding="utf-8"?>
<sst xmlns="http://schemas.openxmlformats.org/spreadsheetml/2006/main" count="423" uniqueCount="301">
  <si>
    <t>Statewide Quarterly Report Template</t>
  </si>
  <si>
    <t>Residential Programs</t>
  </si>
  <si>
    <t>Program Year</t>
  </si>
  <si>
    <t>Carbon reduction (tons)</t>
  </si>
  <si>
    <t>Cars removed from the road</t>
  </si>
  <si>
    <t>Acres of trees planted</t>
  </si>
  <si>
    <t>EPY1</t>
  </si>
  <si>
    <t>EPY2</t>
  </si>
  <si>
    <t>EPY3</t>
  </si>
  <si>
    <t>EPY4/
GPY1</t>
  </si>
  <si>
    <t>EPY5/
GPY2</t>
  </si>
  <si>
    <t>EPY6/
GPY3</t>
  </si>
  <si>
    <t>EPY7/
GPY4</t>
  </si>
  <si>
    <t>EPY8/
GPY5</t>
  </si>
  <si>
    <t>Tab 1: Ex Ante Results</t>
  </si>
  <si>
    <t>Tab 3: Historical Energy Saved</t>
  </si>
  <si>
    <t>Tab 4: Historical Other - Environmental and Economic Impacts</t>
  </si>
  <si>
    <t>Commercial &amp; Industrial Programs</t>
  </si>
  <si>
    <t>Footnotes:</t>
  </si>
  <si>
    <t>% of Costs YTD Compared to Approved Budget</t>
  </si>
  <si>
    <t>Electric Plan 1 Total</t>
  </si>
  <si>
    <t>Electric Plan 2/Gas Plan 1 Total</t>
  </si>
  <si>
    <t>Electric Plan 3/Gas Plan 2 Total</t>
  </si>
  <si>
    <t>% of Net Energy Savings Goal Achieved</t>
  </si>
  <si>
    <t>Evaluation Costs</t>
  </si>
  <si>
    <t>Department</t>
  </si>
  <si>
    <t>Performance Metrics (Equivalents)*</t>
  </si>
  <si>
    <t>*Unless otherwise noted, performance metrics for carbon reduction, cars removed from the road, and acres of trees planted are derived from the U.S. EPA Greenhouse Gas Equivalencies Calculator: https://www.epa.gov/energy/greenhouse-gas-equivalencies-calculator</t>
  </si>
  <si>
    <t>% Savings Achieved Compared to Implementation Plan Savings Goal</t>
  </si>
  <si>
    <t>Market Transformation Programs</t>
  </si>
  <si>
    <t xml:space="preserve"> Section 8-103B/8-104
(EEPS) Program</t>
  </si>
  <si>
    <t>C&amp;I Programs Subtotal</t>
  </si>
  <si>
    <t>Residential Programs Subtotal</t>
  </si>
  <si>
    <t>Income Qualified Programs</t>
  </si>
  <si>
    <t>Income Qualified Programs Subtotal</t>
  </si>
  <si>
    <t xml:space="preserve">Public Sector Programs </t>
  </si>
  <si>
    <t xml:space="preserve">Demonstration of Breakthrough
Equipment and Devices Costs </t>
  </si>
  <si>
    <t xml:space="preserve">Portfolio Administrative Costs </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</si>
  <si>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</si>
  <si>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EPY9/
GPY6****</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</si>
  <si>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</si>
  <si>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</si>
  <si>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</si>
  <si>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Income qualified homes served***</t>
  </si>
  <si>
    <t>2018-2021 Plan Total</t>
  </si>
  <si>
    <t>C&amp;I Programs - Private Sector Total</t>
  </si>
  <si>
    <t>C&amp;I Programs - Public Sector Total</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</si>
  <si>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</si>
  <si>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Demonstration of Breakthrough Equipment and Devices</t>
  </si>
  <si>
    <t>Demonstration of Breakthrough Equipment and Devices Subtotal</t>
  </si>
  <si>
    <t>= u / q</t>
  </si>
  <si>
    <t>v</t>
  </si>
  <si>
    <t>= s - t</t>
  </si>
  <si>
    <t>u</t>
  </si>
  <si>
    <t>= j</t>
  </si>
  <si>
    <t>Expiring savings that have to be offset before counting progress towards AAIG (MWh)</t>
  </si>
  <si>
    <t>t</t>
  </si>
  <si>
    <t>same as "m"</t>
  </si>
  <si>
    <t>s</t>
  </si>
  <si>
    <t>= q + j</t>
  </si>
  <si>
    <t>New Savings Required to Meet AAIG (MWh)</t>
  </si>
  <si>
    <t>r</t>
  </si>
  <si>
    <t>= c - p</t>
  </si>
  <si>
    <t>Current Year Applicable Annual Incremental Goal (MWh)</t>
  </si>
  <si>
    <t>q</t>
  </si>
  <si>
    <t>= o * b</t>
  </si>
  <si>
    <t>Previous Year's CPAS Goal (MWh)</t>
  </si>
  <si>
    <t>p</t>
  </si>
  <si>
    <t>Previous Year's CPAS Goal (% of Sales)</t>
  </si>
  <si>
    <t>o</t>
  </si>
  <si>
    <t>Applicable Annual Incremental Goal (AAIG) Progress</t>
  </si>
  <si>
    <t>n</t>
  </si>
  <si>
    <t>sum of utility reports for all quarters to date</t>
  </si>
  <si>
    <t>m</t>
  </si>
  <si>
    <t>utility report</t>
  </si>
  <si>
    <t>New Annual Savings this Quarter (MWh)</t>
  </si>
  <si>
    <t>l</t>
  </si>
  <si>
    <t>= c - d + j</t>
  </si>
  <si>
    <t>New Annual Savings Needed to Meet Current Year CPAS Goal (MWh)</t>
  </si>
  <si>
    <t>k</t>
  </si>
  <si>
    <t>= h + i</t>
  </si>
  <si>
    <t>Total Savings Expiring in Current Year (MWh)</t>
  </si>
  <si>
    <t>j</t>
  </si>
  <si>
    <t>i</t>
  </si>
  <si>
    <t>= g * b</t>
  </si>
  <si>
    <t>2012-2017 Legacy Savings Expiring in Current Year (MWh)</t>
  </si>
  <si>
    <t>h</t>
  </si>
  <si>
    <t>= f - e</t>
  </si>
  <si>
    <t>2012-2017 Legacy Savings Expiring in Current Year (% of Sales)</t>
  </si>
  <si>
    <t>g</t>
  </si>
  <si>
    <t>statute</t>
  </si>
  <si>
    <t>2012-2017 Legacy Savings Persisting in Previous Year (% of Sales)</t>
  </si>
  <si>
    <t>f</t>
  </si>
  <si>
    <t>2012-2017 Legacy Savings Persisting in Current Year (% of Sales)</t>
  </si>
  <si>
    <t>e</t>
  </si>
  <si>
    <t>Savings Expiring in Current Year</t>
  </si>
  <si>
    <t>d</t>
  </si>
  <si>
    <t>= a * b</t>
  </si>
  <si>
    <t>Current Year CPAS Goal (MWh)</t>
  </si>
  <si>
    <t>c</t>
  </si>
  <si>
    <t>b</t>
  </si>
  <si>
    <t>Current Year CPAS Goal (% of Eligible 2014-2016 Average Annual Sales)</t>
  </si>
  <si>
    <t>a</t>
  </si>
  <si>
    <t>Tab 5: CPAS Progress</t>
  </si>
  <si>
    <t>Reported items</t>
  </si>
  <si>
    <t>Color Coded Key:</t>
  </si>
  <si>
    <t>Statutory and/or approved plan inputs</t>
  </si>
  <si>
    <t>Calculations</t>
  </si>
  <si>
    <t>verification report for previous year</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</si>
  <si>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</si>
  <si>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r>
      <rPr>
        <b/>
        <sz val="11"/>
        <color theme="1"/>
        <rFont val="Century Gothic"/>
        <family val="2"/>
      </rPr>
      <t>Background:
*</t>
    </r>
    <r>
      <rPr>
        <sz val="11"/>
        <color theme="1"/>
        <rFont val="Century Gothic"/>
        <family val="2"/>
      </rPr>
      <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t>
    </r>
  </si>
  <si>
    <t>EPY1- 6/1/08-5/31/09</t>
  </si>
  <si>
    <t>EPY2- 6/1/09-5/31/10</t>
  </si>
  <si>
    <t>EPY3- 6/1/10-5/31/11</t>
  </si>
  <si>
    <t>EPY4/GPY1- 6/1/11-5/31/12</t>
  </si>
  <si>
    <t>EPY5/GPY2- 6/1/12-5/31/13</t>
  </si>
  <si>
    <t>EPY6/GPY3- 6/1/13-5/31/14</t>
  </si>
  <si>
    <t>EPY7/GPY4- 6/1/14-5/31/15</t>
  </si>
  <si>
    <t>EPY8/GPY5- 6/1/15-5/31/16</t>
  </si>
  <si>
    <t>EPY9/
GPY6*</t>
  </si>
  <si>
    <t>*Electric Program Year 9 (EPY9) and Gas Program Year 6 (GPY6) covers energy efficiency programs offered from June 1, 2016 to May 31, 2017.</t>
  </si>
  <si>
    <t>Evaluation Status (Ex Ante, Verified**, or ICC Approved)</t>
  </si>
  <si>
    <t>EPY9/GPY6- 6/1/16-12/31/17</t>
  </si>
  <si>
    <t>Evaluation Status
(Ex Ante, Verified***, or ICC Approved)</t>
  </si>
  <si>
    <t>Source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</si>
  <si>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</si>
  <si>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</si>
  <si>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 m / k</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</si>
  <si>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</si>
  <si>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New Annual Savings this YTD (MWh)</t>
  </si>
  <si>
    <t>New Savings Achieved YTD (MWh)</t>
  </si>
  <si>
    <t>ICC approved plan compliance filing</t>
  </si>
  <si>
    <t>New Annual Savings YTD as % Needed to Meet Current Year CPAS Goal</t>
  </si>
  <si>
    <t>Progress towards AAIG (after offsetting expiring savings) - MWh YTD</t>
  </si>
  <si>
    <t>Progress towards AAIG (after offsetting expiring savings) - % YTD</t>
  </si>
  <si>
    <t>Baseline - 2014-2016 Average Annual Sales Less Exempt Customers (MWh)</t>
  </si>
  <si>
    <t>C&amp;I Programs (Private Sector)</t>
  </si>
  <si>
    <t>Marketing Costs (including Education and Outreach)</t>
  </si>
  <si>
    <t>Tab 2: Costs</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</si>
  <si>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</si>
  <si>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Section 8-103B/8-104 (EEPS) Cost Category</t>
  </si>
  <si>
    <t>Program Costs by Sector</t>
  </si>
  <si>
    <t>Portfolio-Level Costs by Portfolio Cost Category (Section 8-103B/8-104 EEPS)</t>
  </si>
  <si>
    <t>Overall Total Costs</t>
  </si>
  <si>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</si>
  <si>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</si>
  <si>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t>Incentives</t>
  </si>
  <si>
    <t>Small Business</t>
  </si>
  <si>
    <t>Business Instant Discounts</t>
  </si>
  <si>
    <t>Industrial Systems</t>
  </si>
  <si>
    <t>Strategic Energy Management</t>
  </si>
  <si>
    <t>LED Streetlighting</t>
  </si>
  <si>
    <t>Public Housing Retrofits</t>
  </si>
  <si>
    <t>Standard</t>
  </si>
  <si>
    <t>Custom</t>
  </si>
  <si>
    <t>Data Center</t>
  </si>
  <si>
    <t>Operational Savings</t>
  </si>
  <si>
    <t>Retro-commissioning</t>
  </si>
  <si>
    <t>New Construction</t>
  </si>
  <si>
    <t>AirCare Plus</t>
  </si>
  <si>
    <t>Residential Behavior</t>
  </si>
  <si>
    <t>Appliance Rebates</t>
  </si>
  <si>
    <t>Fridge &amp; Freezer Recycling</t>
  </si>
  <si>
    <t>Multi-Family Assessments</t>
  </si>
  <si>
    <t>Residential New Construction</t>
  </si>
  <si>
    <t>NTC Middle School Kits</t>
  </si>
  <si>
    <t>Affordable Housing New Construction</t>
  </si>
  <si>
    <t>ICC Approved</t>
  </si>
  <si>
    <t>Verified</t>
  </si>
  <si>
    <t>Docket 10-0520, ComEd PY1 Evaluation Summary Report (2009-12-23), p. 17.</t>
  </si>
  <si>
    <t>Docket 10-0520, Staff Ex. 1.1, p. 12 (Navigant Memo, DCEO PY2 Energy Impact Summary (2011-09-21)).</t>
  </si>
  <si>
    <t>Docket 11-0593.</t>
  </si>
  <si>
    <t>Docket 13-0078.</t>
  </si>
  <si>
    <t>Docket 14-0075.</t>
  </si>
  <si>
    <t>Docket 15-0274.</t>
  </si>
  <si>
    <t>EPY7/GPY4 DCEO Cost Effectiveness Summary Report, p. 7.</t>
  </si>
  <si>
    <t>N/A</t>
  </si>
  <si>
    <r>
      <t xml:space="preserve">Total </t>
    </r>
    <r>
      <rPr>
        <b/>
        <sz val="10"/>
        <color rgb="FFFF0000"/>
        <rFont val="Century Gothic"/>
        <family val="2"/>
      </rPr>
      <t xml:space="preserve">ComEd </t>
    </r>
    <r>
      <rPr>
        <b/>
        <sz val="10"/>
        <color theme="1"/>
        <rFont val="Century Gothic"/>
        <family val="2"/>
      </rPr>
      <t>Program Costs</t>
    </r>
  </si>
  <si>
    <r>
      <t xml:space="preserve">Total </t>
    </r>
    <r>
      <rPr>
        <b/>
        <sz val="10"/>
        <color rgb="FFFF0000"/>
        <rFont val="Century Gothic"/>
        <family val="2"/>
      </rPr>
      <t>ComEd</t>
    </r>
    <r>
      <rPr>
        <b/>
        <sz val="10"/>
        <color theme="1"/>
        <rFont val="Century Gothic"/>
        <family val="2"/>
      </rPr>
      <t xml:space="preserve"> Portfolio-Level Costs</t>
    </r>
  </si>
  <si>
    <r>
      <t xml:space="preserve">Total </t>
    </r>
    <r>
      <rPr>
        <b/>
        <sz val="10"/>
        <color rgb="FFFF0000"/>
        <rFont val="Century Gothic"/>
        <family val="2"/>
      </rPr>
      <t>ComEd</t>
    </r>
    <r>
      <rPr>
        <b/>
        <sz val="10"/>
        <rFont val="Century Gothic"/>
        <family val="2"/>
      </rPr>
      <t xml:space="preserve"> Program and Portfolio-Level Section 8-103B/8-104 (EEPS) Costs</t>
    </r>
  </si>
  <si>
    <t xml:space="preserve">Strategic Energy Management - Private </t>
  </si>
  <si>
    <t>LED Streetlighting - Private</t>
  </si>
  <si>
    <t>Incentives - Private</t>
  </si>
  <si>
    <t>Standard - Private</t>
  </si>
  <si>
    <t>Custom - Private</t>
  </si>
  <si>
    <t>Data Center - Private</t>
  </si>
  <si>
    <t>Small Business - Private</t>
  </si>
  <si>
    <t>Business Instant Discounts - Private</t>
  </si>
  <si>
    <t>New Construction - Private</t>
  </si>
  <si>
    <t>Industrial Systems - Private</t>
  </si>
  <si>
    <t>Retro-commissioning - Private</t>
  </si>
  <si>
    <t>Incentives - Public</t>
  </si>
  <si>
    <t>Standard - Public</t>
  </si>
  <si>
    <t>Business Instant Discounts - Public</t>
  </si>
  <si>
    <t>Small Facilities - Public</t>
  </si>
  <si>
    <t>Data Center - Public</t>
  </si>
  <si>
    <t>Custom - Public</t>
  </si>
  <si>
    <t>Industrial Systems - Public</t>
  </si>
  <si>
    <t>New Construction - Public</t>
  </si>
  <si>
    <t>AirCare Plus - Public</t>
  </si>
  <si>
    <t>Strategic Energy Management - Public</t>
  </si>
  <si>
    <t>Retro-commissioning - Public</t>
  </si>
  <si>
    <t>Operational Savings - Public</t>
  </si>
  <si>
    <t>LED Streetlighting - Public</t>
  </si>
  <si>
    <t>Private Sector Outreach</t>
  </si>
  <si>
    <t>Public Sector Outreach</t>
  </si>
  <si>
    <t>Business Outreach</t>
  </si>
  <si>
    <t>Income Eligible Outreach</t>
  </si>
  <si>
    <t>Voltage Optimization</t>
  </si>
  <si>
    <t>Income Eligible General</t>
  </si>
  <si>
    <t>Residential General</t>
  </si>
  <si>
    <t>Private Sector General</t>
  </si>
  <si>
    <t>Public Sector General</t>
  </si>
  <si>
    <t>Ex Ante</t>
  </si>
  <si>
    <t>Residential Lighting Discounts</t>
  </si>
  <si>
    <t>Home Energy Assessment</t>
  </si>
  <si>
    <t>Elementary Energy Education</t>
  </si>
  <si>
    <t>Food Bank LED Distribution</t>
  </si>
  <si>
    <t>Lighting Carryover</t>
  </si>
  <si>
    <t>Business General</t>
  </si>
  <si>
    <t>Net Energy Savings Achieved
(MWh)</t>
  </si>
  <si>
    <t>Original Plan Savings Goal** (MWh)</t>
  </si>
  <si>
    <t>Net Energy Savings Goal* (MWh)</t>
  </si>
  <si>
    <t>Net Energy Savings Achieved (MWh)**</t>
  </si>
  <si>
    <t>Number of homes powered for 1 year*****</t>
  </si>
  <si>
    <t>Direct Portfolio Jobs******</t>
  </si>
  <si>
    <t xml:space="preserve">IL Department of Commerce and Economic Opportunity Energy Saved (MWh) </t>
  </si>
  <si>
    <t>******Direct portfolio Jobs reflect actual positions held by ComEd and its contractors that are part of the Rider EEPP and does not attempt to capture indirect jobs in the energy efficiency industry that may result from the ComEd Energy Efficiency Program.</t>
  </si>
  <si>
    <t>Net Savings Achieved (MWh)</t>
  </si>
  <si>
    <t>AirCare Plus - Private</t>
  </si>
  <si>
    <r>
      <t>Overall Total</t>
    </r>
    <r>
      <rPr>
        <b/>
        <sz val="10"/>
        <color rgb="FFFF0000"/>
        <rFont val="Century Gothic"/>
        <family val="2"/>
      </rPr>
      <t xml:space="preserve"> ComEd</t>
    </r>
    <r>
      <rPr>
        <b/>
        <sz val="10"/>
        <rFont val="Century Gothic"/>
        <family val="2"/>
      </rPr>
      <t xml:space="preserve"> Section 8-103B/8-104 (EEPS) Programs</t>
    </r>
  </si>
  <si>
    <r>
      <t>Therm Conversion</t>
    </r>
    <r>
      <rPr>
        <b/>
        <vertAlign val="superscript"/>
        <sz val="10"/>
        <rFont val="Century Gothic"/>
        <family val="2"/>
      </rPr>
      <t>5</t>
    </r>
  </si>
  <si>
    <t>Operational Savings/Facility Assessment - Private</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</si>
  <si>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</si>
  <si>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</si>
  <si>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t>Actual DCEO EEPS Costs</t>
  </si>
  <si>
    <t>Actual Section 16-111.5B Costs</t>
  </si>
  <si>
    <t>Total Actual EEPS + Section 16-111.5B Costs</t>
  </si>
  <si>
    <r>
      <t xml:space="preserve">Actual </t>
    </r>
    <r>
      <rPr>
        <b/>
        <sz val="11"/>
        <color rgb="FFFF0000"/>
        <rFont val="Century Gothic"/>
        <family val="2"/>
      </rPr>
      <t xml:space="preserve">ComEd </t>
    </r>
    <r>
      <rPr>
        <b/>
        <sz val="11"/>
        <color theme="0"/>
        <rFont val="Century Gothic"/>
        <family val="2"/>
      </rPr>
      <t>EEPS Costs</t>
    </r>
  </si>
  <si>
    <t>Total Actual EEPS Costs (ComEd + DCEO)</t>
  </si>
  <si>
    <t>Actual ComEd EEPS Costs YTD</t>
  </si>
  <si>
    <t>Approved ComEd EEPS Budget</t>
  </si>
  <si>
    <t>Third Party New Manufactured Homes</t>
  </si>
  <si>
    <t>Third Party Existing Manufactured Homes</t>
  </si>
  <si>
    <t>Non Profit Offering NPO</t>
  </si>
  <si>
    <t>Agriculture</t>
  </si>
  <si>
    <t>Telecom</t>
  </si>
  <si>
    <t>Small Business Kits</t>
  </si>
  <si>
    <t>Third Party Programs</t>
  </si>
  <si>
    <t>Third Party Income Eligible</t>
  </si>
  <si>
    <t>Emerging Technology/R&amp;D</t>
  </si>
  <si>
    <t>Combined Heat &amp; Power- Private</t>
  </si>
  <si>
    <t>Combined Heat &amp; Power</t>
  </si>
  <si>
    <t>Combined Heat &amp; Power- Public</t>
  </si>
  <si>
    <t>Income Eligible Product Discounts</t>
  </si>
  <si>
    <t>CY2018</t>
  </si>
  <si>
    <t>Grocery Offering</t>
  </si>
  <si>
    <t>Public Building Safety in Distressed Communities</t>
  </si>
  <si>
    <t>Savings from Measures Installed post-2017 Expiring in Current Year (MWh)*</t>
  </si>
  <si>
    <t>Business Energy Analyzer</t>
  </si>
  <si>
    <t>CPAS Achieved at End of Previous Year (MWh)</t>
  </si>
  <si>
    <t>Docket 19-0684</t>
  </si>
  <si>
    <t>All FTEs</t>
  </si>
  <si>
    <t>Income Eligible Kits/Energy Savings Kits IE/UIC Low Income</t>
  </si>
  <si>
    <t>Total all income eligible measures excuding bulbs</t>
  </si>
  <si>
    <t>Single-Family Retrofits (IHWAP+IEMS)</t>
  </si>
  <si>
    <t>Multi-Family Retrofits (IHWAP+IEMS)</t>
  </si>
  <si>
    <t>Capital Streetlights</t>
  </si>
  <si>
    <t>Program Costs YTD</t>
  </si>
  <si>
    <t>Incentive Costs YTD</t>
  </si>
  <si>
    <t>2020 Original Plan 
Budget*</t>
  </si>
  <si>
    <t>2020
Approved Budget**</t>
  </si>
  <si>
    <t>Third Party Programs (Section 8-103B - Beginning in 2020)</t>
  </si>
  <si>
    <t>Third Party Programs (Section 8-103B - Beginning in 2020) Subtotal</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</si>
  <si>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</si>
  <si>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</si>
  <si>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</si>
  <si>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</si>
  <si>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Third Party Programs (Beginning in 2020)</t>
  </si>
  <si>
    <t>2020
Actual Costs YTD</t>
  </si>
  <si>
    <t>2020
Approved Budget</t>
  </si>
  <si>
    <r>
      <rPr>
        <b/>
        <sz val="10"/>
        <color rgb="FFFF0000"/>
        <rFont val="Century Gothic"/>
        <family val="2"/>
      </rPr>
      <t xml:space="preserve"> </t>
    </r>
    <r>
      <rPr>
        <b/>
        <sz val="10"/>
        <color theme="0"/>
        <rFont val="Century Gothic"/>
        <family val="2"/>
      </rPr>
      <t>2020
Actual Costs YTD</t>
    </r>
  </si>
  <si>
    <t>CY2019</t>
  </si>
  <si>
    <t>CY2020</t>
  </si>
  <si>
    <t>*****Direct Portfolio Jobs will be updated at least once per year.</t>
  </si>
  <si>
    <t>Non-Incentive Costs YTD*****</t>
  </si>
  <si>
    <t>2020 Original Plan 
Savings Goal
(MWh)****</t>
  </si>
  <si>
    <t>Approved Net Energy Savings Goal (MWh)***</t>
  </si>
  <si>
    <t>Implementation Plan Savings Goal
(MWh)</t>
  </si>
  <si>
    <t>*****Because actual incentive costs are not available until year-end, estimates are provided in the Incentive Costs YTD column for Q4. A blended rate of 60.4% is applied to all programs that typically have incentive costs; this excludes behavioral programs, voltage optimization, emerging technology, market transformation, outreach, general, and portfolio-level costs.</t>
  </si>
  <si>
    <t xml:space="preserve">Residential HVAC </t>
  </si>
  <si>
    <t>*Savings from Measures Installed post-2017 Expiring in Current Year per Navigant's 4/1 draft summary evaluation report. These are subject to change once evaluation is finalized.</t>
  </si>
  <si>
    <r>
      <rPr>
        <b/>
        <sz val="11"/>
        <color rgb="FFFF0000"/>
        <rFont val="Century Gothic"/>
        <family val="2"/>
      </rPr>
      <t>ComEd</t>
    </r>
    <r>
      <rPr>
        <b/>
        <sz val="11"/>
        <color theme="1"/>
        <rFont val="Century Gothic"/>
        <family val="2"/>
      </rPr>
      <t xml:space="preserve"> Section 8-103B/8-104 (EEPS) Costs </t>
    </r>
    <r>
      <rPr>
        <b/>
        <sz val="11"/>
        <color rgb="FFFF0000"/>
        <rFont val="Century Gothic"/>
        <family val="2"/>
      </rPr>
      <t>CY2020 Q2</t>
    </r>
  </si>
  <si>
    <r>
      <rPr>
        <b/>
        <sz val="11"/>
        <color rgb="FFFF0000"/>
        <rFont val="Century Gothic"/>
        <family val="2"/>
      </rPr>
      <t xml:space="preserve">ComEd </t>
    </r>
    <r>
      <rPr>
        <b/>
        <sz val="11"/>
        <color theme="1"/>
        <rFont val="Century Gothic"/>
        <family val="2"/>
      </rPr>
      <t>Ex Ante Results - Section 8-103B/8-104 (EEPS) Programs</t>
    </r>
    <r>
      <rPr>
        <b/>
        <sz val="11"/>
        <color rgb="FFFF0000"/>
        <rFont val="Century Gothic"/>
        <family val="2"/>
      </rPr>
      <t xml:space="preserve"> CY2020 Q2</t>
    </r>
  </si>
  <si>
    <r>
      <rPr>
        <b/>
        <sz val="11"/>
        <color rgb="FFFF0000"/>
        <rFont val="Century Gothic"/>
        <family val="2"/>
      </rPr>
      <t>ComEd</t>
    </r>
    <r>
      <rPr>
        <b/>
        <sz val="11"/>
        <color theme="1"/>
        <rFont val="Century Gothic"/>
        <family val="2"/>
      </rPr>
      <t xml:space="preserve"> Section 8-103B/8-104 (EEPS) Costs  </t>
    </r>
    <r>
      <rPr>
        <b/>
        <sz val="11"/>
        <color rgb="FFFF0000"/>
        <rFont val="Century Gothic"/>
        <family val="2"/>
      </rPr>
      <t>CY2020 Q2</t>
    </r>
  </si>
  <si>
    <r>
      <rPr>
        <b/>
        <sz val="11"/>
        <color rgb="FFFF0000"/>
        <rFont val="Century Gothic"/>
        <family val="2"/>
      </rPr>
      <t>ComEd</t>
    </r>
    <r>
      <rPr>
        <b/>
        <sz val="11"/>
        <rFont val="Century Gothic"/>
        <family val="2"/>
      </rPr>
      <t xml:space="preserve"> Section 8-103B/8-104 (EEPS) Energy Saved (MWh) as of </t>
    </r>
    <r>
      <rPr>
        <b/>
        <sz val="11"/>
        <color rgb="FFFF0000"/>
        <rFont val="Century Gothic"/>
        <family val="2"/>
      </rPr>
      <t>CY2020 Q2</t>
    </r>
  </si>
  <si>
    <r>
      <t>Environmental and Economic Impacts for the</t>
    </r>
    <r>
      <rPr>
        <b/>
        <sz val="11"/>
        <color rgb="FFFF0000"/>
        <rFont val="Century Gothic"/>
        <family val="2"/>
      </rPr>
      <t xml:space="preserve"> ComEd</t>
    </r>
    <r>
      <rPr>
        <b/>
        <sz val="11"/>
        <rFont val="Century Gothic"/>
        <family val="2"/>
      </rPr>
      <t xml:space="preserve"> Service Territory as of</t>
    </r>
    <r>
      <rPr>
        <b/>
        <sz val="11"/>
        <color rgb="FFFF0000"/>
        <rFont val="Century Gothic"/>
        <family val="2"/>
      </rPr>
      <t xml:space="preserve"> CY2020 Q2</t>
    </r>
  </si>
  <si>
    <r>
      <rPr>
        <b/>
        <sz val="11"/>
        <color rgb="FFFF0000"/>
        <rFont val="Century Gothic"/>
        <family val="2"/>
      </rPr>
      <t>ComEd</t>
    </r>
    <r>
      <rPr>
        <b/>
        <sz val="11"/>
        <rFont val="Century Gothic"/>
        <family val="2"/>
      </rPr>
      <t xml:space="preserve"> Service Territory Historical Energy Efficiency Costs as of</t>
    </r>
    <r>
      <rPr>
        <b/>
        <sz val="11"/>
        <color rgb="FFFF0000"/>
        <rFont val="Century Gothic"/>
        <family val="2"/>
      </rPr>
      <t xml:space="preserve"> Q2 2020</t>
    </r>
  </si>
  <si>
    <r>
      <rPr>
        <b/>
        <sz val="11"/>
        <color rgb="FFFF0000"/>
        <rFont val="Century Gothic"/>
        <family val="2"/>
      </rPr>
      <t>ComEd</t>
    </r>
    <r>
      <rPr>
        <b/>
        <sz val="11"/>
        <color theme="1"/>
        <rFont val="Century Gothic"/>
        <family val="2"/>
      </rPr>
      <t xml:space="preserve"> CPAS and AAIG Progress Ex Ante Results - Section 8-103B Portfolio</t>
    </r>
    <r>
      <rPr>
        <b/>
        <sz val="11"/>
        <color rgb="FFFF0000"/>
        <rFont val="Century Gothic"/>
        <family val="2"/>
      </rPr>
      <t xml:space="preserve"> CY2020 Q2</t>
    </r>
  </si>
  <si>
    <r>
      <t xml:space="preserve">Cumulative Persisting Annual Savings (CPAS) Goal Progress </t>
    </r>
    <r>
      <rPr>
        <b/>
        <sz val="11"/>
        <color rgb="FFFF0000"/>
        <rFont val="Century Gothic"/>
        <family val="2"/>
      </rPr>
      <t>CY2020 Q2</t>
    </r>
  </si>
  <si>
    <t>Final (updated 7-31-2020)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</si>
</sst>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 numFmtId="167" formatCode="#,##0.000_);\(#,##0.000\)"/>
  </numFmts>
  <fonts count="35" x14ac:knownFonts="1">
    <font>
      <sz val="11"/>
      <color theme="1"/>
      <name val="Calibri"/>
      <family val="2"/>
      <scheme val="minor"/>
    </font>
    <font>
      <sz val="10"/>
      <name val="Arial"/>
      <family val="2"/>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u/>
      <sz val="11"/>
      <color theme="10"/>
      <name val="Century Gothic"/>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i/>
      <sz val="11"/>
      <color theme="1"/>
      <name val="Century Gothic"/>
      <family val="2"/>
    </font>
    <font>
      <b/>
      <sz val="11"/>
      <color rgb="FFFF0000"/>
      <name val="Century Gothic"/>
      <family val="2"/>
    </font>
    <font>
      <i/>
      <sz val="11"/>
      <color theme="1"/>
      <name val="Century Gothic"/>
      <family val="2"/>
    </font>
    <font>
      <sz val="11"/>
      <name val="Calibri"/>
      <family val="2"/>
      <scheme val="minor"/>
    </font>
    <font>
      <b/>
      <vertAlign val="superscript"/>
      <sz val="10"/>
      <name val="Century Gothic"/>
      <family val="2"/>
    </font>
    <font>
      <b/>
      <sz val="11"/>
      <color theme="1"/>
      <name val="Calibri"/>
      <family val="2"/>
      <scheme val="minor"/>
    </font>
    <font>
      <b/>
      <i/>
      <sz val="10"/>
      <name val="Century Gothic"/>
      <family val="2"/>
    </font>
    <font>
      <sz val="11"/>
      <color rgb="FFFF0000"/>
      <name val="Calibri"/>
      <family val="2"/>
      <scheme val="minor"/>
    </font>
    <font>
      <sz val="11"/>
      <color theme="1"/>
      <name val="Calibri"/>
      <family val="2"/>
      <scheme val="minor"/>
    </font>
    <font>
      <sz val="8"/>
      <name val="Calibri"/>
      <family val="2"/>
      <scheme val="minor"/>
    </font>
  </fonts>
  <fills count="15">
    <fill>
      <patternFill patternType="none"/>
    </fill>
    <fill>
      <patternFill patternType="gray125"/>
    </fill>
    <fill>
      <patternFill patternType="solid">
        <fgColor rgb="FFCACACA"/>
        <bgColor indexed="64"/>
      </patternFill>
    </fill>
    <fill>
      <patternFill patternType="solid">
        <fgColor rgb="FF656565"/>
        <bgColor indexed="64"/>
      </patternFill>
    </fill>
    <fill>
      <patternFill patternType="solid">
        <fgColor theme="0" tint="-4.9958800012207406E-2"/>
        <bgColor indexed="64"/>
      </patternFill>
    </fill>
    <fill>
      <patternFill patternType="solid">
        <fgColor theme="0" tint="-0.14996795556505021"/>
        <bgColor indexed="64"/>
      </patternFill>
    </fill>
    <fill>
      <patternFill patternType="solid">
        <fgColor theme="0" tint="-0.34995574816125979"/>
        <bgColor indexed="64"/>
      </patternFill>
    </fill>
    <fill>
      <patternFill patternType="solid">
        <fgColor theme="0" tint="-0.49995422223578601"/>
        <bgColor indexed="64"/>
      </patternFill>
    </fill>
    <fill>
      <patternFill patternType="solid">
        <fgColor rgb="FFFFC000"/>
        <bgColor indexed="64"/>
      </patternFill>
    </fill>
    <fill>
      <patternFill patternType="solid">
        <fgColor theme="8" tint="0.59996337778862885"/>
        <bgColor indexed="64"/>
      </patternFill>
    </fill>
    <fill>
      <patternFill patternType="solid">
        <fgColor rgb="FFFFFF00"/>
        <bgColor indexed="64"/>
      </patternFill>
    </fill>
    <fill>
      <patternFill patternType="solid">
        <fgColor theme="0" tint="-0.24994659260841701"/>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CACACA"/>
      </left>
      <right style="thin">
        <color rgb="FFCACACA"/>
      </right>
      <top style="thin">
        <color rgb="FFCACACA"/>
      </top>
      <bottom style="thin">
        <color rgb="FFCACACA"/>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7">
    <xf numFmtId="0" fontId="0" fillId="0" borderId="0"/>
    <xf numFmtId="9" fontId="33" fillId="0" borderId="0" applyFont="0" applyFill="0" applyBorder="0" applyAlignment="0" applyProtection="0"/>
    <xf numFmtId="44" fontId="33" fillId="0" borderId="0" applyFont="0" applyFill="0" applyBorder="0" applyAlignment="0" applyProtection="0"/>
    <xf numFmtId="42" fontId="1" fillId="0" borderId="0" applyFont="0" applyFill="0" applyBorder="0" applyAlignment="0" applyProtection="0"/>
    <xf numFmtId="43" fontId="33" fillId="0" borderId="0" applyFont="0" applyFill="0" applyBorder="0" applyAlignment="0" applyProtection="0"/>
    <xf numFmtId="41" fontId="1" fillId="0" borderId="0" applyFont="0" applyFill="0" applyBorder="0" applyAlignment="0" applyProtection="0"/>
    <xf numFmtId="0" fontId="14" fillId="0" borderId="0" applyNumberFormat="0" applyFill="0" applyBorder="0">
      <protection locked="0"/>
    </xf>
  </cellStyleXfs>
  <cellXfs count="328">
    <xf numFmtId="0" fontId="0" fillId="0" borderId="0" xfId="0"/>
    <xf numFmtId="0" fontId="2" fillId="0" borderId="1" xfId="0" applyFont="1" applyBorder="1" applyAlignment="1">
      <alignment horizontal="left" wrapText="1"/>
    </xf>
    <xf numFmtId="0" fontId="3" fillId="2" borderId="1" xfId="0" applyFont="1" applyFill="1" applyBorder="1" applyAlignment="1">
      <alignment horizontal="left" wrapText="1"/>
    </xf>
    <xf numFmtId="0" fontId="0" fillId="0" borderId="0" xfId="0" applyAlignment="1">
      <alignment horizontal="center"/>
    </xf>
    <xf numFmtId="0" fontId="5" fillId="0" borderId="0" xfId="0" applyFont="1"/>
    <xf numFmtId="0" fontId="6" fillId="0" borderId="0" xfId="0" applyFont="1"/>
    <xf numFmtId="0" fontId="8" fillId="0" borderId="0" xfId="0" applyFont="1"/>
    <xf numFmtId="0" fontId="9" fillId="3" borderId="1" xfId="0" applyFont="1" applyFill="1" applyBorder="1" applyAlignment="1">
      <alignment horizontal="center" vertical="center" wrapText="1"/>
    </xf>
    <xf numFmtId="0" fontId="7" fillId="0" borderId="1" xfId="0" applyFont="1" applyBorder="1"/>
    <xf numFmtId="0" fontId="12" fillId="0" borderId="0" xfId="0" applyFont="1"/>
    <xf numFmtId="0" fontId="13" fillId="0" borderId="0" xfId="0" applyFont="1" applyFill="1" applyBorder="1" applyAlignment="1"/>
    <xf numFmtId="0" fontId="8" fillId="0" borderId="0" xfId="0" applyFont="1" applyAlignment="1">
      <alignment horizontal="justify" vertical="center"/>
    </xf>
    <xf numFmtId="0" fontId="11" fillId="0" borderId="1" xfId="0" applyFont="1" applyFill="1" applyBorder="1" applyAlignment="1">
      <alignment horizontal="center"/>
    </xf>
    <xf numFmtId="3" fontId="5" fillId="0" borderId="1" xfId="0" applyNumberFormat="1" applyFont="1" applyFill="1" applyBorder="1" applyAlignment="1">
      <alignment horizontal="center"/>
    </xf>
    <xf numFmtId="9" fontId="5" fillId="0" borderId="1" xfId="0" applyNumberFormat="1" applyFont="1" applyFill="1" applyBorder="1" applyAlignment="1">
      <alignment horizontal="center"/>
    </xf>
    <xf numFmtId="0" fontId="5" fillId="0" borderId="1" xfId="0" applyFont="1" applyFill="1" applyBorder="1" applyAlignment="1">
      <alignment horizontal="center"/>
    </xf>
    <xf numFmtId="0" fontId="11" fillId="0" borderId="0" xfId="0" applyFont="1" applyFill="1" applyBorder="1" applyAlignment="1">
      <alignment horizontal="center"/>
    </xf>
    <xf numFmtId="3" fontId="5" fillId="0" borderId="0" xfId="0" applyNumberFormat="1" applyFont="1" applyFill="1" applyBorder="1" applyAlignment="1">
      <alignment horizontal="center"/>
    </xf>
    <xf numFmtId="0" fontId="9" fillId="3" borderId="1" xfId="0" applyFont="1" applyFill="1" applyBorder="1" applyAlignment="1">
      <alignment horizontal="center" vertical="center"/>
    </xf>
    <xf numFmtId="165" fontId="5" fillId="0" borderId="1" xfId="4" applyNumberFormat="1" applyFont="1" applyBorder="1"/>
    <xf numFmtId="0" fontId="0" fillId="0" borderId="0" xfId="0" applyAlignment="1">
      <alignment vertical="center"/>
    </xf>
    <xf numFmtId="0" fontId="9" fillId="3" borderId="1" xfId="0" applyFont="1" applyFill="1" applyBorder="1" applyAlignment="1">
      <alignment vertical="center"/>
    </xf>
    <xf numFmtId="0" fontId="8" fillId="0" borderId="0" xfId="0" applyFont="1" applyFill="1" applyBorder="1" applyAlignment="1"/>
    <xf numFmtId="0" fontId="4" fillId="0" borderId="0" xfId="0" applyFont="1" applyFill="1" applyBorder="1" applyAlignment="1"/>
    <xf numFmtId="3" fontId="7" fillId="0" borderId="1" xfId="0" applyNumberFormat="1" applyFont="1" applyFill="1" applyBorder="1" applyAlignment="1">
      <alignment horizontal="center"/>
    </xf>
    <xf numFmtId="3" fontId="7" fillId="0" borderId="1" xfId="0" applyNumberFormat="1" applyFont="1" applyBorder="1" applyAlignment="1">
      <alignment horizontal="center"/>
    </xf>
    <xf numFmtId="1" fontId="7" fillId="0" borderId="1" xfId="0" applyNumberFormat="1" applyFont="1" applyBorder="1" applyAlignment="1">
      <alignment horizontal="center"/>
    </xf>
    <xf numFmtId="0" fontId="7" fillId="0" borderId="0" xfId="0" applyFont="1" applyBorder="1"/>
    <xf numFmtId="0" fontId="10" fillId="0" borderId="0" xfId="0" applyFont="1" applyBorder="1"/>
    <xf numFmtId="3" fontId="10" fillId="0" borderId="0" xfId="0" applyNumberFormat="1" applyFont="1" applyBorder="1" applyAlignment="1">
      <alignment horizontal="center"/>
    </xf>
    <xf numFmtId="1" fontId="10" fillId="0" borderId="0" xfId="0" applyNumberFormat="1" applyFont="1" applyBorder="1" applyAlignment="1">
      <alignment horizontal="center"/>
    </xf>
    <xf numFmtId="0" fontId="10" fillId="0" borderId="0" xfId="0" applyFont="1" applyBorder="1" applyAlignment="1">
      <alignment horizontal="center"/>
    </xf>
    <xf numFmtId="0" fontId="12" fillId="0" borderId="0" xfId="0" applyFont="1" applyFill="1" applyBorder="1" applyAlignment="1"/>
    <xf numFmtId="0" fontId="9" fillId="3" borderId="1"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4" fillId="0" borderId="0" xfId="0" applyFont="1" applyFill="1" applyBorder="1" applyAlignment="1">
      <alignment horizontal="left" wrapText="1"/>
    </xf>
    <xf numFmtId="0" fontId="3" fillId="0" borderId="0" xfId="0" applyFont="1" applyFill="1" applyBorder="1" applyAlignment="1">
      <alignment horizontal="left" wrapText="1"/>
    </xf>
    <xf numFmtId="37" fontId="4" fillId="0" borderId="0" xfId="4" applyNumberFormat="1" applyFont="1" applyFill="1" applyBorder="1" applyAlignment="1">
      <alignment horizontal="center"/>
    </xf>
    <xf numFmtId="9" fontId="4" fillId="0" borderId="0" xfId="0" applyNumberFormat="1" applyFont="1" applyFill="1" applyBorder="1" applyAlignment="1">
      <alignment horizontal="center"/>
    </xf>
    <xf numFmtId="164" fontId="4" fillId="0" borderId="0" xfId="0" applyNumberFormat="1" applyFont="1" applyFill="1" applyBorder="1" applyAlignment="1"/>
    <xf numFmtId="0" fontId="0" fillId="0" borderId="0" xfId="0" applyFill="1" applyBorder="1"/>
    <xf numFmtId="0" fontId="7" fillId="0" borderId="0" xfId="0" applyFont="1" applyBorder="1" applyAlignment="1">
      <alignment horizontal="left" vertical="center" wrapText="1"/>
    </xf>
    <xf numFmtId="0" fontId="12" fillId="0" borderId="0" xfId="0" applyFont="1" applyAlignment="1">
      <alignment vertical="center"/>
    </xf>
    <xf numFmtId="0" fontId="16" fillId="3" borderId="1" xfId="0" applyFont="1" applyFill="1" applyBorder="1" applyAlignment="1">
      <alignment horizontal="center" vertical="center" wrapText="1"/>
    </xf>
    <xf numFmtId="0" fontId="17" fillId="0" borderId="0" xfId="0" applyFont="1"/>
    <xf numFmtId="0" fontId="11" fillId="4" borderId="1" xfId="0" applyFont="1" applyFill="1" applyBorder="1" applyAlignment="1">
      <alignment horizontal="center"/>
    </xf>
    <xf numFmtId="3" fontId="5" fillId="4" borderId="1" xfId="0" applyNumberFormat="1" applyFont="1" applyFill="1" applyBorder="1" applyAlignment="1">
      <alignment horizontal="center"/>
    </xf>
    <xf numFmtId="9" fontId="5" fillId="4" borderId="1" xfId="0" applyNumberFormat="1" applyFont="1" applyFill="1" applyBorder="1" applyAlignment="1">
      <alignment horizontal="center"/>
    </xf>
    <xf numFmtId="3" fontId="7" fillId="0" borderId="0" xfId="0" applyNumberFormat="1" applyFont="1" applyFill="1" applyBorder="1" applyAlignment="1">
      <alignment horizontal="center"/>
    </xf>
    <xf numFmtId="1" fontId="7" fillId="0" borderId="0" xfId="0" applyNumberFormat="1" applyFont="1" applyBorder="1" applyAlignment="1">
      <alignment horizontal="center"/>
    </xf>
    <xf numFmtId="3" fontId="7" fillId="0" borderId="0" xfId="0" applyNumberFormat="1" applyFont="1" applyBorder="1" applyAlignment="1">
      <alignment horizontal="center"/>
    </xf>
    <xf numFmtId="0" fontId="7" fillId="0" borderId="0" xfId="0" applyFont="1" applyBorder="1" applyAlignment="1">
      <alignment horizontal="center"/>
    </xf>
    <xf numFmtId="0" fontId="0" fillId="0" borderId="0" xfId="0"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164" fontId="7" fillId="0" borderId="1" xfId="2" applyNumberFormat="1" applyFont="1" applyBorder="1"/>
    <xf numFmtId="0" fontId="7" fillId="0" borderId="1" xfId="0" applyFont="1" applyFill="1" applyBorder="1" applyAlignment="1">
      <alignment horizontal="left" vertical="center" wrapText="1"/>
    </xf>
    <xf numFmtId="0" fontId="7" fillId="0" borderId="1" xfId="0" applyFont="1" applyFill="1" applyBorder="1"/>
    <xf numFmtId="164" fontId="7" fillId="0" borderId="1" xfId="2" applyNumberFormat="1" applyFont="1" applyFill="1" applyBorder="1"/>
    <xf numFmtId="0" fontId="7" fillId="0" borderId="0" xfId="0" applyFont="1" applyBorder="1" applyAlignment="1">
      <alignment horizontal="left" vertical="center" wrapText="1"/>
    </xf>
    <xf numFmtId="0" fontId="0" fillId="0" borderId="0" xfId="0" applyFill="1"/>
    <xf numFmtId="0" fontId="10" fillId="0" borderId="0" xfId="0" applyFont="1" applyFill="1" applyBorder="1" applyAlignment="1"/>
    <xf numFmtId="0" fontId="7" fillId="0" borderId="1" xfId="0" applyFont="1" applyBorder="1" applyAlignment="1">
      <alignment wrapText="1"/>
    </xf>
    <xf numFmtId="0" fontId="7" fillId="0" borderId="1" xfId="0" applyFont="1" applyBorder="1" applyAlignment="1">
      <alignment vertical="center"/>
    </xf>
    <xf numFmtId="9" fontId="5" fillId="0" borderId="0" xfId="0" applyNumberFormat="1" applyFont="1" applyFill="1" applyBorder="1" applyAlignment="1">
      <alignment horizontal="center"/>
    </xf>
    <xf numFmtId="0" fontId="5" fillId="0" borderId="1" xfId="0" applyFont="1" applyBorder="1" applyAlignment="1">
      <alignment wrapText="1"/>
    </xf>
    <xf numFmtId="0" fontId="11" fillId="0" borderId="1" xfId="0" applyFont="1" applyFill="1" applyBorder="1" applyAlignment="1">
      <alignment horizontal="center" vertical="center"/>
    </xf>
    <xf numFmtId="3"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xf>
    <xf numFmtId="0" fontId="5" fillId="0" borderId="1" xfId="0" applyFont="1" applyBorder="1" applyAlignment="1">
      <alignment vertical="center" wrapText="1"/>
    </xf>
    <xf numFmtId="165" fontId="5" fillId="0" borderId="1" xfId="4" applyNumberFormat="1" applyFont="1" applyBorder="1" applyAlignment="1">
      <alignment vertical="center"/>
    </xf>
    <xf numFmtId="165" fontId="5" fillId="0" borderId="1" xfId="4" applyNumberFormat="1" applyFont="1" applyBorder="1" applyAlignment="1">
      <alignment horizontal="right" vertical="center"/>
    </xf>
    <xf numFmtId="0" fontId="4" fillId="0" borderId="0" xfId="0" applyFont="1" applyFill="1" applyBorder="1" applyAlignment="1">
      <alignment vertical="center" wrapText="1"/>
    </xf>
    <xf numFmtId="0" fontId="6" fillId="0" borderId="0" xfId="0" applyFont="1" applyAlignment="1">
      <alignment vertical="center"/>
    </xf>
    <xf numFmtId="0" fontId="3" fillId="2" borderId="1" xfId="0" applyFont="1" applyFill="1" applyBorder="1" applyAlignment="1">
      <alignment horizontal="left" vertical="center" wrapText="1"/>
    </xf>
    <xf numFmtId="0" fontId="6" fillId="0" borderId="0" xfId="0" applyFont="1" applyAlignment="1">
      <alignment wrapText="1"/>
    </xf>
    <xf numFmtId="0" fontId="4" fillId="0" borderId="0" xfId="0" applyFont="1" applyFill="1" applyBorder="1" applyAlignment="1">
      <alignment horizontal="left" vertical="center" wrapText="1"/>
    </xf>
    <xf numFmtId="3" fontId="4" fillId="0" borderId="0" xfId="4" applyNumberFormat="1" applyFont="1" applyFill="1" applyBorder="1" applyAlignment="1">
      <alignment horizontal="center"/>
    </xf>
    <xf numFmtId="0" fontId="12" fillId="4" borderId="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10" fillId="5" borderId="1" xfId="0" applyFont="1" applyFill="1" applyBorder="1" applyAlignment="1">
      <alignment vertical="center"/>
    </xf>
    <xf numFmtId="164" fontId="10" fillId="5" borderId="1" xfId="2" applyNumberFormat="1" applyFont="1" applyFill="1" applyBorder="1" applyAlignment="1">
      <alignment vertical="center"/>
    </xf>
    <xf numFmtId="0" fontId="3" fillId="0" borderId="1" xfId="0" applyFont="1" applyFill="1" applyBorder="1" applyAlignment="1">
      <alignment vertical="center" wrapText="1"/>
    </xf>
    <xf numFmtId="0" fontId="3" fillId="6" borderId="1" xfId="0" applyFont="1" applyFill="1" applyBorder="1" applyAlignment="1">
      <alignment vertical="center" wrapText="1"/>
    </xf>
    <xf numFmtId="0" fontId="3" fillId="7" borderId="1" xfId="0" applyFont="1" applyFill="1" applyBorder="1" applyAlignment="1">
      <alignment horizontal="left" vertical="center" wrapText="1"/>
    </xf>
    <xf numFmtId="0" fontId="20" fillId="5" borderId="1" xfId="0" applyFont="1" applyFill="1" applyBorder="1" applyAlignment="1">
      <alignment horizontal="right" wrapText="1"/>
    </xf>
    <xf numFmtId="0" fontId="0" fillId="0" borderId="0" xfId="0" applyBorder="1"/>
    <xf numFmtId="0" fontId="21" fillId="0" borderId="0" xfId="0" applyFont="1"/>
    <xf numFmtId="0" fontId="23" fillId="0" borderId="0" xfId="0" applyFont="1"/>
    <xf numFmtId="0" fontId="7" fillId="0" borderId="0" xfId="0" applyFont="1" applyBorder="1" applyAlignment="1">
      <alignment vertical="center"/>
    </xf>
    <xf numFmtId="0" fontId="5" fillId="0" borderId="1" xfId="0" applyFont="1" applyBorder="1"/>
    <xf numFmtId="0" fontId="5" fillId="8" borderId="1" xfId="0" applyFont="1" applyFill="1" applyBorder="1"/>
    <xf numFmtId="0" fontId="5" fillId="0" borderId="0" xfId="0" applyFont="1" applyAlignment="1">
      <alignment horizontal="center"/>
    </xf>
    <xf numFmtId="9" fontId="5" fillId="0" borderId="0" xfId="1" applyFont="1"/>
    <xf numFmtId="0" fontId="5" fillId="0" borderId="0" xfId="0" quotePrefix="1" applyFont="1"/>
    <xf numFmtId="0" fontId="24" fillId="0" borderId="0" xfId="0" applyFont="1" applyFill="1" applyBorder="1" applyAlignment="1"/>
    <xf numFmtId="0" fontId="24" fillId="0" borderId="0" xfId="0" applyFont="1" applyFill="1" applyBorder="1" applyAlignment="1">
      <alignment horizontal="center"/>
    </xf>
    <xf numFmtId="0" fontId="22" fillId="0" borderId="0" xfId="0" applyFont="1" applyFill="1" applyBorder="1" applyAlignment="1"/>
    <xf numFmtId="0" fontId="5" fillId="9" borderId="1" xfId="0" quotePrefix="1" applyFont="1" applyFill="1" applyBorder="1" applyAlignment="1">
      <alignment vertical="center"/>
    </xf>
    <xf numFmtId="0" fontId="5" fillId="8" borderId="1" xfId="0" applyFont="1" applyFill="1" applyBorder="1" applyAlignment="1">
      <alignment vertical="center"/>
    </xf>
    <xf numFmtId="0" fontId="5" fillId="10" borderId="1" xfId="0" applyFont="1" applyFill="1" applyBorder="1" applyAlignment="1">
      <alignment vertical="center"/>
    </xf>
    <xf numFmtId="0" fontId="5" fillId="0" borderId="1" xfId="0" applyFont="1" applyBorder="1" applyAlignment="1">
      <alignment horizontal="center" vertical="center"/>
    </xf>
    <xf numFmtId="10" fontId="5" fillId="8" borderId="1" xfId="0" applyNumberFormat="1" applyFont="1" applyFill="1" applyBorder="1" applyAlignment="1">
      <alignment horizontal="center" vertical="center"/>
    </xf>
    <xf numFmtId="165" fontId="5" fillId="9" borderId="1" xfId="0" applyNumberFormat="1" applyFont="1" applyFill="1" applyBorder="1" applyAlignment="1">
      <alignment horizontal="center" vertical="center"/>
    </xf>
    <xf numFmtId="165" fontId="5" fillId="10" borderId="1" xfId="0" applyNumberFormat="1" applyFont="1" applyFill="1" applyBorder="1" applyAlignment="1">
      <alignment horizontal="center" vertical="center"/>
    </xf>
    <xf numFmtId="166" fontId="5" fillId="9" borderId="1" xfId="1" applyNumberFormat="1" applyFont="1" applyFill="1" applyBorder="1" applyAlignment="1">
      <alignment horizontal="center" vertical="center"/>
    </xf>
    <xf numFmtId="10" fontId="5" fillId="9" borderId="1" xfId="0" applyNumberFormat="1" applyFont="1" applyFill="1" applyBorder="1" applyAlignment="1">
      <alignment horizontal="center" vertical="center"/>
    </xf>
    <xf numFmtId="166" fontId="5" fillId="9" borderId="1" xfId="0" applyNumberFormat="1" applyFont="1" applyFill="1" applyBorder="1" applyAlignment="1">
      <alignment horizontal="center" vertical="center"/>
    </xf>
    <xf numFmtId="165" fontId="5" fillId="8" borderId="1" xfId="4" applyNumberFormat="1" applyFont="1" applyFill="1" applyBorder="1" applyAlignment="1">
      <alignment horizontal="center" vertical="center"/>
    </xf>
    <xf numFmtId="0" fontId="11" fillId="0" borderId="1" xfId="0" applyFont="1" applyFill="1" applyBorder="1" applyAlignment="1">
      <alignment horizontal="center" vertical="center" wrapText="1"/>
    </xf>
    <xf numFmtId="9" fontId="6" fillId="9" borderId="1" xfId="1"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Border="1" applyAlignment="1">
      <alignment horizontal="left" vertical="center"/>
    </xf>
    <xf numFmtId="3" fontId="3" fillId="2" borderId="1" xfId="0" applyNumberFormat="1" applyFont="1" applyFill="1" applyBorder="1" applyAlignment="1">
      <alignment horizontal="right"/>
    </xf>
    <xf numFmtId="165" fontId="15" fillId="0" borderId="1" xfId="6" applyNumberFormat="1" applyFont="1" applyBorder="1" applyAlignment="1" applyProtection="1">
      <alignment horizontal="left" vertical="center"/>
    </xf>
    <xf numFmtId="165" fontId="5" fillId="0" borderId="1" xfId="4" applyNumberFormat="1" applyFont="1" applyBorder="1" applyAlignment="1">
      <alignment horizontal="left" vertical="center"/>
    </xf>
    <xf numFmtId="3" fontId="3" fillId="7" borderId="1" xfId="0" applyNumberFormat="1" applyFont="1" applyFill="1" applyBorder="1" applyAlignment="1">
      <alignment horizontal="right" wrapText="1"/>
    </xf>
    <xf numFmtId="164" fontId="3" fillId="7" borderId="1" xfId="2" applyNumberFormat="1" applyFont="1" applyFill="1" applyBorder="1" applyAlignment="1">
      <alignment horizontal="right" wrapText="1"/>
    </xf>
    <xf numFmtId="3" fontId="2" fillId="0" borderId="1" xfId="0" applyNumberFormat="1" applyFont="1" applyFill="1" applyBorder="1" applyAlignment="1">
      <alignment horizontal="right"/>
    </xf>
    <xf numFmtId="3" fontId="2" fillId="0" borderId="1" xfId="4" applyNumberFormat="1" applyFont="1" applyFill="1" applyBorder="1" applyAlignment="1">
      <alignment horizontal="right"/>
    </xf>
    <xf numFmtId="0" fontId="2" fillId="0" borderId="1" xfId="0" applyFont="1" applyBorder="1" applyAlignment="1">
      <alignment horizontal="right" wrapText="1"/>
    </xf>
    <xf numFmtId="164" fontId="3" fillId="2" borderId="1" xfId="2" applyNumberFormat="1" applyFont="1" applyFill="1" applyBorder="1" applyAlignment="1">
      <alignment horizontal="right"/>
    </xf>
    <xf numFmtId="3" fontId="2" fillId="0" borderId="1" xfId="0" applyNumberFormat="1" applyFont="1" applyFill="1" applyBorder="1" applyAlignment="1">
      <alignment horizontal="center"/>
    </xf>
    <xf numFmtId="164" fontId="2" fillId="0" borderId="1" xfId="2" applyNumberFormat="1" applyFont="1" applyBorder="1" applyAlignment="1">
      <alignment horizontal="right"/>
    </xf>
    <xf numFmtId="37" fontId="19" fillId="0" borderId="0" xfId="4" applyNumberFormat="1" applyFont="1" applyFill="1" applyBorder="1" applyAlignment="1">
      <alignment horizontal="center"/>
    </xf>
    <xf numFmtId="37" fontId="0" fillId="0" borderId="0" xfId="0" applyNumberFormat="1"/>
    <xf numFmtId="164" fontId="7" fillId="0" borderId="1" xfId="2" applyNumberFormat="1" applyFont="1" applyFill="1" applyBorder="1" applyAlignment="1">
      <alignment horizontal="left"/>
    </xf>
    <xf numFmtId="164" fontId="10" fillId="5" borderId="1" xfId="0" applyNumberFormat="1" applyFont="1" applyFill="1" applyBorder="1" applyAlignment="1">
      <alignment vertical="center"/>
    </xf>
    <xf numFmtId="164" fontId="4" fillId="6" borderId="1" xfId="0" applyNumberFormat="1" applyFont="1" applyFill="1" applyBorder="1" applyAlignment="1">
      <alignment vertical="center"/>
    </xf>
    <xf numFmtId="164" fontId="3" fillId="0" borderId="1" xfId="0" applyNumberFormat="1" applyFont="1" applyFill="1" applyBorder="1" applyAlignment="1">
      <alignment vertical="center"/>
    </xf>
    <xf numFmtId="3" fontId="18" fillId="5" borderId="1" xfId="0" applyNumberFormat="1" applyFont="1" applyFill="1" applyBorder="1" applyAlignment="1">
      <alignment vertical="center" wrapText="1"/>
    </xf>
    <xf numFmtId="0" fontId="2" fillId="0" borderId="1" xfId="0" applyFont="1" applyFill="1" applyBorder="1" applyAlignment="1">
      <alignment horizontal="left" wrapText="1" indent="1"/>
    </xf>
    <xf numFmtId="0" fontId="20" fillId="0" borderId="1" xfId="0" applyFont="1" applyBorder="1" applyAlignment="1">
      <alignment horizontal="left" wrapText="1" indent="1"/>
    </xf>
    <xf numFmtId="164" fontId="0" fillId="0" borderId="0" xfId="0" applyNumberFormat="1"/>
    <xf numFmtId="0" fontId="3" fillId="0" borderId="0" xfId="0" applyFont="1" applyFill="1" applyBorder="1" applyAlignment="1"/>
    <xf numFmtId="0" fontId="2" fillId="0" borderId="1" xfId="0" applyFont="1" applyFill="1" applyBorder="1" applyAlignment="1">
      <alignment horizontal="left" wrapText="1"/>
    </xf>
    <xf numFmtId="3" fontId="19" fillId="0" borderId="0" xfId="0" applyNumberFormat="1" applyFont="1" applyFill="1" applyBorder="1" applyAlignment="1"/>
    <xf numFmtId="9" fontId="3" fillId="0" borderId="0" xfId="1" applyFont="1" applyFill="1" applyBorder="1" applyAlignment="1">
      <alignment horizontal="center"/>
    </xf>
    <xf numFmtId="167" fontId="3" fillId="0" borderId="0" xfId="4" applyNumberFormat="1" applyFont="1" applyFill="1" applyBorder="1" applyAlignment="1">
      <alignment horizontal="center"/>
    </xf>
    <xf numFmtId="165" fontId="0" fillId="0" borderId="0" xfId="0" applyNumberFormat="1"/>
    <xf numFmtId="0" fontId="20" fillId="0" borderId="1" xfId="0" applyFont="1" applyFill="1" applyBorder="1" applyAlignment="1">
      <alignment horizontal="left" wrapText="1" indent="2"/>
    </xf>
    <xf numFmtId="164" fontId="0" fillId="0" borderId="5" xfId="2" applyNumberFormat="1" applyFont="1" applyBorder="1"/>
    <xf numFmtId="164" fontId="0" fillId="0" borderId="0" xfId="0" applyNumberFormat="1" applyAlignment="1">
      <alignment vertical="center"/>
    </xf>
    <xf numFmtId="1" fontId="7" fillId="0" borderId="1" xfId="0" applyNumberFormat="1" applyFont="1" applyFill="1" applyBorder="1" applyAlignment="1">
      <alignment horizontal="center"/>
    </xf>
    <xf numFmtId="0" fontId="9" fillId="0" borderId="6" xfId="0" applyFont="1" applyFill="1" applyBorder="1" applyAlignment="1">
      <alignment horizontal="center" vertical="center" wrapText="1"/>
    </xf>
    <xf numFmtId="3" fontId="5" fillId="0" borderId="7" xfId="0" applyNumberFormat="1" applyFont="1" applyFill="1" applyBorder="1" applyAlignment="1">
      <alignment horizontal="center"/>
    </xf>
    <xf numFmtId="6" fontId="3" fillId="0" borderId="1" xfId="0" applyNumberFormat="1" applyFont="1" applyFill="1" applyBorder="1" applyAlignment="1">
      <alignment vertical="center"/>
    </xf>
    <xf numFmtId="9" fontId="3" fillId="0" borderId="1" xfId="1" applyFont="1" applyFill="1" applyBorder="1" applyAlignment="1">
      <alignment vertical="center"/>
    </xf>
    <xf numFmtId="44" fontId="5" fillId="0" borderId="1" xfId="2" applyFont="1" applyFill="1" applyBorder="1" applyAlignment="1">
      <alignment horizontal="center"/>
    </xf>
    <xf numFmtId="164" fontId="11" fillId="0" borderId="1" xfId="2" applyNumberFormat="1" applyFont="1" applyFill="1" applyBorder="1" applyAlignment="1">
      <alignment horizontal="center"/>
    </xf>
    <xf numFmtId="164" fontId="5" fillId="0" borderId="1" xfId="2" applyNumberFormat="1" applyFont="1" applyFill="1" applyBorder="1" applyAlignment="1">
      <alignment horizontal="center"/>
    </xf>
    <xf numFmtId="164" fontId="11" fillId="0" borderId="1" xfId="2" applyNumberFormat="1" applyFont="1" applyFill="1" applyBorder="1" applyAlignment="1">
      <alignment horizontal="center" vertical="center"/>
    </xf>
    <xf numFmtId="164" fontId="5" fillId="0" borderId="1" xfId="2" applyNumberFormat="1" applyFont="1" applyFill="1" applyBorder="1" applyAlignment="1">
      <alignment horizontal="center" vertical="center"/>
    </xf>
    <xf numFmtId="164" fontId="11" fillId="4" borderId="1" xfId="2" applyNumberFormat="1" applyFont="1" applyFill="1" applyBorder="1" applyAlignment="1">
      <alignment horizontal="center"/>
    </xf>
    <xf numFmtId="9" fontId="5" fillId="0" borderId="1" xfId="1" applyFont="1" applyFill="1" applyBorder="1" applyAlignment="1">
      <alignment horizontal="center"/>
    </xf>
    <xf numFmtId="44" fontId="5" fillId="0" borderId="1" xfId="1" applyNumberFormat="1" applyFont="1" applyFill="1" applyBorder="1" applyAlignment="1">
      <alignment horizontal="center"/>
    </xf>
    <xf numFmtId="44" fontId="5" fillId="4" borderId="1" xfId="1" applyNumberFormat="1" applyFont="1" applyFill="1" applyBorder="1" applyAlignment="1">
      <alignment horizontal="center"/>
    </xf>
    <xf numFmtId="164" fontId="0" fillId="0" borderId="0" xfId="0" applyNumberFormat="1" applyFill="1"/>
    <xf numFmtId="164" fontId="2" fillId="0" borderId="1" xfId="2" applyNumberFormat="1" applyFont="1" applyFill="1" applyBorder="1" applyAlignment="1">
      <alignment horizontal="right" vertical="center"/>
    </xf>
    <xf numFmtId="164" fontId="20" fillId="0" borderId="1" xfId="2" applyNumberFormat="1" applyFont="1" applyFill="1" applyBorder="1" applyAlignment="1">
      <alignment horizontal="right" vertical="center"/>
    </xf>
    <xf numFmtId="3" fontId="20" fillId="0" borderId="1" xfId="0" applyNumberFormat="1" applyFont="1" applyFill="1" applyBorder="1" applyAlignment="1">
      <alignment horizontal="right" vertical="center" wrapText="1"/>
    </xf>
    <xf numFmtId="3" fontId="2" fillId="0" borderId="1" xfId="0" applyNumberFormat="1" applyFont="1" applyFill="1" applyBorder="1" applyAlignment="1">
      <alignment horizontal="right" vertical="center" wrapText="1"/>
    </xf>
    <xf numFmtId="3" fontId="2" fillId="0" borderId="1" xfId="0" applyNumberFormat="1" applyFont="1" applyFill="1" applyBorder="1" applyAlignment="1">
      <alignment horizontal="right" vertical="center"/>
    </xf>
    <xf numFmtId="164" fontId="2" fillId="0" borderId="1" xfId="2" applyNumberFormat="1" applyFont="1" applyBorder="1" applyAlignment="1">
      <alignment horizontal="right" vertical="center"/>
    </xf>
    <xf numFmtId="3" fontId="3" fillId="2" borderId="1" xfId="0" applyNumberFormat="1" applyFont="1" applyFill="1" applyBorder="1" applyAlignment="1">
      <alignment horizontal="right" vertical="center"/>
    </xf>
    <xf numFmtId="9" fontId="3" fillId="2" borderId="1" xfId="1" applyFont="1" applyFill="1" applyBorder="1" applyAlignment="1">
      <alignment horizontal="right" vertical="center"/>
    </xf>
    <xf numFmtId="164" fontId="3" fillId="2" borderId="1" xfId="2" applyNumberFormat="1" applyFont="1" applyFill="1" applyBorder="1" applyAlignment="1">
      <alignment horizontal="right" vertical="center"/>
    </xf>
    <xf numFmtId="3" fontId="2" fillId="0" borderId="1" xfId="4" applyNumberFormat="1" applyFont="1" applyFill="1" applyBorder="1" applyAlignment="1">
      <alignment horizontal="right" vertical="center"/>
    </xf>
    <xf numFmtId="3" fontId="20" fillId="0" borderId="1" xfId="4" applyNumberFormat="1" applyFont="1" applyFill="1" applyBorder="1" applyAlignment="1">
      <alignment horizontal="right" vertical="center"/>
    </xf>
    <xf numFmtId="0" fontId="3" fillId="4" borderId="3" xfId="0" applyFont="1" applyFill="1" applyBorder="1" applyAlignment="1">
      <alignment horizontal="right" vertical="center" wrapText="1"/>
    </xf>
    <xf numFmtId="0" fontId="3" fillId="4" borderId="4" xfId="0" applyFont="1" applyFill="1" applyBorder="1" applyAlignment="1">
      <alignment horizontal="right" vertical="center" wrapText="1"/>
    </xf>
    <xf numFmtId="9" fontId="2" fillId="0" borderId="1" xfId="1" applyFont="1" applyBorder="1" applyAlignment="1">
      <alignment horizontal="right"/>
    </xf>
    <xf numFmtId="164" fontId="2" fillId="0" borderId="1" xfId="2" applyNumberFormat="1" applyFont="1" applyFill="1" applyBorder="1" applyAlignment="1">
      <alignment horizontal="right"/>
    </xf>
    <xf numFmtId="9" fontId="3" fillId="2" borderId="1" xfId="1" applyFont="1" applyFill="1" applyBorder="1" applyAlignment="1">
      <alignment horizontal="right"/>
    </xf>
    <xf numFmtId="9" fontId="3" fillId="7" borderId="1" xfId="1" applyFont="1" applyFill="1" applyBorder="1" applyAlignment="1">
      <alignment horizontal="right"/>
    </xf>
    <xf numFmtId="164" fontId="5" fillId="0" borderId="1" xfId="2" applyNumberFormat="1" applyFont="1" applyFill="1" applyBorder="1" applyAlignment="1">
      <alignment horizontal="left"/>
    </xf>
    <xf numFmtId="164" fontId="11" fillId="4" borderId="1" xfId="0" applyNumberFormat="1" applyFont="1" applyFill="1" applyBorder="1" applyAlignment="1">
      <alignment horizontal="center"/>
    </xf>
    <xf numFmtId="164" fontId="5" fillId="0" borderId="1" xfId="2" applyNumberFormat="1" applyFont="1" applyFill="1" applyBorder="1" applyAlignment="1">
      <alignment horizontal="right"/>
    </xf>
    <xf numFmtId="0" fontId="7" fillId="0" borderId="0" xfId="0" applyFont="1" applyBorder="1" applyAlignment="1">
      <alignment vertical="center" wrapText="1"/>
    </xf>
    <xf numFmtId="166" fontId="0" fillId="0" borderId="0" xfId="0" applyNumberFormat="1"/>
    <xf numFmtId="164" fontId="2" fillId="0" borderId="1" xfId="0" applyNumberFormat="1" applyFont="1" applyBorder="1" applyAlignment="1">
      <alignment horizontal="right" wrapText="1"/>
    </xf>
    <xf numFmtId="9" fontId="31" fillId="5" borderId="1" xfId="1" applyFont="1" applyFill="1" applyBorder="1" applyAlignment="1">
      <alignment horizontal="right" vertical="center"/>
    </xf>
    <xf numFmtId="165" fontId="5" fillId="0" borderId="1" xfId="4" applyNumberFormat="1" applyFont="1" applyBorder="1" applyAlignment="1">
      <alignment horizontal="left" vertical="center" wrapText="1"/>
    </xf>
    <xf numFmtId="0" fontId="17" fillId="0" borderId="0" xfId="0" applyFont="1" applyBorder="1"/>
    <xf numFmtId="165" fontId="0" fillId="0" borderId="0" xfId="0" applyNumberFormat="1" applyBorder="1"/>
    <xf numFmtId="164" fontId="0" fillId="0" borderId="0" xfId="0" applyNumberFormat="1" applyBorder="1"/>
    <xf numFmtId="0" fontId="7" fillId="0" borderId="0" xfId="0" applyFont="1" applyFill="1" applyBorder="1" applyAlignment="1">
      <alignment horizontal="left" vertical="center" wrapText="1"/>
    </xf>
    <xf numFmtId="0" fontId="32" fillId="0" borderId="0" xfId="0" applyFont="1"/>
    <xf numFmtId="0" fontId="32" fillId="0" borderId="0" xfId="0" applyFont="1" applyAlignment="1">
      <alignment vertical="center"/>
    </xf>
    <xf numFmtId="0" fontId="6" fillId="0" borderId="0" xfId="0" applyFont="1" applyFill="1"/>
    <xf numFmtId="0" fontId="3" fillId="0" borderId="3" xfId="0" applyFont="1" applyFill="1" applyBorder="1" applyAlignment="1">
      <alignment vertical="center" wrapText="1"/>
    </xf>
    <xf numFmtId="0" fontId="28" fillId="0" borderId="0" xfId="0" applyFont="1" applyFill="1"/>
    <xf numFmtId="9" fontId="3" fillId="11" borderId="1" xfId="1" applyFont="1" applyFill="1" applyBorder="1" applyAlignment="1">
      <alignment horizontal="right" vertical="center"/>
    </xf>
    <xf numFmtId="3" fontId="3" fillId="11" borderId="1" xfId="0" applyNumberFormat="1" applyFont="1" applyFill="1" applyBorder="1" applyAlignment="1">
      <alignment horizontal="right" vertical="center"/>
    </xf>
    <xf numFmtId="3" fontId="3" fillId="11" borderId="1" xfId="0" applyNumberFormat="1" applyFont="1" applyFill="1" applyBorder="1" applyAlignment="1">
      <alignment horizontal="right"/>
    </xf>
    <xf numFmtId="9" fontId="3" fillId="11" borderId="1" xfId="1" applyFont="1" applyFill="1" applyBorder="1" applyAlignment="1">
      <alignment horizontal="right"/>
    </xf>
    <xf numFmtId="3" fontId="0" fillId="0" borderId="0" xfId="0" applyNumberFormat="1"/>
    <xf numFmtId="9" fontId="0" fillId="0" borderId="0" xfId="0" applyNumberFormat="1" applyFill="1"/>
    <xf numFmtId="3" fontId="0" fillId="0" borderId="0" xfId="0" applyNumberFormat="1" applyBorder="1"/>
    <xf numFmtId="0" fontId="28" fillId="0" borderId="0" xfId="0" applyFont="1"/>
    <xf numFmtId="0" fontId="2" fillId="0" borderId="1" xfId="0" applyFont="1" applyFill="1" applyBorder="1" applyAlignment="1">
      <alignment horizontal="left" vertical="center" wrapText="1"/>
    </xf>
    <xf numFmtId="44" fontId="0" fillId="0" borderId="0" xfId="0" applyNumberFormat="1"/>
    <xf numFmtId="164" fontId="0" fillId="0" borderId="0" xfId="2" applyNumberFormat="1" applyFont="1" applyBorder="1"/>
    <xf numFmtId="3" fontId="20" fillId="0" borderId="1" xfId="0" applyNumberFormat="1" applyFont="1" applyFill="1" applyBorder="1" applyAlignment="1">
      <alignment horizontal="right" vertical="center"/>
    </xf>
    <xf numFmtId="3" fontId="2" fillId="0" borderId="1" xfId="0" applyNumberFormat="1" applyFont="1" applyFill="1" applyBorder="1" applyAlignment="1">
      <alignment horizontal="right" wrapText="1"/>
    </xf>
    <xf numFmtId="165" fontId="5" fillId="0" borderId="0" xfId="0" applyNumberFormat="1" applyFont="1" applyFill="1" applyAlignment="1">
      <alignment horizontal="right"/>
    </xf>
    <xf numFmtId="0" fontId="2" fillId="0" borderId="1" xfId="0" applyFont="1" applyFill="1" applyBorder="1" applyAlignment="1">
      <alignment horizontal="right" wrapText="1"/>
    </xf>
    <xf numFmtId="164" fontId="2" fillId="0" borderId="1" xfId="0" applyNumberFormat="1" applyFont="1" applyFill="1" applyBorder="1" applyAlignment="1">
      <alignment horizontal="right" wrapText="1"/>
    </xf>
    <xf numFmtId="164" fontId="30" fillId="0" borderId="0" xfId="0" applyNumberFormat="1" applyFont="1" applyFill="1" applyAlignment="1">
      <alignment horizontal="center"/>
    </xf>
    <xf numFmtId="3" fontId="0" fillId="0" borderId="0" xfId="0" applyNumberFormat="1" applyFill="1" applyBorder="1"/>
    <xf numFmtId="9" fontId="0" fillId="0" borderId="0" xfId="1" applyFont="1" applyFill="1"/>
    <xf numFmtId="9" fontId="30" fillId="0" borderId="0" xfId="1" applyFont="1" applyFill="1" applyAlignment="1">
      <alignment horizontal="center" vertical="center"/>
    </xf>
    <xf numFmtId="0" fontId="30" fillId="0" borderId="0" xfId="0" applyFont="1" applyFill="1" applyAlignment="1">
      <alignment horizontal="center" vertical="center"/>
    </xf>
    <xf numFmtId="0" fontId="30" fillId="0" borderId="0" xfId="0" applyFont="1" applyFill="1" applyAlignment="1">
      <alignment horizontal="center"/>
    </xf>
    <xf numFmtId="1" fontId="2" fillId="0" borderId="1" xfId="0" applyNumberFormat="1" applyFont="1" applyFill="1" applyBorder="1" applyAlignment="1">
      <alignment horizontal="center"/>
    </xf>
    <xf numFmtId="3" fontId="0" fillId="0" borderId="0" xfId="0" applyNumberFormat="1" applyAlignment="1">
      <alignment vertical="center"/>
    </xf>
    <xf numFmtId="164" fontId="30" fillId="0" borderId="0" xfId="2" applyNumberFormat="1" applyFont="1" applyBorder="1"/>
    <xf numFmtId="164" fontId="0" fillId="0" borderId="0" xfId="0" applyNumberFormat="1" applyBorder="1" applyAlignment="1">
      <alignment vertical="center"/>
    </xf>
    <xf numFmtId="44" fontId="0" fillId="0" borderId="0" xfId="0" applyNumberFormat="1" applyBorder="1" applyAlignment="1">
      <alignment vertical="center"/>
    </xf>
    <xf numFmtId="164" fontId="5" fillId="0" borderId="14" xfId="2" applyNumberFormat="1" applyFont="1" applyFill="1" applyBorder="1" applyAlignment="1">
      <alignment horizontal="center"/>
    </xf>
    <xf numFmtId="0" fontId="16" fillId="3" borderId="14" xfId="0" applyFont="1" applyFill="1" applyBorder="1" applyAlignment="1">
      <alignment horizontal="center" vertical="center" wrapText="1"/>
    </xf>
    <xf numFmtId="9" fontId="5" fillId="0" borderId="15" xfId="0" applyNumberFormat="1" applyFont="1" applyFill="1" applyBorder="1" applyAlignment="1">
      <alignment horizontal="center"/>
    </xf>
    <xf numFmtId="0" fontId="9" fillId="0" borderId="0" xfId="0" applyFont="1" applyFill="1" applyBorder="1" applyAlignment="1">
      <alignment horizontal="center" vertical="center" wrapText="1"/>
    </xf>
    <xf numFmtId="0" fontId="5" fillId="0" borderId="0" xfId="0" applyFont="1" applyBorder="1"/>
    <xf numFmtId="0" fontId="3" fillId="0" borderId="0" xfId="0" applyFont="1" applyFill="1" applyBorder="1" applyAlignment="1">
      <alignment vertical="center" wrapText="1"/>
    </xf>
    <xf numFmtId="164" fontId="5" fillId="0" borderId="2" xfId="2" applyNumberFormat="1" applyFont="1" applyFill="1" applyBorder="1" applyAlignment="1">
      <alignment horizontal="center"/>
    </xf>
    <xf numFmtId="164" fontId="11" fillId="4" borderId="2" xfId="2" applyNumberFormat="1" applyFont="1" applyFill="1" applyBorder="1" applyAlignment="1">
      <alignment horizontal="center"/>
    </xf>
    <xf numFmtId="3" fontId="5" fillId="0" borderId="2" xfId="0" applyNumberFormat="1" applyFont="1" applyFill="1" applyBorder="1" applyAlignment="1">
      <alignment horizontal="center"/>
    </xf>
    <xf numFmtId="3" fontId="5" fillId="4" borderId="2" xfId="0" applyNumberFormat="1" applyFont="1" applyFill="1" applyBorder="1" applyAlignment="1">
      <alignment horizontal="center"/>
    </xf>
    <xf numFmtId="164" fontId="11" fillId="4" borderId="14" xfId="2" applyNumberFormat="1" applyFont="1" applyFill="1" applyBorder="1" applyAlignment="1">
      <alignment horizontal="center"/>
    </xf>
    <xf numFmtId="3" fontId="2" fillId="14" borderId="1" xfId="0" applyNumberFormat="1" applyFont="1" applyFill="1" applyBorder="1" applyAlignment="1">
      <alignment horizontal="right" vertical="center" wrapText="1"/>
    </xf>
    <xf numFmtId="3" fontId="2" fillId="14" borderId="2" xfId="0" applyNumberFormat="1" applyFont="1" applyFill="1" applyBorder="1" applyAlignment="1">
      <alignment horizontal="right" vertical="center" wrapText="1"/>
    </xf>
    <xf numFmtId="9" fontId="20" fillId="14" borderId="1" xfId="1" applyFont="1" applyFill="1" applyBorder="1" applyAlignment="1">
      <alignment horizontal="right" vertical="center" wrapText="1"/>
    </xf>
    <xf numFmtId="164" fontId="2" fillId="14" borderId="4" xfId="2" applyNumberFormat="1" applyFont="1" applyFill="1" applyBorder="1" applyAlignment="1">
      <alignment horizontal="right" vertical="center"/>
    </xf>
    <xf numFmtId="164" fontId="2" fillId="14" borderId="1" xfId="2" applyNumberFormat="1" applyFont="1" applyFill="1" applyBorder="1" applyAlignment="1">
      <alignment horizontal="right" vertical="center"/>
    </xf>
    <xf numFmtId="9" fontId="2" fillId="14" borderId="1" xfId="1" applyFont="1" applyFill="1" applyBorder="1" applyAlignment="1">
      <alignment horizontal="right" vertical="center"/>
    </xf>
    <xf numFmtId="3" fontId="20" fillId="14" borderId="1" xfId="0" applyNumberFormat="1" applyFont="1" applyFill="1" applyBorder="1" applyAlignment="1">
      <alignment horizontal="right" vertical="center" wrapText="1"/>
    </xf>
    <xf numFmtId="164" fontId="20" fillId="14" borderId="1" xfId="2" applyNumberFormat="1" applyFont="1" applyFill="1" applyBorder="1" applyAlignment="1">
      <alignment horizontal="right" vertical="center"/>
    </xf>
    <xf numFmtId="3" fontId="20" fillId="14" borderId="2" xfId="0" applyNumberFormat="1" applyFont="1" applyFill="1" applyBorder="1" applyAlignment="1">
      <alignment horizontal="right" vertical="center" wrapText="1"/>
    </xf>
    <xf numFmtId="164" fontId="20" fillId="14" borderId="4" xfId="2" applyNumberFormat="1" applyFont="1" applyFill="1" applyBorder="1" applyAlignment="1">
      <alignment horizontal="right" vertical="center"/>
    </xf>
    <xf numFmtId="9" fontId="20" fillId="14" borderId="1" xfId="1" applyFont="1" applyFill="1" applyBorder="1" applyAlignment="1">
      <alignment horizontal="right" vertical="center"/>
    </xf>
    <xf numFmtId="9" fontId="20" fillId="14" borderId="15" xfId="1" applyFont="1" applyFill="1" applyBorder="1" applyAlignment="1">
      <alignment horizontal="right" vertical="center" wrapText="1"/>
    </xf>
    <xf numFmtId="3" fontId="2" fillId="14" borderId="1" xfId="0" applyNumberFormat="1" applyFont="1" applyFill="1" applyBorder="1" applyAlignment="1">
      <alignment horizontal="right" vertical="center"/>
    </xf>
    <xf numFmtId="9" fontId="2" fillId="14" borderId="1" xfId="1" applyFont="1" applyFill="1" applyBorder="1" applyAlignment="1">
      <alignment horizontal="right" vertical="center" wrapText="1"/>
    </xf>
    <xf numFmtId="3" fontId="2" fillId="14" borderId="1" xfId="4" applyNumberFormat="1" applyFont="1" applyFill="1" applyBorder="1" applyAlignment="1">
      <alignment horizontal="right" vertical="center"/>
    </xf>
    <xf numFmtId="3" fontId="20" fillId="14" borderId="1" xfId="4" applyNumberFormat="1" applyFont="1" applyFill="1" applyBorder="1" applyAlignment="1">
      <alignment horizontal="right" vertical="center"/>
    </xf>
    <xf numFmtId="3" fontId="2" fillId="14" borderId="1" xfId="4" applyNumberFormat="1" applyFont="1" applyFill="1" applyBorder="1" applyAlignment="1">
      <alignment horizontal="right"/>
    </xf>
    <xf numFmtId="3" fontId="2" fillId="14" borderId="1" xfId="0" applyNumberFormat="1" applyFont="1" applyFill="1" applyBorder="1" applyAlignment="1">
      <alignment horizontal="right"/>
    </xf>
    <xf numFmtId="9" fontId="2" fillId="14" borderId="1" xfId="1" applyFont="1" applyFill="1" applyBorder="1" applyAlignment="1">
      <alignment horizontal="right"/>
    </xf>
    <xf numFmtId="164" fontId="2" fillId="14" borderId="1" xfId="2" applyNumberFormat="1" applyFont="1" applyFill="1" applyBorder="1" applyAlignment="1">
      <alignment horizontal="right"/>
    </xf>
    <xf numFmtId="3" fontId="2" fillId="14" borderId="1" xfId="0" applyNumberFormat="1" applyFont="1" applyFill="1" applyBorder="1" applyAlignment="1">
      <alignment horizontal="right" wrapText="1"/>
    </xf>
    <xf numFmtId="3" fontId="5" fillId="8" borderId="2" xfId="0" applyNumberFormat="1" applyFont="1" applyFill="1" applyBorder="1" applyAlignment="1">
      <alignment horizontal="center"/>
    </xf>
    <xf numFmtId="3" fontId="5" fillId="8" borderId="1" xfId="0" applyNumberFormat="1" applyFont="1" applyFill="1" applyBorder="1" applyAlignment="1">
      <alignment horizontal="center"/>
    </xf>
    <xf numFmtId="3" fontId="3" fillId="0" borderId="0" xfId="4" applyNumberFormat="1" applyFont="1" applyFill="1" applyBorder="1" applyAlignment="1">
      <alignment horizontal="center" vertical="center"/>
    </xf>
    <xf numFmtId="166" fontId="5" fillId="10" borderId="1" xfId="0" applyNumberFormat="1" applyFont="1" applyFill="1" applyBorder="1" applyAlignment="1">
      <alignment horizontal="center" vertical="center"/>
    </xf>
    <xf numFmtId="3" fontId="31" fillId="5" borderId="1" xfId="0" applyNumberFormat="1" applyFont="1" applyFill="1" applyBorder="1" applyAlignment="1">
      <alignment horizontal="right" vertical="center" wrapText="1"/>
    </xf>
    <xf numFmtId="164" fontId="31" fillId="5" borderId="1" xfId="2" applyNumberFormat="1" applyFont="1" applyFill="1" applyBorder="1" applyAlignment="1">
      <alignment horizontal="right" vertical="center"/>
    </xf>
    <xf numFmtId="0" fontId="7"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 xfId="0" applyFont="1" applyBorder="1" applyAlignment="1">
      <alignment horizontal="left" vertical="center" wrapText="1"/>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1" xfId="0" applyFont="1" applyFill="1" applyBorder="1" applyAlignment="1">
      <alignment horizontal="left" vertical="center"/>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6" applyFont="1" applyBorder="1" applyAlignment="1" applyProtection="1">
      <alignment vertical="center" wrapText="1"/>
    </xf>
    <xf numFmtId="0" fontId="7" fillId="0" borderId="1" xfId="0" applyFont="1" applyBorder="1" applyAlignment="1">
      <alignment horizontal="left" vertical="center"/>
    </xf>
    <xf numFmtId="0" fontId="6" fillId="0" borderId="1" xfId="0" applyFont="1" applyFill="1" applyBorder="1" applyAlignment="1">
      <alignment horizontal="left" vertical="center"/>
    </xf>
    <xf numFmtId="0" fontId="9" fillId="12" borderId="1" xfId="0" applyFont="1" applyFill="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5" fillId="0" borderId="2" xfId="0" applyFont="1" applyBorder="1" applyAlignment="1">
      <alignment horizontal="left"/>
    </xf>
    <xf numFmtId="0" fontId="5" fillId="0" borderId="4" xfId="0" applyFont="1" applyBorder="1" applyAlignment="1">
      <alignment horizontal="left"/>
    </xf>
    <xf numFmtId="0" fontId="7" fillId="0" borderId="1" xfId="0" applyFont="1" applyBorder="1" applyAlignment="1">
      <alignment vertical="center" wrapText="1"/>
    </xf>
    <xf numFmtId="0" fontId="0" fillId="0" borderId="1" xfId="0" applyBorder="1" applyAlignment="1">
      <alignment vertical="center" wrapText="1"/>
    </xf>
    <xf numFmtId="0" fontId="25" fillId="13" borderId="2" xfId="0" applyFont="1" applyFill="1" applyBorder="1" applyAlignment="1">
      <alignment horizontal="left" vertical="center"/>
    </xf>
    <xf numFmtId="0" fontId="25" fillId="13" borderId="3" xfId="0" applyFont="1" applyFill="1" applyBorder="1" applyAlignment="1">
      <alignment horizontal="left" vertical="center"/>
    </xf>
    <xf numFmtId="0" fontId="25" fillId="13" borderId="4" xfId="0" applyFont="1" applyFill="1" applyBorder="1" applyAlignment="1">
      <alignment horizontal="left" vertical="center"/>
    </xf>
    <xf numFmtId="0" fontId="6" fillId="10"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9" fillId="12" borderId="11"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27" fillId="0" borderId="2" xfId="0" applyFont="1" applyBorder="1" applyAlignment="1">
      <alignment horizontal="right" vertical="center"/>
    </xf>
    <xf numFmtId="0" fontId="27" fillId="0" borderId="4" xfId="0" applyFont="1" applyBorder="1" applyAlignment="1">
      <alignment horizontal="right" vertical="center"/>
    </xf>
    <xf numFmtId="0" fontId="25" fillId="0" borderId="2" xfId="0" applyFont="1" applyBorder="1" applyAlignment="1">
      <alignment horizontal="left" vertical="center"/>
    </xf>
    <xf numFmtId="0" fontId="25" fillId="0" borderId="4" xfId="0" applyFont="1" applyBorder="1" applyAlignment="1">
      <alignment horizontal="left" vertical="center"/>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xr:uid="{00000000-0005-0000-0000-000006000000}"/>
    <cellStyle name="Normal" xfId="0" builtinId="0"/>
    <cellStyle name="Percent"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Kapoor, Shikha:(ComEd)" id="{6056DAB8-A795-405A-B438-21F71FC6DD18}" userId="S::E061910@exelonds.com::f9467f03-421a-4614-be94-8bd49321dc4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20" dT="2020-03-20T20:12:03.28" personId="{6056DAB8-A795-405A-B438-21F71FC6DD18}" id="{5A8F77E8-8BBF-466C-8705-1E22A7236E6C}">
    <text>Filed Goal</text>
  </threadedComment>
  <threadedComment ref="L20" dT="2020-03-20T20:11:20.39" personId="{6056DAB8-A795-405A-B438-21F71FC6DD18}" id="{F5AFB128-45BC-421C-AC33-3A1CE674BDAF}">
    <text>Fadila's LRP</text>
  </threadedComment>
  <threadedComment ref="H50" dT="2020-04-14T21:36:43.54" personId="{6056DAB8-A795-405A-B438-21F71FC6DD18}" id="{9332729E-CBA3-42CA-9A42-3573626B3DBA}">
    <text>RCx+Power TakeOff</text>
  </threadedComment>
  <threadedComment ref="H55" dT="2020-03-11T14:54:36.40" personId="{6056DAB8-A795-405A-B438-21F71FC6DD18}" id="{7E7C4305-F617-4724-A96D-32974B65B4AD}">
    <text>Add value from reporting Quarter in this cell, Q1+Q2+Q3+Q4+C&amp;I General portion of BIDA</text>
  </threadedComment>
  <threadedComment ref="D82" dT="2020-03-11T20:08:33.81" personId="{6056DAB8-A795-405A-B438-21F71FC6DD18}" id="{9D86DA26-FAD6-48F7-8721-7C933F7DB921}">
    <text>Includes Weatherization</text>
  </threadedComment>
  <threadedComment ref="H84" dT="2020-07-23T14:30:28.20" personId="{6056DAB8-A795-405A-B438-21F71FC6DD18}" id="{4E61C077-C1A1-4073-941B-35349B32421E}">
    <text>Includes Residential portion of BIDA</text>
  </threadedComment>
  <threadedComment ref="K111" dT="2020-04-14T16:18:05.18" personId="{6056DAB8-A795-405A-B438-21F71FC6DD18}" id="{9D40F547-6FB5-4851-ADCF-015F1CD0D6ED}">
    <text>Per PLAN, Table 16, Page 220</text>
  </threadedComment>
</ThreadedComments>
</file>

<file path=xl/threadedComments/threadedComment2.xml><?xml version="1.0" encoding="utf-8"?>
<ThreadedComments xmlns="http://schemas.microsoft.com/office/spreadsheetml/2018/threadedcomments" xmlns:x="http://schemas.openxmlformats.org/spreadsheetml/2006/main">
  <threadedComment ref="D27" dT="2020-05-01T19:08:08.63" personId="{6056DAB8-A795-405A-B438-21F71FC6DD18}" id="{37BF8CD4-100D-4905-B53A-559DD370F7DC}">
    <text>Per Summary Impact Evaluation Report 2020 received from Guide House</text>
  </threadedComment>
  <threadedComment ref="E28" dT="2020-03-11T15:32:15.16" personId="{6056DAB8-A795-405A-B438-21F71FC6DD18}" id="{2A6E292A-DAFA-4B03-AEDC-B75A6F41BBA3}">
    <text>Per scorecard 1,637,572</text>
  </threadedComment>
</ThreadedComments>
</file>

<file path=xl/threadedComments/threadedComment3.xml><?xml version="1.0" encoding="utf-8"?>
<ThreadedComments xmlns="http://schemas.microsoft.com/office/spreadsheetml/2018/threadedcomments" xmlns:x="http://schemas.openxmlformats.org/spreadsheetml/2006/main">
  <threadedComment ref="M12" dT="2020-03-11T16:10:19.56" personId="{6056DAB8-A795-405A-B438-21F71FC6DD18}" id="{7C430A48-ABBD-4834-849E-E86F3243F48C}">
    <text>Per Summary Impact Evaluation Report 2020 received from Guide House</text>
  </threadedComment>
</ThreadedComments>
</file>

<file path=xl/threadedComments/threadedComment4.xml><?xml version="1.0" encoding="utf-8"?>
<ThreadedComments xmlns="http://schemas.microsoft.com/office/spreadsheetml/2018/threadedcomments" xmlns:x="http://schemas.openxmlformats.org/spreadsheetml/2006/main">
  <threadedComment ref="E19" dT="2020-03-20T15:20:33.96" personId="{6056DAB8-A795-405A-B438-21F71FC6DD18}" id="{C4E463DE-9E7D-4ABA-B406-D767EEBBD410}">
    <text>Per Summary Impact Evaluation Report 2020 received from Guide House, Table 2_7, Cell H49</text>
  </threadedComment>
  <threadedComment ref="E25" dT="2020-03-20T15:20:44.85" personId="{6056DAB8-A795-405A-B438-21F71FC6DD18}" id="{359A4220-8E9B-4C33-9204-4DDE1A656BB0}">
    <text>Per Summary Impact Evaluation Report 2020 received from Guide House, Table 2_7, Cell I50+I51</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7" Type="http://schemas.microsoft.com/office/2017/10/relationships/threadedComment" Target="../threadedComments/threadedComment2.xml"/><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ComEd/ComEd%20EPY1%20Evaluation%20Reports/ComEd_Summary_Evaluation_Report_Program_Year_1_2009.pdf"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V129"/>
  <sheetViews>
    <sheetView tabSelected="1" zoomScaleNormal="100" zoomScaleSheetLayoutView="50" workbookViewId="0">
      <selection activeCell="G2" sqref="G2"/>
    </sheetView>
  </sheetViews>
  <sheetFormatPr defaultColWidth="9.1796875" defaultRowHeight="22.5" customHeight="1" x14ac:dyDescent="0.35"/>
  <cols>
    <col min="1" max="1" width="2.7265625" customWidth="1"/>
    <col min="2" max="2" width="39.7265625" customWidth="1"/>
    <col min="3" max="3" width="15" style="62" customWidth="1"/>
    <col min="4" max="4" width="19.7265625" customWidth="1"/>
    <col min="5" max="6" width="16" customWidth="1"/>
    <col min="7" max="7" width="19.54296875" style="62" customWidth="1"/>
    <col min="8" max="8" width="14.7265625" customWidth="1"/>
    <col min="9" max="9" width="14.453125" customWidth="1"/>
    <col min="10" max="10" width="14" customWidth="1"/>
    <col min="11" max="12" width="14.7265625" customWidth="1"/>
    <col min="13" max="13" width="16.453125" bestFit="1" customWidth="1"/>
    <col min="14" max="14" width="8.81640625" customWidth="1"/>
    <col min="15" max="15" width="15.1796875" customWidth="1"/>
    <col min="16" max="16" width="14.26953125" customWidth="1"/>
    <col min="17" max="17" width="8.81640625" customWidth="1"/>
    <col min="18" max="18" width="18.26953125" customWidth="1"/>
    <col min="19" max="19" width="17.54296875" customWidth="1"/>
    <col min="20" max="20" width="10.7265625" bestFit="1" customWidth="1"/>
    <col min="21" max="21" width="17" bestFit="1" customWidth="1"/>
    <col min="22" max="22" width="13.26953125" bestFit="1" customWidth="1"/>
  </cols>
  <sheetData>
    <row r="1" spans="2:13" ht="22.5" customHeight="1" x14ac:dyDescent="0.35">
      <c r="B1" s="5" t="s">
        <v>0</v>
      </c>
      <c r="C1" s="192"/>
    </row>
    <row r="2" spans="2:13" ht="22.5" customHeight="1" x14ac:dyDescent="0.35">
      <c r="B2" s="5" t="s">
        <v>14</v>
      </c>
      <c r="C2" s="192"/>
    </row>
    <row r="3" spans="2:13" ht="22.5" customHeight="1" x14ac:dyDescent="0.35">
      <c r="B3" s="5" t="s">
        <v>300</v>
      </c>
      <c r="C3" s="192"/>
    </row>
    <row r="4" spans="2:13" ht="22.5" customHeight="1" x14ac:dyDescent="0.35">
      <c r="B4" s="5"/>
      <c r="C4" s="192"/>
    </row>
    <row r="5" spans="2:13" ht="22.5" customHeight="1" x14ac:dyDescent="0.35">
      <c r="B5" s="261" t="s">
        <v>110</v>
      </c>
      <c r="C5" s="262"/>
      <c r="D5" s="262"/>
      <c r="E5" s="262"/>
      <c r="F5" s="262"/>
      <c r="G5" s="262"/>
      <c r="H5" s="262"/>
      <c r="I5" s="262"/>
      <c r="J5" s="262"/>
      <c r="K5" s="262"/>
      <c r="L5" s="262"/>
      <c r="M5" s="263"/>
    </row>
    <row r="6" spans="2:13" ht="22.5" customHeight="1" x14ac:dyDescent="0.35">
      <c r="B6" s="264"/>
      <c r="C6" s="265"/>
      <c r="D6" s="265"/>
      <c r="E6" s="265"/>
      <c r="F6" s="265"/>
      <c r="G6" s="265"/>
      <c r="H6" s="265"/>
      <c r="I6" s="265"/>
      <c r="J6" s="265"/>
      <c r="K6" s="265"/>
      <c r="L6" s="265"/>
      <c r="M6" s="266"/>
    </row>
    <row r="7" spans="2:13" ht="22.5" customHeight="1" x14ac:dyDescent="0.35">
      <c r="B7" s="77"/>
      <c r="C7" s="192"/>
    </row>
    <row r="8" spans="2:13" ht="22.5" customHeight="1" x14ac:dyDescent="0.35">
      <c r="B8" s="267" t="s">
        <v>144</v>
      </c>
      <c r="C8" s="267"/>
      <c r="D8" s="267"/>
      <c r="E8" s="267"/>
      <c r="F8" s="267"/>
      <c r="G8" s="267"/>
      <c r="H8" s="267"/>
      <c r="I8" s="267"/>
      <c r="J8" s="267"/>
      <c r="K8" s="267"/>
      <c r="L8" s="267"/>
      <c r="M8" s="267"/>
    </row>
    <row r="9" spans="2:13" ht="22.5" customHeight="1" x14ac:dyDescent="0.35">
      <c r="B9" s="267"/>
      <c r="C9" s="267"/>
      <c r="D9" s="267"/>
      <c r="E9" s="267"/>
      <c r="F9" s="267"/>
      <c r="G9" s="267"/>
      <c r="H9" s="267"/>
      <c r="I9" s="267"/>
      <c r="J9" s="267"/>
      <c r="K9" s="267"/>
      <c r="L9" s="267"/>
      <c r="M9" s="267"/>
    </row>
    <row r="10" spans="2:13" ht="22.5" customHeight="1" x14ac:dyDescent="0.35">
      <c r="B10" s="267"/>
      <c r="C10" s="267"/>
      <c r="D10" s="267"/>
      <c r="E10" s="267"/>
      <c r="F10" s="267"/>
      <c r="G10" s="267"/>
      <c r="H10" s="267"/>
      <c r="I10" s="267"/>
      <c r="J10" s="267"/>
      <c r="K10" s="267"/>
      <c r="L10" s="267"/>
      <c r="M10" s="267"/>
    </row>
    <row r="11" spans="2:13" ht="22.5" customHeight="1" x14ac:dyDescent="0.35">
      <c r="B11" s="267"/>
      <c r="C11" s="267"/>
      <c r="D11" s="267"/>
      <c r="E11" s="267"/>
      <c r="F11" s="267"/>
      <c r="G11" s="267"/>
      <c r="H11" s="267"/>
      <c r="I11" s="267"/>
      <c r="J11" s="267"/>
      <c r="K11" s="267"/>
      <c r="L11" s="267"/>
      <c r="M11" s="267"/>
    </row>
    <row r="12" spans="2:13" ht="22.5" customHeight="1" x14ac:dyDescent="0.35">
      <c r="B12" s="267"/>
      <c r="C12" s="267"/>
      <c r="D12" s="267"/>
      <c r="E12" s="267"/>
      <c r="F12" s="267"/>
      <c r="G12" s="267"/>
      <c r="H12" s="267"/>
      <c r="I12" s="267"/>
      <c r="J12" s="267"/>
      <c r="K12" s="267"/>
      <c r="L12" s="267"/>
      <c r="M12" s="267"/>
    </row>
    <row r="13" spans="2:13" ht="22.5" customHeight="1" x14ac:dyDescent="0.35">
      <c r="B13" s="267"/>
      <c r="C13" s="267"/>
      <c r="D13" s="267"/>
      <c r="E13" s="267"/>
      <c r="F13" s="267"/>
      <c r="G13" s="267"/>
      <c r="H13" s="267"/>
      <c r="I13" s="267"/>
      <c r="J13" s="267"/>
      <c r="K13" s="267"/>
      <c r="L13" s="267"/>
      <c r="M13" s="267"/>
    </row>
    <row r="14" spans="2:13" ht="22.5" customHeight="1" x14ac:dyDescent="0.35">
      <c r="B14" s="267"/>
      <c r="C14" s="267"/>
      <c r="D14" s="267"/>
      <c r="E14" s="267"/>
      <c r="F14" s="267"/>
      <c r="G14" s="267"/>
      <c r="H14" s="267"/>
      <c r="I14" s="267"/>
      <c r="J14" s="267"/>
      <c r="K14" s="267"/>
      <c r="L14" s="267"/>
      <c r="M14" s="267"/>
    </row>
    <row r="15" spans="2:13" ht="22.5" customHeight="1" x14ac:dyDescent="0.35">
      <c r="B15" s="267"/>
      <c r="C15" s="267"/>
      <c r="D15" s="267"/>
      <c r="E15" s="267"/>
      <c r="F15" s="267"/>
      <c r="G15" s="267"/>
      <c r="H15" s="267"/>
      <c r="I15" s="267"/>
      <c r="J15" s="267"/>
      <c r="K15" s="267"/>
      <c r="L15" s="267"/>
      <c r="M15" s="267"/>
    </row>
    <row r="16" spans="2:13" ht="22.5" customHeight="1" x14ac:dyDescent="0.35">
      <c r="B16" s="267"/>
      <c r="C16" s="267"/>
      <c r="D16" s="267"/>
      <c r="E16" s="267"/>
      <c r="F16" s="267"/>
      <c r="G16" s="267"/>
      <c r="H16" s="267"/>
      <c r="I16" s="267"/>
      <c r="J16" s="267"/>
      <c r="K16" s="267"/>
      <c r="L16" s="267"/>
      <c r="M16" s="267"/>
    </row>
    <row r="17" spans="2:19" ht="22.5" customHeight="1" x14ac:dyDescent="0.35">
      <c r="B17" s="61"/>
      <c r="C17" s="189"/>
      <c r="D17" s="61"/>
      <c r="E17" s="61"/>
      <c r="F17" s="61"/>
      <c r="G17" s="189"/>
      <c r="H17" s="61"/>
      <c r="I17" s="61"/>
      <c r="J17" s="61"/>
      <c r="K17" s="61"/>
      <c r="L17" s="61"/>
      <c r="M17" s="61"/>
    </row>
    <row r="18" spans="2:19" ht="22.5" customHeight="1" x14ac:dyDescent="0.35">
      <c r="B18" s="115" t="s">
        <v>293</v>
      </c>
      <c r="C18" s="189"/>
      <c r="D18" s="61"/>
      <c r="E18" s="61"/>
      <c r="F18" s="61"/>
      <c r="G18" s="189"/>
      <c r="H18" s="61"/>
      <c r="I18" s="61"/>
      <c r="J18" s="61"/>
      <c r="K18" s="61"/>
      <c r="L18" s="61"/>
      <c r="M18" s="61"/>
    </row>
    <row r="19" spans="2:19" ht="22.5" customHeight="1" x14ac:dyDescent="0.35">
      <c r="B19" s="189"/>
      <c r="C19" s="189"/>
      <c r="D19" s="189"/>
      <c r="E19" s="189"/>
      <c r="F19" s="189"/>
      <c r="G19" s="189"/>
      <c r="H19" s="189"/>
      <c r="I19" s="189"/>
      <c r="J19" s="43"/>
      <c r="K19" s="43"/>
      <c r="L19" s="43"/>
      <c r="M19" s="43"/>
    </row>
    <row r="20" spans="2:19" s="46" customFormat="1" ht="66.75" customHeight="1" x14ac:dyDescent="0.3">
      <c r="B20" s="45" t="s">
        <v>30</v>
      </c>
      <c r="C20" s="45" t="s">
        <v>220</v>
      </c>
      <c r="D20" s="45" t="s">
        <v>286</v>
      </c>
      <c r="E20" s="45" t="s">
        <v>287</v>
      </c>
      <c r="F20" s="56" t="s">
        <v>288</v>
      </c>
      <c r="G20" s="223" t="s">
        <v>28</v>
      </c>
      <c r="H20" s="56" t="s">
        <v>268</v>
      </c>
      <c r="I20" s="45" t="s">
        <v>269</v>
      </c>
      <c r="J20" s="45" t="s">
        <v>285</v>
      </c>
      <c r="K20" s="45" t="s">
        <v>270</v>
      </c>
      <c r="L20" s="45" t="s">
        <v>271</v>
      </c>
      <c r="M20" s="45" t="s">
        <v>19</v>
      </c>
      <c r="R20" s="186"/>
      <c r="S20" s="186"/>
    </row>
    <row r="21" spans="2:19" ht="22.5" customHeight="1" x14ac:dyDescent="0.35">
      <c r="B21" s="34" t="s">
        <v>17</v>
      </c>
      <c r="C21" s="193"/>
      <c r="D21" s="35"/>
      <c r="E21" s="35"/>
      <c r="F21" s="35"/>
      <c r="G21" s="227"/>
      <c r="H21" s="35"/>
      <c r="I21" s="35"/>
      <c r="J21" s="35"/>
      <c r="K21" s="35"/>
      <c r="L21" s="35"/>
      <c r="M21" s="36"/>
      <c r="R21" s="89"/>
      <c r="S21" s="89"/>
    </row>
    <row r="22" spans="2:19" ht="22.5" customHeight="1" x14ac:dyDescent="0.35">
      <c r="B22" s="1" t="s">
        <v>146</v>
      </c>
      <c r="C22" s="233">
        <f>C40+C57</f>
        <v>127689.725382</v>
      </c>
      <c r="D22" s="233">
        <f>D40+D57</f>
        <v>300865</v>
      </c>
      <c r="E22" s="233">
        <f>D22</f>
        <v>300865</v>
      </c>
      <c r="F22" s="234">
        <f t="shared" ref="F22:F35" si="0">F40+F57</f>
        <v>252976.48828032531</v>
      </c>
      <c r="G22" s="235">
        <f>IF(F22=0,"N/A",C22/F22)</f>
        <v>0.50474937908263628</v>
      </c>
      <c r="H22" s="236">
        <f>H40+H57</f>
        <v>27069216.309999995</v>
      </c>
      <c r="I22" s="237">
        <f>I40+I57</f>
        <v>16349806.651239999</v>
      </c>
      <c r="J22" s="237">
        <f>J40+J57</f>
        <v>10719409.658759998</v>
      </c>
      <c r="K22" s="237">
        <f>K40+K57</f>
        <v>53051721.300857559</v>
      </c>
      <c r="L22" s="237">
        <f>L40+L57</f>
        <v>51640749.310000002</v>
      </c>
      <c r="M22" s="238">
        <f t="shared" ref="M22:M38" si="1">IF(L22=0,"N/A",H22/L22)</f>
        <v>0.52418325976455493</v>
      </c>
      <c r="R22" s="89"/>
      <c r="S22" s="89"/>
    </row>
    <row r="23" spans="2:19" ht="22.5" customHeight="1" x14ac:dyDescent="0.35">
      <c r="B23" s="135" t="s">
        <v>153</v>
      </c>
      <c r="C23" s="239">
        <f t="shared" ref="C23:C35" si="2">C41+C58</f>
        <v>121883.93675000001</v>
      </c>
      <c r="D23" s="240" t="s">
        <v>176</v>
      </c>
      <c r="E23" s="239" t="str">
        <f t="shared" ref="E23:E84" si="3">D23</f>
        <v>N/A</v>
      </c>
      <c r="F23" s="241">
        <f t="shared" si="0"/>
        <v>224694.5957660912</v>
      </c>
      <c r="G23" s="235">
        <f>IF(F23=0,"N/A",C23/F23)</f>
        <v>0.54244267128205492</v>
      </c>
      <c r="H23" s="242">
        <f t="shared" ref="H23:J35" si="4">H41+H58</f>
        <v>24793122.209999997</v>
      </c>
      <c r="I23" s="240">
        <f t="shared" si="4"/>
        <v>14975045.814839998</v>
      </c>
      <c r="J23" s="240">
        <f t="shared" si="4"/>
        <v>9818076.3951599989</v>
      </c>
      <c r="K23" s="240" t="s">
        <v>176</v>
      </c>
      <c r="L23" s="240">
        <f t="shared" ref="L23:L35" si="5">L41+L58</f>
        <v>44496016.209999993</v>
      </c>
      <c r="M23" s="243">
        <f t="shared" si="1"/>
        <v>0.55719869601333016</v>
      </c>
      <c r="R23" s="89"/>
      <c r="S23" s="89"/>
    </row>
    <row r="24" spans="2:19" ht="22.5" customHeight="1" x14ac:dyDescent="0.35">
      <c r="B24" s="135" t="s">
        <v>154</v>
      </c>
      <c r="C24" s="239">
        <f t="shared" si="2"/>
        <v>5805.7886320000007</v>
      </c>
      <c r="D24" s="240" t="s">
        <v>176</v>
      </c>
      <c r="E24" s="239" t="str">
        <f t="shared" si="3"/>
        <v>N/A</v>
      </c>
      <c r="F24" s="241">
        <f t="shared" si="0"/>
        <v>28281.892514234118</v>
      </c>
      <c r="G24" s="235">
        <f>IF(F24=0,"N/A",C24/F24)</f>
        <v>0.20528289007102266</v>
      </c>
      <c r="H24" s="242">
        <f t="shared" si="4"/>
        <v>2276094.0999999996</v>
      </c>
      <c r="I24" s="240">
        <f t="shared" si="4"/>
        <v>1374760.8363999999</v>
      </c>
      <c r="J24" s="240">
        <f t="shared" si="4"/>
        <v>901333.26359999995</v>
      </c>
      <c r="K24" s="240" t="s">
        <v>176</v>
      </c>
      <c r="L24" s="240">
        <f t="shared" si="5"/>
        <v>7144733.0999999996</v>
      </c>
      <c r="M24" s="243">
        <f t="shared" si="1"/>
        <v>0.31856950681614682</v>
      </c>
      <c r="R24" s="89"/>
      <c r="S24" s="89"/>
    </row>
    <row r="25" spans="2:19" ht="22.5" customHeight="1" x14ac:dyDescent="0.35">
      <c r="B25" s="135" t="s">
        <v>155</v>
      </c>
      <c r="C25" s="239">
        <f t="shared" si="2"/>
        <v>0</v>
      </c>
      <c r="D25" s="240" t="s">
        <v>176</v>
      </c>
      <c r="E25" s="239" t="str">
        <f t="shared" si="3"/>
        <v>N/A</v>
      </c>
      <c r="F25" s="241">
        <f t="shared" si="0"/>
        <v>0</v>
      </c>
      <c r="G25" s="235" t="str">
        <f>IF(F25=0,"N/A",C25/F25)</f>
        <v>N/A</v>
      </c>
      <c r="H25" s="242">
        <f t="shared" si="4"/>
        <v>0</v>
      </c>
      <c r="I25" s="240">
        <f t="shared" si="4"/>
        <v>0</v>
      </c>
      <c r="J25" s="240">
        <f t="shared" si="4"/>
        <v>0</v>
      </c>
      <c r="K25" s="240" t="s">
        <v>176</v>
      </c>
      <c r="L25" s="240">
        <f t="shared" si="5"/>
        <v>0</v>
      </c>
      <c r="M25" s="243" t="str">
        <f>IF(L25=0,"N/A",H25/L25)</f>
        <v>N/A</v>
      </c>
      <c r="R25" s="89"/>
      <c r="S25" s="89"/>
    </row>
    <row r="26" spans="2:19" s="62" customFormat="1" ht="22.5" customHeight="1" x14ac:dyDescent="0.35">
      <c r="B26" s="135" t="s">
        <v>252</v>
      </c>
      <c r="C26" s="239">
        <f t="shared" si="2"/>
        <v>0</v>
      </c>
      <c r="D26" s="240" t="s">
        <v>176</v>
      </c>
      <c r="E26" s="239" t="str">
        <f>D26</f>
        <v>N/A</v>
      </c>
      <c r="F26" s="241">
        <f t="shared" si="0"/>
        <v>0</v>
      </c>
      <c r="G26" s="235" t="str">
        <f>IF(F26=0,"N/A",C26/F26)</f>
        <v>N/A</v>
      </c>
      <c r="H26" s="242">
        <f t="shared" si="4"/>
        <v>0</v>
      </c>
      <c r="I26" s="240">
        <f t="shared" si="4"/>
        <v>0</v>
      </c>
      <c r="J26" s="240">
        <f t="shared" si="4"/>
        <v>0</v>
      </c>
      <c r="K26" s="240" t="s">
        <v>176</v>
      </c>
      <c r="L26" s="240">
        <f t="shared" si="5"/>
        <v>0</v>
      </c>
      <c r="M26" s="243" t="str">
        <f t="shared" si="1"/>
        <v>N/A</v>
      </c>
      <c r="R26" s="42"/>
      <c r="S26" s="42"/>
    </row>
    <row r="27" spans="2:19" ht="22.5" customHeight="1" x14ac:dyDescent="0.35">
      <c r="B27" s="1" t="s">
        <v>147</v>
      </c>
      <c r="C27" s="233">
        <f t="shared" si="2"/>
        <v>104308.35381066542</v>
      </c>
      <c r="D27" s="233">
        <f t="shared" ref="D27:D35" si="6">D45+D62</f>
        <v>163269.3004287876</v>
      </c>
      <c r="E27" s="233">
        <f t="shared" si="3"/>
        <v>163269.3004287876</v>
      </c>
      <c r="F27" s="234">
        <f t="shared" si="0"/>
        <v>183478.98592066538</v>
      </c>
      <c r="G27" s="235">
        <f t="shared" ref="G27:G53" si="7">IF(F27=0,"N/A",C27/F27)</f>
        <v>0.56850299933403481</v>
      </c>
      <c r="H27" s="236">
        <f t="shared" si="4"/>
        <v>28051913.239999998</v>
      </c>
      <c r="I27" s="237">
        <f t="shared" si="4"/>
        <v>16943355.596959997</v>
      </c>
      <c r="J27" s="237">
        <f t="shared" si="4"/>
        <v>11108557.643040001</v>
      </c>
      <c r="K27" s="237">
        <f>K45+K62</f>
        <v>45256804.135955624</v>
      </c>
      <c r="L27" s="237">
        <f t="shared" si="5"/>
        <v>50894411.220000006</v>
      </c>
      <c r="M27" s="238">
        <f t="shared" si="1"/>
        <v>0.55117865729383708</v>
      </c>
      <c r="R27" s="89"/>
      <c r="S27" s="89"/>
    </row>
    <row r="28" spans="2:19" ht="22.5" customHeight="1" x14ac:dyDescent="0.35">
      <c r="B28" s="1" t="s">
        <v>148</v>
      </c>
      <c r="C28" s="233">
        <f t="shared" si="2"/>
        <v>89045.901229009614</v>
      </c>
      <c r="D28" s="233">
        <f t="shared" si="6"/>
        <v>210732.08614853676</v>
      </c>
      <c r="E28" s="233">
        <f t="shared" si="3"/>
        <v>210732.08614853676</v>
      </c>
      <c r="F28" s="234">
        <f t="shared" si="0"/>
        <v>213083.91818323612</v>
      </c>
      <c r="G28" s="235">
        <f t="shared" si="7"/>
        <v>0.41789123265715833</v>
      </c>
      <c r="H28" s="236">
        <f t="shared" si="4"/>
        <v>7780338.8700000001</v>
      </c>
      <c r="I28" s="237">
        <f t="shared" si="4"/>
        <v>4699324.6774800001</v>
      </c>
      <c r="J28" s="237">
        <f t="shared" si="4"/>
        <v>3081014.19252</v>
      </c>
      <c r="K28" s="237">
        <f>K46+K63</f>
        <v>14033914.439356307</v>
      </c>
      <c r="L28" s="237">
        <f t="shared" si="5"/>
        <v>18245843.869999997</v>
      </c>
      <c r="M28" s="238">
        <f t="shared" si="1"/>
        <v>0.42641704737989744</v>
      </c>
      <c r="R28" s="89"/>
      <c r="S28" s="89"/>
    </row>
    <row r="29" spans="2:19" ht="22.5" customHeight="1" x14ac:dyDescent="0.35">
      <c r="B29" s="1" t="s">
        <v>159</v>
      </c>
      <c r="C29" s="233">
        <f t="shared" si="2"/>
        <v>0</v>
      </c>
      <c r="D29" s="233">
        <f t="shared" si="6"/>
        <v>0</v>
      </c>
      <c r="E29" s="233">
        <f t="shared" si="3"/>
        <v>0</v>
      </c>
      <c r="F29" s="233">
        <f t="shared" si="0"/>
        <v>0</v>
      </c>
      <c r="G29" s="244" t="str">
        <f t="shared" si="7"/>
        <v>N/A</v>
      </c>
      <c r="H29" s="237">
        <f t="shared" si="4"/>
        <v>0</v>
      </c>
      <c r="I29" s="237">
        <f t="shared" si="4"/>
        <v>0</v>
      </c>
      <c r="J29" s="237">
        <f t="shared" si="4"/>
        <v>0</v>
      </c>
      <c r="K29" s="237">
        <f>K47+K64</f>
        <v>5183448.4000000004</v>
      </c>
      <c r="L29" s="237">
        <f t="shared" si="5"/>
        <v>0</v>
      </c>
      <c r="M29" s="238" t="str">
        <f>IF(L29=0,"N/A",H29/L29)</f>
        <v>N/A</v>
      </c>
      <c r="R29" s="89"/>
      <c r="S29" s="89"/>
    </row>
    <row r="30" spans="2:19" ht="22.5" customHeight="1" x14ac:dyDescent="0.35">
      <c r="B30" s="1" t="s">
        <v>158</v>
      </c>
      <c r="C30" s="233">
        <f t="shared" si="2"/>
        <v>7706.9507501999988</v>
      </c>
      <c r="D30" s="233">
        <f t="shared" si="6"/>
        <v>30669.543688907434</v>
      </c>
      <c r="E30" s="233">
        <f t="shared" si="3"/>
        <v>30669.543688907434</v>
      </c>
      <c r="F30" s="233">
        <f t="shared" si="0"/>
        <v>13295.965229429998</v>
      </c>
      <c r="G30" s="235">
        <f t="shared" si="7"/>
        <v>0.57964582617447158</v>
      </c>
      <c r="H30" s="237">
        <f t="shared" si="4"/>
        <v>2893839.8</v>
      </c>
      <c r="I30" s="237">
        <f t="shared" si="4"/>
        <v>1747879.2392</v>
      </c>
      <c r="J30" s="237">
        <f t="shared" si="4"/>
        <v>1145960.5608000001</v>
      </c>
      <c r="K30" s="237">
        <f t="shared" ref="K30:K35" si="8">K48+K65</f>
        <v>10597900.363721862</v>
      </c>
      <c r="L30" s="237">
        <f t="shared" si="5"/>
        <v>5521795.4540000008</v>
      </c>
      <c r="M30" s="238">
        <f t="shared" si="1"/>
        <v>0.52407587787477639</v>
      </c>
      <c r="R30" s="89"/>
      <c r="S30" s="89"/>
    </row>
    <row r="31" spans="2:19" ht="22.5" customHeight="1" x14ac:dyDescent="0.35">
      <c r="B31" s="1" t="s">
        <v>149</v>
      </c>
      <c r="C31" s="233">
        <f t="shared" si="2"/>
        <v>9308.4712</v>
      </c>
      <c r="D31" s="233">
        <f t="shared" si="6"/>
        <v>28467.588</v>
      </c>
      <c r="E31" s="233">
        <f t="shared" si="3"/>
        <v>28467.588</v>
      </c>
      <c r="F31" s="233">
        <f t="shared" si="0"/>
        <v>30802.4712</v>
      </c>
      <c r="G31" s="235">
        <f t="shared" si="7"/>
        <v>0.30219884435765659</v>
      </c>
      <c r="H31" s="237">
        <f t="shared" si="4"/>
        <v>3021847.5999999996</v>
      </c>
      <c r="I31" s="237">
        <f t="shared" si="4"/>
        <v>1825195.9503999997</v>
      </c>
      <c r="J31" s="237">
        <f t="shared" si="4"/>
        <v>1196651.6495999999</v>
      </c>
      <c r="K31" s="237">
        <f t="shared" si="8"/>
        <v>5971206.4349999996</v>
      </c>
      <c r="L31" s="237">
        <f t="shared" si="5"/>
        <v>7528041.5999999996</v>
      </c>
      <c r="M31" s="238">
        <f t="shared" si="1"/>
        <v>0.40141218135670237</v>
      </c>
      <c r="R31" s="89"/>
      <c r="S31" s="89"/>
    </row>
    <row r="32" spans="2:19" ht="22.5" customHeight="1" x14ac:dyDescent="0.35">
      <c r="B32" s="1" t="s">
        <v>157</v>
      </c>
      <c r="C32" s="233">
        <f t="shared" si="2"/>
        <v>21593.477999999999</v>
      </c>
      <c r="D32" s="233">
        <f t="shared" si="6"/>
        <v>60326</v>
      </c>
      <c r="E32" s="233">
        <f t="shared" si="3"/>
        <v>60326</v>
      </c>
      <c r="F32" s="233">
        <f t="shared" si="0"/>
        <v>39314.478000000003</v>
      </c>
      <c r="G32" s="235">
        <f t="shared" si="7"/>
        <v>0.54925002438033133</v>
      </c>
      <c r="H32" s="237">
        <f t="shared" si="4"/>
        <v>5340284.68</v>
      </c>
      <c r="I32" s="237">
        <f t="shared" si="4"/>
        <v>3225531.9467199999</v>
      </c>
      <c r="J32" s="237">
        <f t="shared" si="4"/>
        <v>2114752.7332800003</v>
      </c>
      <c r="K32" s="237">
        <f t="shared" si="8"/>
        <v>8419942.0468533486</v>
      </c>
      <c r="L32" s="237">
        <f t="shared" si="5"/>
        <v>10305657.440000001</v>
      </c>
      <c r="M32" s="238">
        <f t="shared" si="1"/>
        <v>0.51818961682856002</v>
      </c>
      <c r="R32" s="89"/>
      <c r="S32" s="89"/>
    </row>
    <row r="33" spans="2:21" ht="22.5" customHeight="1" x14ac:dyDescent="0.35">
      <c r="B33" s="1" t="s">
        <v>150</v>
      </c>
      <c r="C33" s="233">
        <f>C51+C68</f>
        <v>0</v>
      </c>
      <c r="D33" s="233">
        <f t="shared" si="6"/>
        <v>27978</v>
      </c>
      <c r="E33" s="233">
        <f t="shared" si="3"/>
        <v>27978</v>
      </c>
      <c r="F33" s="233">
        <f t="shared" si="0"/>
        <v>26500</v>
      </c>
      <c r="G33" s="235">
        <f t="shared" si="7"/>
        <v>0</v>
      </c>
      <c r="H33" s="237">
        <f t="shared" si="4"/>
        <v>1856399.1800000002</v>
      </c>
      <c r="I33" s="237">
        <f t="shared" si="4"/>
        <v>0</v>
      </c>
      <c r="J33" s="237">
        <f t="shared" si="4"/>
        <v>1856399.1800000002</v>
      </c>
      <c r="K33" s="237">
        <f t="shared" si="8"/>
        <v>2197859</v>
      </c>
      <c r="L33" s="237">
        <f t="shared" si="5"/>
        <v>4374278.5171428565</v>
      </c>
      <c r="M33" s="238">
        <f t="shared" si="1"/>
        <v>0.42438979884905514</v>
      </c>
      <c r="R33" s="89"/>
      <c r="S33" s="89"/>
    </row>
    <row r="34" spans="2:21" ht="22.5" customHeight="1" x14ac:dyDescent="0.35">
      <c r="B34" s="1" t="s">
        <v>151</v>
      </c>
      <c r="C34" s="233">
        <f t="shared" si="2"/>
        <v>27887.879967287201</v>
      </c>
      <c r="D34" s="233">
        <f t="shared" si="6"/>
        <v>100104</v>
      </c>
      <c r="E34" s="233">
        <f t="shared" si="3"/>
        <v>100104</v>
      </c>
      <c r="F34" s="233">
        <f t="shared" si="0"/>
        <v>68766.358724787206</v>
      </c>
      <c r="G34" s="235">
        <f t="shared" si="7"/>
        <v>0.40554539289914249</v>
      </c>
      <c r="H34" s="237">
        <f t="shared" si="4"/>
        <v>5832395.4900000002</v>
      </c>
      <c r="I34" s="237">
        <f t="shared" si="4"/>
        <v>3522766.8759599999</v>
      </c>
      <c r="J34" s="237">
        <f t="shared" si="4"/>
        <v>2309628.6140400004</v>
      </c>
      <c r="K34" s="237">
        <f t="shared" si="8"/>
        <v>25221960.441124476</v>
      </c>
      <c r="L34" s="237">
        <f t="shared" si="5"/>
        <v>12071103.49</v>
      </c>
      <c r="M34" s="238">
        <f t="shared" si="1"/>
        <v>0.48317003452349661</v>
      </c>
      <c r="R34" s="89"/>
      <c r="S34" s="89"/>
    </row>
    <row r="35" spans="2:21" ht="22.5" customHeight="1" x14ac:dyDescent="0.35">
      <c r="B35" s="1" t="s">
        <v>156</v>
      </c>
      <c r="C35" s="233">
        <f t="shared" si="2"/>
        <v>558.16123800000003</v>
      </c>
      <c r="D35" s="233">
        <f t="shared" si="6"/>
        <v>1654</v>
      </c>
      <c r="E35" s="233">
        <f t="shared" si="3"/>
        <v>1654</v>
      </c>
      <c r="F35" s="233">
        <f t="shared" si="0"/>
        <v>3429.4333019999995</v>
      </c>
      <c r="G35" s="235">
        <f t="shared" si="7"/>
        <v>0.16275611415871186</v>
      </c>
      <c r="H35" s="237">
        <f t="shared" si="4"/>
        <v>692230.45</v>
      </c>
      <c r="I35" s="237">
        <f t="shared" si="4"/>
        <v>0</v>
      </c>
      <c r="J35" s="237">
        <f t="shared" si="4"/>
        <v>692230.45</v>
      </c>
      <c r="K35" s="237">
        <f t="shared" si="8"/>
        <v>1936224.5</v>
      </c>
      <c r="L35" s="237">
        <f t="shared" si="5"/>
        <v>1607774.4500000002</v>
      </c>
      <c r="M35" s="238">
        <f t="shared" si="1"/>
        <v>0.43055196579346056</v>
      </c>
      <c r="R35" s="89"/>
      <c r="S35" s="89"/>
    </row>
    <row r="36" spans="2:21" ht="22.5" customHeight="1" x14ac:dyDescent="0.35">
      <c r="B36" s="1" t="s">
        <v>152</v>
      </c>
      <c r="C36" s="233">
        <f>C71</f>
        <v>387</v>
      </c>
      <c r="D36" s="233">
        <f>D71</f>
        <v>1826</v>
      </c>
      <c r="E36" s="233">
        <f>E71</f>
        <v>1826</v>
      </c>
      <c r="F36" s="233">
        <f>F71</f>
        <v>1468</v>
      </c>
      <c r="G36" s="235">
        <f t="shared" si="7"/>
        <v>0.26362397820163486</v>
      </c>
      <c r="H36" s="237">
        <f>H71</f>
        <v>536110.41</v>
      </c>
      <c r="I36" s="237">
        <f>I71</f>
        <v>323810.68764000002</v>
      </c>
      <c r="J36" s="237">
        <f>J71</f>
        <v>212299.72236000001</v>
      </c>
      <c r="K36" s="237">
        <f>K71</f>
        <v>2198986.0352339754</v>
      </c>
      <c r="L36" s="237">
        <f>L71</f>
        <v>1558198.4100000001</v>
      </c>
      <c r="M36" s="238">
        <f t="shared" si="1"/>
        <v>0.34405785974329162</v>
      </c>
      <c r="R36" s="89"/>
      <c r="S36" s="89"/>
    </row>
    <row r="37" spans="2:21" ht="22.5" customHeight="1" x14ac:dyDescent="0.35">
      <c r="B37" s="1" t="s">
        <v>206</v>
      </c>
      <c r="C37" s="245" t="s">
        <v>176</v>
      </c>
      <c r="D37" s="245" t="s">
        <v>176</v>
      </c>
      <c r="E37" s="245" t="str">
        <f t="shared" si="3"/>
        <v>N/A</v>
      </c>
      <c r="F37" s="245" t="s">
        <v>176</v>
      </c>
      <c r="G37" s="245" t="s">
        <v>176</v>
      </c>
      <c r="H37" s="237">
        <f t="shared" ref="H37:L38" si="9">H54+H72</f>
        <v>1248858.9100000001</v>
      </c>
      <c r="I37" s="237">
        <f t="shared" si="9"/>
        <v>0</v>
      </c>
      <c r="J37" s="237">
        <f t="shared" si="9"/>
        <v>1248858.9100000001</v>
      </c>
      <c r="K37" s="237">
        <f t="shared" si="9"/>
        <v>3150000</v>
      </c>
      <c r="L37" s="237">
        <f t="shared" si="9"/>
        <v>3783234.5</v>
      </c>
      <c r="M37" s="238">
        <f t="shared" si="1"/>
        <v>0.33010348948763291</v>
      </c>
      <c r="R37" s="89"/>
      <c r="S37" s="89"/>
    </row>
    <row r="38" spans="2:21" ht="22.5" customHeight="1" x14ac:dyDescent="0.35">
      <c r="B38" s="1" t="s">
        <v>219</v>
      </c>
      <c r="C38" s="245" t="s">
        <v>176</v>
      </c>
      <c r="D38" s="245" t="s">
        <v>176</v>
      </c>
      <c r="E38" s="245" t="str">
        <f>D38</f>
        <v>N/A</v>
      </c>
      <c r="F38" s="245" t="s">
        <v>176</v>
      </c>
      <c r="G38" s="245" t="s">
        <v>176</v>
      </c>
      <c r="H38" s="237">
        <f t="shared" si="9"/>
        <v>776972.69</v>
      </c>
      <c r="I38" s="237">
        <f t="shared" si="9"/>
        <v>0</v>
      </c>
      <c r="J38" s="237">
        <f t="shared" si="9"/>
        <v>776972.69</v>
      </c>
      <c r="K38" s="237">
        <f t="shared" si="9"/>
        <v>0</v>
      </c>
      <c r="L38" s="237">
        <f t="shared" si="9"/>
        <v>2426032.35</v>
      </c>
      <c r="M38" s="238">
        <f t="shared" si="1"/>
        <v>0.32026476893434663</v>
      </c>
      <c r="R38" s="89"/>
      <c r="S38" s="89"/>
    </row>
    <row r="39" spans="2:21" ht="22.5" customHeight="1" x14ac:dyDescent="0.35">
      <c r="B39" s="2" t="s">
        <v>31</v>
      </c>
      <c r="C39" s="167">
        <f>SUM(C22,C27:C38)</f>
        <v>388485.92157716217</v>
      </c>
      <c r="D39" s="167">
        <f>SUM(D22,D27:D38)</f>
        <v>925891.51826623175</v>
      </c>
      <c r="E39" s="167">
        <f>SUM(E22,E27:E38)</f>
        <v>925891.51826623175</v>
      </c>
      <c r="F39" s="167">
        <f>SUM(F22,F27:F38)</f>
        <v>833116.09884044412</v>
      </c>
      <c r="G39" s="195">
        <f>C39/F39</f>
        <v>0.46630466284095157</v>
      </c>
      <c r="H39" s="169">
        <f>SUM(H22,H27:H38)</f>
        <v>85100407.629999995</v>
      </c>
      <c r="I39" s="169">
        <f>SUM(I22,I27:I38)</f>
        <v>48637671.625599995</v>
      </c>
      <c r="J39" s="169">
        <f>SUM(J22,J27:J38)</f>
        <v>36462736.0044</v>
      </c>
      <c r="K39" s="169">
        <f>SUM(K22,K27:K38)</f>
        <v>177219967.09810314</v>
      </c>
      <c r="L39" s="169">
        <f>SUM(L22,L27:L38)</f>
        <v>169957120.61114284</v>
      </c>
      <c r="M39" s="168">
        <f>H39/L39</f>
        <v>0.50071692979964844</v>
      </c>
      <c r="R39" s="89"/>
      <c r="S39" s="89"/>
    </row>
    <row r="40" spans="2:21" ht="22.5" customHeight="1" x14ac:dyDescent="0.35">
      <c r="B40" s="134" t="s">
        <v>182</v>
      </c>
      <c r="C40" s="245">
        <f>SUM(C41:C44)</f>
        <v>115377.27411424</v>
      </c>
      <c r="D40" s="245">
        <f>SUM(D41:D44)</f>
        <v>232743</v>
      </c>
      <c r="E40" s="247">
        <f t="shared" si="3"/>
        <v>232743</v>
      </c>
      <c r="F40" s="247">
        <f>SUM(F41:F44)</f>
        <v>224554.38603328256</v>
      </c>
      <c r="G40" s="246">
        <f t="shared" si="7"/>
        <v>0.51380548005479276</v>
      </c>
      <c r="H40" s="237">
        <f>SUM(H41:H44)</f>
        <v>23585265.109999996</v>
      </c>
      <c r="I40" s="237">
        <f>SUM(I41:I44)</f>
        <v>14245500.126439998</v>
      </c>
      <c r="J40" s="237">
        <f>SUM(J41:J44)</f>
        <v>9339764.9835599978</v>
      </c>
      <c r="K40" s="161">
        <v>41831399.001634441</v>
      </c>
      <c r="L40" s="237">
        <f>SUM(L41:L44)</f>
        <v>44471308.109999999</v>
      </c>
      <c r="M40" s="238">
        <f t="shared" ref="M40:M55" si="10">IF(L40=0,"N/A",H40/L40)</f>
        <v>0.5303479054778808</v>
      </c>
      <c r="R40" s="89"/>
      <c r="S40" s="89"/>
    </row>
    <row r="41" spans="2:21" ht="22.5" customHeight="1" x14ac:dyDescent="0.35">
      <c r="B41" s="143" t="s">
        <v>183</v>
      </c>
      <c r="C41" s="206">
        <v>109798.0926</v>
      </c>
      <c r="D41" s="164">
        <v>177357</v>
      </c>
      <c r="E41" s="248">
        <f t="shared" si="3"/>
        <v>177357</v>
      </c>
      <c r="F41" s="171">
        <v>200215.12347123359</v>
      </c>
      <c r="G41" s="243">
        <f t="shared" si="7"/>
        <v>0.54840059380317252</v>
      </c>
      <c r="H41" s="162">
        <v>21566318.339999996</v>
      </c>
      <c r="I41" s="240">
        <f>H41*0.604</f>
        <v>13026056.277359998</v>
      </c>
      <c r="J41" s="240">
        <f>H41-I41</f>
        <v>8540262.0626399983</v>
      </c>
      <c r="K41" s="162">
        <v>0</v>
      </c>
      <c r="L41" s="162">
        <v>38487576.339999996</v>
      </c>
      <c r="M41" s="243">
        <f t="shared" si="10"/>
        <v>0.56034493181598966</v>
      </c>
      <c r="R41" s="89"/>
      <c r="S41" s="89"/>
    </row>
    <row r="42" spans="2:21" ht="22.5" customHeight="1" x14ac:dyDescent="0.35">
      <c r="B42" s="143" t="s">
        <v>184</v>
      </c>
      <c r="C42" s="206">
        <v>5579.181514240001</v>
      </c>
      <c r="D42" s="164">
        <v>55386</v>
      </c>
      <c r="E42" s="248">
        <f t="shared" si="3"/>
        <v>55386</v>
      </c>
      <c r="F42" s="171">
        <v>24339.262562048956</v>
      </c>
      <c r="G42" s="243">
        <f t="shared" si="7"/>
        <v>0.22922557739852606</v>
      </c>
      <c r="H42" s="162">
        <v>2018946.7699999998</v>
      </c>
      <c r="I42" s="240">
        <f>H42*0.604</f>
        <v>1219443.8490799998</v>
      </c>
      <c r="J42" s="240">
        <f t="shared" ref="J42:J73" si="11">H42-I42</f>
        <v>799502.92091999995</v>
      </c>
      <c r="K42" s="162">
        <v>0</v>
      </c>
      <c r="L42" s="162">
        <v>5983731.7699999996</v>
      </c>
      <c r="M42" s="243">
        <f t="shared" si="10"/>
        <v>0.33740596129695832</v>
      </c>
      <c r="R42" s="89"/>
      <c r="S42" s="89"/>
    </row>
    <row r="43" spans="2:21" ht="22.5" customHeight="1" x14ac:dyDescent="0.35">
      <c r="B43" s="143" t="s">
        <v>185</v>
      </c>
      <c r="C43" s="206">
        <v>0</v>
      </c>
      <c r="D43" s="164">
        <v>0</v>
      </c>
      <c r="E43" s="248">
        <f t="shared" si="3"/>
        <v>0</v>
      </c>
      <c r="F43" s="171">
        <v>0</v>
      </c>
      <c r="G43" s="243" t="str">
        <f t="shared" si="7"/>
        <v>N/A</v>
      </c>
      <c r="H43" s="162">
        <v>0</v>
      </c>
      <c r="I43" s="240"/>
      <c r="J43" s="240">
        <f t="shared" si="11"/>
        <v>0</v>
      </c>
      <c r="K43" s="162">
        <v>0</v>
      </c>
      <c r="L43" s="162">
        <v>0</v>
      </c>
      <c r="M43" s="243" t="str">
        <f t="shared" si="10"/>
        <v>N/A</v>
      </c>
      <c r="R43" s="89"/>
      <c r="S43" s="89"/>
    </row>
    <row r="44" spans="2:21" s="62" customFormat="1" ht="22.5" customHeight="1" x14ac:dyDescent="0.35">
      <c r="B44" s="143" t="s">
        <v>251</v>
      </c>
      <c r="C44" s="206">
        <v>0</v>
      </c>
      <c r="D44" s="164">
        <v>0</v>
      </c>
      <c r="E44" s="248">
        <f t="shared" si="3"/>
        <v>0</v>
      </c>
      <c r="F44" s="171">
        <v>0</v>
      </c>
      <c r="G44" s="243" t="str">
        <f t="shared" si="7"/>
        <v>N/A</v>
      </c>
      <c r="H44" s="162">
        <v>0</v>
      </c>
      <c r="I44" s="240">
        <f t="shared" ref="I44:I50" si="12">H44*0.604</f>
        <v>0</v>
      </c>
      <c r="J44" s="240">
        <f t="shared" si="11"/>
        <v>0</v>
      </c>
      <c r="K44" s="162">
        <v>0</v>
      </c>
      <c r="L44" s="162">
        <v>0</v>
      </c>
      <c r="M44" s="243" t="str">
        <f t="shared" si="10"/>
        <v>N/A</v>
      </c>
      <c r="R44" s="42"/>
      <c r="S44" s="42"/>
    </row>
    <row r="45" spans="2:21" ht="22.5" customHeight="1" x14ac:dyDescent="0.35">
      <c r="B45" s="134" t="s">
        <v>186</v>
      </c>
      <c r="C45" s="165">
        <v>101500.72725000001</v>
      </c>
      <c r="D45" s="164">
        <v>156989.71195075731</v>
      </c>
      <c r="E45" s="247">
        <f t="shared" si="3"/>
        <v>156989.71195075731</v>
      </c>
      <c r="F45" s="171">
        <v>174999.99924999999</v>
      </c>
      <c r="G45" s="243">
        <f>IF(F45=0,"N/A",C45/F45)</f>
        <v>0.58000415820001794</v>
      </c>
      <c r="H45" s="161">
        <v>26675968.439999998</v>
      </c>
      <c r="I45" s="240">
        <f t="shared" si="12"/>
        <v>16112284.937759997</v>
      </c>
      <c r="J45" s="240">
        <f t="shared" si="11"/>
        <v>10563683.50224</v>
      </c>
      <c r="K45" s="161">
        <v>43516157.823034257</v>
      </c>
      <c r="L45" s="161">
        <v>47461200.020000003</v>
      </c>
      <c r="M45" s="238">
        <f t="shared" si="10"/>
        <v>0.56205844834852103</v>
      </c>
      <c r="R45" s="89"/>
      <c r="S45" s="89"/>
    </row>
    <row r="46" spans="2:21" ht="22.5" customHeight="1" x14ac:dyDescent="0.35">
      <c r="B46" s="134" t="s">
        <v>187</v>
      </c>
      <c r="C46" s="165">
        <v>76374.539512917894</v>
      </c>
      <c r="D46" s="164">
        <v>198374.34009690277</v>
      </c>
      <c r="E46" s="247">
        <f t="shared" si="3"/>
        <v>198374.34009690277</v>
      </c>
      <c r="F46" s="171">
        <v>183751.2849164223</v>
      </c>
      <c r="G46" s="238">
        <f t="shared" si="7"/>
        <v>0.41564084598187273</v>
      </c>
      <c r="H46" s="161">
        <v>6497693.8799999999</v>
      </c>
      <c r="I46" s="240">
        <f t="shared" si="12"/>
        <v>3924607.1035199999</v>
      </c>
      <c r="J46" s="240">
        <f t="shared" si="11"/>
        <v>2573086.77648</v>
      </c>
      <c r="K46" s="161">
        <v>13182060.704426358</v>
      </c>
      <c r="L46" s="161">
        <v>15295090.879999999</v>
      </c>
      <c r="M46" s="238">
        <f t="shared" si="10"/>
        <v>0.42482218189997445</v>
      </c>
      <c r="R46" s="89"/>
      <c r="S46" s="89"/>
      <c r="U46" s="62"/>
    </row>
    <row r="47" spans="2:21" ht="22.5" customHeight="1" x14ac:dyDescent="0.35">
      <c r="B47" s="134" t="s">
        <v>229</v>
      </c>
      <c r="C47" s="165">
        <v>0</v>
      </c>
      <c r="D47" s="170">
        <v>0</v>
      </c>
      <c r="E47" s="247">
        <f t="shared" si="3"/>
        <v>0</v>
      </c>
      <c r="F47" s="170">
        <v>0</v>
      </c>
      <c r="G47" s="238" t="str">
        <f t="shared" si="7"/>
        <v>N/A</v>
      </c>
      <c r="H47" s="161">
        <v>0</v>
      </c>
      <c r="I47" s="240">
        <f t="shared" si="12"/>
        <v>0</v>
      </c>
      <c r="J47" s="240">
        <f t="shared" si="11"/>
        <v>0</v>
      </c>
      <c r="K47" s="161">
        <v>4984085</v>
      </c>
      <c r="L47" s="161">
        <v>0</v>
      </c>
      <c r="M47" s="238" t="str">
        <f t="shared" si="10"/>
        <v>N/A</v>
      </c>
      <c r="R47" s="89"/>
      <c r="S47" s="89"/>
    </row>
    <row r="48" spans="2:21" ht="22.5" customHeight="1" x14ac:dyDescent="0.35">
      <c r="B48" s="134" t="s">
        <v>188</v>
      </c>
      <c r="C48" s="165">
        <v>7308.7577501999986</v>
      </c>
      <c r="D48" s="170">
        <v>28376.990057067615</v>
      </c>
      <c r="E48" s="247">
        <f t="shared" si="3"/>
        <v>28376.990057067615</v>
      </c>
      <c r="F48" s="171">
        <v>11867.714573074998</v>
      </c>
      <c r="G48" s="238">
        <f t="shared" si="7"/>
        <v>0.61585216809829746</v>
      </c>
      <c r="H48" s="161">
        <v>2653041.96</v>
      </c>
      <c r="I48" s="240">
        <f t="shared" si="12"/>
        <v>1602437.34384</v>
      </c>
      <c r="J48" s="240">
        <f t="shared" si="11"/>
        <v>1050604.61616</v>
      </c>
      <c r="K48" s="161">
        <v>9722720.3568630088</v>
      </c>
      <c r="L48" s="161">
        <v>4866490.0640000012</v>
      </c>
      <c r="M48" s="238">
        <f t="shared" si="10"/>
        <v>0.54516539130038577</v>
      </c>
      <c r="R48" s="89"/>
      <c r="S48" s="187"/>
      <c r="T48" s="142"/>
    </row>
    <row r="49" spans="2:22" ht="22.5" customHeight="1" x14ac:dyDescent="0.35">
      <c r="B49" s="134" t="s">
        <v>189</v>
      </c>
      <c r="C49" s="165">
        <v>9308.4712</v>
      </c>
      <c r="D49" s="170">
        <v>27907.588</v>
      </c>
      <c r="E49" s="247">
        <f t="shared" si="3"/>
        <v>27907.588</v>
      </c>
      <c r="F49" s="171">
        <v>30802.4712</v>
      </c>
      <c r="G49" s="238">
        <f t="shared" si="7"/>
        <v>0.30219884435765659</v>
      </c>
      <c r="H49" s="161">
        <v>3021847.5999999996</v>
      </c>
      <c r="I49" s="240">
        <f t="shared" si="12"/>
        <v>1825195.9503999997</v>
      </c>
      <c r="J49" s="240">
        <f t="shared" si="11"/>
        <v>1196651.6495999999</v>
      </c>
      <c r="K49" s="161">
        <v>5845529.2119884165</v>
      </c>
      <c r="L49" s="161">
        <v>7528041.5999999996</v>
      </c>
      <c r="M49" s="238">
        <f t="shared" si="10"/>
        <v>0.40141218135670237</v>
      </c>
      <c r="R49" s="89"/>
      <c r="S49" s="89"/>
    </row>
    <row r="50" spans="2:22" ht="22.5" customHeight="1" x14ac:dyDescent="0.35">
      <c r="B50" s="134" t="s">
        <v>190</v>
      </c>
      <c r="C50" s="165">
        <v>15304.419</v>
      </c>
      <c r="D50" s="170">
        <f>25396+28532</f>
        <v>53928</v>
      </c>
      <c r="E50" s="247">
        <f t="shared" si="3"/>
        <v>53928</v>
      </c>
      <c r="F50" s="171">
        <v>28583.419000000002</v>
      </c>
      <c r="G50" s="238">
        <f t="shared" si="7"/>
        <v>0.53542996378424845</v>
      </c>
      <c r="H50" s="161">
        <f>3691856.33+9544</f>
        <v>3701400.33</v>
      </c>
      <c r="I50" s="240">
        <f t="shared" si="12"/>
        <v>2235645.7993199998</v>
      </c>
      <c r="J50" s="240">
        <f t="shared" si="11"/>
        <v>1465754.5306800003</v>
      </c>
      <c r="K50" s="161">
        <v>6479061.3964463836</v>
      </c>
      <c r="L50" s="161">
        <f>7377300.33+9543.56</f>
        <v>7386843.8899999997</v>
      </c>
      <c r="M50" s="238">
        <f t="shared" si="10"/>
        <v>0.50108008035892038</v>
      </c>
      <c r="R50" s="89"/>
      <c r="S50" s="89"/>
      <c r="V50" s="144"/>
    </row>
    <row r="51" spans="2:22" ht="22.5" customHeight="1" x14ac:dyDescent="0.35">
      <c r="B51" s="134" t="s">
        <v>180</v>
      </c>
      <c r="C51" s="165">
        <v>0</v>
      </c>
      <c r="D51" s="170">
        <v>22382</v>
      </c>
      <c r="E51" s="247">
        <f t="shared" si="3"/>
        <v>22382</v>
      </c>
      <c r="F51" s="171">
        <v>20000</v>
      </c>
      <c r="G51" s="238">
        <f t="shared" si="7"/>
        <v>0</v>
      </c>
      <c r="H51" s="161">
        <v>1211754.0100000002</v>
      </c>
      <c r="I51" s="237">
        <v>0</v>
      </c>
      <c r="J51" s="240">
        <f t="shared" si="11"/>
        <v>1211754.0100000002</v>
      </c>
      <c r="K51" s="161">
        <v>1758287.2</v>
      </c>
      <c r="L51" s="161">
        <v>3169054.347142857</v>
      </c>
      <c r="M51" s="238">
        <f t="shared" si="10"/>
        <v>0.38237085176292052</v>
      </c>
      <c r="R51" s="89"/>
      <c r="S51" s="89"/>
    </row>
    <row r="52" spans="2:22" ht="22.5" customHeight="1" x14ac:dyDescent="0.35">
      <c r="B52" s="134" t="s">
        <v>181</v>
      </c>
      <c r="C52" s="165">
        <v>1631.453246</v>
      </c>
      <c r="D52" s="170">
        <v>14927</v>
      </c>
      <c r="E52" s="247">
        <f t="shared" si="3"/>
        <v>14927</v>
      </c>
      <c r="F52" s="171">
        <v>14942.865245999999</v>
      </c>
      <c r="G52" s="238">
        <f t="shared" si="7"/>
        <v>0.10917941232433437</v>
      </c>
      <c r="H52" s="161">
        <v>0</v>
      </c>
      <c r="I52" s="237">
        <v>0</v>
      </c>
      <c r="J52" s="240">
        <f t="shared" si="11"/>
        <v>0</v>
      </c>
      <c r="K52" s="161">
        <v>9909234.7493979465</v>
      </c>
      <c r="L52" s="161"/>
      <c r="M52" s="238" t="str">
        <f t="shared" si="10"/>
        <v>N/A</v>
      </c>
      <c r="R52" s="89"/>
      <c r="S52" s="89"/>
    </row>
    <row r="53" spans="2:22" ht="30.75" customHeight="1" x14ac:dyDescent="0.35">
      <c r="B53" s="134" t="s">
        <v>232</v>
      </c>
      <c r="C53" s="165">
        <v>483.82211799999999</v>
      </c>
      <c r="D53" s="170">
        <v>1323</v>
      </c>
      <c r="E53" s="247">
        <f t="shared" si="3"/>
        <v>1323</v>
      </c>
      <c r="F53" s="171">
        <v>2970.6551919999993</v>
      </c>
      <c r="G53" s="238">
        <f t="shared" si="7"/>
        <v>0.16286714099399258</v>
      </c>
      <c r="H53" s="161">
        <v>493850.6</v>
      </c>
      <c r="I53" s="237">
        <v>0</v>
      </c>
      <c r="J53" s="240">
        <f t="shared" si="11"/>
        <v>493850.6</v>
      </c>
      <c r="K53" s="161">
        <v>1558979.6</v>
      </c>
      <c r="L53" s="161">
        <v>1160127.6000000001</v>
      </c>
      <c r="M53" s="238">
        <f t="shared" si="10"/>
        <v>0.42568645035253011</v>
      </c>
      <c r="R53" s="89"/>
      <c r="S53" s="89"/>
    </row>
    <row r="54" spans="2:22" ht="22.5" customHeight="1" x14ac:dyDescent="0.35">
      <c r="B54" s="134" t="s">
        <v>204</v>
      </c>
      <c r="C54" s="165" t="s">
        <v>176</v>
      </c>
      <c r="D54" s="165" t="s">
        <v>176</v>
      </c>
      <c r="E54" s="245" t="str">
        <f t="shared" si="3"/>
        <v>N/A</v>
      </c>
      <c r="F54" s="165" t="s">
        <v>176</v>
      </c>
      <c r="G54" s="245" t="s">
        <v>176</v>
      </c>
      <c r="H54" s="161">
        <v>875701.40000000014</v>
      </c>
      <c r="I54" s="237">
        <v>0</v>
      </c>
      <c r="J54" s="240">
        <f t="shared" si="11"/>
        <v>875701.40000000014</v>
      </c>
      <c r="K54" s="161">
        <v>1650000</v>
      </c>
      <c r="L54" s="161">
        <v>2833070.99</v>
      </c>
      <c r="M54" s="238">
        <f t="shared" si="10"/>
        <v>0.30909970243986018</v>
      </c>
      <c r="R54" s="89"/>
      <c r="S54" s="89"/>
    </row>
    <row r="55" spans="2:22" ht="22.5" customHeight="1" x14ac:dyDescent="0.35">
      <c r="B55" s="134" t="s">
        <v>211</v>
      </c>
      <c r="C55" s="165" t="s">
        <v>176</v>
      </c>
      <c r="D55" s="165" t="s">
        <v>176</v>
      </c>
      <c r="E55" s="245" t="str">
        <f t="shared" si="3"/>
        <v>N/A</v>
      </c>
      <c r="F55" s="165" t="s">
        <v>176</v>
      </c>
      <c r="G55" s="245" t="s">
        <v>176</v>
      </c>
      <c r="H55" s="161">
        <f>637124+139848.69</f>
        <v>776972.69</v>
      </c>
      <c r="I55" s="237">
        <v>0</v>
      </c>
      <c r="J55" s="240">
        <f t="shared" si="11"/>
        <v>776972.69</v>
      </c>
      <c r="K55" s="161">
        <v>0</v>
      </c>
      <c r="L55" s="161">
        <f>2146335+279697.35</f>
        <v>2426032.35</v>
      </c>
      <c r="M55" s="238">
        <f t="shared" si="10"/>
        <v>0.32026476893434663</v>
      </c>
      <c r="R55" s="89"/>
      <c r="S55" s="89"/>
    </row>
    <row r="56" spans="2:22" ht="22.5" customHeight="1" x14ac:dyDescent="0.35">
      <c r="B56" s="88" t="s">
        <v>45</v>
      </c>
      <c r="C56" s="258">
        <f>SUM(C40,C45:C55)</f>
        <v>327289.46419135795</v>
      </c>
      <c r="D56" s="258">
        <f>SUM(D40,D45:D55)</f>
        <v>736951.63010472769</v>
      </c>
      <c r="E56" s="258">
        <f>SUM(E40,E45:E55)</f>
        <v>736951.63010472769</v>
      </c>
      <c r="F56" s="258">
        <f>SUM(F40,F45:F55)</f>
        <v>692472.79541077977</v>
      </c>
      <c r="G56" s="184">
        <f>C56/F56</f>
        <v>0.47263873232335074</v>
      </c>
      <c r="H56" s="259">
        <f>SUM(H40,H45:H55)</f>
        <v>69493496.019999996</v>
      </c>
      <c r="I56" s="259">
        <f>SUM(I40,I45:I55)</f>
        <v>39945671.26128</v>
      </c>
      <c r="J56" s="259">
        <f>H56-I56</f>
        <v>29547824.758719996</v>
      </c>
      <c r="K56" s="259">
        <f>SUM(K40,K45:K55)</f>
        <v>140437515.04379082</v>
      </c>
      <c r="L56" s="259">
        <f>SUM(L40,L45:L55)</f>
        <v>136597259.85114282</v>
      </c>
      <c r="M56" s="184">
        <f>H56/L56</f>
        <v>0.50874736503302254</v>
      </c>
      <c r="R56" s="89"/>
      <c r="S56" s="89"/>
    </row>
    <row r="57" spans="2:22" ht="22.5" customHeight="1" x14ac:dyDescent="0.35">
      <c r="B57" s="134" t="s">
        <v>191</v>
      </c>
      <c r="C57" s="233">
        <f>SUM(C58:C61)</f>
        <v>12312.451267760001</v>
      </c>
      <c r="D57" s="233">
        <f>SUM(D58:D61)</f>
        <v>68122</v>
      </c>
      <c r="E57" s="233">
        <f t="shared" si="3"/>
        <v>68122</v>
      </c>
      <c r="F57" s="233">
        <f>SUM(F58:F61)</f>
        <v>28422.102247042763</v>
      </c>
      <c r="G57" s="238">
        <f>IF(F57=0,"N/A",C57/F57)</f>
        <v>0.43319987947200761</v>
      </c>
      <c r="H57" s="237">
        <f>SUM(H58:H61)</f>
        <v>3483951.1999999997</v>
      </c>
      <c r="I57" s="237">
        <f>SUM(I58:I61)</f>
        <v>2104306.5247999998</v>
      </c>
      <c r="J57" s="240">
        <f t="shared" si="11"/>
        <v>1379644.6751999999</v>
      </c>
      <c r="K57" s="161">
        <v>11220322.299223118</v>
      </c>
      <c r="L57" s="237">
        <f>SUM(L58:L61)</f>
        <v>7169441.1999999993</v>
      </c>
      <c r="M57" s="238">
        <f t="shared" ref="M57:M73" si="13">IF(L57=0,"N/A",H57/L57)</f>
        <v>0.48594459495671716</v>
      </c>
      <c r="R57" s="89"/>
      <c r="S57" s="89"/>
    </row>
    <row r="58" spans="2:22" ht="22.5" customHeight="1" x14ac:dyDescent="0.35">
      <c r="B58" s="143" t="s">
        <v>192</v>
      </c>
      <c r="C58" s="163">
        <v>12085.844150000001</v>
      </c>
      <c r="D58" s="164">
        <v>32065</v>
      </c>
      <c r="E58" s="239">
        <f t="shared" si="3"/>
        <v>32065</v>
      </c>
      <c r="F58" s="171">
        <v>24479.472294857602</v>
      </c>
      <c r="G58" s="243">
        <f>IF(F58=0,"N/A",C58/F58)</f>
        <v>0.4937134266794988</v>
      </c>
      <c r="H58" s="162">
        <v>3226803.8699999996</v>
      </c>
      <c r="I58" s="240">
        <f>H58*0.604</f>
        <v>1948989.5374799997</v>
      </c>
      <c r="J58" s="240">
        <f t="shared" si="11"/>
        <v>1277814.3325199999</v>
      </c>
      <c r="K58" s="162">
        <v>0</v>
      </c>
      <c r="L58" s="162">
        <v>6008439.8699999992</v>
      </c>
      <c r="M58" s="238">
        <f t="shared" si="13"/>
        <v>0.53704521303630859</v>
      </c>
      <c r="R58" s="89"/>
      <c r="S58" s="89"/>
    </row>
    <row r="59" spans="2:22" ht="22.5" customHeight="1" x14ac:dyDescent="0.35">
      <c r="B59" s="143" t="s">
        <v>196</v>
      </c>
      <c r="C59" s="163">
        <v>226.60711775999999</v>
      </c>
      <c r="D59" s="164">
        <v>36057</v>
      </c>
      <c r="E59" s="239">
        <f t="shared" si="3"/>
        <v>36057</v>
      </c>
      <c r="F59" s="171">
        <v>3942.6299521851615</v>
      </c>
      <c r="G59" s="243">
        <f>IF(F59=0,"N/A",C59/F59)</f>
        <v>5.7476131543718771E-2</v>
      </c>
      <c r="H59" s="162">
        <v>257147.33000000005</v>
      </c>
      <c r="I59" s="240">
        <f>H59*0.604</f>
        <v>155316.98732000001</v>
      </c>
      <c r="J59" s="240">
        <f t="shared" si="11"/>
        <v>101830.34268000003</v>
      </c>
      <c r="K59" s="162">
        <v>0</v>
      </c>
      <c r="L59" s="162">
        <v>1161001.33</v>
      </c>
      <c r="M59" s="238">
        <f t="shared" si="13"/>
        <v>0.22148754127611553</v>
      </c>
      <c r="R59" s="89"/>
      <c r="S59" s="89"/>
    </row>
    <row r="60" spans="2:22" ht="22.5" customHeight="1" x14ac:dyDescent="0.35">
      <c r="B60" s="143" t="s">
        <v>195</v>
      </c>
      <c r="C60" s="163">
        <v>0</v>
      </c>
      <c r="D60" s="163">
        <v>0</v>
      </c>
      <c r="E60" s="239">
        <f t="shared" si="3"/>
        <v>0</v>
      </c>
      <c r="F60" s="163">
        <v>0</v>
      </c>
      <c r="G60" s="243" t="str">
        <f>IF(F60=0,"N/A",C60/F60)</f>
        <v>N/A</v>
      </c>
      <c r="H60" s="162">
        <v>0</v>
      </c>
      <c r="I60" s="240"/>
      <c r="J60" s="240">
        <f t="shared" si="11"/>
        <v>0</v>
      </c>
      <c r="K60" s="162">
        <v>0</v>
      </c>
      <c r="L60" s="162">
        <v>0</v>
      </c>
      <c r="M60" s="238" t="str">
        <f t="shared" si="13"/>
        <v>N/A</v>
      </c>
      <c r="O60" s="136"/>
      <c r="R60" s="89"/>
      <c r="S60" s="89"/>
    </row>
    <row r="61" spans="2:22" s="62" customFormat="1" ht="22.5" customHeight="1" x14ac:dyDescent="0.35">
      <c r="B61" s="143" t="s">
        <v>253</v>
      </c>
      <c r="C61" s="163">
        <v>0</v>
      </c>
      <c r="D61" s="163">
        <v>0</v>
      </c>
      <c r="E61" s="239">
        <f>D61</f>
        <v>0</v>
      </c>
      <c r="F61" s="163">
        <v>0</v>
      </c>
      <c r="G61" s="243" t="str">
        <f t="shared" ref="G61:G71" si="14">IF(F61=0,"N/A",C61/F61)</f>
        <v>N/A</v>
      </c>
      <c r="H61" s="162">
        <v>0</v>
      </c>
      <c r="I61" s="240">
        <f t="shared" ref="I61:I67" si="15">H61*0.604</f>
        <v>0</v>
      </c>
      <c r="J61" s="240">
        <f t="shared" si="11"/>
        <v>0</v>
      </c>
      <c r="K61" s="162">
        <v>0</v>
      </c>
      <c r="L61" s="162">
        <v>0</v>
      </c>
      <c r="M61" s="238" t="str">
        <f t="shared" si="13"/>
        <v>N/A</v>
      </c>
      <c r="O61" s="160"/>
      <c r="P61" s="200"/>
      <c r="R61" s="42"/>
      <c r="S61" s="42"/>
    </row>
    <row r="62" spans="2:22" ht="22.5" customHeight="1" x14ac:dyDescent="0.35">
      <c r="B62" s="134" t="s">
        <v>194</v>
      </c>
      <c r="C62" s="164">
        <v>2807.6265606653997</v>
      </c>
      <c r="D62" s="164">
        <v>6279.5884780302877</v>
      </c>
      <c r="E62" s="233">
        <f t="shared" si="3"/>
        <v>6279.5884780302877</v>
      </c>
      <c r="F62" s="171">
        <v>8478.9866706653993</v>
      </c>
      <c r="G62" s="238">
        <f t="shared" si="14"/>
        <v>0.33112760636585215</v>
      </c>
      <c r="H62" s="161">
        <v>1375944.8000000003</v>
      </c>
      <c r="I62" s="240">
        <f t="shared" si="15"/>
        <v>831070.65920000011</v>
      </c>
      <c r="J62" s="240">
        <f t="shared" si="11"/>
        <v>544874.14080000017</v>
      </c>
      <c r="K62" s="161">
        <v>1740646.3129213694</v>
      </c>
      <c r="L62" s="161">
        <v>3433211.2</v>
      </c>
      <c r="M62" s="238">
        <f t="shared" si="13"/>
        <v>0.40077487805003087</v>
      </c>
      <c r="R62" s="89"/>
      <c r="S62" s="89"/>
    </row>
    <row r="63" spans="2:22" ht="22.5" customHeight="1" x14ac:dyDescent="0.35">
      <c r="B63" s="134" t="s">
        <v>193</v>
      </c>
      <c r="C63" s="164">
        <v>12671.361716091717</v>
      </c>
      <c r="D63" s="164">
        <v>12357.746051634</v>
      </c>
      <c r="E63" s="233">
        <f t="shared" si="3"/>
        <v>12357.746051634</v>
      </c>
      <c r="F63" s="171">
        <v>29332.633266813828</v>
      </c>
      <c r="G63" s="238">
        <f t="shared" si="14"/>
        <v>0.43198855011860676</v>
      </c>
      <c r="H63" s="161">
        <v>1282644.9900000002</v>
      </c>
      <c r="I63" s="240">
        <f t="shared" si="15"/>
        <v>774717.57396000007</v>
      </c>
      <c r="J63" s="240">
        <f t="shared" si="11"/>
        <v>507927.41604000016</v>
      </c>
      <c r="K63" s="161">
        <v>851853.73492994974</v>
      </c>
      <c r="L63" s="161">
        <v>2950752.99</v>
      </c>
      <c r="M63" s="238">
        <f t="shared" si="13"/>
        <v>0.434683958415645</v>
      </c>
      <c r="P63" s="199"/>
      <c r="R63" s="201"/>
      <c r="S63" s="89"/>
    </row>
    <row r="64" spans="2:22" ht="22.5" customHeight="1" x14ac:dyDescent="0.35">
      <c r="B64" s="134" t="s">
        <v>199</v>
      </c>
      <c r="C64" s="164">
        <v>0</v>
      </c>
      <c r="D64" s="164">
        <v>0</v>
      </c>
      <c r="E64" s="233">
        <f t="shared" si="3"/>
        <v>0</v>
      </c>
      <c r="F64" s="164"/>
      <c r="G64" s="238" t="str">
        <f t="shared" si="14"/>
        <v>N/A</v>
      </c>
      <c r="H64" s="161">
        <v>0</v>
      </c>
      <c r="I64" s="240">
        <f t="shared" si="15"/>
        <v>0</v>
      </c>
      <c r="J64" s="240">
        <f t="shared" si="11"/>
        <v>0</v>
      </c>
      <c r="K64" s="161">
        <v>199363.40000000002</v>
      </c>
      <c r="L64" s="161">
        <v>0</v>
      </c>
      <c r="M64" s="238" t="str">
        <f>IF(L64=0,"N/A",H64/L64)</f>
        <v>N/A</v>
      </c>
      <c r="R64" s="89"/>
      <c r="S64" s="89"/>
    </row>
    <row r="65" spans="2:19" ht="22.5" customHeight="1" x14ac:dyDescent="0.35">
      <c r="B65" s="134" t="s">
        <v>198</v>
      </c>
      <c r="C65" s="164">
        <v>398.19299999999998</v>
      </c>
      <c r="D65" s="164">
        <v>2292.5536318398181</v>
      </c>
      <c r="E65" s="233">
        <f t="shared" si="3"/>
        <v>2292.5536318398181</v>
      </c>
      <c r="F65" s="171">
        <v>1428.2506563549998</v>
      </c>
      <c r="G65" s="238">
        <f t="shared" si="14"/>
        <v>0.27879770138962701</v>
      </c>
      <c r="H65" s="161">
        <v>240797.84</v>
      </c>
      <c r="I65" s="240">
        <f t="shared" si="15"/>
        <v>145441.89535999999</v>
      </c>
      <c r="J65" s="240">
        <f t="shared" si="11"/>
        <v>95355.944640000002</v>
      </c>
      <c r="K65" s="161">
        <v>875180.00685885316</v>
      </c>
      <c r="L65" s="161">
        <v>655305.3899999999</v>
      </c>
      <c r="M65" s="238">
        <f t="shared" si="13"/>
        <v>0.36745896443793946</v>
      </c>
      <c r="R65" s="89"/>
      <c r="S65" s="89"/>
    </row>
    <row r="66" spans="2:19" ht="22.5" customHeight="1" x14ac:dyDescent="0.35">
      <c r="B66" s="134" t="s">
        <v>197</v>
      </c>
      <c r="C66" s="164">
        <v>0</v>
      </c>
      <c r="D66" s="164">
        <v>559.99999999999943</v>
      </c>
      <c r="E66" s="233">
        <f t="shared" si="3"/>
        <v>559.99999999999943</v>
      </c>
      <c r="F66" s="171">
        <v>0</v>
      </c>
      <c r="G66" s="238" t="str">
        <f t="shared" si="14"/>
        <v>N/A</v>
      </c>
      <c r="H66" s="161">
        <v>0</v>
      </c>
      <c r="I66" s="240">
        <f t="shared" si="15"/>
        <v>0</v>
      </c>
      <c r="J66" s="240">
        <f t="shared" si="11"/>
        <v>0</v>
      </c>
      <c r="K66" s="161">
        <v>125677.22301158306</v>
      </c>
      <c r="L66" s="161">
        <v>0</v>
      </c>
      <c r="M66" s="238" t="str">
        <f t="shared" si="13"/>
        <v>N/A</v>
      </c>
      <c r="R66" s="89"/>
      <c r="S66" s="89"/>
    </row>
    <row r="67" spans="2:19" ht="22.5" customHeight="1" x14ac:dyDescent="0.35">
      <c r="B67" s="134" t="s">
        <v>201</v>
      </c>
      <c r="C67" s="164">
        <v>6289.0590000000002</v>
      </c>
      <c r="D67" s="164">
        <f>5257+1141</f>
        <v>6398</v>
      </c>
      <c r="E67" s="233">
        <f t="shared" si="3"/>
        <v>6398</v>
      </c>
      <c r="F67" s="171">
        <v>10731.059000000001</v>
      </c>
      <c r="G67" s="238">
        <f t="shared" si="14"/>
        <v>0.5860613570384805</v>
      </c>
      <c r="H67" s="161">
        <v>1638884.35</v>
      </c>
      <c r="I67" s="240">
        <f t="shared" si="15"/>
        <v>989886.14740000002</v>
      </c>
      <c r="J67" s="240">
        <f t="shared" si="11"/>
        <v>648998.20260000008</v>
      </c>
      <c r="K67" s="161">
        <v>1940880.6504069648</v>
      </c>
      <c r="L67" s="161">
        <v>2918813.5500000007</v>
      </c>
      <c r="M67" s="238">
        <f t="shared" si="13"/>
        <v>0.56148990743173699</v>
      </c>
      <c r="R67" s="89"/>
      <c r="S67" s="89"/>
    </row>
    <row r="68" spans="2:19" ht="22.5" customHeight="1" x14ac:dyDescent="0.35">
      <c r="B68" s="134" t="s">
        <v>200</v>
      </c>
      <c r="C68" s="164">
        <v>0</v>
      </c>
      <c r="D68" s="164">
        <v>5596</v>
      </c>
      <c r="E68" s="233">
        <f t="shared" si="3"/>
        <v>5596</v>
      </c>
      <c r="F68" s="171">
        <v>6500</v>
      </c>
      <c r="G68" s="238">
        <f t="shared" si="14"/>
        <v>0</v>
      </c>
      <c r="H68" s="161">
        <v>644645.16999999993</v>
      </c>
      <c r="I68" s="237">
        <v>0</v>
      </c>
      <c r="J68" s="240">
        <f t="shared" si="11"/>
        <v>644645.16999999993</v>
      </c>
      <c r="K68" s="161">
        <v>439571.8</v>
      </c>
      <c r="L68" s="161">
        <v>1205224.17</v>
      </c>
      <c r="M68" s="238">
        <f t="shared" si="13"/>
        <v>0.53487574017039496</v>
      </c>
      <c r="R68" s="89"/>
      <c r="S68" s="89"/>
    </row>
    <row r="69" spans="2:19" ht="22.5" customHeight="1" x14ac:dyDescent="0.35">
      <c r="B69" s="134" t="s">
        <v>203</v>
      </c>
      <c r="C69" s="164">
        <v>26256.4267212872</v>
      </c>
      <c r="D69" s="164">
        <v>85177</v>
      </c>
      <c r="E69" s="233">
        <f t="shared" si="3"/>
        <v>85177</v>
      </c>
      <c r="F69" s="171">
        <v>53823.493478787204</v>
      </c>
      <c r="G69" s="238">
        <f t="shared" si="14"/>
        <v>0.48782464727294828</v>
      </c>
      <c r="H69" s="161">
        <v>5832395.4900000002</v>
      </c>
      <c r="I69" s="237">
        <f>H69*0.604</f>
        <v>3522766.8759599999</v>
      </c>
      <c r="J69" s="240">
        <f t="shared" si="11"/>
        <v>2309628.6140400004</v>
      </c>
      <c r="K69" s="161">
        <v>15312725.691726528</v>
      </c>
      <c r="L69" s="161">
        <v>12071103.49</v>
      </c>
      <c r="M69" s="238">
        <f t="shared" si="13"/>
        <v>0.48317003452349661</v>
      </c>
      <c r="O69" s="136"/>
      <c r="R69" s="89"/>
      <c r="S69" s="89"/>
    </row>
    <row r="70" spans="2:19" ht="22.5" customHeight="1" x14ac:dyDescent="0.35">
      <c r="B70" s="134" t="s">
        <v>202</v>
      </c>
      <c r="C70" s="164">
        <v>74.339120000000008</v>
      </c>
      <c r="D70" s="164">
        <v>331</v>
      </c>
      <c r="E70" s="233">
        <f t="shared" si="3"/>
        <v>331</v>
      </c>
      <c r="F70" s="171">
        <v>458.77810999999997</v>
      </c>
      <c r="G70" s="238">
        <f t="shared" si="14"/>
        <v>0.16203719920290011</v>
      </c>
      <c r="H70" s="161">
        <v>198379.85</v>
      </c>
      <c r="I70" s="237">
        <v>0</v>
      </c>
      <c r="J70" s="240">
        <f t="shared" si="11"/>
        <v>198379.85</v>
      </c>
      <c r="K70" s="161">
        <v>377244.9</v>
      </c>
      <c r="L70" s="161">
        <v>447646.85</v>
      </c>
      <c r="M70" s="238">
        <f t="shared" si="13"/>
        <v>0.44316150108059515</v>
      </c>
      <c r="P70" s="136"/>
      <c r="R70" s="89"/>
      <c r="S70" s="89"/>
    </row>
    <row r="71" spans="2:19" ht="22.5" customHeight="1" x14ac:dyDescent="0.35">
      <c r="B71" s="134" t="s">
        <v>152</v>
      </c>
      <c r="C71" s="164">
        <v>387</v>
      </c>
      <c r="D71" s="164">
        <v>1826</v>
      </c>
      <c r="E71" s="233">
        <f t="shared" si="3"/>
        <v>1826</v>
      </c>
      <c r="F71" s="171">
        <v>1468</v>
      </c>
      <c r="G71" s="238">
        <f t="shared" si="14"/>
        <v>0.26362397820163486</v>
      </c>
      <c r="H71" s="161">
        <v>536110.41</v>
      </c>
      <c r="I71" s="237">
        <f>H71*0.604</f>
        <v>323810.68764000002</v>
      </c>
      <c r="J71" s="240">
        <f t="shared" si="11"/>
        <v>212299.72236000001</v>
      </c>
      <c r="K71" s="161">
        <v>2198986.0352339754</v>
      </c>
      <c r="L71" s="161">
        <v>1558198.4100000001</v>
      </c>
      <c r="M71" s="238">
        <f t="shared" si="13"/>
        <v>0.34405785974329162</v>
      </c>
      <c r="R71" s="89"/>
      <c r="S71" s="89"/>
    </row>
    <row r="72" spans="2:19" ht="22.5" customHeight="1" x14ac:dyDescent="0.35">
      <c r="B72" s="134" t="s">
        <v>205</v>
      </c>
      <c r="C72" s="165">
        <v>0</v>
      </c>
      <c r="D72" s="165" t="s">
        <v>176</v>
      </c>
      <c r="E72" s="245" t="str">
        <f t="shared" si="3"/>
        <v>N/A</v>
      </c>
      <c r="F72" s="165">
        <v>0</v>
      </c>
      <c r="G72" s="245" t="s">
        <v>176</v>
      </c>
      <c r="H72" s="161">
        <v>373157.50999999995</v>
      </c>
      <c r="I72" s="237">
        <v>0</v>
      </c>
      <c r="J72" s="240">
        <f t="shared" si="11"/>
        <v>373157.50999999995</v>
      </c>
      <c r="K72" s="161">
        <v>1500000</v>
      </c>
      <c r="L72" s="161">
        <v>950163.51</v>
      </c>
      <c r="M72" s="238">
        <f t="shared" si="13"/>
        <v>0.39272978395055391</v>
      </c>
      <c r="R72" s="89"/>
      <c r="S72" s="89"/>
    </row>
    <row r="73" spans="2:19" ht="22.5" customHeight="1" x14ac:dyDescent="0.35">
      <c r="B73" s="134" t="s">
        <v>212</v>
      </c>
      <c r="C73" s="165">
        <v>0</v>
      </c>
      <c r="D73" s="165" t="s">
        <v>176</v>
      </c>
      <c r="E73" s="245" t="str">
        <f t="shared" si="3"/>
        <v>N/A</v>
      </c>
      <c r="F73" s="165">
        <v>0</v>
      </c>
      <c r="G73" s="245" t="s">
        <v>176</v>
      </c>
      <c r="H73" s="161">
        <v>0</v>
      </c>
      <c r="I73" s="237">
        <v>0</v>
      </c>
      <c r="J73" s="240">
        <f t="shared" si="11"/>
        <v>0</v>
      </c>
      <c r="K73" s="161">
        <v>0</v>
      </c>
      <c r="L73" s="161">
        <v>0</v>
      </c>
      <c r="M73" s="238" t="str">
        <f t="shared" si="13"/>
        <v>N/A</v>
      </c>
      <c r="R73" s="89"/>
      <c r="S73" s="89"/>
    </row>
    <row r="74" spans="2:19" ht="22.5" customHeight="1" x14ac:dyDescent="0.35">
      <c r="B74" s="88" t="s">
        <v>46</v>
      </c>
      <c r="C74" s="258">
        <f>SUM(C57,C62:C73)</f>
        <v>61196.457385804315</v>
      </c>
      <c r="D74" s="258">
        <f>SUM(D57,D62:D73)</f>
        <v>188939.88816150412</v>
      </c>
      <c r="E74" s="258">
        <f>SUM(E57,E62:E73)</f>
        <v>188939.88816150412</v>
      </c>
      <c r="F74" s="258">
        <f>SUM(F57,F62:F73)</f>
        <v>140643.30342966423</v>
      </c>
      <c r="G74" s="184">
        <f>C74/F74</f>
        <v>0.43511817408646608</v>
      </c>
      <c r="H74" s="259">
        <f>SUM(H57,H62:H73)</f>
        <v>15606911.609999999</v>
      </c>
      <c r="I74" s="259">
        <f>SUM(I57,I62:I73)</f>
        <v>8692000.3643199988</v>
      </c>
      <c r="J74" s="259">
        <f>SUM(J57,J62:J73)</f>
        <v>6914911.2456799997</v>
      </c>
      <c r="K74" s="259">
        <f>SUM(K57,K62:K73)</f>
        <v>36782452.054312341</v>
      </c>
      <c r="L74" s="259">
        <f>SUM(L57,L62:L73)</f>
        <v>33359860.760000005</v>
      </c>
      <c r="M74" s="184">
        <f>H74/L74</f>
        <v>0.46783503451289576</v>
      </c>
      <c r="R74" s="89"/>
      <c r="S74" s="89"/>
    </row>
    <row r="75" spans="2:19" ht="22.5" customHeight="1" x14ac:dyDescent="0.35">
      <c r="B75" s="34" t="s">
        <v>1</v>
      </c>
      <c r="C75" s="172"/>
      <c r="D75" s="172"/>
      <c r="E75" s="172"/>
      <c r="F75" s="172"/>
      <c r="G75" s="172"/>
      <c r="H75" s="172"/>
      <c r="I75" s="172"/>
      <c r="J75" s="172"/>
      <c r="K75" s="172"/>
      <c r="L75" s="172"/>
      <c r="M75" s="173"/>
      <c r="R75" s="89"/>
      <c r="S75" s="89"/>
    </row>
    <row r="76" spans="2:19" ht="22.5" customHeight="1" x14ac:dyDescent="0.35">
      <c r="B76" s="138" t="s">
        <v>160</v>
      </c>
      <c r="C76" s="164">
        <v>57052</v>
      </c>
      <c r="D76" s="170">
        <v>97749.999999999636</v>
      </c>
      <c r="E76" s="247">
        <f t="shared" si="3"/>
        <v>97749.999999999636</v>
      </c>
      <c r="F76" s="171">
        <v>137190</v>
      </c>
      <c r="G76" s="238">
        <f t="shared" ref="G76:G83" si="16">IF(F76=0,"N/A",C76/F76)</f>
        <v>0.41586121437422552</v>
      </c>
      <c r="H76" s="161">
        <v>8592.2500000000018</v>
      </c>
      <c r="I76" s="237">
        <v>0</v>
      </c>
      <c r="J76" s="237">
        <f>H76-I76</f>
        <v>8592.2500000000018</v>
      </c>
      <c r="K76" s="166">
        <v>6390235.15625</v>
      </c>
      <c r="L76" s="166">
        <v>49985.25</v>
      </c>
      <c r="M76" s="238">
        <f>IF(L76=0,"N/A",H76/L76)</f>
        <v>0.17189570923422412</v>
      </c>
      <c r="R76" s="89"/>
      <c r="S76" s="89"/>
    </row>
    <row r="77" spans="2:19" ht="22.5" customHeight="1" x14ac:dyDescent="0.35">
      <c r="B77" s="138" t="s">
        <v>214</v>
      </c>
      <c r="C77" s="164">
        <v>64838</v>
      </c>
      <c r="D77" s="170">
        <v>93402.101293347048</v>
      </c>
      <c r="E77" s="247">
        <f t="shared" si="3"/>
        <v>93402.101293347048</v>
      </c>
      <c r="F77" s="171">
        <v>136909</v>
      </c>
      <c r="G77" s="238">
        <f t="shared" si="16"/>
        <v>0.47358464381450455</v>
      </c>
      <c r="H77" s="161">
        <v>8252308.3799999999</v>
      </c>
      <c r="I77" s="237">
        <f t="shared" ref="I77:I83" si="17">H77*0.604</f>
        <v>4984394.2615200002</v>
      </c>
      <c r="J77" s="237">
        <f t="shared" ref="J77:J84" si="18">H77-I77</f>
        <v>3267914.1184799997</v>
      </c>
      <c r="K77" s="166">
        <v>19902462.763083827</v>
      </c>
      <c r="L77" s="166">
        <v>17834793.23</v>
      </c>
      <c r="M77" s="238">
        <f t="shared" ref="M77:M84" si="19">IF(L77=0,"N/A",H77/L77)</f>
        <v>0.46270838543385789</v>
      </c>
      <c r="R77" s="89"/>
      <c r="S77" s="89"/>
    </row>
    <row r="78" spans="2:19" ht="22.5" customHeight="1" x14ac:dyDescent="0.35">
      <c r="B78" s="138" t="s">
        <v>161</v>
      </c>
      <c r="C78" s="164">
        <v>10250</v>
      </c>
      <c r="D78" s="170">
        <v>32689.097597642005</v>
      </c>
      <c r="E78" s="247">
        <f t="shared" si="3"/>
        <v>32689.097597642005</v>
      </c>
      <c r="F78" s="171">
        <v>34416</v>
      </c>
      <c r="G78" s="238">
        <f t="shared" si="16"/>
        <v>0.29782659228265923</v>
      </c>
      <c r="H78" s="161">
        <v>6008072.8399999999</v>
      </c>
      <c r="I78" s="237">
        <f t="shared" si="17"/>
        <v>3628875.9953599996</v>
      </c>
      <c r="J78" s="237">
        <f t="shared" si="18"/>
        <v>2379196.8446400003</v>
      </c>
      <c r="K78" s="166">
        <v>17063505.175000001</v>
      </c>
      <c r="L78" s="161">
        <v>15830010.250000002</v>
      </c>
      <c r="M78" s="238">
        <f t="shared" si="19"/>
        <v>0.37953688880270936</v>
      </c>
      <c r="R78" s="89"/>
      <c r="S78" s="89"/>
    </row>
    <row r="79" spans="2:19" ht="22.5" customHeight="1" x14ac:dyDescent="0.35">
      <c r="B79" s="138" t="s">
        <v>162</v>
      </c>
      <c r="C79" s="164">
        <v>2317</v>
      </c>
      <c r="D79" s="170">
        <v>21702.515446331534</v>
      </c>
      <c r="E79" s="247">
        <f t="shared" si="3"/>
        <v>21702.515446331534</v>
      </c>
      <c r="F79" s="171">
        <v>2317</v>
      </c>
      <c r="G79" s="238">
        <f t="shared" si="16"/>
        <v>1</v>
      </c>
      <c r="H79" s="161">
        <v>1110213.6500000001</v>
      </c>
      <c r="I79" s="237">
        <f t="shared" si="17"/>
        <v>670569.04460000002</v>
      </c>
      <c r="J79" s="237">
        <f t="shared" si="18"/>
        <v>439644.60540000012</v>
      </c>
      <c r="K79" s="166">
        <v>8781916.5</v>
      </c>
      <c r="L79" s="166">
        <v>1212232.9500000002</v>
      </c>
      <c r="M79" s="238">
        <f t="shared" si="19"/>
        <v>0.91584183551519527</v>
      </c>
      <c r="R79" s="89"/>
      <c r="S79" s="89"/>
    </row>
    <row r="80" spans="2:19" ht="22.5" customHeight="1" x14ac:dyDescent="0.35">
      <c r="B80" s="138" t="s">
        <v>215</v>
      </c>
      <c r="C80" s="164">
        <v>4366</v>
      </c>
      <c r="D80" s="170">
        <v>17889.525769485146</v>
      </c>
      <c r="E80" s="247">
        <f t="shared" si="3"/>
        <v>17889.525769485146</v>
      </c>
      <c r="F80" s="171">
        <v>17373.652987652073</v>
      </c>
      <c r="G80" s="238">
        <f t="shared" si="16"/>
        <v>0.25130005780033909</v>
      </c>
      <c r="H80" s="161">
        <v>2373766.83</v>
      </c>
      <c r="I80" s="237">
        <f t="shared" si="17"/>
        <v>1433755.1653199999</v>
      </c>
      <c r="J80" s="237">
        <f t="shared" si="18"/>
        <v>940011.66468000016</v>
      </c>
      <c r="K80" s="166">
        <v>9501034.1740000043</v>
      </c>
      <c r="L80" s="166">
        <v>7138967.8300000001</v>
      </c>
      <c r="M80" s="238">
        <f t="shared" si="19"/>
        <v>0.33250840829184686</v>
      </c>
      <c r="R80" s="89"/>
      <c r="S80" s="89"/>
    </row>
    <row r="81" spans="2:19" ht="22.5" customHeight="1" x14ac:dyDescent="0.35">
      <c r="B81" s="138" t="s">
        <v>163</v>
      </c>
      <c r="C81" s="164">
        <v>2599.7359999999999</v>
      </c>
      <c r="D81" s="170">
        <v>9196.8191680638702</v>
      </c>
      <c r="E81" s="247">
        <f t="shared" si="3"/>
        <v>9196.8191680638702</v>
      </c>
      <c r="F81" s="171">
        <v>8950.8824910052899</v>
      </c>
      <c r="G81" s="238">
        <f t="shared" si="16"/>
        <v>0.29044465756448767</v>
      </c>
      <c r="H81" s="161">
        <v>1936833.0999999999</v>
      </c>
      <c r="I81" s="237">
        <f t="shared" si="17"/>
        <v>1169847.1923999998</v>
      </c>
      <c r="J81" s="237">
        <f t="shared" si="18"/>
        <v>766985.90760000004</v>
      </c>
      <c r="K81" s="166">
        <v>4060795.3516413076</v>
      </c>
      <c r="L81" s="166">
        <v>5713930.0999999996</v>
      </c>
      <c r="M81" s="238">
        <f t="shared" si="19"/>
        <v>0.33896688725681123</v>
      </c>
      <c r="R81" s="89"/>
      <c r="S81" s="89"/>
    </row>
    <row r="82" spans="2:19" ht="22.5" customHeight="1" x14ac:dyDescent="0.35">
      <c r="B82" s="138" t="s">
        <v>290</v>
      </c>
      <c r="C82" s="164">
        <v>2144.5220911340002</v>
      </c>
      <c r="D82" s="170">
        <v>9744.6378416045045</v>
      </c>
      <c r="E82" s="247">
        <f t="shared" si="3"/>
        <v>9744.6378416045045</v>
      </c>
      <c r="F82" s="171">
        <v>5057.1780881314435</v>
      </c>
      <c r="G82" s="238">
        <f t="shared" si="16"/>
        <v>0.42405508640617617</v>
      </c>
      <c r="H82" s="161">
        <f>1313999.79+17092</f>
        <v>1331091.79</v>
      </c>
      <c r="I82" s="237">
        <f t="shared" si="17"/>
        <v>803979.44116000005</v>
      </c>
      <c r="J82" s="237">
        <f t="shared" si="18"/>
        <v>527112.34883999999</v>
      </c>
      <c r="K82" s="166">
        <v>7991560.452597552</v>
      </c>
      <c r="L82" s="166">
        <f>3420281.79+17092.32</f>
        <v>3437374.11</v>
      </c>
      <c r="M82" s="238">
        <f t="shared" si="19"/>
        <v>0.38724088429234144</v>
      </c>
      <c r="R82" s="188"/>
      <c r="S82" s="89"/>
    </row>
    <row r="83" spans="2:19" ht="22.5" customHeight="1" x14ac:dyDescent="0.35">
      <c r="B83" s="138" t="s">
        <v>164</v>
      </c>
      <c r="C83" s="164">
        <v>0</v>
      </c>
      <c r="D83" s="170">
        <v>571</v>
      </c>
      <c r="E83" s="247">
        <f t="shared" si="3"/>
        <v>571</v>
      </c>
      <c r="F83" s="171">
        <v>0</v>
      </c>
      <c r="G83" s="238" t="str">
        <f t="shared" si="16"/>
        <v>N/A</v>
      </c>
      <c r="H83" s="161">
        <v>-1662.3000000000029</v>
      </c>
      <c r="I83" s="237">
        <f t="shared" si="17"/>
        <v>-1004.0292000000018</v>
      </c>
      <c r="J83" s="237">
        <f t="shared" si="18"/>
        <v>-658.27080000000115</v>
      </c>
      <c r="K83" s="161">
        <v>394280.27708333335</v>
      </c>
      <c r="L83" s="161">
        <v>-1662.3000000000029</v>
      </c>
      <c r="M83" s="238">
        <f t="shared" si="19"/>
        <v>1</v>
      </c>
      <c r="R83" s="89"/>
      <c r="S83" s="89"/>
    </row>
    <row r="84" spans="2:19" ht="22.5" customHeight="1" x14ac:dyDescent="0.35">
      <c r="B84" s="138" t="s">
        <v>210</v>
      </c>
      <c r="C84" s="165">
        <v>0</v>
      </c>
      <c r="D84" s="165" t="s">
        <v>176</v>
      </c>
      <c r="E84" s="245" t="str">
        <f t="shared" si="3"/>
        <v>N/A</v>
      </c>
      <c r="F84" s="165" t="s">
        <v>176</v>
      </c>
      <c r="G84" s="245" t="s">
        <v>176</v>
      </c>
      <c r="H84" s="161">
        <f>56699.75+2826808.16</f>
        <v>2883507.91</v>
      </c>
      <c r="I84" s="237">
        <v>0</v>
      </c>
      <c r="J84" s="237">
        <f t="shared" si="18"/>
        <v>2883507.91</v>
      </c>
      <c r="K84" s="161">
        <v>0</v>
      </c>
      <c r="L84" s="161">
        <f>278229.75+5664087.74</f>
        <v>5942317.4900000002</v>
      </c>
      <c r="M84" s="238">
        <f t="shared" si="19"/>
        <v>0.4852497219901995</v>
      </c>
      <c r="R84" s="89"/>
      <c r="S84" s="89"/>
    </row>
    <row r="85" spans="2:19" ht="22.5" customHeight="1" x14ac:dyDescent="0.35">
      <c r="B85" s="2" t="s">
        <v>32</v>
      </c>
      <c r="C85" s="196">
        <f>SUM(C76:C84)</f>
        <v>143567.25809113402</v>
      </c>
      <c r="D85" s="167">
        <f>SUM(D76:D84)</f>
        <v>282945.69711647369</v>
      </c>
      <c r="E85" s="167">
        <f>D85</f>
        <v>282945.69711647369</v>
      </c>
      <c r="F85" s="167">
        <f>SUM(F76:F84)</f>
        <v>342213.71356678876</v>
      </c>
      <c r="G85" s="195">
        <f>C85/F85</f>
        <v>0.41952514583584755</v>
      </c>
      <c r="H85" s="169">
        <f>SUM(H76:H84)</f>
        <v>23902724.449999999</v>
      </c>
      <c r="I85" s="169">
        <f>SUM(I76:I84)</f>
        <v>12690417.07116</v>
      </c>
      <c r="J85" s="169">
        <f>SUM(J76:J84)</f>
        <v>11212307.378840001</v>
      </c>
      <c r="K85" s="169">
        <f>SUM(K76:K84)</f>
        <v>74085789.849656031</v>
      </c>
      <c r="L85" s="169">
        <f>SUM(L76:L84)</f>
        <v>57157948.910000011</v>
      </c>
      <c r="M85" s="168">
        <f>H85/L85</f>
        <v>0.41818723214922993</v>
      </c>
      <c r="R85" s="89"/>
      <c r="S85" s="89"/>
    </row>
    <row r="86" spans="2:19" ht="22.5" customHeight="1" x14ac:dyDescent="0.35">
      <c r="B86" s="268" t="s">
        <v>33</v>
      </c>
      <c r="C86" s="269"/>
      <c r="D86" s="269"/>
      <c r="E86" s="269"/>
      <c r="F86" s="269"/>
      <c r="G86" s="269"/>
      <c r="H86" s="269"/>
      <c r="I86" s="269"/>
      <c r="J86" s="269"/>
      <c r="K86" s="269"/>
      <c r="L86" s="269"/>
      <c r="M86" s="270"/>
      <c r="R86" s="89"/>
      <c r="S86" s="89"/>
    </row>
    <row r="87" spans="2:19" ht="22.5" customHeight="1" x14ac:dyDescent="0.35">
      <c r="B87" s="138" t="s">
        <v>254</v>
      </c>
      <c r="C87" s="207">
        <v>23804.011908560002</v>
      </c>
      <c r="D87" s="122">
        <v>13584.298383633701</v>
      </c>
      <c r="E87" s="249">
        <f t="shared" ref="E87:E92" si="20">D87</f>
        <v>13584.298383633701</v>
      </c>
      <c r="F87" s="171">
        <v>57909.011908560002</v>
      </c>
      <c r="G87" s="251">
        <f>IF(F87=0,"N/A",C87/F87)</f>
        <v>0.41105885118791569</v>
      </c>
      <c r="H87" s="175">
        <v>2362453.33</v>
      </c>
      <c r="I87" s="252">
        <f>H87*0.604</f>
        <v>1426921.8113200001</v>
      </c>
      <c r="J87" s="252">
        <f t="shared" ref="J87:J92" si="21">H87-I87</f>
        <v>935531.51867999998</v>
      </c>
      <c r="K87" s="126">
        <v>4062446.3278353815</v>
      </c>
      <c r="L87" s="126">
        <v>5906566.9548230162</v>
      </c>
      <c r="M87" s="251">
        <f>H87/L87</f>
        <v>0.39997063405349792</v>
      </c>
      <c r="R87" s="89"/>
      <c r="S87" s="89"/>
    </row>
    <row r="88" spans="2:19" ht="22.5" customHeight="1" x14ac:dyDescent="0.35">
      <c r="B88" s="138" t="s">
        <v>265</v>
      </c>
      <c r="C88" s="207">
        <v>1039</v>
      </c>
      <c r="D88" s="122">
        <v>6982</v>
      </c>
      <c r="E88" s="249">
        <f t="shared" si="20"/>
        <v>6982</v>
      </c>
      <c r="F88" s="171">
        <v>3571</v>
      </c>
      <c r="G88" s="251">
        <f>IF(F88=0,"N/A",C88/F88)</f>
        <v>0.29095491458975076</v>
      </c>
      <c r="H88" s="175">
        <f>1348876.16+1224742</f>
        <v>2573618.16</v>
      </c>
      <c r="I88" s="252">
        <f>H88*0.604</f>
        <v>1554465.36864</v>
      </c>
      <c r="J88" s="252">
        <f t="shared" si="21"/>
        <v>1019152.7913600001</v>
      </c>
      <c r="K88" s="126">
        <v>11638435.96356493</v>
      </c>
      <c r="L88" s="126">
        <f>5223728.16+3667568.69</f>
        <v>8891296.8499999996</v>
      </c>
      <c r="M88" s="251">
        <f>H88/L88</f>
        <v>0.28945363127764656</v>
      </c>
      <c r="R88" s="89"/>
      <c r="S88" s="89"/>
    </row>
    <row r="89" spans="2:19" ht="22.5" customHeight="1" x14ac:dyDescent="0.35">
      <c r="B89" s="138" t="s">
        <v>266</v>
      </c>
      <c r="C89" s="207">
        <v>385</v>
      </c>
      <c r="D89" s="122">
        <v>4877</v>
      </c>
      <c r="E89" s="249">
        <f t="shared" si="20"/>
        <v>4877</v>
      </c>
      <c r="F89" s="171">
        <v>2847</v>
      </c>
      <c r="G89" s="251">
        <f>IF(F89=0,"N/A",C89/F89)</f>
        <v>0.13523006673691607</v>
      </c>
      <c r="H89" s="175">
        <f>1675537.95+219013</f>
        <v>1894550.95</v>
      </c>
      <c r="I89" s="252">
        <f>H89*0.604</f>
        <v>1144308.7737999998</v>
      </c>
      <c r="J89" s="252">
        <f t="shared" si="21"/>
        <v>750242.1762000001</v>
      </c>
      <c r="K89" s="126">
        <v>8259706.8751472393</v>
      </c>
      <c r="L89" s="126">
        <f>4819462.95+3097935.35</f>
        <v>7917398.3000000007</v>
      </c>
      <c r="M89" s="251">
        <f>H89/L89</f>
        <v>0.23928958455961472</v>
      </c>
      <c r="R89" s="89"/>
      <c r="S89" s="89"/>
    </row>
    <row r="90" spans="2:19" ht="22.5" customHeight="1" x14ac:dyDescent="0.35">
      <c r="B90" s="138" t="s">
        <v>166</v>
      </c>
      <c r="C90" s="207">
        <v>1073.3846000000001</v>
      </c>
      <c r="D90" s="122">
        <v>1479.8</v>
      </c>
      <c r="E90" s="249">
        <f t="shared" si="20"/>
        <v>1479.8</v>
      </c>
      <c r="F90" s="171">
        <v>1830.5321000000004</v>
      </c>
      <c r="G90" s="251">
        <f>IF(F90=0,"N/A",C90/F90)</f>
        <v>0.58637846339870248</v>
      </c>
      <c r="H90" s="175">
        <v>1217755.0499999998</v>
      </c>
      <c r="I90" s="252">
        <f>H90*0.604</f>
        <v>735524.05019999982</v>
      </c>
      <c r="J90" s="252">
        <f t="shared" si="21"/>
        <v>482230.99979999999</v>
      </c>
      <c r="K90" s="126">
        <v>3224795.2509459443</v>
      </c>
      <c r="L90" s="126">
        <v>2145993.0549999997</v>
      </c>
      <c r="M90" s="251">
        <f>H90/L90</f>
        <v>0.56745526140577374</v>
      </c>
      <c r="R90" s="89"/>
      <c r="S90" s="89"/>
    </row>
    <row r="91" spans="2:19" ht="22.5" customHeight="1" x14ac:dyDescent="0.35">
      <c r="B91" s="138" t="s">
        <v>207</v>
      </c>
      <c r="C91" s="121">
        <v>0</v>
      </c>
      <c r="D91" s="121" t="s">
        <v>176</v>
      </c>
      <c r="E91" s="250" t="str">
        <f t="shared" si="20"/>
        <v>N/A</v>
      </c>
      <c r="F91" s="121" t="s">
        <v>176</v>
      </c>
      <c r="G91" s="250" t="s">
        <v>176</v>
      </c>
      <c r="H91" s="175">
        <v>247213.88</v>
      </c>
      <c r="I91" s="252">
        <v>0</v>
      </c>
      <c r="J91" s="252">
        <f t="shared" si="21"/>
        <v>247213.88</v>
      </c>
      <c r="K91" s="126">
        <v>1500000</v>
      </c>
      <c r="L91" s="126">
        <v>736597.1</v>
      </c>
      <c r="M91" s="251">
        <f>H91/L91</f>
        <v>0.3356161461944393</v>
      </c>
      <c r="R91" s="89"/>
      <c r="S91" s="89"/>
    </row>
    <row r="92" spans="2:19" ht="22.5" customHeight="1" x14ac:dyDescent="0.35">
      <c r="B92" s="138" t="s">
        <v>209</v>
      </c>
      <c r="C92" s="121">
        <v>0</v>
      </c>
      <c r="D92" s="121" t="s">
        <v>176</v>
      </c>
      <c r="E92" s="250" t="str">
        <f t="shared" si="20"/>
        <v>N/A</v>
      </c>
      <c r="F92" s="121" t="s">
        <v>176</v>
      </c>
      <c r="G92" s="250" t="s">
        <v>176</v>
      </c>
      <c r="H92" s="175"/>
      <c r="I92" s="252">
        <v>0</v>
      </c>
      <c r="J92" s="252">
        <f t="shared" si="21"/>
        <v>0</v>
      </c>
      <c r="K92" s="175">
        <v>0</v>
      </c>
      <c r="L92" s="126">
        <v>0</v>
      </c>
      <c r="M92" s="251" t="s">
        <v>176</v>
      </c>
      <c r="P92" s="199"/>
      <c r="R92" s="89"/>
      <c r="S92" s="89"/>
    </row>
    <row r="93" spans="2:19" ht="22.5" customHeight="1" x14ac:dyDescent="0.35">
      <c r="B93" s="2" t="s">
        <v>34</v>
      </c>
      <c r="C93" s="197">
        <f>SUM(C87:C92)</f>
        <v>26301.396508560003</v>
      </c>
      <c r="D93" s="116">
        <f>SUM(D87:D92)</f>
        <v>26923.0983836337</v>
      </c>
      <c r="E93" s="116">
        <f>SUM(E87:E92)</f>
        <v>26923.0983836337</v>
      </c>
      <c r="F93" s="116">
        <f>SUM(F87:F92)</f>
        <v>66157.544008559998</v>
      </c>
      <c r="G93" s="198">
        <f>C93/F93</f>
        <v>0.39755702698330087</v>
      </c>
      <c r="H93" s="169">
        <f>SUM(H87:H92)</f>
        <v>8295591.3700000001</v>
      </c>
      <c r="I93" s="124">
        <f>SUM(I87:I92)</f>
        <v>4861220.0039599994</v>
      </c>
      <c r="J93" s="124">
        <f>SUM(J87:J92)</f>
        <v>3434371.3660400002</v>
      </c>
      <c r="K93" s="124">
        <f>SUM(K87:K92)</f>
        <v>28685384.417493496</v>
      </c>
      <c r="L93" s="124">
        <f>SUM(L87:L92)</f>
        <v>25597852.259823017</v>
      </c>
      <c r="M93" s="176">
        <f>H93/L93</f>
        <v>0.32407372641259846</v>
      </c>
      <c r="R93" s="89"/>
      <c r="S93" s="89"/>
    </row>
    <row r="94" spans="2:19" ht="22.5" customHeight="1" x14ac:dyDescent="0.35">
      <c r="B94" s="268" t="s">
        <v>272</v>
      </c>
      <c r="C94" s="269"/>
      <c r="D94" s="269"/>
      <c r="E94" s="269"/>
      <c r="F94" s="269"/>
      <c r="G94" s="269"/>
      <c r="H94" s="269"/>
      <c r="I94" s="269"/>
      <c r="J94" s="269"/>
      <c r="K94" s="269"/>
      <c r="L94" s="269"/>
      <c r="M94" s="270"/>
      <c r="P94" s="199"/>
      <c r="R94" s="89"/>
      <c r="S94" s="89"/>
    </row>
    <row r="95" spans="2:19" ht="22.5" customHeight="1" x14ac:dyDescent="0.35">
      <c r="B95" s="138" t="s">
        <v>242</v>
      </c>
      <c r="C95" s="121">
        <v>0</v>
      </c>
      <c r="D95" s="122">
        <v>0</v>
      </c>
      <c r="E95" s="249">
        <f>D95</f>
        <v>0</v>
      </c>
      <c r="F95" s="171">
        <v>0</v>
      </c>
      <c r="G95" s="251" t="str">
        <f t="shared" ref="G95:G108" si="22">IF(F95=0,"N/A",C95/F95)</f>
        <v>N/A</v>
      </c>
      <c r="H95" s="175">
        <v>0</v>
      </c>
      <c r="I95" s="252">
        <f t="shared" ref="I95:I105" si="23">H95*0.604</f>
        <v>0</v>
      </c>
      <c r="J95" s="252">
        <f>H95-I95</f>
        <v>0</v>
      </c>
      <c r="K95" s="126">
        <v>0</v>
      </c>
      <c r="L95" s="126">
        <v>0</v>
      </c>
      <c r="M95" s="252" t="str">
        <f>IF(L95=0,"N/A",H95/L95)</f>
        <v>N/A</v>
      </c>
      <c r="R95" s="89"/>
      <c r="S95" s="89"/>
    </row>
    <row r="96" spans="2:19" ht="22.5" customHeight="1" x14ac:dyDescent="0.35">
      <c r="B96" s="138" t="s">
        <v>243</v>
      </c>
      <c r="C96" s="121">
        <v>59.423999999999999</v>
      </c>
      <c r="D96" s="122">
        <v>236</v>
      </c>
      <c r="E96" s="249">
        <f t="shared" ref="E96:E108" si="24">D96</f>
        <v>236</v>
      </c>
      <c r="F96" s="171">
        <v>316.58299999999997</v>
      </c>
      <c r="G96" s="251">
        <f>IF(F96=0,"N/A",C96/F96)</f>
        <v>0.18770433030200612</v>
      </c>
      <c r="H96" s="175">
        <v>232773.16999999998</v>
      </c>
      <c r="I96" s="252">
        <f t="shared" si="23"/>
        <v>140594.99467999997</v>
      </c>
      <c r="J96" s="252">
        <f t="shared" ref="J96:J108" si="25">H96-I96</f>
        <v>92178.175320000009</v>
      </c>
      <c r="K96" s="126">
        <v>0</v>
      </c>
      <c r="L96" s="126">
        <v>593857.16999999993</v>
      </c>
      <c r="M96" s="252">
        <f t="shared" ref="M96:M99" si="26">IF(L96=0,"N/A",H96/L96)</f>
        <v>0.39196827412221025</v>
      </c>
      <c r="R96" s="89"/>
      <c r="S96" s="89"/>
    </row>
    <row r="97" spans="2:19" ht="22.5" customHeight="1" x14ac:dyDescent="0.35">
      <c r="B97" s="138" t="s">
        <v>256</v>
      </c>
      <c r="C97" s="121">
        <v>6036.067</v>
      </c>
      <c r="D97" s="122">
        <v>6721.278717635566</v>
      </c>
      <c r="E97" s="249">
        <f t="shared" si="24"/>
        <v>6721.278717635566</v>
      </c>
      <c r="F97" s="171">
        <v>8285.0669999999991</v>
      </c>
      <c r="G97" s="251">
        <f t="shared" si="22"/>
        <v>0.7285477594810037</v>
      </c>
      <c r="H97" s="175">
        <v>1526351.47</v>
      </c>
      <c r="I97" s="252">
        <f t="shared" si="23"/>
        <v>921916.28787999996</v>
      </c>
      <c r="J97" s="252">
        <f t="shared" si="25"/>
        <v>604435.18212000001</v>
      </c>
      <c r="K97" s="126">
        <v>0</v>
      </c>
      <c r="L97" s="126">
        <v>2663930.7499999995</v>
      </c>
      <c r="M97" s="252">
        <f t="shared" si="26"/>
        <v>0.5729696502058097</v>
      </c>
      <c r="R97" s="89"/>
      <c r="S97" s="89"/>
    </row>
    <row r="98" spans="2:19" ht="22.5" customHeight="1" x14ac:dyDescent="0.35">
      <c r="B98" s="138" t="s">
        <v>217</v>
      </c>
      <c r="C98" s="121">
        <v>31065.612000000001</v>
      </c>
      <c r="D98" s="122">
        <v>18315.990000000002</v>
      </c>
      <c r="E98" s="249">
        <f t="shared" si="24"/>
        <v>18315.990000000002</v>
      </c>
      <c r="F98" s="171">
        <v>89333.611999999994</v>
      </c>
      <c r="G98" s="251">
        <f t="shared" si="22"/>
        <v>0.3477483032926062</v>
      </c>
      <c r="H98" s="175">
        <v>3247711</v>
      </c>
      <c r="I98" s="252">
        <f t="shared" si="23"/>
        <v>1961617.4439999999</v>
      </c>
      <c r="J98" s="252">
        <f t="shared" si="25"/>
        <v>1286093.5560000001</v>
      </c>
      <c r="K98" s="126">
        <v>0</v>
      </c>
      <c r="L98" s="126">
        <v>8168592</v>
      </c>
      <c r="M98" s="252">
        <f>IF(L98=0,"N/A",H98/L98)</f>
        <v>0.39758516522798543</v>
      </c>
      <c r="R98" s="89"/>
      <c r="S98" s="89"/>
    </row>
    <row r="99" spans="2:19" ht="22.5" customHeight="1" x14ac:dyDescent="0.35">
      <c r="B99" s="138" t="s">
        <v>244</v>
      </c>
      <c r="C99" s="121">
        <v>2734.9920000000002</v>
      </c>
      <c r="D99" s="122">
        <v>5003.2700000000004</v>
      </c>
      <c r="E99" s="249">
        <f t="shared" si="24"/>
        <v>5003.2700000000004</v>
      </c>
      <c r="F99" s="171">
        <v>2999.9920000000002</v>
      </c>
      <c r="G99" s="251">
        <f t="shared" si="22"/>
        <v>0.91166643111048296</v>
      </c>
      <c r="H99" s="175">
        <v>1467085.5799999996</v>
      </c>
      <c r="I99" s="252">
        <f t="shared" si="23"/>
        <v>886119.6903199997</v>
      </c>
      <c r="J99" s="252">
        <f t="shared" si="25"/>
        <v>580965.88967999991</v>
      </c>
      <c r="K99" s="126">
        <v>0</v>
      </c>
      <c r="L99" s="126">
        <v>1776646.2533333332</v>
      </c>
      <c r="M99" s="252">
        <f t="shared" si="26"/>
        <v>0.8257612213165465</v>
      </c>
      <c r="R99" s="89"/>
      <c r="S99" s="89"/>
    </row>
    <row r="100" spans="2:19" ht="27.75" customHeight="1" x14ac:dyDescent="0.35">
      <c r="B100" s="138" t="s">
        <v>263</v>
      </c>
      <c r="C100" s="121">
        <v>4533.4121000000005</v>
      </c>
      <c r="D100" s="122">
        <v>4933.8</v>
      </c>
      <c r="E100" s="249">
        <f t="shared" si="24"/>
        <v>4933.8</v>
      </c>
      <c r="F100" s="171">
        <v>20891.300000000003</v>
      </c>
      <c r="G100" s="251">
        <f>IF(F100=0,"N/A",C100/F100)</f>
        <v>0.217</v>
      </c>
      <c r="H100" s="175">
        <v>869918.95</v>
      </c>
      <c r="I100" s="252">
        <f t="shared" si="23"/>
        <v>525431.04579999996</v>
      </c>
      <c r="J100" s="252">
        <f t="shared" si="25"/>
        <v>344487.90419999999</v>
      </c>
      <c r="K100" s="126">
        <v>0</v>
      </c>
      <c r="L100" s="126">
        <v>4180834.95</v>
      </c>
      <c r="M100" s="252">
        <f t="shared" ref="M100:M108" si="27">IF(L100=0,"N/A",H100/L100)</f>
        <v>0.20807301900305822</v>
      </c>
      <c r="R100" s="89"/>
      <c r="S100" s="89"/>
    </row>
    <row r="101" spans="2:19" ht="22.5" customHeight="1" x14ac:dyDescent="0.35">
      <c r="B101" s="138" t="s">
        <v>245</v>
      </c>
      <c r="C101" s="121">
        <v>1067.058</v>
      </c>
      <c r="D101" s="122">
        <v>9002</v>
      </c>
      <c r="E101" s="249">
        <f t="shared" si="24"/>
        <v>9002</v>
      </c>
      <c r="F101" s="171">
        <v>3436.7009999999996</v>
      </c>
      <c r="G101" s="251">
        <f t="shared" si="22"/>
        <v>0.31048904167106772</v>
      </c>
      <c r="H101" s="175">
        <v>514132.56000000006</v>
      </c>
      <c r="I101" s="252">
        <f t="shared" si="23"/>
        <v>310536.06624000001</v>
      </c>
      <c r="J101" s="252">
        <f t="shared" si="25"/>
        <v>203596.49376000004</v>
      </c>
      <c r="K101" s="126">
        <v>0</v>
      </c>
      <c r="L101" s="126">
        <v>1253334.56</v>
      </c>
      <c r="M101" s="252">
        <f t="shared" si="27"/>
        <v>0.4102117474523323</v>
      </c>
      <c r="R101" s="89"/>
      <c r="S101" s="89"/>
    </row>
    <row r="102" spans="2:19" ht="22.5" customHeight="1" x14ac:dyDescent="0.35">
      <c r="B102" s="138" t="s">
        <v>246</v>
      </c>
      <c r="C102" s="121">
        <v>2141.4703</v>
      </c>
      <c r="D102" s="122">
        <v>10073</v>
      </c>
      <c r="E102" s="249">
        <f t="shared" si="24"/>
        <v>10073</v>
      </c>
      <c r="F102" s="171">
        <v>7684.4995899999994</v>
      </c>
      <c r="G102" s="251">
        <f t="shared" si="22"/>
        <v>0.27867400797141562</v>
      </c>
      <c r="H102" s="175">
        <v>787896.46000000008</v>
      </c>
      <c r="I102" s="252">
        <f t="shared" si="23"/>
        <v>475889.46184000006</v>
      </c>
      <c r="J102" s="252">
        <f t="shared" si="25"/>
        <v>312006.99816000002</v>
      </c>
      <c r="K102" s="126">
        <v>0</v>
      </c>
      <c r="L102" s="126">
        <v>2424483.46</v>
      </c>
      <c r="M102" s="252">
        <f t="shared" si="27"/>
        <v>0.32497497838158074</v>
      </c>
      <c r="R102" s="89"/>
      <c r="S102" s="89"/>
    </row>
    <row r="103" spans="2:19" ht="22.5" customHeight="1" x14ac:dyDescent="0.35">
      <c r="B103" s="138" t="s">
        <v>247</v>
      </c>
      <c r="C103" s="121">
        <v>1222.1294356279</v>
      </c>
      <c r="D103" s="122">
        <v>162</v>
      </c>
      <c r="E103" s="249">
        <f t="shared" si="24"/>
        <v>162</v>
      </c>
      <c r="F103" s="171">
        <v>6263</v>
      </c>
      <c r="G103" s="251">
        <f>IF(F103=0,"N/A",C103/F103)</f>
        <v>0.19513482925561232</v>
      </c>
      <c r="H103" s="175">
        <v>296842.68</v>
      </c>
      <c r="I103" s="252">
        <f t="shared" si="23"/>
        <v>179292.97871999998</v>
      </c>
      <c r="J103" s="252">
        <f t="shared" si="25"/>
        <v>117549.70128000001</v>
      </c>
      <c r="K103" s="126">
        <v>0</v>
      </c>
      <c r="L103" s="126">
        <v>1482266.84</v>
      </c>
      <c r="M103" s="252">
        <f t="shared" si="27"/>
        <v>0.20026264636669602</v>
      </c>
      <c r="R103" s="89"/>
      <c r="S103" s="89"/>
    </row>
    <row r="104" spans="2:19" ht="30.75" customHeight="1" x14ac:dyDescent="0.35">
      <c r="B104" s="138" t="s">
        <v>257</v>
      </c>
      <c r="C104" s="121">
        <v>1403.7249999999999</v>
      </c>
      <c r="D104" s="122">
        <v>32533.7</v>
      </c>
      <c r="E104" s="249">
        <f t="shared" si="24"/>
        <v>32533.7</v>
      </c>
      <c r="F104" s="171">
        <v>14397.704</v>
      </c>
      <c r="G104" s="251">
        <f>IF(F104=0,"N/A",C104/F104)</f>
        <v>9.7496448044771575E-2</v>
      </c>
      <c r="H104" s="175">
        <v>657822.25</v>
      </c>
      <c r="I104" s="252">
        <f t="shared" si="23"/>
        <v>397324.63899999997</v>
      </c>
      <c r="J104" s="252">
        <f t="shared" si="25"/>
        <v>260497.61100000003</v>
      </c>
      <c r="K104" s="126">
        <v>0</v>
      </c>
      <c r="L104" s="126">
        <v>2683339.9080000003</v>
      </c>
      <c r="M104" s="252">
        <f t="shared" si="27"/>
        <v>0.24515054840379913</v>
      </c>
      <c r="R104" s="89"/>
      <c r="S104" s="89"/>
    </row>
    <row r="105" spans="2:19" ht="22.5" customHeight="1" x14ac:dyDescent="0.35">
      <c r="B105" s="138" t="s">
        <v>216</v>
      </c>
      <c r="C105" s="121">
        <v>0</v>
      </c>
      <c r="D105" s="122">
        <v>2574</v>
      </c>
      <c r="E105" s="249">
        <f t="shared" si="24"/>
        <v>2574</v>
      </c>
      <c r="F105" s="171">
        <v>8920.0660840499986</v>
      </c>
      <c r="G105" s="251">
        <f t="shared" si="22"/>
        <v>0</v>
      </c>
      <c r="H105" s="175">
        <v>0</v>
      </c>
      <c r="I105" s="252">
        <f t="shared" si="23"/>
        <v>0</v>
      </c>
      <c r="J105" s="252">
        <f t="shared" si="25"/>
        <v>0</v>
      </c>
      <c r="K105" s="126">
        <v>744198.10599999991</v>
      </c>
      <c r="L105" s="126">
        <v>1991293.0839999998</v>
      </c>
      <c r="M105" s="252">
        <f>IF(L105=0,"N/A",H105/L105)</f>
        <v>0</v>
      </c>
      <c r="R105" s="89"/>
      <c r="S105" s="89"/>
    </row>
    <row r="106" spans="2:19" ht="22.5" customHeight="1" x14ac:dyDescent="0.35">
      <c r="B106" s="138" t="s">
        <v>165</v>
      </c>
      <c r="C106" s="121">
        <v>0</v>
      </c>
      <c r="D106" s="122">
        <v>76</v>
      </c>
      <c r="E106" s="249">
        <f t="shared" si="24"/>
        <v>76</v>
      </c>
      <c r="F106" s="122">
        <v>0</v>
      </c>
      <c r="G106" s="251" t="str">
        <f t="shared" si="22"/>
        <v>N/A</v>
      </c>
      <c r="H106" s="175">
        <v>0</v>
      </c>
      <c r="I106" s="252">
        <v>0</v>
      </c>
      <c r="J106" s="252">
        <f t="shared" si="25"/>
        <v>0</v>
      </c>
      <c r="K106" s="126">
        <v>0</v>
      </c>
      <c r="L106" s="126">
        <v>0</v>
      </c>
      <c r="M106" s="252" t="str">
        <f t="shared" si="27"/>
        <v>N/A</v>
      </c>
      <c r="R106" s="89"/>
      <c r="S106" s="89"/>
    </row>
    <row r="107" spans="2:19" ht="22.5" customHeight="1" x14ac:dyDescent="0.35">
      <c r="B107" s="138" t="s">
        <v>248</v>
      </c>
      <c r="C107" s="121">
        <v>0</v>
      </c>
      <c r="D107" s="122">
        <v>0</v>
      </c>
      <c r="E107" s="249">
        <f t="shared" si="24"/>
        <v>0</v>
      </c>
      <c r="F107" s="122">
        <v>0</v>
      </c>
      <c r="G107" s="251" t="str">
        <f t="shared" si="22"/>
        <v>N/A</v>
      </c>
      <c r="H107" s="175">
        <v>26053.66</v>
      </c>
      <c r="I107" s="252">
        <v>0</v>
      </c>
      <c r="J107" s="252">
        <f t="shared" si="25"/>
        <v>26053.66</v>
      </c>
      <c r="K107" s="126">
        <v>19000000</v>
      </c>
      <c r="L107" s="126">
        <v>26053.66</v>
      </c>
      <c r="M107" s="251">
        <f>IF(L107=0,"N/A",H107/L107)</f>
        <v>1</v>
      </c>
      <c r="R107" s="89"/>
      <c r="S107" s="89"/>
    </row>
    <row r="108" spans="2:19" ht="22.5" customHeight="1" x14ac:dyDescent="0.35">
      <c r="B108" s="138" t="s">
        <v>249</v>
      </c>
      <c r="C108" s="121">
        <v>0</v>
      </c>
      <c r="D108" s="122">
        <v>0</v>
      </c>
      <c r="E108" s="249">
        <f t="shared" si="24"/>
        <v>0</v>
      </c>
      <c r="F108" s="122">
        <v>0</v>
      </c>
      <c r="G108" s="251" t="str">
        <f t="shared" si="22"/>
        <v>N/A</v>
      </c>
      <c r="H108" s="175"/>
      <c r="I108" s="252">
        <v>0</v>
      </c>
      <c r="J108" s="252">
        <f t="shared" si="25"/>
        <v>0</v>
      </c>
      <c r="K108" s="126">
        <v>6000000</v>
      </c>
      <c r="L108" s="126">
        <v>0</v>
      </c>
      <c r="M108" s="251" t="str">
        <f t="shared" si="27"/>
        <v>N/A</v>
      </c>
      <c r="R108" s="89"/>
      <c r="S108" s="89"/>
    </row>
    <row r="109" spans="2:19" ht="25.5" customHeight="1" x14ac:dyDescent="0.35">
      <c r="B109" s="76" t="s">
        <v>273</v>
      </c>
      <c r="C109" s="197">
        <f>SUM(C95:C108)</f>
        <v>50263.889835627902</v>
      </c>
      <c r="D109" s="116">
        <f>SUM(D95:D108)</f>
        <v>89631.038717635573</v>
      </c>
      <c r="E109" s="116">
        <f>SUM(E95:E108)</f>
        <v>89631.038717635573</v>
      </c>
      <c r="F109" s="116">
        <f>SUM(F95:F108)</f>
        <v>162528.52467404999</v>
      </c>
      <c r="G109" s="198">
        <f>C109/F109</f>
        <v>0.30926195839426857</v>
      </c>
      <c r="H109" s="124">
        <f>SUM(H95:H108)</f>
        <v>9626587.7799999993</v>
      </c>
      <c r="I109" s="124">
        <f>SUM(I95:I108)</f>
        <v>5798722.608479999</v>
      </c>
      <c r="J109" s="124">
        <f>SUM(J95:J108)</f>
        <v>3827865.1715200003</v>
      </c>
      <c r="K109" s="124">
        <f>SUM(K95:K108)</f>
        <v>25744198.105999999</v>
      </c>
      <c r="L109" s="124">
        <f>SUM(L95:L108)</f>
        <v>27244632.635333333</v>
      </c>
      <c r="M109" s="176">
        <f>H109/L109</f>
        <v>0.35333887260844765</v>
      </c>
      <c r="O109" s="136"/>
      <c r="R109" s="89"/>
      <c r="S109" s="89"/>
    </row>
    <row r="110" spans="2:19" ht="22.5" customHeight="1" x14ac:dyDescent="0.35">
      <c r="B110" s="283" t="s">
        <v>48</v>
      </c>
      <c r="C110" s="284"/>
      <c r="D110" s="284"/>
      <c r="E110" s="284"/>
      <c r="F110" s="284"/>
      <c r="G110" s="284"/>
      <c r="H110" s="284"/>
      <c r="I110" s="284"/>
      <c r="J110" s="284"/>
      <c r="K110" s="284"/>
      <c r="L110" s="284"/>
      <c r="M110" s="285"/>
      <c r="R110" s="89"/>
      <c r="S110" s="89"/>
    </row>
    <row r="111" spans="2:19" ht="22.5" customHeight="1" x14ac:dyDescent="0.35">
      <c r="B111" s="203" t="s">
        <v>250</v>
      </c>
      <c r="C111" s="207">
        <v>0</v>
      </c>
      <c r="D111" s="207">
        <v>0</v>
      </c>
      <c r="E111" s="253">
        <f>D111</f>
        <v>0</v>
      </c>
      <c r="F111" s="207">
        <v>0</v>
      </c>
      <c r="G111" s="251" t="s">
        <v>176</v>
      </c>
      <c r="H111" s="208">
        <v>3815952</v>
      </c>
      <c r="I111" s="175">
        <v>0</v>
      </c>
      <c r="J111" s="175">
        <f>H111-I111</f>
        <v>3815952</v>
      </c>
      <c r="K111" s="175">
        <v>13300000</v>
      </c>
      <c r="L111" s="175">
        <v>10309147.879999999</v>
      </c>
      <c r="M111" s="174">
        <f>H111/L111</f>
        <v>0.37015202851081813</v>
      </c>
      <c r="R111" s="89"/>
      <c r="S111" s="89"/>
    </row>
    <row r="112" spans="2:19" ht="22.5" customHeight="1" x14ac:dyDescent="0.35">
      <c r="B112" s="203" t="s">
        <v>208</v>
      </c>
      <c r="C112" s="207">
        <v>113165</v>
      </c>
      <c r="D112" s="207">
        <v>210000</v>
      </c>
      <c r="E112" s="253">
        <f>D112</f>
        <v>210000</v>
      </c>
      <c r="F112" s="171">
        <v>209001</v>
      </c>
      <c r="G112" s="251">
        <f>C112/F112</f>
        <v>0.54145673944143813</v>
      </c>
      <c r="H112" s="209" t="s">
        <v>176</v>
      </c>
      <c r="I112" s="209" t="s">
        <v>176</v>
      </c>
      <c r="J112" s="123" t="s">
        <v>176</v>
      </c>
      <c r="K112" s="123" t="s">
        <v>176</v>
      </c>
      <c r="L112" s="123" t="s">
        <v>176</v>
      </c>
      <c r="M112" s="174" t="s">
        <v>176</v>
      </c>
      <c r="R112" s="89"/>
      <c r="S112" s="89"/>
    </row>
    <row r="113" spans="2:19" ht="22.5" customHeight="1" x14ac:dyDescent="0.35">
      <c r="B113" s="203" t="s">
        <v>259</v>
      </c>
      <c r="C113" s="207">
        <v>0</v>
      </c>
      <c r="D113" s="207">
        <v>0</v>
      </c>
      <c r="E113" s="253">
        <v>0</v>
      </c>
      <c r="F113" s="207">
        <v>0</v>
      </c>
      <c r="G113" s="251" t="s">
        <v>176</v>
      </c>
      <c r="H113" s="210">
        <v>443201.61000000004</v>
      </c>
      <c r="I113" s="210">
        <v>0</v>
      </c>
      <c r="J113" s="183"/>
      <c r="K113" s="183"/>
      <c r="L113" s="183">
        <v>882701.6100000001</v>
      </c>
      <c r="M113" s="174">
        <f t="shared" ref="M113" si="28">H113/L113</f>
        <v>0.50209675045228475</v>
      </c>
      <c r="R113" s="89"/>
      <c r="S113" s="89"/>
    </row>
    <row r="114" spans="2:19" ht="22.5" customHeight="1" x14ac:dyDescent="0.35">
      <c r="B114" s="76" t="s">
        <v>49</v>
      </c>
      <c r="C114" s="197">
        <f>SUM(C111:C112)</f>
        <v>113165</v>
      </c>
      <c r="D114" s="116">
        <f>SUM(D111:D112)</f>
        <v>210000</v>
      </c>
      <c r="E114" s="116">
        <f>D114</f>
        <v>210000</v>
      </c>
      <c r="F114" s="116">
        <f>SUM(F111:F112)</f>
        <v>209001</v>
      </c>
      <c r="G114" s="198">
        <f>C114/F114</f>
        <v>0.54145673944143813</v>
      </c>
      <c r="H114" s="124">
        <f>SUM(H111:H113)</f>
        <v>4259153.6100000003</v>
      </c>
      <c r="I114" s="124">
        <f>SUM(I111:I113)</f>
        <v>0</v>
      </c>
      <c r="J114" s="124">
        <f>SUM(J111:J113)</f>
        <v>3815952</v>
      </c>
      <c r="K114" s="124">
        <f>SUM(K111:K113)</f>
        <v>13300000</v>
      </c>
      <c r="L114" s="124">
        <f>SUM(L111:L113)</f>
        <v>11191849.489999998</v>
      </c>
      <c r="M114" s="176">
        <f>H114/L114</f>
        <v>0.38055851392619122</v>
      </c>
      <c r="R114" s="89"/>
      <c r="S114" s="89"/>
    </row>
    <row r="115" spans="2:19" ht="22.5" customHeight="1" x14ac:dyDescent="0.35">
      <c r="B115" s="76" t="s">
        <v>231</v>
      </c>
      <c r="C115" s="197">
        <v>51090.499999999978</v>
      </c>
      <c r="D115" s="116">
        <v>102181</v>
      </c>
      <c r="E115" s="116">
        <v>102181</v>
      </c>
      <c r="F115" s="116">
        <v>102181</v>
      </c>
      <c r="G115" s="198">
        <f>C115/F115</f>
        <v>0.49999999999999978</v>
      </c>
      <c r="H115" s="124" t="s">
        <v>176</v>
      </c>
      <c r="I115" s="124" t="s">
        <v>176</v>
      </c>
      <c r="J115" s="124" t="s">
        <v>176</v>
      </c>
      <c r="K115" s="124" t="s">
        <v>176</v>
      </c>
      <c r="L115" s="124" t="s">
        <v>176</v>
      </c>
      <c r="M115" s="176" t="s">
        <v>176</v>
      </c>
      <c r="R115" s="89"/>
      <c r="S115" s="89"/>
    </row>
    <row r="116" spans="2:19" ht="22.5" customHeight="1" x14ac:dyDescent="0.35">
      <c r="B116" s="76" t="s">
        <v>218</v>
      </c>
      <c r="C116" s="197">
        <v>20000</v>
      </c>
      <c r="D116" s="116" t="s">
        <v>176</v>
      </c>
      <c r="E116" s="116" t="s">
        <v>176</v>
      </c>
      <c r="F116" s="116">
        <v>20000</v>
      </c>
      <c r="G116" s="198">
        <f>C116/F116</f>
        <v>1</v>
      </c>
      <c r="H116" s="124" t="s">
        <v>176</v>
      </c>
      <c r="I116" s="124" t="s">
        <v>176</v>
      </c>
      <c r="J116" s="124" t="s">
        <v>176</v>
      </c>
      <c r="K116" s="124" t="s">
        <v>176</v>
      </c>
      <c r="L116" s="124" t="s">
        <v>176</v>
      </c>
      <c r="M116" s="176" t="s">
        <v>176</v>
      </c>
      <c r="O116" s="136"/>
      <c r="R116" s="89"/>
      <c r="S116" s="89"/>
    </row>
    <row r="117" spans="2:19" s="62" customFormat="1" ht="27" customHeight="1" x14ac:dyDescent="0.35">
      <c r="B117" s="87" t="s">
        <v>230</v>
      </c>
      <c r="C117" s="119">
        <f>SUM(C39,C85,C93,C109,C114,C116,C115)</f>
        <v>792873.96601248404</v>
      </c>
      <c r="D117" s="119">
        <f>SUM(D39,D85,D93,D109,D114,D116,D115)</f>
        <v>1637572.3524839748</v>
      </c>
      <c r="E117" s="119">
        <f>SUM(E39,E85,E93,E109,E114,E116,E115)</f>
        <v>1637572.3524839748</v>
      </c>
      <c r="F117" s="119">
        <f>SUM(F39,F85,F93,F109,F114,F116,F115)</f>
        <v>1735197.8810898429</v>
      </c>
      <c r="G117" s="177">
        <f>C117/F117</f>
        <v>0.45693576199764369</v>
      </c>
      <c r="H117" s="120">
        <f>SUM(H39,H85,H93,H109,H114,H116,H115)</f>
        <v>131184464.84</v>
      </c>
      <c r="I117" s="120">
        <f>SUM(I39,I85,I93,I109,I114,I116,I115)</f>
        <v>71988031.309199989</v>
      </c>
      <c r="J117" s="120">
        <f>SUM(J39,J85,J93,J109,J114,J116,J115)</f>
        <v>58753231.9208</v>
      </c>
      <c r="K117" s="120">
        <f>SUM(K39,K85,K93,K109,K114,K116,K115)</f>
        <v>319035339.47125268</v>
      </c>
      <c r="L117" s="120">
        <f>SUM(L39,L85,L93,L109,L114,L116,L115)</f>
        <v>291149403.90629923</v>
      </c>
      <c r="M117" s="177">
        <f>H117/L117</f>
        <v>0.45057438923082654</v>
      </c>
      <c r="R117" s="42"/>
      <c r="S117" s="42"/>
    </row>
    <row r="118" spans="2:19" s="42" customFormat="1" ht="22.5" customHeight="1" x14ac:dyDescent="0.35">
      <c r="B118" s="78"/>
      <c r="C118" s="37"/>
      <c r="D118" s="256"/>
      <c r="E118" s="79"/>
      <c r="F118" s="79"/>
      <c r="G118" s="40"/>
      <c r="H118" s="41"/>
      <c r="I118" s="41"/>
      <c r="J118" s="41"/>
      <c r="K118" s="41"/>
      <c r="L118" s="41"/>
      <c r="M118" s="40"/>
      <c r="O118" s="212"/>
    </row>
    <row r="119" spans="2:19" ht="22.5" customHeight="1" x14ac:dyDescent="0.35">
      <c r="B119" s="37"/>
      <c r="C119" s="37"/>
      <c r="D119" s="127"/>
      <c r="E119" s="141"/>
      <c r="F119" s="39"/>
      <c r="G119" s="140"/>
      <c r="H119" s="41"/>
      <c r="I119" s="41"/>
      <c r="J119" s="41"/>
      <c r="K119" s="41"/>
      <c r="L119" s="41"/>
      <c r="M119" s="40"/>
    </row>
    <row r="120" spans="2:19" ht="22.5" customHeight="1" x14ac:dyDescent="0.35">
      <c r="B120" s="38" t="s">
        <v>18</v>
      </c>
      <c r="C120" s="38"/>
      <c r="D120" s="128"/>
      <c r="G120" s="194"/>
      <c r="L120" s="3"/>
    </row>
    <row r="121" spans="2:19" ht="22.5" customHeight="1" x14ac:dyDescent="0.35">
      <c r="B121" s="280" t="s">
        <v>274</v>
      </c>
      <c r="C121" s="281"/>
      <c r="D121" s="281"/>
      <c r="E121" s="281"/>
      <c r="F121" s="281"/>
      <c r="G121" s="281"/>
      <c r="H121" s="281"/>
      <c r="I121" s="281"/>
      <c r="J121" s="281"/>
      <c r="K121" s="281"/>
      <c r="L121" s="281"/>
      <c r="M121" s="282"/>
    </row>
    <row r="122" spans="2:19" ht="22.5" customHeight="1" x14ac:dyDescent="0.35">
      <c r="B122" s="277" t="s">
        <v>275</v>
      </c>
      <c r="C122" s="278"/>
      <c r="D122" s="278"/>
      <c r="E122" s="278"/>
      <c r="F122" s="278"/>
      <c r="G122" s="278"/>
      <c r="H122" s="278"/>
      <c r="I122" s="278"/>
      <c r="J122" s="278"/>
      <c r="K122" s="278"/>
      <c r="L122" s="278"/>
      <c r="M122" s="279"/>
    </row>
    <row r="123" spans="2:19" ht="22.5" customHeight="1" x14ac:dyDescent="0.35">
      <c r="B123" s="271" t="s">
        <v>276</v>
      </c>
      <c r="C123" s="272"/>
      <c r="D123" s="272"/>
      <c r="E123" s="272"/>
      <c r="F123" s="272"/>
      <c r="G123" s="272"/>
      <c r="H123" s="272"/>
      <c r="I123" s="272"/>
      <c r="J123" s="272"/>
      <c r="K123" s="272"/>
      <c r="L123" s="272"/>
      <c r="M123" s="273"/>
    </row>
    <row r="124" spans="2:19" ht="22.5" customHeight="1" x14ac:dyDescent="0.35">
      <c r="B124" s="274"/>
      <c r="C124" s="275"/>
      <c r="D124" s="275"/>
      <c r="E124" s="275"/>
      <c r="F124" s="275"/>
      <c r="G124" s="275"/>
      <c r="H124" s="275"/>
      <c r="I124" s="275"/>
      <c r="J124" s="275"/>
      <c r="K124" s="275"/>
      <c r="L124" s="275"/>
      <c r="M124" s="276"/>
    </row>
    <row r="125" spans="2:19" ht="31.5" customHeight="1" x14ac:dyDescent="0.35">
      <c r="B125" s="260" t="s">
        <v>277</v>
      </c>
      <c r="C125" s="260"/>
      <c r="D125" s="260"/>
      <c r="E125" s="260"/>
      <c r="F125" s="260"/>
      <c r="G125" s="260"/>
      <c r="H125" s="260"/>
      <c r="I125" s="260"/>
      <c r="J125" s="260"/>
      <c r="K125" s="260"/>
      <c r="L125" s="260"/>
      <c r="M125" s="260"/>
    </row>
    <row r="126" spans="2:19" ht="39.75" customHeight="1" x14ac:dyDescent="0.35">
      <c r="B126" s="260" t="s">
        <v>289</v>
      </c>
      <c r="C126" s="260"/>
      <c r="D126" s="260"/>
      <c r="E126" s="260"/>
      <c r="F126" s="260"/>
      <c r="G126" s="260"/>
      <c r="H126" s="260"/>
      <c r="I126" s="260"/>
      <c r="J126" s="260"/>
      <c r="K126" s="260"/>
      <c r="L126" s="260"/>
      <c r="M126" s="260"/>
    </row>
    <row r="129" spans="6:6" ht="22.5" customHeight="1" x14ac:dyDescent="0.35">
      <c r="F129" s="199"/>
    </row>
  </sheetData>
  <autoFilter ref="B20:M117" xr:uid="{775B0D6F-32EA-450B-B7EC-4DB9A701AFA4}"/>
  <mergeCells count="10">
    <mergeCell ref="B126:M126"/>
    <mergeCell ref="B5:M6"/>
    <mergeCell ref="B8:M16"/>
    <mergeCell ref="B125:M125"/>
    <mergeCell ref="B86:M86"/>
    <mergeCell ref="B94:M94"/>
    <mergeCell ref="B123:M124"/>
    <mergeCell ref="B122:M122"/>
    <mergeCell ref="B121:M121"/>
    <mergeCell ref="B110:M110"/>
  </mergeCells>
  <printOptions horizontalCentered="1" headings="1"/>
  <pageMargins left="1" right="1" top="1.25" bottom="0.5" header="0.5" footer="0.5"/>
  <pageSetup paperSize="17" scale="39" orientation="portrait" r:id="rId1"/>
  <headerFooter scaleWithDoc="0">
    <oddHeader>&amp;R&amp;"Arial,Bold"ICC Docket No. 17-0312
Statewide Quarterly Report ComEd 2020 Q2 
Tab: &amp;A</oddHeader>
  </headerFooter>
  <ignoredErrors>
    <ignoredError sqref="E22 E27:E36 G22:G25 G39:H39 E39:F39 E56:G56 E57 G57 J56 G74 G40 E40 M39 G27:G36" formula="1"/>
    <ignoredError sqref="H56:H57 M57 L56 L74" formulaRange="1"/>
    <ignoredError sqref="F57 M56 H74" formula="1"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32"/>
  <sheetViews>
    <sheetView topLeftCell="A16" workbookViewId="0">
      <selection activeCell="G2" sqref="G2"/>
    </sheetView>
  </sheetViews>
  <sheetFormatPr defaultColWidth="9.1796875" defaultRowHeight="14.5" x14ac:dyDescent="0.35"/>
  <cols>
    <col min="1" max="1" width="3.453125" customWidth="1"/>
    <col min="2" max="2" width="62.54296875" style="4" customWidth="1"/>
    <col min="3" max="3" width="21.453125" style="4" customWidth="1"/>
    <col min="4" max="4" width="18.1796875" customWidth="1"/>
    <col min="5" max="5" width="19.1796875" customWidth="1"/>
    <col min="6" max="6" width="14.453125" bestFit="1" customWidth="1"/>
    <col min="7" max="7" width="16.81640625" customWidth="1"/>
    <col min="9" max="9" width="13.26953125" bestFit="1" customWidth="1"/>
  </cols>
  <sheetData>
    <row r="1" spans="2:7" x14ac:dyDescent="0.35">
      <c r="B1" s="5" t="s">
        <v>0</v>
      </c>
    </row>
    <row r="2" spans="2:7" x14ac:dyDescent="0.35">
      <c r="B2" s="5" t="s">
        <v>138</v>
      </c>
    </row>
    <row r="3" spans="2:7" x14ac:dyDescent="0.35">
      <c r="B3" s="5"/>
    </row>
    <row r="4" spans="2:7" x14ac:dyDescent="0.35">
      <c r="B4" s="5"/>
    </row>
    <row r="5" spans="2:7" ht="37.5" customHeight="1" x14ac:dyDescent="0.35">
      <c r="B5" s="289" t="s">
        <v>145</v>
      </c>
      <c r="C5" s="290"/>
      <c r="D5" s="290"/>
      <c r="E5" s="291"/>
    </row>
    <row r="6" spans="2:7" ht="37.5" customHeight="1" x14ac:dyDescent="0.35">
      <c r="B6" s="292"/>
      <c r="C6" s="293"/>
      <c r="D6" s="293"/>
      <c r="E6" s="294"/>
    </row>
    <row r="7" spans="2:7" ht="18.75" customHeight="1" x14ac:dyDescent="0.35">
      <c r="B7" s="295"/>
      <c r="C7" s="296"/>
      <c r="D7" s="296"/>
      <c r="E7" s="297"/>
    </row>
    <row r="9" spans="2:7" x14ac:dyDescent="0.35">
      <c r="B9" s="5" t="s">
        <v>292</v>
      </c>
    </row>
    <row r="10" spans="2:7" x14ac:dyDescent="0.35">
      <c r="B10" s="5"/>
    </row>
    <row r="11" spans="2:7" ht="32.65" customHeight="1" x14ac:dyDescent="0.35">
      <c r="B11" s="55" t="s">
        <v>140</v>
      </c>
      <c r="C11" s="56" t="s">
        <v>281</v>
      </c>
      <c r="G11" s="204"/>
    </row>
    <row r="12" spans="2:7" s="54" customFormat="1" ht="21" customHeight="1" x14ac:dyDescent="0.35">
      <c r="B12" s="286" t="s">
        <v>141</v>
      </c>
      <c r="C12" s="286"/>
    </row>
    <row r="13" spans="2:7" x14ac:dyDescent="0.35">
      <c r="B13" s="8" t="s">
        <v>136</v>
      </c>
      <c r="C13" s="57">
        <f>'1- Ex Ante Results'!H56</f>
        <v>69493496.019999996</v>
      </c>
    </row>
    <row r="14" spans="2:7" x14ac:dyDescent="0.35">
      <c r="B14" s="8" t="s">
        <v>35</v>
      </c>
      <c r="C14" s="60">
        <f>'1- Ex Ante Results'!H74</f>
        <v>15606911.609999999</v>
      </c>
    </row>
    <row r="15" spans="2:7" x14ac:dyDescent="0.35">
      <c r="B15" s="8" t="s">
        <v>1</v>
      </c>
      <c r="C15" s="60">
        <f>'1- Ex Ante Results'!H85</f>
        <v>23902724.449999999</v>
      </c>
    </row>
    <row r="16" spans="2:7" x14ac:dyDescent="0.35">
      <c r="B16" s="8" t="s">
        <v>33</v>
      </c>
      <c r="C16" s="60">
        <f>'1- Ex Ante Results'!H93</f>
        <v>8295591.3700000001</v>
      </c>
      <c r="D16" s="62"/>
    </row>
    <row r="17" spans="1:9" x14ac:dyDescent="0.35">
      <c r="B17" s="8" t="s">
        <v>29</v>
      </c>
      <c r="C17" s="60">
        <v>417134.9</v>
      </c>
      <c r="D17" s="213"/>
    </row>
    <row r="18" spans="1:9" x14ac:dyDescent="0.35">
      <c r="B18" s="8" t="s">
        <v>278</v>
      </c>
      <c r="C18" s="57">
        <f>'1- Ex Ante Results'!H109</f>
        <v>9626587.7799999993</v>
      </c>
      <c r="D18" s="62"/>
    </row>
    <row r="19" spans="1:9" s="20" customFormat="1" ht="21" customHeight="1" x14ac:dyDescent="0.35">
      <c r="B19" s="83" t="s">
        <v>177</v>
      </c>
      <c r="C19" s="84">
        <f>SUM(C13:C18)</f>
        <v>127342446.13000001</v>
      </c>
      <c r="D19" s="214"/>
      <c r="F19" s="145"/>
    </row>
    <row r="20" spans="1:9" s="20" customFormat="1" ht="21" customHeight="1" x14ac:dyDescent="0.35">
      <c r="B20" s="287" t="s">
        <v>142</v>
      </c>
      <c r="C20" s="288"/>
      <c r="D20" s="215"/>
      <c r="E20" s="218"/>
    </row>
    <row r="21" spans="1:9" ht="29.65" customHeight="1" x14ac:dyDescent="0.35">
      <c r="B21" s="58" t="s">
        <v>36</v>
      </c>
      <c r="C21" s="129">
        <f>'1- Ex Ante Results'!H114</f>
        <v>4259153.6100000003</v>
      </c>
      <c r="D21" s="216"/>
      <c r="E21" s="136"/>
      <c r="F21" s="136"/>
      <c r="G21" s="205"/>
    </row>
    <row r="22" spans="1:9" x14ac:dyDescent="0.35">
      <c r="B22" s="59" t="s">
        <v>24</v>
      </c>
      <c r="C22" s="60">
        <v>4011540.5300000003</v>
      </c>
      <c r="D22" s="216"/>
      <c r="G22" s="205"/>
    </row>
    <row r="23" spans="1:9" x14ac:dyDescent="0.35">
      <c r="B23" s="64" t="s">
        <v>137</v>
      </c>
      <c r="C23" s="60">
        <v>1348382.3976</v>
      </c>
      <c r="D23" s="216"/>
      <c r="G23" s="205"/>
    </row>
    <row r="24" spans="1:9" x14ac:dyDescent="0.35">
      <c r="B24" s="8" t="s">
        <v>37</v>
      </c>
      <c r="C24" s="60">
        <v>9857978.182400018</v>
      </c>
      <c r="D24" s="211"/>
      <c r="E24" s="204"/>
      <c r="G24" s="205"/>
    </row>
    <row r="25" spans="1:9" x14ac:dyDescent="0.35">
      <c r="B25" s="8" t="s">
        <v>267</v>
      </c>
      <c r="C25" s="60">
        <v>846486.96</v>
      </c>
      <c r="D25" s="211"/>
      <c r="E25" s="204"/>
      <c r="F25" s="136"/>
      <c r="G25" s="205"/>
    </row>
    <row r="26" spans="1:9" s="20" customFormat="1" ht="21" customHeight="1" x14ac:dyDescent="0.35">
      <c r="B26" s="83" t="s">
        <v>178</v>
      </c>
      <c r="C26" s="130">
        <f>SUM(C21:C25)</f>
        <v>20323541.680000022</v>
      </c>
      <c r="D26" s="214"/>
      <c r="G26" s="220"/>
    </row>
    <row r="27" spans="1:9" s="20" customFormat="1" ht="32.65" customHeight="1" x14ac:dyDescent="0.35">
      <c r="B27" s="86" t="s">
        <v>179</v>
      </c>
      <c r="C27" s="131">
        <f>C19+C26</f>
        <v>147665987.81000003</v>
      </c>
      <c r="D27" s="54"/>
      <c r="E27" s="219"/>
      <c r="F27" s="145"/>
      <c r="G27" s="221"/>
      <c r="I27" s="145"/>
    </row>
    <row r="28" spans="1:9" s="62" customFormat="1" x14ac:dyDescent="0.35">
      <c r="B28" s="63"/>
      <c r="C28" s="63"/>
      <c r="F28" s="160"/>
      <c r="G28" s="42"/>
    </row>
    <row r="29" spans="1:9" s="54" customFormat="1" ht="17.649999999999999" customHeight="1" x14ac:dyDescent="0.35">
      <c r="B29" s="74"/>
      <c r="C29" s="74"/>
    </row>
    <row r="30" spans="1:9" s="54" customFormat="1" ht="20.149999999999999" customHeight="1" x14ac:dyDescent="0.35">
      <c r="B30" s="75" t="s">
        <v>294</v>
      </c>
      <c r="C30" s="74"/>
    </row>
    <row r="31" spans="1:9" s="62" customFormat="1" ht="36" customHeight="1" x14ac:dyDescent="0.35">
      <c r="A31" s="42"/>
      <c r="B31" s="56" t="s">
        <v>143</v>
      </c>
      <c r="C31" s="56" t="s">
        <v>279</v>
      </c>
      <c r="D31" s="56" t="s">
        <v>280</v>
      </c>
      <c r="E31" s="45" t="s">
        <v>19</v>
      </c>
    </row>
    <row r="32" spans="1:9" s="20" customFormat="1" ht="35.65" customHeight="1" x14ac:dyDescent="0.35">
      <c r="B32" s="85" t="s">
        <v>179</v>
      </c>
      <c r="C32" s="132">
        <f>C27</f>
        <v>147665987.81000003</v>
      </c>
      <c r="D32" s="149">
        <v>351334190</v>
      </c>
      <c r="E32" s="150">
        <f>C32/D32</f>
        <v>0.42030064825174013</v>
      </c>
    </row>
  </sheetData>
  <mergeCells count="3">
    <mergeCell ref="B12:C12"/>
    <mergeCell ref="B20:C20"/>
    <mergeCell ref="B5:E7"/>
  </mergeCells>
  <printOptions horizontalCentered="1" headings="1"/>
  <pageMargins left="1" right="1" top="1.25" bottom="0.5" header="0.5" footer="0.5"/>
  <pageSetup scale="64" orientation="portrait" r:id="rId1"/>
  <headerFooter scaleWithDoc="0">
    <oddHeader>&amp;R&amp;"Arial,Bold"ICC Docket No. 17-0312
Statewide Quarterly Report ComEd 2020 Q2 
Tab: &amp;A</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R35"/>
  <sheetViews>
    <sheetView workbookViewId="0">
      <selection activeCell="G2" sqref="G2"/>
    </sheetView>
  </sheetViews>
  <sheetFormatPr defaultColWidth="9.1796875" defaultRowHeight="14.5" x14ac:dyDescent="0.35"/>
  <cols>
    <col min="1" max="1" width="3.54296875" customWidth="1"/>
    <col min="2" max="2" width="18.7265625" style="20" customWidth="1"/>
    <col min="3" max="3" width="22.26953125" customWidth="1"/>
    <col min="4" max="4" width="24.26953125" customWidth="1"/>
    <col min="5" max="5" width="18.7265625" customWidth="1"/>
    <col min="6" max="6" width="18.54296875" customWidth="1"/>
    <col min="7" max="7" width="19.453125" customWidth="1"/>
    <col min="8" max="8" width="3.453125" customWidth="1"/>
    <col min="9" max="9" width="31.7265625" customWidth="1"/>
    <col min="10" max="10" width="11.54296875" customWidth="1"/>
    <col min="11" max="13" width="12.453125" customWidth="1"/>
    <col min="14" max="14" width="13.453125" customWidth="1"/>
    <col min="15" max="15" width="12.7265625" customWidth="1"/>
    <col min="16" max="17" width="12.453125" customWidth="1"/>
    <col min="18" max="18" width="12.54296875" customWidth="1"/>
    <col min="19" max="19" width="12.453125" customWidth="1"/>
  </cols>
  <sheetData>
    <row r="1" spans="2:18" x14ac:dyDescent="0.35">
      <c r="B1" s="75" t="s">
        <v>0</v>
      </c>
    </row>
    <row r="2" spans="2:18" x14ac:dyDescent="0.35">
      <c r="B2" s="75" t="s">
        <v>15</v>
      </c>
    </row>
    <row r="3" spans="2:18" x14ac:dyDescent="0.35">
      <c r="B3" s="75"/>
    </row>
    <row r="4" spans="2:18" x14ac:dyDescent="0.35">
      <c r="B4" s="75"/>
    </row>
    <row r="5" spans="2:18" ht="14.65" customHeight="1" x14ac:dyDescent="0.35">
      <c r="B5" s="298" t="s">
        <v>139</v>
      </c>
      <c r="C5" s="298"/>
      <c r="D5" s="298"/>
      <c r="E5" s="298"/>
      <c r="F5" s="298"/>
      <c r="G5" s="298"/>
    </row>
    <row r="6" spans="2:18" x14ac:dyDescent="0.35">
      <c r="B6" s="298"/>
      <c r="C6" s="298"/>
      <c r="D6" s="298"/>
      <c r="E6" s="298"/>
      <c r="F6" s="298"/>
      <c r="G6" s="298"/>
    </row>
    <row r="7" spans="2:18" x14ac:dyDescent="0.35">
      <c r="B7" s="298"/>
      <c r="C7" s="298"/>
      <c r="D7" s="298"/>
      <c r="E7" s="298"/>
      <c r="F7" s="298"/>
      <c r="G7" s="298"/>
    </row>
    <row r="8" spans="2:18" x14ac:dyDescent="0.35">
      <c r="B8" s="298"/>
      <c r="C8" s="298"/>
      <c r="D8" s="298"/>
      <c r="E8" s="298"/>
      <c r="F8" s="298"/>
      <c r="G8" s="298"/>
    </row>
    <row r="9" spans="2:18" x14ac:dyDescent="0.35">
      <c r="B9" s="298"/>
      <c r="C9" s="298"/>
      <c r="D9" s="298"/>
      <c r="E9" s="298"/>
      <c r="F9" s="298"/>
      <c r="G9" s="298"/>
    </row>
    <row r="11" spans="2:18" ht="18" x14ac:dyDescent="0.4">
      <c r="B11" s="44" t="s">
        <v>295</v>
      </c>
      <c r="C11" s="44"/>
      <c r="D11" s="10"/>
      <c r="E11" s="10"/>
      <c r="F11" s="10"/>
      <c r="G11" s="10"/>
      <c r="I11" s="9" t="s">
        <v>226</v>
      </c>
    </row>
    <row r="12" spans="2:18" ht="18" x14ac:dyDescent="0.4">
      <c r="C12" s="11"/>
      <c r="D12" s="10"/>
      <c r="E12" s="10"/>
      <c r="F12" s="10"/>
      <c r="G12" s="10"/>
      <c r="I12" s="6"/>
    </row>
    <row r="13" spans="2:18" s="20" customFormat="1" ht="47.15" customHeight="1" x14ac:dyDescent="0.35">
      <c r="B13" s="18" t="s">
        <v>2</v>
      </c>
      <c r="C13" s="7" t="s">
        <v>123</v>
      </c>
      <c r="D13" s="7" t="s">
        <v>220</v>
      </c>
      <c r="E13" s="7" t="s">
        <v>221</v>
      </c>
      <c r="F13" s="7" t="s">
        <v>222</v>
      </c>
      <c r="G13" s="7" t="s">
        <v>23</v>
      </c>
      <c r="I13" s="21" t="s">
        <v>25</v>
      </c>
      <c r="J13" s="7" t="s">
        <v>6</v>
      </c>
      <c r="K13" s="7" t="s">
        <v>7</v>
      </c>
      <c r="L13" s="7" t="s">
        <v>8</v>
      </c>
      <c r="M13" s="7" t="s">
        <v>9</v>
      </c>
      <c r="N13" s="7" t="s">
        <v>10</v>
      </c>
      <c r="O13" s="7" t="s">
        <v>11</v>
      </c>
      <c r="P13" s="7" t="s">
        <v>12</v>
      </c>
      <c r="Q13" s="7" t="s">
        <v>13</v>
      </c>
      <c r="R13" s="7" t="s">
        <v>119</v>
      </c>
    </row>
    <row r="14" spans="2:18" ht="27" x14ac:dyDescent="0.35">
      <c r="B14" s="112" t="s">
        <v>111</v>
      </c>
      <c r="C14" s="12" t="s">
        <v>167</v>
      </c>
      <c r="D14" s="13">
        <v>163717</v>
      </c>
      <c r="E14" s="13">
        <v>148842</v>
      </c>
      <c r="F14" s="13">
        <f>E14</f>
        <v>148842</v>
      </c>
      <c r="G14" s="14">
        <f>D14/F14</f>
        <v>1.0999381894895257</v>
      </c>
      <c r="I14" s="71" t="s">
        <v>228</v>
      </c>
      <c r="J14" s="19">
        <v>18636</v>
      </c>
      <c r="K14" s="19">
        <v>34038</v>
      </c>
      <c r="L14" s="19">
        <v>54130</v>
      </c>
      <c r="M14" s="19">
        <v>107640</v>
      </c>
      <c r="N14" s="19">
        <v>98944</v>
      </c>
      <c r="O14" s="19">
        <v>86439</v>
      </c>
      <c r="P14" s="19">
        <v>85124.305999999997</v>
      </c>
      <c r="Q14" s="19">
        <v>30340.597000000002</v>
      </c>
      <c r="R14" s="19">
        <v>171941.09</v>
      </c>
    </row>
    <row r="15" spans="2:18" s="20" customFormat="1" ht="27" x14ac:dyDescent="0.25">
      <c r="B15" s="112" t="s">
        <v>112</v>
      </c>
      <c r="C15" s="12" t="s">
        <v>167</v>
      </c>
      <c r="D15" s="69">
        <v>472132</v>
      </c>
      <c r="E15" s="69">
        <v>312339</v>
      </c>
      <c r="F15" s="13">
        <f>E15</f>
        <v>312339</v>
      </c>
      <c r="G15" s="70">
        <f t="shared" ref="G15:G30" si="0">D15/F15</f>
        <v>1.5116011769263524</v>
      </c>
      <c r="I15" s="67" t="s">
        <v>121</v>
      </c>
      <c r="J15" s="72" t="s">
        <v>167</v>
      </c>
      <c r="K15" s="72" t="s">
        <v>167</v>
      </c>
      <c r="L15" s="72" t="s">
        <v>167</v>
      </c>
      <c r="M15" s="72" t="s">
        <v>167</v>
      </c>
      <c r="N15" s="72" t="s">
        <v>167</v>
      </c>
      <c r="O15" s="72" t="s">
        <v>167</v>
      </c>
      <c r="P15" s="73" t="s">
        <v>168</v>
      </c>
      <c r="Q15" s="73" t="s">
        <v>168</v>
      </c>
      <c r="R15" s="73" t="s">
        <v>168</v>
      </c>
    </row>
    <row r="16" spans="2:18" ht="27" x14ac:dyDescent="0.35">
      <c r="B16" s="112" t="s">
        <v>113</v>
      </c>
      <c r="C16" s="12" t="s">
        <v>167</v>
      </c>
      <c r="D16" s="13">
        <v>626715</v>
      </c>
      <c r="E16" s="13">
        <v>458919</v>
      </c>
      <c r="F16" s="13">
        <f>E16</f>
        <v>458919</v>
      </c>
      <c r="G16" s="14">
        <f t="shared" si="0"/>
        <v>1.3656331509482065</v>
      </c>
      <c r="I16" s="67" t="s">
        <v>124</v>
      </c>
      <c r="J16" s="117" t="s">
        <v>169</v>
      </c>
      <c r="K16" s="117" t="s">
        <v>170</v>
      </c>
      <c r="L16" s="118" t="s">
        <v>171</v>
      </c>
      <c r="M16" s="118" t="s">
        <v>172</v>
      </c>
      <c r="N16" s="118" t="s">
        <v>173</v>
      </c>
      <c r="O16" s="118" t="s">
        <v>174</v>
      </c>
      <c r="P16" s="117" t="s">
        <v>175</v>
      </c>
      <c r="Q16" s="118" t="s">
        <v>261</v>
      </c>
      <c r="R16" s="185" t="s">
        <v>261</v>
      </c>
    </row>
    <row r="17" spans="2:18" ht="28" x14ac:dyDescent="0.35">
      <c r="B17" s="80" t="s">
        <v>20</v>
      </c>
      <c r="C17" s="47"/>
      <c r="D17" s="48">
        <f>SUM(D14:D16)</f>
        <v>1262564</v>
      </c>
      <c r="E17" s="48">
        <f>SUM(E14:E16)</f>
        <v>920100</v>
      </c>
      <c r="F17" s="48">
        <f>SUM(F14:F16)</f>
        <v>920100</v>
      </c>
      <c r="G17" s="49">
        <f t="shared" si="0"/>
        <v>1.3722030214107162</v>
      </c>
      <c r="I17" s="82"/>
      <c r="J17" s="89"/>
      <c r="K17" s="89"/>
      <c r="L17" s="89"/>
      <c r="M17" s="89"/>
      <c r="N17" s="89"/>
      <c r="O17" s="89"/>
      <c r="P17" s="89"/>
      <c r="Q17" s="89"/>
      <c r="R17" s="89"/>
    </row>
    <row r="18" spans="2:18" ht="33" customHeight="1" x14ac:dyDescent="0.35">
      <c r="B18" s="112" t="s">
        <v>114</v>
      </c>
      <c r="C18" s="12" t="s">
        <v>167</v>
      </c>
      <c r="D18" s="13">
        <v>944111</v>
      </c>
      <c r="E18" s="13">
        <v>610804</v>
      </c>
      <c r="F18" s="13">
        <f>E18</f>
        <v>610804</v>
      </c>
      <c r="G18" s="14">
        <f t="shared" si="0"/>
        <v>1.5456856864067687</v>
      </c>
      <c r="I18" s="82" t="s">
        <v>18</v>
      </c>
      <c r="J18" s="89"/>
      <c r="K18" s="89"/>
      <c r="L18" s="89"/>
      <c r="M18" s="89"/>
      <c r="N18" s="89"/>
      <c r="O18" s="89"/>
      <c r="P18" s="89"/>
      <c r="Q18" s="89"/>
      <c r="R18" s="89"/>
    </row>
    <row r="19" spans="2:18" ht="33" customHeight="1" x14ac:dyDescent="0.35">
      <c r="B19" s="112" t="s">
        <v>115</v>
      </c>
      <c r="C19" s="12" t="s">
        <v>167</v>
      </c>
      <c r="D19" s="13">
        <v>942061</v>
      </c>
      <c r="E19" s="13">
        <v>806353</v>
      </c>
      <c r="F19" s="13">
        <f>E19</f>
        <v>806353</v>
      </c>
      <c r="G19" s="14">
        <f t="shared" si="0"/>
        <v>1.1682984995405239</v>
      </c>
      <c r="I19" s="277" t="s">
        <v>120</v>
      </c>
      <c r="J19" s="278"/>
      <c r="K19" s="278"/>
      <c r="L19" s="278"/>
      <c r="M19" s="278"/>
      <c r="N19" s="278"/>
      <c r="O19" s="278"/>
      <c r="P19" s="278"/>
      <c r="Q19" s="278"/>
      <c r="R19" s="279"/>
    </row>
    <row r="20" spans="2:18" ht="40.5" customHeight="1" x14ac:dyDescent="0.35">
      <c r="B20" s="112" t="s">
        <v>116</v>
      </c>
      <c r="C20" s="12" t="s">
        <v>167</v>
      </c>
      <c r="D20" s="13">
        <v>977911</v>
      </c>
      <c r="E20" s="13">
        <v>809556</v>
      </c>
      <c r="F20" s="13">
        <v>791103</v>
      </c>
      <c r="G20" s="14">
        <f t="shared" si="0"/>
        <v>1.2361361289237938</v>
      </c>
      <c r="I20" s="277" t="s">
        <v>126</v>
      </c>
      <c r="J20" s="278"/>
      <c r="K20" s="278"/>
      <c r="L20" s="278"/>
      <c r="M20" s="278"/>
      <c r="N20" s="278"/>
      <c r="O20" s="278"/>
      <c r="P20" s="278"/>
      <c r="Q20" s="278"/>
      <c r="R20" s="279"/>
    </row>
    <row r="21" spans="2:18" ht="43.4" customHeight="1" x14ac:dyDescent="0.35">
      <c r="B21" s="80" t="s">
        <v>21</v>
      </c>
      <c r="C21" s="47"/>
      <c r="D21" s="48">
        <f>SUM(D18:D20)</f>
        <v>2864083</v>
      </c>
      <c r="E21" s="48">
        <f>SUM(E18:E20)</f>
        <v>2226713</v>
      </c>
      <c r="F21" s="48">
        <f>SUM(F18:F20)</f>
        <v>2208260</v>
      </c>
      <c r="G21" s="49">
        <f t="shared" si="0"/>
        <v>1.2969863150172534</v>
      </c>
    </row>
    <row r="22" spans="2:18" ht="27" x14ac:dyDescent="0.35">
      <c r="B22" s="112" t="s">
        <v>117</v>
      </c>
      <c r="C22" s="12" t="s">
        <v>168</v>
      </c>
      <c r="D22" s="13">
        <v>809877.65800000005</v>
      </c>
      <c r="E22" s="13">
        <v>648029</v>
      </c>
      <c r="F22" s="230">
        <f>E22</f>
        <v>648029</v>
      </c>
      <c r="G22" s="14">
        <f t="shared" si="0"/>
        <v>1.2497552702116728</v>
      </c>
    </row>
    <row r="23" spans="2:18" ht="27" x14ac:dyDescent="0.35">
      <c r="B23" s="112" t="s">
        <v>118</v>
      </c>
      <c r="C23" s="12" t="s">
        <v>168</v>
      </c>
      <c r="D23" s="13">
        <v>671027.05099999998</v>
      </c>
      <c r="E23" s="13">
        <v>541983</v>
      </c>
      <c r="F23" s="230">
        <f>E23</f>
        <v>541983</v>
      </c>
      <c r="G23" s="14">
        <f t="shared" si="0"/>
        <v>1.2380961229411254</v>
      </c>
    </row>
    <row r="24" spans="2:18" ht="27" x14ac:dyDescent="0.35">
      <c r="B24" s="112" t="s">
        <v>122</v>
      </c>
      <c r="C24" s="15" t="s">
        <v>168</v>
      </c>
      <c r="D24" s="13">
        <v>1087076</v>
      </c>
      <c r="E24" s="13">
        <v>787629</v>
      </c>
      <c r="F24" s="230">
        <f>E24</f>
        <v>787629</v>
      </c>
      <c r="G24" s="14">
        <f t="shared" si="0"/>
        <v>1.3801878803345229</v>
      </c>
    </row>
    <row r="25" spans="2:18" ht="44.15" customHeight="1" x14ac:dyDescent="0.35">
      <c r="B25" s="80" t="s">
        <v>22</v>
      </c>
      <c r="C25" s="47"/>
      <c r="D25" s="48">
        <f>SUM(D22:D24)</f>
        <v>2567980.7089999998</v>
      </c>
      <c r="E25" s="48">
        <f>SUM(E22:E24)</f>
        <v>1977641</v>
      </c>
      <c r="F25" s="231">
        <f>SUM(F22:F24)</f>
        <v>1977641</v>
      </c>
      <c r="G25" s="49">
        <f t="shared" si="0"/>
        <v>1.298507013659203</v>
      </c>
    </row>
    <row r="26" spans="2:18" x14ac:dyDescent="0.35">
      <c r="B26" s="68">
        <v>2018</v>
      </c>
      <c r="C26" s="15" t="s">
        <v>168</v>
      </c>
      <c r="D26" s="13">
        <v>1859773.2879999999</v>
      </c>
      <c r="E26" s="13">
        <v>1713451.1340047012</v>
      </c>
      <c r="F26" s="230">
        <f>E26</f>
        <v>1713451.1340047012</v>
      </c>
      <c r="G26" s="14">
        <f t="shared" si="0"/>
        <v>1.0853961639707301</v>
      </c>
    </row>
    <row r="27" spans="2:18" x14ac:dyDescent="0.35">
      <c r="B27" s="68">
        <v>2019</v>
      </c>
      <c r="C27" s="15" t="s">
        <v>213</v>
      </c>
      <c r="D27" s="255">
        <v>1700029.4500006568</v>
      </c>
      <c r="E27" s="13">
        <v>1629782.8910777657</v>
      </c>
      <c r="F27" s="230">
        <f>E27</f>
        <v>1629782.8910777657</v>
      </c>
      <c r="G27" s="14">
        <f t="shared" si="0"/>
        <v>1.0431017893901422</v>
      </c>
    </row>
    <row r="28" spans="2:18" x14ac:dyDescent="0.35">
      <c r="B28" s="68">
        <v>2020</v>
      </c>
      <c r="C28" s="15" t="s">
        <v>213</v>
      </c>
      <c r="D28" s="13">
        <f>'1- Ex Ante Results'!C117</f>
        <v>792873.96601248404</v>
      </c>
      <c r="E28" s="255">
        <v>1637682.4130108685</v>
      </c>
      <c r="F28" s="254">
        <f>E28</f>
        <v>1637682.4130108685</v>
      </c>
      <c r="G28" s="14">
        <f t="shared" si="0"/>
        <v>0.48414390953542108</v>
      </c>
    </row>
    <row r="29" spans="2:18" x14ac:dyDescent="0.35">
      <c r="B29" s="68">
        <v>2021</v>
      </c>
      <c r="C29" s="15" t="s">
        <v>213</v>
      </c>
      <c r="D29" s="13">
        <v>0</v>
      </c>
      <c r="E29" s="13">
        <v>1659037.2773371474</v>
      </c>
      <c r="F29" s="13">
        <f>E29</f>
        <v>1659037.2773371474</v>
      </c>
      <c r="G29" s="224">
        <f t="shared" si="0"/>
        <v>0</v>
      </c>
    </row>
    <row r="30" spans="2:18" ht="42" customHeight="1" x14ac:dyDescent="0.35">
      <c r="B30" s="80" t="s">
        <v>44</v>
      </c>
      <c r="C30" s="47"/>
      <c r="D30" s="48">
        <f>SUM(D26:D29)</f>
        <v>4352676.7040131409</v>
      </c>
      <c r="E30" s="48">
        <f>SUM(E26:E29)</f>
        <v>6639953.7154304832</v>
      </c>
      <c r="F30" s="48">
        <f>SUM(F26:F29)</f>
        <v>6639953.7154304832</v>
      </c>
      <c r="G30" s="49">
        <f t="shared" si="0"/>
        <v>0.65552816940546199</v>
      </c>
    </row>
    <row r="31" spans="2:18" s="62" customFormat="1" ht="14.65" customHeight="1" x14ac:dyDescent="0.35">
      <c r="B31" s="81"/>
      <c r="C31" s="16"/>
      <c r="D31" s="17"/>
      <c r="E31" s="17"/>
      <c r="F31" s="17"/>
      <c r="G31" s="66"/>
    </row>
    <row r="32" spans="2:18" x14ac:dyDescent="0.35">
      <c r="B32" s="82" t="s">
        <v>18</v>
      </c>
    </row>
    <row r="33" spans="2:7" ht="46.4" customHeight="1" x14ac:dyDescent="0.35">
      <c r="B33" s="299" t="s">
        <v>38</v>
      </c>
      <c r="C33" s="299"/>
      <c r="D33" s="299"/>
      <c r="E33" s="299"/>
      <c r="F33" s="299"/>
      <c r="G33" s="299"/>
    </row>
    <row r="34" spans="2:7" ht="42.75" customHeight="1" x14ac:dyDescent="0.35">
      <c r="B34" s="299" t="s">
        <v>47</v>
      </c>
      <c r="C34" s="299"/>
      <c r="D34" s="299"/>
      <c r="E34" s="299"/>
      <c r="F34" s="299"/>
      <c r="G34" s="299"/>
    </row>
    <row r="35" spans="2:7" ht="42" customHeight="1" x14ac:dyDescent="0.35">
      <c r="B35" s="260" t="s">
        <v>125</v>
      </c>
      <c r="C35" s="260"/>
      <c r="D35" s="260"/>
      <c r="E35" s="260"/>
      <c r="F35" s="260"/>
      <c r="G35" s="260"/>
    </row>
  </sheetData>
  <mergeCells count="6">
    <mergeCell ref="I20:R20"/>
    <mergeCell ref="I19:R19"/>
    <mergeCell ref="B35:G35"/>
    <mergeCell ref="B5:G9"/>
    <mergeCell ref="B33:G33"/>
    <mergeCell ref="B34:G34"/>
  </mergeCells>
  <hyperlinks>
    <hyperlink ref="J16" r:id="rId1" xr:uid="{00000000-0004-0000-0200-000000000000}"/>
    <hyperlink ref="K16" r:id="rId2" display="Docket 10-0520, Staff Ex. 1.1, p. 12." xr:uid="{00000000-0004-0000-0200-000001000000}"/>
    <hyperlink ref="P16" r:id="rId3" xr:uid="{00000000-0004-0000-0200-000002000000}"/>
  </hyperlinks>
  <printOptions horizontalCentered="1" headings="1"/>
  <pageMargins left="1" right="1" top="1.25" bottom="0.5" header="0.5" footer="0.5"/>
  <pageSetup scale="30" orientation="portrait" r:id="rId4"/>
  <headerFooter scaleWithDoc="0">
    <oddHeader>&amp;R&amp;"Arial,Bold"ICC Docket No. 17-0312
Statewide Quarterly Report ComEd 2020 Q2 
Tab: &amp;A</oddHeader>
  </headerFooter>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S31"/>
  <sheetViews>
    <sheetView workbookViewId="0">
      <selection activeCell="G2" sqref="G2"/>
    </sheetView>
  </sheetViews>
  <sheetFormatPr defaultColWidth="9.1796875" defaultRowHeight="14.5" x14ac:dyDescent="0.35"/>
  <cols>
    <col min="1" max="1" width="4.453125" customWidth="1"/>
    <col min="2" max="2" width="44.453125" customWidth="1"/>
    <col min="3" max="3" width="11.54296875" customWidth="1"/>
    <col min="4" max="4" width="10.54296875" customWidth="1"/>
    <col min="5" max="5" width="11.453125" customWidth="1"/>
    <col min="6" max="7" width="11.54296875" customWidth="1"/>
    <col min="8" max="8" width="11.7265625" customWidth="1"/>
    <col min="9" max="9" width="12.26953125" customWidth="1"/>
    <col min="10" max="10" width="12.453125" customWidth="1"/>
    <col min="11" max="11" width="12" customWidth="1"/>
    <col min="12" max="12" width="12.453125" customWidth="1"/>
    <col min="13" max="14" width="12" customWidth="1"/>
  </cols>
  <sheetData>
    <row r="1" spans="2:14" x14ac:dyDescent="0.35">
      <c r="B1" s="5" t="s">
        <v>0</v>
      </c>
    </row>
    <row r="2" spans="2:14" x14ac:dyDescent="0.35">
      <c r="B2" s="5" t="s">
        <v>16</v>
      </c>
    </row>
    <row r="3" spans="2:14" x14ac:dyDescent="0.35">
      <c r="B3" s="5"/>
    </row>
    <row r="4" spans="2:14" x14ac:dyDescent="0.35">
      <c r="B4" s="5"/>
    </row>
    <row r="5" spans="2:14" ht="22.4" customHeight="1" x14ac:dyDescent="0.35">
      <c r="B5" s="267" t="s">
        <v>109</v>
      </c>
      <c r="C5" s="267"/>
      <c r="D5" s="267"/>
      <c r="E5" s="267"/>
      <c r="F5" s="267"/>
      <c r="G5" s="267"/>
      <c r="H5" s="267"/>
      <c r="I5" s="267"/>
      <c r="J5" s="267"/>
      <c r="K5" s="267"/>
    </row>
    <row r="6" spans="2:14" ht="21" customHeight="1" x14ac:dyDescent="0.35">
      <c r="B6" s="267"/>
      <c r="C6" s="267"/>
      <c r="D6" s="267"/>
      <c r="E6" s="267"/>
      <c r="F6" s="267"/>
      <c r="G6" s="267"/>
      <c r="H6" s="267"/>
      <c r="I6" s="267"/>
      <c r="J6" s="267"/>
      <c r="K6" s="267"/>
    </row>
    <row r="7" spans="2:14" ht="21" customHeight="1" x14ac:dyDescent="0.35">
      <c r="B7" s="267"/>
      <c r="C7" s="267"/>
      <c r="D7" s="267"/>
      <c r="E7" s="267"/>
      <c r="F7" s="267"/>
      <c r="G7" s="267"/>
      <c r="H7" s="267"/>
      <c r="I7" s="267"/>
      <c r="J7" s="267"/>
      <c r="K7" s="267"/>
    </row>
    <row r="8" spans="2:14" x14ac:dyDescent="0.35">
      <c r="B8" s="4"/>
      <c r="C8" s="4"/>
      <c r="D8" s="4"/>
      <c r="E8" s="4"/>
      <c r="F8" s="4"/>
      <c r="G8" s="4"/>
      <c r="H8" s="4"/>
      <c r="I8" s="4"/>
      <c r="J8" s="4"/>
      <c r="K8" s="4"/>
      <c r="L8" s="4"/>
    </row>
    <row r="9" spans="2:14" x14ac:dyDescent="0.35">
      <c r="B9" s="32" t="s">
        <v>296</v>
      </c>
      <c r="C9" s="32"/>
      <c r="D9" s="22"/>
      <c r="E9" s="22"/>
      <c r="F9" s="23"/>
      <c r="G9" s="137"/>
      <c r="H9" s="23"/>
      <c r="I9" s="23"/>
      <c r="J9" s="23"/>
      <c r="K9" s="23"/>
      <c r="L9" s="23"/>
    </row>
    <row r="10" spans="2:14" x14ac:dyDescent="0.35">
      <c r="B10" s="22"/>
      <c r="C10" s="22"/>
      <c r="D10" s="22"/>
      <c r="E10" s="22"/>
      <c r="F10" s="23"/>
      <c r="G10" s="23"/>
      <c r="H10" s="23"/>
      <c r="I10" s="23"/>
      <c r="J10" s="23"/>
      <c r="K10" s="23"/>
      <c r="L10" s="139"/>
    </row>
    <row r="11" spans="2:14" ht="28" x14ac:dyDescent="0.35">
      <c r="B11" s="33" t="s">
        <v>26</v>
      </c>
      <c r="C11" s="18" t="s">
        <v>6</v>
      </c>
      <c r="D11" s="18" t="s">
        <v>7</v>
      </c>
      <c r="E11" s="7" t="s">
        <v>8</v>
      </c>
      <c r="F11" s="7" t="s">
        <v>9</v>
      </c>
      <c r="G11" s="7" t="s">
        <v>10</v>
      </c>
      <c r="H11" s="7" t="s">
        <v>11</v>
      </c>
      <c r="I11" s="7" t="s">
        <v>12</v>
      </c>
      <c r="J11" s="7" t="s">
        <v>13</v>
      </c>
      <c r="K11" s="7" t="s">
        <v>39</v>
      </c>
      <c r="L11" s="7" t="s">
        <v>255</v>
      </c>
      <c r="M11" s="7" t="s">
        <v>282</v>
      </c>
      <c r="N11" s="7" t="s">
        <v>283</v>
      </c>
    </row>
    <row r="12" spans="2:14" x14ac:dyDescent="0.35">
      <c r="B12" s="8" t="s">
        <v>223</v>
      </c>
      <c r="C12" s="24">
        <v>182353</v>
      </c>
      <c r="D12" s="24">
        <v>506170</v>
      </c>
      <c r="E12" s="24">
        <v>680845</v>
      </c>
      <c r="F12" s="24">
        <v>1051751</v>
      </c>
      <c r="G12" s="25">
        <v>1041005</v>
      </c>
      <c r="H12" s="25">
        <v>1205087.922</v>
      </c>
      <c r="I12" s="25">
        <v>1207781.348736</v>
      </c>
      <c r="J12" s="25">
        <v>1382679.5970000001</v>
      </c>
      <c r="K12" s="25">
        <v>2542422.09</v>
      </c>
      <c r="L12" s="25">
        <v>1859773.2879999999</v>
      </c>
      <c r="M12" s="24">
        <v>1700029.4500006568</v>
      </c>
      <c r="N12" s="25">
        <f>'1- Ex Ante Results'!D117</f>
        <v>1637572.3524839748</v>
      </c>
    </row>
    <row r="13" spans="2:14" x14ac:dyDescent="0.35">
      <c r="B13" s="8" t="s">
        <v>3</v>
      </c>
      <c r="C13" s="24">
        <f>C12*1000*1.3909/2204.62</f>
        <v>115046.94128693381</v>
      </c>
      <c r="D13" s="24">
        <f t="shared" ref="D13:K13" si="0">D12*1000*1.3909/2204.62</f>
        <v>319343.85653763462</v>
      </c>
      <c r="E13" s="24">
        <f t="shared" si="0"/>
        <v>429546.72936832655</v>
      </c>
      <c r="F13" s="24">
        <f t="shared" si="0"/>
        <v>663552.20668414515</v>
      </c>
      <c r="G13" s="24">
        <f t="shared" si="0"/>
        <v>656772.52973301522</v>
      </c>
      <c r="H13" s="24">
        <f t="shared" si="0"/>
        <v>760292.83536836284</v>
      </c>
      <c r="I13" s="24">
        <f t="shared" si="0"/>
        <v>761992.12470035767</v>
      </c>
      <c r="J13" s="24">
        <f t="shared" si="0"/>
        <v>872335.84539163217</v>
      </c>
      <c r="K13" s="24">
        <f t="shared" si="0"/>
        <v>1604020.1417845252</v>
      </c>
      <c r="L13" s="24">
        <f>L12*1000*1.2515/2204.62</f>
        <v>1055740.3407081494</v>
      </c>
      <c r="M13" s="24">
        <f>M12*1000*1.174/2204.62</f>
        <v>905296.41130932816</v>
      </c>
      <c r="N13" s="24">
        <f>N12*1000*1.174/2204.62</f>
        <v>872036.87792734639</v>
      </c>
    </row>
    <row r="14" spans="2:14" x14ac:dyDescent="0.35">
      <c r="B14" s="8" t="s">
        <v>4</v>
      </c>
      <c r="C14" s="24">
        <f>C12*1000*1.3909/(4.67*2204.62)</f>
        <v>24635.31933339054</v>
      </c>
      <c r="D14" s="24">
        <f t="shared" ref="D14:K14" si="1">D12*1000*1.3909/(4.67*2204.62)</f>
        <v>68381.982127973155</v>
      </c>
      <c r="E14" s="24">
        <f t="shared" si="1"/>
        <v>91980.027701997111</v>
      </c>
      <c r="F14" s="24">
        <f t="shared" si="1"/>
        <v>142088.26695591974</v>
      </c>
      <c r="G14" s="24">
        <f t="shared" si="1"/>
        <v>140636.51600278699</v>
      </c>
      <c r="H14" s="24">
        <f t="shared" si="1"/>
        <v>162803.60500393208</v>
      </c>
      <c r="I14" s="24">
        <f t="shared" si="1"/>
        <v>163167.47852256053</v>
      </c>
      <c r="J14" s="24">
        <f t="shared" si="1"/>
        <v>186795.68423803686</v>
      </c>
      <c r="K14" s="24">
        <f t="shared" si="1"/>
        <v>343473.26376542298</v>
      </c>
      <c r="L14" s="24">
        <f>L12*1000*1.2515/(4.67*2204.62)</f>
        <v>226068.59544071721</v>
      </c>
      <c r="M14" s="24">
        <f>M12*1000*1.174/(4.63*2204.62)</f>
        <v>195528.38257220911</v>
      </c>
      <c r="N14" s="24">
        <f>N12*1000*1.174/(4.63*2204.62)</f>
        <v>188344.89804046359</v>
      </c>
    </row>
    <row r="15" spans="2:14" x14ac:dyDescent="0.35">
      <c r="B15" s="8" t="s">
        <v>5</v>
      </c>
      <c r="C15" s="24">
        <f>(C12*1000*1.3909)/(0.85*2204.62)</f>
        <v>135349.34269051038</v>
      </c>
      <c r="D15" s="24">
        <f t="shared" ref="D15:K15" si="2">(D12*1000*1.3909)/(0.85*2204.62)</f>
        <v>375698.65475015837</v>
      </c>
      <c r="E15" s="24">
        <f t="shared" si="2"/>
        <v>505349.0933745018</v>
      </c>
      <c r="F15" s="24">
        <f t="shared" si="2"/>
        <v>780649.65492252377</v>
      </c>
      <c r="G15" s="24">
        <f t="shared" si="2"/>
        <v>772673.56439178262</v>
      </c>
      <c r="H15" s="24">
        <f t="shared" si="2"/>
        <v>894462.15925689752</v>
      </c>
      <c r="I15" s="24">
        <f t="shared" si="2"/>
        <v>896461.32317689143</v>
      </c>
      <c r="J15" s="24">
        <f t="shared" si="2"/>
        <v>1026277.465166626</v>
      </c>
      <c r="K15" s="24">
        <f t="shared" si="2"/>
        <v>1887082.5197465003</v>
      </c>
      <c r="L15" s="24">
        <f>(L12*1000*1.2515)/(0.85*2204.62)</f>
        <v>1242047.4596566462</v>
      </c>
      <c r="M15" s="24">
        <f>(M12*1000*1.174)/(0.77*2204.62)</f>
        <v>1175709.6250770495</v>
      </c>
      <c r="N15" s="24">
        <f>(N12*1000*1.174)/(0.77*2204.62)</f>
        <v>1132515.4258796705</v>
      </c>
    </row>
    <row r="16" spans="2:14" x14ac:dyDescent="0.35">
      <c r="B16" s="8" t="s">
        <v>224</v>
      </c>
      <c r="C16" s="24">
        <f>C12*1000/8916</f>
        <v>20452.33288470166</v>
      </c>
      <c r="D16" s="24">
        <f t="shared" ref="D16:L16" si="3">D12*1000/8916</f>
        <v>56770.973530731273</v>
      </c>
      <c r="E16" s="24">
        <f t="shared" si="3"/>
        <v>76362.157918349039</v>
      </c>
      <c r="F16" s="24">
        <f t="shared" si="3"/>
        <v>117962.20278151637</v>
      </c>
      <c r="G16" s="24">
        <f t="shared" si="3"/>
        <v>116756.95379093764</v>
      </c>
      <c r="H16" s="24">
        <f t="shared" si="3"/>
        <v>135160.1527590848</v>
      </c>
      <c r="I16" s="24">
        <f t="shared" si="3"/>
        <v>135462.24189502018</v>
      </c>
      <c r="J16" s="24">
        <f t="shared" si="3"/>
        <v>155078.46534320322</v>
      </c>
      <c r="K16" s="24">
        <f t="shared" si="3"/>
        <v>285152.76917900401</v>
      </c>
      <c r="L16" s="24">
        <f t="shared" si="3"/>
        <v>208588.30058322116</v>
      </c>
      <c r="M16" s="24">
        <f>M12*1000/8640</f>
        <v>196762.66782415009</v>
      </c>
      <c r="N16" s="24">
        <f>N12*1000/8640</f>
        <v>189533.83709305263</v>
      </c>
    </row>
    <row r="17" spans="2:19" x14ac:dyDescent="0.35">
      <c r="B17" s="8" t="s">
        <v>225</v>
      </c>
      <c r="C17" s="24">
        <v>66</v>
      </c>
      <c r="D17" s="24">
        <v>84</v>
      </c>
      <c r="E17" s="24">
        <v>154</v>
      </c>
      <c r="F17" s="24">
        <v>179</v>
      </c>
      <c r="G17" s="26">
        <v>196</v>
      </c>
      <c r="H17" s="26">
        <v>234</v>
      </c>
      <c r="I17" s="26">
        <v>260</v>
      </c>
      <c r="J17" s="25">
        <v>267</v>
      </c>
      <c r="K17" s="25">
        <v>376</v>
      </c>
      <c r="L17" s="146">
        <v>412.48</v>
      </c>
      <c r="M17" s="217">
        <v>482</v>
      </c>
      <c r="N17" s="217">
        <v>527</v>
      </c>
      <c r="O17" s="202" t="s">
        <v>262</v>
      </c>
      <c r="P17" s="190"/>
      <c r="Q17" s="190"/>
      <c r="R17" s="190"/>
      <c r="S17" s="190"/>
    </row>
    <row r="18" spans="2:19" s="20" customFormat="1" x14ac:dyDescent="0.35">
      <c r="B18" s="65" t="s">
        <v>43</v>
      </c>
      <c r="C18" s="133"/>
      <c r="D18" s="133"/>
      <c r="E18" s="133"/>
      <c r="F18" s="133"/>
      <c r="G18" s="133"/>
      <c r="H18" s="133"/>
      <c r="I18" s="133"/>
      <c r="J18" s="133"/>
      <c r="K18" s="24">
        <f>459+1299+1+318</f>
        <v>2077</v>
      </c>
      <c r="L18" s="125">
        <f>1561+5119+2497+9+34899</f>
        <v>44085</v>
      </c>
      <c r="M18" s="125">
        <v>75450</v>
      </c>
      <c r="N18" s="125">
        <v>3298</v>
      </c>
      <c r="O18" s="202" t="s">
        <v>264</v>
      </c>
      <c r="P18" s="191"/>
      <c r="Q18" s="191"/>
      <c r="R18" s="191"/>
      <c r="S18" s="191"/>
    </row>
    <row r="19" spans="2:19" x14ac:dyDescent="0.35">
      <c r="B19" s="27"/>
      <c r="C19" s="50"/>
      <c r="D19" s="50"/>
      <c r="E19" s="50"/>
      <c r="F19" s="50"/>
      <c r="G19" s="51"/>
      <c r="H19" s="51"/>
      <c r="I19" s="51"/>
      <c r="J19" s="52"/>
      <c r="K19" s="52"/>
      <c r="L19" s="53"/>
    </row>
    <row r="20" spans="2:19" x14ac:dyDescent="0.35">
      <c r="B20" s="28" t="s">
        <v>18</v>
      </c>
      <c r="C20" s="27"/>
      <c r="D20" s="28"/>
      <c r="E20" s="28"/>
      <c r="F20" s="29"/>
      <c r="G20" s="30"/>
      <c r="H20" s="30"/>
      <c r="I20" s="30"/>
      <c r="J20" s="29"/>
      <c r="K20" s="29"/>
      <c r="L20" s="31"/>
    </row>
    <row r="21" spans="2:19" ht="29.65" customHeight="1" x14ac:dyDescent="0.35">
      <c r="B21" s="260" t="s">
        <v>27</v>
      </c>
      <c r="C21" s="260"/>
      <c r="D21" s="260"/>
      <c r="E21" s="260"/>
      <c r="F21" s="260"/>
      <c r="G21" s="260"/>
      <c r="H21" s="260"/>
      <c r="I21" s="260"/>
      <c r="J21" s="260"/>
      <c r="K21" s="260"/>
      <c r="L21" s="260"/>
    </row>
    <row r="22" spans="2:19" ht="27.75" customHeight="1" x14ac:dyDescent="0.35">
      <c r="B22" s="277" t="s">
        <v>40</v>
      </c>
      <c r="C22" s="278"/>
      <c r="D22" s="278"/>
      <c r="E22" s="278"/>
      <c r="F22" s="278"/>
      <c r="G22" s="278"/>
      <c r="H22" s="278"/>
      <c r="I22" s="278"/>
      <c r="J22" s="278"/>
      <c r="K22" s="278"/>
      <c r="L22" s="279"/>
    </row>
    <row r="23" spans="2:19" ht="29.5" customHeight="1" x14ac:dyDescent="0.35">
      <c r="B23" s="277" t="s">
        <v>41</v>
      </c>
      <c r="C23" s="278"/>
      <c r="D23" s="278"/>
      <c r="E23" s="278"/>
      <c r="F23" s="278"/>
      <c r="G23" s="278"/>
      <c r="H23" s="278"/>
      <c r="I23" s="278"/>
      <c r="J23" s="278"/>
      <c r="K23" s="278"/>
      <c r="L23" s="279"/>
    </row>
    <row r="24" spans="2:19" ht="20.65" customHeight="1" x14ac:dyDescent="0.35">
      <c r="B24" s="304" t="s">
        <v>42</v>
      </c>
      <c r="C24" s="304"/>
      <c r="D24" s="304"/>
      <c r="E24" s="304"/>
      <c r="F24" s="304"/>
      <c r="G24" s="304"/>
      <c r="H24" s="304"/>
      <c r="I24" s="304"/>
      <c r="J24" s="304"/>
      <c r="K24" s="304"/>
      <c r="L24" s="304"/>
    </row>
    <row r="25" spans="2:19" ht="30" customHeight="1" x14ac:dyDescent="0.35">
      <c r="B25" s="300" t="s">
        <v>284</v>
      </c>
      <c r="C25" s="301"/>
      <c r="D25" s="301"/>
      <c r="E25" s="301"/>
      <c r="F25" s="301"/>
      <c r="G25" s="301"/>
      <c r="H25" s="301"/>
      <c r="I25" s="301"/>
      <c r="J25" s="301"/>
      <c r="K25" s="301"/>
      <c r="L25" s="302"/>
    </row>
    <row r="26" spans="2:19" ht="30" customHeight="1" x14ac:dyDescent="0.35">
      <c r="B26" s="303" t="s">
        <v>227</v>
      </c>
      <c r="C26" s="303"/>
      <c r="D26" s="303"/>
      <c r="E26" s="303"/>
      <c r="F26" s="303"/>
      <c r="G26" s="303"/>
      <c r="H26" s="303"/>
      <c r="I26" s="303"/>
      <c r="J26" s="303"/>
      <c r="K26" s="303"/>
      <c r="L26" s="303"/>
    </row>
    <row r="27" spans="2:19" x14ac:dyDescent="0.35">
      <c r="B27" s="4"/>
      <c r="C27" s="4"/>
      <c r="D27" s="4"/>
      <c r="E27" s="4"/>
      <c r="F27" s="4"/>
      <c r="G27" s="226"/>
      <c r="H27" s="4"/>
      <c r="I27" s="4"/>
      <c r="J27" s="4"/>
      <c r="K27" s="4"/>
      <c r="L27" s="4"/>
    </row>
    <row r="28" spans="2:19" x14ac:dyDescent="0.35">
      <c r="B28" s="4"/>
      <c r="C28" s="4"/>
      <c r="D28" s="4"/>
      <c r="E28" s="4"/>
      <c r="F28" s="4"/>
      <c r="G28" s="226"/>
      <c r="H28" s="4"/>
      <c r="I28" s="4"/>
      <c r="J28" s="4"/>
      <c r="K28" s="4"/>
      <c r="L28" s="4"/>
    </row>
    <row r="29" spans="2:19" x14ac:dyDescent="0.35">
      <c r="B29" s="4"/>
      <c r="C29" s="4"/>
      <c r="D29" s="4"/>
      <c r="E29" s="4"/>
      <c r="F29" s="4"/>
      <c r="G29" s="4"/>
      <c r="H29" s="4"/>
      <c r="I29" s="4"/>
      <c r="J29" s="4"/>
      <c r="K29" s="4"/>
      <c r="L29" s="4"/>
    </row>
    <row r="30" spans="2:19" x14ac:dyDescent="0.35">
      <c r="B30" s="4"/>
      <c r="C30" s="4"/>
      <c r="D30" s="4"/>
      <c r="E30" s="4"/>
      <c r="F30" s="4"/>
      <c r="G30" s="4"/>
      <c r="H30" s="4"/>
      <c r="I30" s="4"/>
      <c r="J30" s="4"/>
      <c r="K30" s="4"/>
      <c r="L30" s="4"/>
    </row>
    <row r="31" spans="2:19" x14ac:dyDescent="0.35">
      <c r="B31" s="4"/>
      <c r="C31" s="4"/>
      <c r="D31" s="4"/>
      <c r="E31" s="4"/>
      <c r="F31" s="4"/>
      <c r="G31" s="4"/>
      <c r="H31" s="4"/>
      <c r="I31" s="4"/>
      <c r="J31" s="4"/>
      <c r="K31" s="4"/>
      <c r="L31" s="4"/>
    </row>
  </sheetData>
  <mergeCells count="7">
    <mergeCell ref="B25:L25"/>
    <mergeCell ref="B26:L26"/>
    <mergeCell ref="B5:K7"/>
    <mergeCell ref="B22:L22"/>
    <mergeCell ref="B21:L21"/>
    <mergeCell ref="B24:L24"/>
    <mergeCell ref="B23:L23"/>
  </mergeCells>
  <phoneticPr fontId="34" type="noConversion"/>
  <printOptions horizontalCentered="1" headings="1"/>
  <pageMargins left="1" right="1" top="1.25" bottom="0.5" header="0.5" footer="0.5"/>
  <pageSetup scale="35" orientation="portrait" r:id="rId1"/>
  <headerFooter scaleWithDoc="0">
    <oddHeader>&amp;R&amp;"Arial,Bold"ICC Docket No. 17-0312
Statewide Quarterly Report ComEd 2020 Q2 
Tab: &amp;A</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42"/>
  <sheetViews>
    <sheetView workbookViewId="0">
      <selection activeCell="G2" sqref="G2"/>
    </sheetView>
  </sheetViews>
  <sheetFormatPr defaultColWidth="9.1796875" defaultRowHeight="14.5" x14ac:dyDescent="0.35"/>
  <cols>
    <col min="1" max="1" width="2.54296875" customWidth="1"/>
    <col min="2" max="2" width="4.7265625" style="3" customWidth="1"/>
    <col min="3" max="3" width="4.54296875" customWidth="1"/>
    <col min="4" max="4" width="76.54296875" customWidth="1"/>
    <col min="5" max="5" width="14" customWidth="1"/>
    <col min="6" max="6" width="44.26953125" customWidth="1"/>
    <col min="7" max="7" width="10.453125" customWidth="1"/>
    <col min="8" max="8" width="10.54296875" bestFit="1" customWidth="1"/>
  </cols>
  <sheetData>
    <row r="1" spans="1:14" ht="16.5" customHeight="1" x14ac:dyDescent="0.45">
      <c r="B1" s="5" t="s">
        <v>0</v>
      </c>
      <c r="D1" s="42"/>
      <c r="E1" s="98"/>
      <c r="F1" s="98"/>
      <c r="G1" s="42"/>
      <c r="H1" s="62"/>
    </row>
    <row r="2" spans="1:14" ht="14.25" customHeight="1" x14ac:dyDescent="0.45">
      <c r="B2" s="5" t="s">
        <v>103</v>
      </c>
      <c r="D2" s="42"/>
      <c r="E2" s="99"/>
      <c r="F2" s="99"/>
      <c r="G2" s="42"/>
      <c r="H2" s="62"/>
    </row>
    <row r="3" spans="1:14" ht="15.5" x14ac:dyDescent="0.35">
      <c r="B3" s="5"/>
      <c r="D3" s="42"/>
      <c r="E3" s="100"/>
      <c r="F3" s="100"/>
      <c r="G3" s="42"/>
      <c r="H3" s="62"/>
    </row>
    <row r="4" spans="1:14" ht="18.5" x14ac:dyDescent="0.45">
      <c r="B4" s="91"/>
      <c r="D4" s="42"/>
      <c r="E4" s="100"/>
      <c r="F4" s="100"/>
      <c r="G4" s="42"/>
      <c r="H4" s="89"/>
      <c r="I4" s="89"/>
      <c r="J4" s="89"/>
      <c r="K4" s="89"/>
      <c r="L4" s="89"/>
      <c r="M4" s="89"/>
      <c r="N4" s="89"/>
    </row>
    <row r="5" spans="1:14" ht="22.4" customHeight="1" x14ac:dyDescent="0.35">
      <c r="B5" s="267" t="s">
        <v>128</v>
      </c>
      <c r="C5" s="267"/>
      <c r="D5" s="267"/>
      <c r="E5" s="92"/>
      <c r="F5" s="92"/>
      <c r="G5" s="92"/>
      <c r="H5" s="92"/>
      <c r="I5" s="92"/>
      <c r="J5" s="92"/>
      <c r="K5" s="92"/>
      <c r="L5" s="89"/>
      <c r="M5" s="89"/>
      <c r="N5" s="89"/>
    </row>
    <row r="6" spans="1:14" ht="27" customHeight="1" x14ac:dyDescent="0.35">
      <c r="B6" s="267"/>
      <c r="C6" s="267"/>
      <c r="D6" s="267"/>
      <c r="E6" s="92"/>
      <c r="F6" s="92"/>
      <c r="G6" s="92"/>
      <c r="H6" s="92"/>
      <c r="I6" s="92"/>
      <c r="J6" s="92"/>
      <c r="K6" s="92"/>
      <c r="L6" s="89"/>
      <c r="M6" s="89"/>
      <c r="N6" s="89"/>
    </row>
    <row r="7" spans="1:14" ht="22.4" customHeight="1" x14ac:dyDescent="0.35">
      <c r="B7" s="61"/>
      <c r="C7" s="61"/>
      <c r="D7" s="61"/>
      <c r="E7" s="92"/>
      <c r="F7" s="92"/>
      <c r="G7" s="92"/>
      <c r="H7" s="92"/>
      <c r="I7" s="92"/>
      <c r="J7" s="92"/>
      <c r="K7" s="92"/>
    </row>
    <row r="8" spans="1:14" ht="22.4" customHeight="1" x14ac:dyDescent="0.35">
      <c r="B8" s="305" t="s">
        <v>105</v>
      </c>
      <c r="C8" s="305"/>
      <c r="D8" s="305"/>
      <c r="E8" s="92"/>
      <c r="F8" s="92"/>
      <c r="G8" s="92"/>
      <c r="H8" s="92"/>
      <c r="I8" s="92"/>
      <c r="J8" s="92"/>
      <c r="K8" s="92"/>
    </row>
    <row r="9" spans="1:14" ht="21" customHeight="1" x14ac:dyDescent="0.35">
      <c r="B9" s="318" t="s">
        <v>104</v>
      </c>
      <c r="C9" s="318"/>
      <c r="D9" s="318"/>
      <c r="E9" s="61"/>
      <c r="F9" s="61"/>
      <c r="G9" s="61"/>
      <c r="H9" s="61"/>
      <c r="I9" s="61"/>
      <c r="J9" s="61"/>
      <c r="K9" s="61"/>
    </row>
    <row r="10" spans="1:14" ht="21" customHeight="1" x14ac:dyDescent="0.35">
      <c r="B10" s="319" t="s">
        <v>106</v>
      </c>
      <c r="C10" s="319"/>
      <c r="D10" s="319"/>
      <c r="E10" s="61"/>
      <c r="F10" s="61"/>
      <c r="G10" s="61"/>
      <c r="H10" s="61"/>
      <c r="I10" s="61"/>
      <c r="J10" s="61"/>
      <c r="K10" s="61"/>
    </row>
    <row r="11" spans="1:14" ht="21" customHeight="1" x14ac:dyDescent="0.35">
      <c r="B11" s="320" t="s">
        <v>107</v>
      </c>
      <c r="C11" s="320"/>
      <c r="D11" s="320"/>
      <c r="E11" s="61"/>
      <c r="F11" s="61"/>
      <c r="G11" s="61"/>
      <c r="H11" s="61"/>
      <c r="I11" s="61"/>
      <c r="J11" s="61"/>
      <c r="K11" s="61"/>
    </row>
    <row r="12" spans="1:14" ht="21" customHeight="1" x14ac:dyDescent="0.35">
      <c r="A12" s="62"/>
      <c r="B12" s="114"/>
      <c r="C12" s="114"/>
      <c r="D12" s="114"/>
      <c r="E12" s="61"/>
      <c r="F12" s="61"/>
      <c r="G12" s="61"/>
      <c r="H12" s="61"/>
      <c r="I12" s="61"/>
      <c r="J12" s="61"/>
      <c r="K12" s="61"/>
    </row>
    <row r="13" spans="1:14" ht="21" customHeight="1" x14ac:dyDescent="0.35">
      <c r="A13" s="62"/>
      <c r="B13" s="115" t="s">
        <v>298</v>
      </c>
      <c r="C13" s="114"/>
      <c r="D13" s="114"/>
      <c r="E13" s="61"/>
      <c r="F13" s="61"/>
      <c r="G13" s="61"/>
      <c r="H13" s="61"/>
      <c r="I13" s="61"/>
      <c r="J13" s="61"/>
      <c r="K13" s="61"/>
    </row>
    <row r="14" spans="1:14" ht="21" customHeight="1" x14ac:dyDescent="0.35">
      <c r="B14" s="61"/>
      <c r="C14" s="61"/>
      <c r="D14" s="61"/>
      <c r="E14" s="61"/>
      <c r="F14" s="61"/>
      <c r="G14" s="61"/>
      <c r="H14" s="61"/>
      <c r="I14" s="61"/>
      <c r="J14" s="61"/>
      <c r="K14" s="61"/>
    </row>
    <row r="15" spans="1:14" ht="18" customHeight="1" x14ac:dyDescent="0.35">
      <c r="B15" s="306" t="s">
        <v>299</v>
      </c>
      <c r="C15" s="306"/>
      <c r="D15" s="306"/>
      <c r="E15" s="306"/>
      <c r="F15" s="306"/>
    </row>
    <row r="16" spans="1:14" x14ac:dyDescent="0.35">
      <c r="B16" s="104" t="s">
        <v>102</v>
      </c>
      <c r="C16" s="307" t="s">
        <v>101</v>
      </c>
      <c r="D16" s="308"/>
      <c r="E16" s="105">
        <v>0.104</v>
      </c>
      <c r="F16" s="102" t="s">
        <v>131</v>
      </c>
    </row>
    <row r="17" spans="1:10" x14ac:dyDescent="0.35">
      <c r="B17" s="104" t="s">
        <v>100</v>
      </c>
      <c r="C17" s="307" t="s">
        <v>135</v>
      </c>
      <c r="D17" s="308"/>
      <c r="E17" s="111">
        <v>78600739.922666669</v>
      </c>
      <c r="F17" s="102" t="s">
        <v>131</v>
      </c>
    </row>
    <row r="18" spans="1:10" x14ac:dyDescent="0.35">
      <c r="B18" s="104" t="s">
        <v>99</v>
      </c>
      <c r="C18" s="307" t="s">
        <v>98</v>
      </c>
      <c r="D18" s="308"/>
      <c r="E18" s="106">
        <f>E17*E16</f>
        <v>8174476.9519573329</v>
      </c>
      <c r="F18" s="101" t="s">
        <v>97</v>
      </c>
    </row>
    <row r="19" spans="1:10" x14ac:dyDescent="0.35">
      <c r="B19" s="104" t="s">
        <v>96</v>
      </c>
      <c r="C19" s="307" t="s">
        <v>260</v>
      </c>
      <c r="D19" s="308"/>
      <c r="E19" s="257">
        <v>7514025.5161283705</v>
      </c>
      <c r="F19" s="103" t="s">
        <v>108</v>
      </c>
    </row>
    <row r="20" spans="1:10" ht="16.5" customHeight="1" x14ac:dyDescent="0.35">
      <c r="B20" s="104"/>
      <c r="C20" s="315" t="s">
        <v>95</v>
      </c>
      <c r="D20" s="316"/>
      <c r="E20" s="316"/>
      <c r="F20" s="317"/>
    </row>
    <row r="21" spans="1:10" x14ac:dyDescent="0.35">
      <c r="B21" s="104" t="s">
        <v>94</v>
      </c>
      <c r="C21" s="324" t="s">
        <v>93</v>
      </c>
      <c r="D21" s="325"/>
      <c r="E21" s="105">
        <v>4.4999999999999998E-2</v>
      </c>
      <c r="F21" s="102" t="s">
        <v>90</v>
      </c>
      <c r="G21" s="89"/>
    </row>
    <row r="22" spans="1:10" x14ac:dyDescent="0.35">
      <c r="B22" s="104" t="s">
        <v>92</v>
      </c>
      <c r="C22" s="324" t="s">
        <v>91</v>
      </c>
      <c r="D22" s="325"/>
      <c r="E22" s="105">
        <v>5.1999999999999998E-2</v>
      </c>
      <c r="F22" s="102" t="s">
        <v>90</v>
      </c>
      <c r="G22" s="89"/>
      <c r="H22" s="182"/>
      <c r="J22" s="142"/>
    </row>
    <row r="23" spans="1:10" x14ac:dyDescent="0.35">
      <c r="B23" s="104" t="s">
        <v>89</v>
      </c>
      <c r="C23" s="324" t="s">
        <v>88</v>
      </c>
      <c r="D23" s="325"/>
      <c r="E23" s="109">
        <f>E22-E21</f>
        <v>6.9999999999999993E-3</v>
      </c>
      <c r="F23" s="101" t="s">
        <v>87</v>
      </c>
      <c r="G23" s="89"/>
    </row>
    <row r="24" spans="1:10" x14ac:dyDescent="0.35">
      <c r="A24" s="20"/>
      <c r="B24" s="104" t="s">
        <v>86</v>
      </c>
      <c r="C24" s="324" t="s">
        <v>85</v>
      </c>
      <c r="D24" s="325"/>
      <c r="E24" s="106">
        <f>E23*E17</f>
        <v>550205.17945866659</v>
      </c>
      <c r="F24" s="101" t="s">
        <v>84</v>
      </c>
      <c r="G24" s="89"/>
    </row>
    <row r="25" spans="1:10" x14ac:dyDescent="0.35">
      <c r="B25" s="104" t="s">
        <v>83</v>
      </c>
      <c r="C25" s="324" t="s">
        <v>258</v>
      </c>
      <c r="D25" s="325"/>
      <c r="E25" s="257">
        <v>114263.467</v>
      </c>
      <c r="F25" s="103" t="s">
        <v>108</v>
      </c>
      <c r="G25" s="89"/>
    </row>
    <row r="26" spans="1:10" x14ac:dyDescent="0.35">
      <c r="B26" s="104" t="s">
        <v>82</v>
      </c>
      <c r="C26" s="326" t="s">
        <v>81</v>
      </c>
      <c r="D26" s="327"/>
      <c r="E26" s="110">
        <f>E24+E25</f>
        <v>664468.64645866654</v>
      </c>
      <c r="F26" s="101" t="s">
        <v>80</v>
      </c>
      <c r="G26" s="89"/>
    </row>
    <row r="27" spans="1:10" x14ac:dyDescent="0.35">
      <c r="B27" s="104" t="s">
        <v>79</v>
      </c>
      <c r="C27" s="307" t="s">
        <v>78</v>
      </c>
      <c r="D27" s="308"/>
      <c r="E27" s="106">
        <f>E18-E19+E26</f>
        <v>1324920.0822876289</v>
      </c>
      <c r="F27" s="101" t="s">
        <v>77</v>
      </c>
      <c r="G27" s="89"/>
    </row>
    <row r="28" spans="1:10" x14ac:dyDescent="0.35">
      <c r="B28" s="104" t="s">
        <v>76</v>
      </c>
      <c r="C28" s="307" t="s">
        <v>75</v>
      </c>
      <c r="D28" s="308"/>
      <c r="E28" s="107">
        <f>'1- Ex Ante Results'!C117</f>
        <v>792873.96601248404</v>
      </c>
      <c r="F28" s="103" t="s">
        <v>74</v>
      </c>
      <c r="G28" s="89"/>
    </row>
    <row r="29" spans="1:10" x14ac:dyDescent="0.35">
      <c r="B29" s="104" t="s">
        <v>73</v>
      </c>
      <c r="C29" s="307" t="s">
        <v>129</v>
      </c>
      <c r="D29" s="308"/>
      <c r="E29" s="107">
        <f>'1- Ex Ante Results'!C117</f>
        <v>792873.96601248404</v>
      </c>
      <c r="F29" s="103" t="s">
        <v>72</v>
      </c>
    </row>
    <row r="30" spans="1:10" ht="27" customHeight="1" x14ac:dyDescent="0.35">
      <c r="B30" s="104" t="s">
        <v>71</v>
      </c>
      <c r="C30" s="309" t="s">
        <v>132</v>
      </c>
      <c r="D30" s="310"/>
      <c r="E30" s="113">
        <f>E29/E27</f>
        <v>0.59843154059790138</v>
      </c>
      <c r="F30" s="101" t="s">
        <v>127</v>
      </c>
    </row>
    <row r="31" spans="1:10" ht="18" customHeight="1" x14ac:dyDescent="0.35">
      <c r="B31" s="321" t="s">
        <v>70</v>
      </c>
      <c r="C31" s="321"/>
      <c r="D31" s="321"/>
      <c r="E31" s="321"/>
      <c r="F31" s="321"/>
    </row>
    <row r="32" spans="1:10" x14ac:dyDescent="0.35">
      <c r="B32" s="104" t="s">
        <v>69</v>
      </c>
      <c r="C32" s="311" t="s">
        <v>68</v>
      </c>
      <c r="D32" s="312"/>
      <c r="E32" s="105">
        <v>9.0999999999999998E-2</v>
      </c>
      <c r="F32" s="94" t="s">
        <v>131</v>
      </c>
      <c r="J32" s="95"/>
    </row>
    <row r="33" spans="2:12" x14ac:dyDescent="0.35">
      <c r="B33" s="104" t="s">
        <v>67</v>
      </c>
      <c r="C33" s="311" t="s">
        <v>66</v>
      </c>
      <c r="D33" s="312"/>
      <c r="E33" s="106">
        <f>E32*E17</f>
        <v>7152667.3329626666</v>
      </c>
      <c r="F33" s="101" t="s">
        <v>65</v>
      </c>
    </row>
    <row r="34" spans="2:12" x14ac:dyDescent="0.35">
      <c r="B34" s="104" t="s">
        <v>64</v>
      </c>
      <c r="C34" s="93" t="s">
        <v>63</v>
      </c>
      <c r="D34" s="93"/>
      <c r="E34" s="106">
        <f>E18-E33</f>
        <v>1021809.6189946663</v>
      </c>
      <c r="F34" s="101" t="s">
        <v>62</v>
      </c>
    </row>
    <row r="35" spans="2:12" x14ac:dyDescent="0.35">
      <c r="B35" s="104" t="s">
        <v>61</v>
      </c>
      <c r="C35" s="93" t="s">
        <v>60</v>
      </c>
      <c r="D35" s="93"/>
      <c r="E35" s="106">
        <f>E34+E26</f>
        <v>1686278.2654533328</v>
      </c>
      <c r="F35" s="101" t="s">
        <v>59</v>
      </c>
      <c r="G35" s="90"/>
    </row>
    <row r="36" spans="2:12" x14ac:dyDescent="0.35">
      <c r="B36" s="104" t="s">
        <v>58</v>
      </c>
      <c r="C36" s="93" t="s">
        <v>130</v>
      </c>
      <c r="D36" s="93"/>
      <c r="E36" s="106">
        <f>E29</f>
        <v>792873.96601248404</v>
      </c>
      <c r="F36" s="101" t="s">
        <v>57</v>
      </c>
      <c r="H36" s="90"/>
    </row>
    <row r="37" spans="2:12" ht="32.65" customHeight="1" x14ac:dyDescent="0.35">
      <c r="B37" s="104" t="s">
        <v>56</v>
      </c>
      <c r="C37" s="322" t="s">
        <v>55</v>
      </c>
      <c r="D37" s="323"/>
      <c r="E37" s="108">
        <f>E26</f>
        <v>664468.64645866654</v>
      </c>
      <c r="F37" s="101" t="s">
        <v>54</v>
      </c>
    </row>
    <row r="38" spans="2:12" x14ac:dyDescent="0.35">
      <c r="B38" s="104" t="s">
        <v>53</v>
      </c>
      <c r="C38" s="322" t="s">
        <v>133</v>
      </c>
      <c r="D38" s="323"/>
      <c r="E38" s="106">
        <f>E36-E37</f>
        <v>128405.31955381751</v>
      </c>
      <c r="F38" s="101" t="s">
        <v>52</v>
      </c>
    </row>
    <row r="39" spans="2:12" ht="30" customHeight="1" x14ac:dyDescent="0.35">
      <c r="B39" s="104" t="s">
        <v>51</v>
      </c>
      <c r="C39" s="309" t="s">
        <v>134</v>
      </c>
      <c r="D39" s="310"/>
      <c r="E39" s="113">
        <f>E38/E34</f>
        <v>0.12566462202631484</v>
      </c>
      <c r="F39" s="101" t="s">
        <v>50</v>
      </c>
    </row>
    <row r="40" spans="2:12" x14ac:dyDescent="0.35">
      <c r="B40" s="95"/>
      <c r="C40" s="4"/>
      <c r="D40" s="4"/>
      <c r="E40" s="96"/>
      <c r="F40" s="97"/>
    </row>
    <row r="41" spans="2:12" x14ac:dyDescent="0.35">
      <c r="B41" s="28" t="s">
        <v>18</v>
      </c>
      <c r="C41" s="27"/>
      <c r="D41" s="28"/>
      <c r="E41" s="28"/>
      <c r="F41" s="29"/>
      <c r="G41" s="30"/>
      <c r="H41" s="30"/>
      <c r="I41" s="30"/>
      <c r="J41" s="29"/>
      <c r="K41" s="29"/>
      <c r="L41" s="31"/>
    </row>
    <row r="42" spans="2:12" ht="39" customHeight="1" x14ac:dyDescent="0.35">
      <c r="B42" s="313" t="s">
        <v>291</v>
      </c>
      <c r="C42" s="314"/>
      <c r="D42" s="314"/>
      <c r="E42" s="314"/>
      <c r="F42" s="314"/>
      <c r="G42" s="181"/>
      <c r="H42" s="181"/>
      <c r="I42" s="181"/>
      <c r="J42" s="181"/>
      <c r="K42" s="181"/>
      <c r="L42" s="181"/>
    </row>
  </sheetData>
  <mergeCells count="28">
    <mergeCell ref="B42:F42"/>
    <mergeCell ref="C20:F20"/>
    <mergeCell ref="B9:D9"/>
    <mergeCell ref="B10:D10"/>
    <mergeCell ref="B11:D11"/>
    <mergeCell ref="B31:F31"/>
    <mergeCell ref="C37:D37"/>
    <mergeCell ref="C38:D38"/>
    <mergeCell ref="C39:D39"/>
    <mergeCell ref="C21:D21"/>
    <mergeCell ref="C22:D22"/>
    <mergeCell ref="C23:D23"/>
    <mergeCell ref="C24:D24"/>
    <mergeCell ref="C25:D25"/>
    <mergeCell ref="C26:D26"/>
    <mergeCell ref="C27:D27"/>
    <mergeCell ref="C28:D28"/>
    <mergeCell ref="C29:D29"/>
    <mergeCell ref="C30:D30"/>
    <mergeCell ref="C32:D32"/>
    <mergeCell ref="C33:D33"/>
    <mergeCell ref="B5:D6"/>
    <mergeCell ref="B8:D8"/>
    <mergeCell ref="B15:F15"/>
    <mergeCell ref="C19:D19"/>
    <mergeCell ref="C16:D16"/>
    <mergeCell ref="C17:D17"/>
    <mergeCell ref="C18:D18"/>
  </mergeCells>
  <printOptions horizontalCentered="1" headings="1"/>
  <pageMargins left="1" right="1" top="1.25" bottom="0.5" header="0.5" footer="0.5"/>
  <pageSetup scale="55" orientation="portrait" r:id="rId1"/>
  <headerFooter scaleWithDoc="0">
    <oddHeader>&amp;R&amp;"Arial,Bold"ICC Docket No. 17-0312
Statewide Quarterly Report ComEd 2020 Q2 
Tab: &amp;A</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G32"/>
  <sheetViews>
    <sheetView workbookViewId="0">
      <selection activeCell="G2" sqref="G2"/>
    </sheetView>
  </sheetViews>
  <sheetFormatPr defaultColWidth="9.1796875" defaultRowHeight="14.5" x14ac:dyDescent="0.35"/>
  <cols>
    <col min="1" max="1" width="3.54296875" customWidth="1"/>
    <col min="2" max="2" width="18.81640625" style="20" customWidth="1"/>
    <col min="3" max="3" width="22.26953125" customWidth="1"/>
    <col min="4" max="4" width="24.1796875" customWidth="1"/>
    <col min="5" max="5" width="18.81640625" customWidth="1"/>
    <col min="6" max="7" width="18.54296875" customWidth="1"/>
    <col min="8" max="8" width="8.81640625" customWidth="1"/>
  </cols>
  <sheetData>
    <row r="1" spans="2:7" x14ac:dyDescent="0.35">
      <c r="B1" s="75" t="s">
        <v>0</v>
      </c>
    </row>
    <row r="2" spans="2:7" x14ac:dyDescent="0.35">
      <c r="B2" s="75" t="s">
        <v>233</v>
      </c>
    </row>
    <row r="3" spans="2:7" x14ac:dyDescent="0.35">
      <c r="B3" s="5"/>
    </row>
    <row r="4" spans="2:7" x14ac:dyDescent="0.35">
      <c r="B4" s="75"/>
    </row>
    <row r="5" spans="2:7" ht="29.25" customHeight="1" x14ac:dyDescent="0.35">
      <c r="B5" s="298" t="s">
        <v>234</v>
      </c>
      <c r="C5" s="298"/>
      <c r="D5" s="298"/>
      <c r="E5" s="298"/>
      <c r="F5" s="298"/>
      <c r="G5" s="298"/>
    </row>
    <row r="6" spans="2:7" x14ac:dyDescent="0.35">
      <c r="B6" s="298"/>
      <c r="C6" s="298"/>
      <c r="D6" s="298"/>
      <c r="E6" s="298"/>
      <c r="F6" s="298"/>
      <c r="G6" s="298"/>
    </row>
    <row r="7" spans="2:7" x14ac:dyDescent="0.35">
      <c r="B7" s="298"/>
      <c r="C7" s="298"/>
      <c r="D7" s="298"/>
      <c r="E7" s="298"/>
      <c r="F7" s="298"/>
      <c r="G7" s="298"/>
    </row>
    <row r="8" spans="2:7" x14ac:dyDescent="0.35">
      <c r="B8" s="298"/>
      <c r="C8" s="298"/>
      <c r="D8" s="298"/>
      <c r="E8" s="298"/>
      <c r="F8" s="298"/>
      <c r="G8" s="298"/>
    </row>
    <row r="9" spans="2:7" ht="42" customHeight="1" x14ac:dyDescent="0.35">
      <c r="B9" s="298"/>
      <c r="C9" s="298"/>
      <c r="D9" s="298"/>
      <c r="E9" s="298"/>
      <c r="F9" s="298"/>
      <c r="G9" s="298"/>
    </row>
    <row r="11" spans="2:7" ht="18" x14ac:dyDescent="0.4">
      <c r="B11" s="44" t="s">
        <v>297</v>
      </c>
      <c r="C11" s="44"/>
      <c r="D11" s="10"/>
      <c r="E11" s="10"/>
      <c r="F11" s="10"/>
      <c r="G11" s="10"/>
    </row>
    <row r="12" spans="2:7" ht="18" x14ac:dyDescent="0.4">
      <c r="C12" s="11"/>
      <c r="D12" s="10"/>
      <c r="E12" s="10"/>
      <c r="F12" s="10"/>
      <c r="G12" s="10"/>
    </row>
    <row r="13" spans="2:7" s="20" customFormat="1" ht="42" x14ac:dyDescent="0.35">
      <c r="B13" s="18" t="s">
        <v>2</v>
      </c>
      <c r="C13" s="7" t="s">
        <v>238</v>
      </c>
      <c r="D13" s="7" t="s">
        <v>235</v>
      </c>
      <c r="E13" s="7" t="s">
        <v>239</v>
      </c>
      <c r="F13" s="7" t="s">
        <v>236</v>
      </c>
      <c r="G13" s="7" t="s">
        <v>237</v>
      </c>
    </row>
    <row r="14" spans="2:7" ht="27" x14ac:dyDescent="0.35">
      <c r="B14" s="112" t="s">
        <v>111</v>
      </c>
      <c r="C14" s="152">
        <v>27356150.450000003</v>
      </c>
      <c r="D14" s="153">
        <v>6949809.1399999997</v>
      </c>
      <c r="E14" s="153">
        <f>C14+D14</f>
        <v>34305959.590000004</v>
      </c>
      <c r="F14" s="153">
        <v>0</v>
      </c>
      <c r="G14" s="153">
        <f>SUM(E14,F14)</f>
        <v>34305959.590000004</v>
      </c>
    </row>
    <row r="15" spans="2:7" s="20" customFormat="1" ht="27" x14ac:dyDescent="0.25">
      <c r="B15" s="112" t="s">
        <v>112</v>
      </c>
      <c r="C15" s="154">
        <v>52071860.044945925</v>
      </c>
      <c r="D15" s="155">
        <v>11471615</v>
      </c>
      <c r="E15" s="153">
        <f t="shared" ref="E15:E25" si="0">C15+D15</f>
        <v>63543475.044945925</v>
      </c>
      <c r="F15" s="155">
        <v>0</v>
      </c>
      <c r="G15" s="153">
        <f t="shared" ref="G15:G25" si="1">SUM(E15,F15)</f>
        <v>63543475.044945925</v>
      </c>
    </row>
    <row r="16" spans="2:7" ht="27" x14ac:dyDescent="0.35">
      <c r="B16" s="112" t="s">
        <v>113</v>
      </c>
      <c r="C16" s="152">
        <v>75691132.849999994</v>
      </c>
      <c r="D16" s="153">
        <v>28659010.5</v>
      </c>
      <c r="E16" s="153">
        <f t="shared" si="0"/>
        <v>104350143.34999999</v>
      </c>
      <c r="F16" s="153">
        <v>0</v>
      </c>
      <c r="G16" s="153">
        <f t="shared" si="1"/>
        <v>104350143.34999999</v>
      </c>
    </row>
    <row r="17" spans="2:7" ht="28" x14ac:dyDescent="0.35">
      <c r="B17" s="80" t="s">
        <v>20</v>
      </c>
      <c r="C17" s="156">
        <f>SUM(C14:C16)</f>
        <v>155119143.34494591</v>
      </c>
      <c r="D17" s="156">
        <f>SUM(D14:D16)</f>
        <v>47080434.640000001</v>
      </c>
      <c r="E17" s="156">
        <f t="shared" si="0"/>
        <v>202199577.98494589</v>
      </c>
      <c r="F17" s="156">
        <f>SUM(F14:F16)</f>
        <v>0</v>
      </c>
      <c r="G17" s="156">
        <f t="shared" si="1"/>
        <v>202199577.98494589</v>
      </c>
    </row>
    <row r="18" spans="2:7" ht="27" x14ac:dyDescent="0.35">
      <c r="B18" s="112" t="s">
        <v>114</v>
      </c>
      <c r="C18" s="152">
        <v>106315194.5</v>
      </c>
      <c r="D18" s="153">
        <v>35049987</v>
      </c>
      <c r="E18" s="153">
        <f t="shared" si="0"/>
        <v>141365181.5</v>
      </c>
      <c r="F18" s="153">
        <v>0</v>
      </c>
      <c r="G18" s="153">
        <f t="shared" si="1"/>
        <v>141365181.5</v>
      </c>
    </row>
    <row r="19" spans="2:7" ht="27" x14ac:dyDescent="0.35">
      <c r="B19" s="112" t="s">
        <v>115</v>
      </c>
      <c r="C19" s="152">
        <v>107354963.67</v>
      </c>
      <c r="D19" s="153">
        <v>33565649.329999998</v>
      </c>
      <c r="E19" s="153">
        <f t="shared" si="0"/>
        <v>140920613</v>
      </c>
      <c r="F19" s="153">
        <v>31329</v>
      </c>
      <c r="G19" s="153">
        <f t="shared" si="1"/>
        <v>140951942</v>
      </c>
    </row>
    <row r="20" spans="2:7" ht="27" x14ac:dyDescent="0.35">
      <c r="B20" s="112" t="s">
        <v>116</v>
      </c>
      <c r="C20" s="152">
        <v>124096016.16999999</v>
      </c>
      <c r="D20" s="153">
        <v>31563417</v>
      </c>
      <c r="E20" s="153">
        <f t="shared" si="0"/>
        <v>155659433.16999999</v>
      </c>
      <c r="F20" s="153">
        <v>29469183.289999999</v>
      </c>
      <c r="G20" s="222">
        <f t="shared" si="1"/>
        <v>185128616.45999998</v>
      </c>
    </row>
    <row r="21" spans="2:7" ht="28" x14ac:dyDescent="0.35">
      <c r="B21" s="80" t="s">
        <v>21</v>
      </c>
      <c r="C21" s="156">
        <f>SUM(C18:C20)</f>
        <v>337766174.34000003</v>
      </c>
      <c r="D21" s="156">
        <f>SUM(D18:D20)</f>
        <v>100179053.33</v>
      </c>
      <c r="E21" s="156">
        <f t="shared" si="0"/>
        <v>437945227.67000002</v>
      </c>
      <c r="F21" s="156">
        <f>SUM(F18:F20)</f>
        <v>29500512.289999999</v>
      </c>
      <c r="G21" s="232">
        <f t="shared" si="1"/>
        <v>467445739.96000004</v>
      </c>
    </row>
    <row r="22" spans="2:7" ht="27" x14ac:dyDescent="0.35">
      <c r="B22" s="112" t="s">
        <v>117</v>
      </c>
      <c r="C22" s="153">
        <v>128288585</v>
      </c>
      <c r="D22" s="153">
        <v>33728435</v>
      </c>
      <c r="E22" s="153">
        <f t="shared" si="0"/>
        <v>162017020</v>
      </c>
      <c r="F22" s="228">
        <v>39150326.559999995</v>
      </c>
      <c r="G22" s="153">
        <f t="shared" si="1"/>
        <v>201167346.56</v>
      </c>
    </row>
    <row r="23" spans="2:7" ht="27" x14ac:dyDescent="0.35">
      <c r="B23" s="112" t="s">
        <v>118</v>
      </c>
      <c r="C23" s="153">
        <v>108343594</v>
      </c>
      <c r="D23" s="153">
        <v>3670970</v>
      </c>
      <c r="E23" s="153">
        <f t="shared" si="0"/>
        <v>112014564</v>
      </c>
      <c r="F23" s="228">
        <v>87103873</v>
      </c>
      <c r="G23" s="153">
        <f t="shared" si="1"/>
        <v>199118437</v>
      </c>
    </row>
    <row r="24" spans="2:7" ht="27" x14ac:dyDescent="0.35">
      <c r="B24" s="112" t="s">
        <v>122</v>
      </c>
      <c r="C24" s="153">
        <v>222451927.53999999</v>
      </c>
      <c r="D24" s="153">
        <v>57854489</v>
      </c>
      <c r="E24" s="153">
        <f t="shared" si="0"/>
        <v>280306416.53999996</v>
      </c>
      <c r="F24" s="228">
        <v>159497825.46000001</v>
      </c>
      <c r="G24" s="222">
        <f t="shared" si="1"/>
        <v>439804242</v>
      </c>
    </row>
    <row r="25" spans="2:7" ht="28" x14ac:dyDescent="0.35">
      <c r="B25" s="80" t="s">
        <v>22</v>
      </c>
      <c r="C25" s="156">
        <f>SUM(C22:C24)</f>
        <v>459084106.53999996</v>
      </c>
      <c r="D25" s="156">
        <f>SUM(D22:D24)</f>
        <v>95253894</v>
      </c>
      <c r="E25" s="156">
        <f t="shared" si="0"/>
        <v>554338000.53999996</v>
      </c>
      <c r="F25" s="229">
        <f>SUM(F22:F24)</f>
        <v>285752025.01999998</v>
      </c>
      <c r="G25" s="156">
        <f t="shared" si="1"/>
        <v>840090025.55999994</v>
      </c>
    </row>
    <row r="26" spans="2:7" s="20" customFormat="1" ht="37.5" x14ac:dyDescent="0.35">
      <c r="B26" s="18" t="s">
        <v>2</v>
      </c>
      <c r="C26" s="7" t="s">
        <v>240</v>
      </c>
      <c r="D26" s="7" t="s">
        <v>241</v>
      </c>
      <c r="E26" s="45" t="s">
        <v>19</v>
      </c>
      <c r="F26" s="147"/>
      <c r="G26" s="225"/>
    </row>
    <row r="27" spans="2:7" x14ac:dyDescent="0.35">
      <c r="B27" s="68">
        <v>2018</v>
      </c>
      <c r="C27" s="180">
        <v>352988359</v>
      </c>
      <c r="D27" s="178">
        <f>'2- Costs'!D32</f>
        <v>351334190</v>
      </c>
      <c r="E27" s="157">
        <f>C27/D27</f>
        <v>1.0047082494305493</v>
      </c>
      <c r="F27" s="148"/>
      <c r="G27" s="17"/>
    </row>
    <row r="28" spans="2:7" x14ac:dyDescent="0.35">
      <c r="B28" s="68">
        <v>2019</v>
      </c>
      <c r="C28" s="180">
        <v>351381796</v>
      </c>
      <c r="D28" s="178">
        <v>351334190</v>
      </c>
      <c r="E28" s="157">
        <f>IF(C28=0,"N/A",C28/D28)</f>
        <v>1.0001355006183714</v>
      </c>
      <c r="F28" s="148"/>
      <c r="G28" s="17"/>
    </row>
    <row r="29" spans="2:7" x14ac:dyDescent="0.35">
      <c r="B29" s="68">
        <v>2020</v>
      </c>
      <c r="C29" s="180">
        <f>'2- Costs'!C32</f>
        <v>147665987.81000003</v>
      </c>
      <c r="D29" s="178">
        <v>351334190</v>
      </c>
      <c r="E29" s="157">
        <f>IF(C29=0,"N/A",C29/D29)</f>
        <v>0.42030064825174013</v>
      </c>
      <c r="F29" s="148"/>
      <c r="G29" s="17"/>
    </row>
    <row r="30" spans="2:7" x14ac:dyDescent="0.35">
      <c r="B30" s="68">
        <v>2021</v>
      </c>
      <c r="C30" s="151">
        <v>0</v>
      </c>
      <c r="D30" s="178">
        <v>351334190</v>
      </c>
      <c r="E30" s="158" t="str">
        <f>IF(C30=0,"N/A",C30/D30)</f>
        <v>N/A</v>
      </c>
      <c r="F30" s="148"/>
      <c r="G30" s="17"/>
    </row>
    <row r="31" spans="2:7" ht="28" x14ac:dyDescent="0.35">
      <c r="B31" s="80" t="s">
        <v>44</v>
      </c>
      <c r="C31" s="179">
        <f>SUM(C27:C30)</f>
        <v>852036142.81000006</v>
      </c>
      <c r="D31" s="179">
        <f>SUM(D27:D30)</f>
        <v>1405336760</v>
      </c>
      <c r="E31" s="159" t="str">
        <f>IF(C30=0,"N/A",C31/D31)</f>
        <v>N/A</v>
      </c>
      <c r="F31" s="148"/>
      <c r="G31" s="17"/>
    </row>
    <row r="32" spans="2:7" s="62" customFormat="1" x14ac:dyDescent="0.35">
      <c r="B32" s="81"/>
      <c r="C32" s="16"/>
      <c r="D32" s="17"/>
      <c r="E32" s="17"/>
      <c r="F32" s="17"/>
      <c r="G32" s="17"/>
    </row>
  </sheetData>
  <mergeCells count="1">
    <mergeCell ref="B5:G9"/>
  </mergeCells>
  <printOptions horizontalCentered="1" headings="1"/>
  <pageMargins left="1" right="1" top="1.25" bottom="0.5" header="0.5" footer="0.5"/>
  <pageSetup scale="64" orientation="portrait" r:id="rId1"/>
  <headerFooter scaleWithDoc="0">
    <oddHeader>&amp;R&amp;"Arial,Bold"ICC Docket No. 17-0312
Statewide Quarterly Report ComEd 2020 Q2 
Tab: &amp;A</oddHeader>
  </headerFooter>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 Ex Ante Results</vt:lpstr>
      <vt:lpstr>2- Costs</vt:lpstr>
      <vt:lpstr>3- Energy</vt:lpstr>
      <vt:lpstr>4- Other</vt:lpstr>
      <vt:lpstr>5- CPAS</vt:lpstr>
      <vt:lpstr>6- Historical Costs</vt:lpstr>
      <vt:lpstr>'1- Ex Ante Results'!Print_Area</vt:lpstr>
      <vt:lpstr>'6- Historical Costs'!Print_Area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Kapoor, Shikha:(ComEd)</dc:creator>
  <cp:keywords/>
  <dc:description/>
  <cp:lastModifiedBy>CJ Consulting</cp:lastModifiedBy>
  <cp:lastPrinted>2020-08-20T22:26:29Z</cp:lastPrinted>
  <dcterms:created xsi:type="dcterms:W3CDTF">2020-03-11T14:31:19Z</dcterms:created>
  <dcterms:modified xsi:type="dcterms:W3CDTF">2020-09-01T18:24:11Z</dcterms:modified>
  <cp:category/>
  <cp:contentStatus/>
</cp:coreProperties>
</file>