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
    </mc:Choice>
  </mc:AlternateContent>
  <xr:revisionPtr revIDLastSave="0" documentId="8_{EE800C36-7DD0-4259-B91C-FAE0CE1919D8}" xr6:coauthVersionLast="45" xr6:coauthVersionMax="45" xr10:uidLastSave="{00000000-0000-0000-0000-000000000000}"/>
  <bookViews>
    <workbookView xWindow="-110" yWindow="-110" windowWidth="19420" windowHeight="10420" tabRatio="793" xr2:uid="{00000000-000D-0000-FFFF-FFFF00000000}"/>
  </bookViews>
  <sheets>
    <sheet name="1 - Portfolio Summary" sheetId="4" r:id="rId1"/>
    <sheet name="2- Program Summary" sheetId="5" state="hidden" r:id="rId2"/>
    <sheet name="2 - PY1" sheetId="6" r:id="rId3"/>
    <sheet name="3 - PY2" sheetId="7" r:id="rId4"/>
    <sheet name="4- PY3" sheetId="8" r:id="rId5"/>
    <sheet name="5- PY4" sheetId="9" r:id="rId6"/>
    <sheet name="6 - PY5" sheetId="10" r:id="rId7"/>
    <sheet name="7 - PY6" sheetId="11" r:id="rId8"/>
    <sheet name="8 - PY7" sheetId="13" r:id="rId9"/>
    <sheet name="9 - PY8" sheetId="18" r:id="rId10"/>
    <sheet name="10 - PY9" sheetId="19" r:id="rId11"/>
    <sheet name="11 - CY2018" sheetId="16" r:id="rId12"/>
    <sheet name="12 - CY2019" sheetId="20" r:id="rId13"/>
  </sheets>
  <definedNames>
    <definedName name="_xlnm._FilterDatabase" localSheetId="11" hidden="1">'11 - CY2018'!$B$20:$W$86</definedName>
    <definedName name="_xlnm.Print_Area" localSheetId="0">'1 - Portfolio Summary'!$A$1:$L$83</definedName>
    <definedName name="_xlnm.Print_Area" localSheetId="10">'10 - PY9'!$A$1:$W$128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2" i="4" l="1"/>
  <c r="K24" i="4"/>
  <c r="J24" i="4"/>
  <c r="I24" i="4"/>
  <c r="H24" i="4"/>
  <c r="D24" i="4"/>
  <c r="F11" i="4"/>
  <c r="I66" i="6"/>
  <c r="D11" i="4"/>
  <c r="M60" i="20" l="1"/>
  <c r="K72" i="20"/>
  <c r="V72" i="20" l="1"/>
  <c r="S72" i="20"/>
  <c r="R72" i="20"/>
  <c r="O72" i="20"/>
  <c r="M72" i="20"/>
  <c r="L72" i="20" s="1"/>
  <c r="I72" i="20"/>
  <c r="H72" i="20"/>
  <c r="F72" i="20"/>
  <c r="D72" i="20"/>
  <c r="V60" i="20"/>
  <c r="S60" i="20"/>
  <c r="R60" i="20"/>
  <c r="T60" i="20" s="1"/>
  <c r="O60" i="20"/>
  <c r="K60" i="20"/>
  <c r="I60" i="20"/>
  <c r="H60" i="20"/>
  <c r="F60" i="20"/>
  <c r="D60" i="20"/>
  <c r="I77" i="20"/>
  <c r="I25" i="20" l="1"/>
  <c r="S77" i="20"/>
  <c r="R77" i="20"/>
  <c r="S35" i="20"/>
  <c r="U77" i="20" l="1"/>
  <c r="N72" i="20"/>
  <c r="U70" i="20"/>
  <c r="T70" i="20"/>
  <c r="G70" i="20"/>
  <c r="J70" i="20" s="1"/>
  <c r="E70" i="20"/>
  <c r="U69" i="20"/>
  <c r="T69" i="20"/>
  <c r="N69" i="20"/>
  <c r="L69" i="20"/>
  <c r="G69" i="20"/>
  <c r="J69" i="20" s="1"/>
  <c r="E69" i="20"/>
  <c r="U68" i="20"/>
  <c r="T68" i="20"/>
  <c r="N68" i="20"/>
  <c r="L68" i="20"/>
  <c r="G68" i="20"/>
  <c r="J68" i="20" s="1"/>
  <c r="E68" i="20"/>
  <c r="U67" i="20"/>
  <c r="T67" i="20"/>
  <c r="G67" i="20"/>
  <c r="J67" i="20" s="1"/>
  <c r="E67" i="20"/>
  <c r="U66" i="20"/>
  <c r="T66" i="20"/>
  <c r="G66" i="20"/>
  <c r="J66" i="20" s="1"/>
  <c r="E66" i="20"/>
  <c r="U76" i="20" l="1"/>
  <c r="T76" i="20"/>
  <c r="N76" i="20"/>
  <c r="L76" i="20"/>
  <c r="G76" i="20"/>
  <c r="E76" i="20"/>
  <c r="U75" i="20"/>
  <c r="T75" i="20"/>
  <c r="N75" i="20"/>
  <c r="L75" i="20"/>
  <c r="G75" i="20"/>
  <c r="E75" i="20"/>
  <c r="I35" i="20"/>
  <c r="I49" i="20" l="1"/>
  <c r="I80" i="20" s="1"/>
  <c r="T65" i="20" l="1"/>
  <c r="U65" i="20"/>
  <c r="D83" i="16" l="1"/>
  <c r="N57" i="20"/>
  <c r="L64" i="20"/>
  <c r="U57" i="20"/>
  <c r="U58" i="20"/>
  <c r="U64" i="20"/>
  <c r="T57" i="20"/>
  <c r="T58" i="20"/>
  <c r="T64" i="20"/>
  <c r="N58" i="20"/>
  <c r="N64" i="20"/>
  <c r="L57" i="20"/>
  <c r="L58" i="20"/>
  <c r="G57" i="20"/>
  <c r="J57" i="20" s="1"/>
  <c r="G58" i="20"/>
  <c r="G64" i="20"/>
  <c r="J64" i="20" s="1"/>
  <c r="E57" i="20"/>
  <c r="E58" i="20"/>
  <c r="E64" i="20"/>
  <c r="T78" i="20" l="1"/>
  <c r="E78" i="20"/>
  <c r="F77" i="20"/>
  <c r="H77" i="20"/>
  <c r="K77" i="20"/>
  <c r="E51" i="20"/>
  <c r="G51" i="20"/>
  <c r="J51" i="20" s="1"/>
  <c r="T51" i="20"/>
  <c r="U51" i="20"/>
  <c r="E63" i="20"/>
  <c r="G63" i="20"/>
  <c r="J63" i="20" s="1"/>
  <c r="L63" i="20"/>
  <c r="N63" i="20"/>
  <c r="T63" i="20"/>
  <c r="U63" i="20"/>
  <c r="E52" i="20"/>
  <c r="G52" i="20"/>
  <c r="J52" i="20" s="1"/>
  <c r="L52" i="20"/>
  <c r="N52" i="20"/>
  <c r="T52" i="20"/>
  <c r="U52" i="20"/>
  <c r="E53" i="20"/>
  <c r="G53" i="20"/>
  <c r="J53" i="20" s="1"/>
  <c r="L53" i="20"/>
  <c r="N53" i="20"/>
  <c r="T53" i="20"/>
  <c r="U53" i="20"/>
  <c r="E54" i="20"/>
  <c r="G54" i="20"/>
  <c r="T54" i="20"/>
  <c r="U54" i="20"/>
  <c r="E55" i="20"/>
  <c r="G55" i="20"/>
  <c r="L55" i="20"/>
  <c r="N55" i="20"/>
  <c r="T55" i="20"/>
  <c r="U55" i="20"/>
  <c r="E56" i="20"/>
  <c r="G56" i="20"/>
  <c r="J56" i="20" s="1"/>
  <c r="T56" i="20"/>
  <c r="U56" i="20"/>
  <c r="U62" i="20"/>
  <c r="T62" i="20"/>
  <c r="T72" i="20" s="1"/>
  <c r="G62" i="20"/>
  <c r="J62" i="20" s="1"/>
  <c r="E62" i="20"/>
  <c r="S49" i="20"/>
  <c r="S80" i="20" s="1"/>
  <c r="R49" i="20"/>
  <c r="E40" i="20"/>
  <c r="G40" i="20"/>
  <c r="J40" i="20" s="1"/>
  <c r="L40" i="20"/>
  <c r="N40" i="20"/>
  <c r="T40" i="20"/>
  <c r="U40" i="20"/>
  <c r="E41" i="20"/>
  <c r="G41" i="20"/>
  <c r="J41" i="20" s="1"/>
  <c r="T41" i="20"/>
  <c r="U41" i="20"/>
  <c r="E42" i="20"/>
  <c r="G42" i="20"/>
  <c r="J42" i="20" s="1"/>
  <c r="L42" i="20"/>
  <c r="N42" i="20"/>
  <c r="T42" i="20"/>
  <c r="U42" i="20"/>
  <c r="E43" i="20"/>
  <c r="G43" i="20"/>
  <c r="J43" i="20" s="1"/>
  <c r="L43" i="20"/>
  <c r="N43" i="20"/>
  <c r="T43" i="20"/>
  <c r="U43" i="20"/>
  <c r="E44" i="20"/>
  <c r="G44" i="20"/>
  <c r="J44" i="20" s="1"/>
  <c r="T44" i="20"/>
  <c r="U44" i="20"/>
  <c r="E45" i="20"/>
  <c r="G45" i="20"/>
  <c r="J45" i="20" s="1"/>
  <c r="L45" i="20"/>
  <c r="N45" i="20"/>
  <c r="T45" i="20"/>
  <c r="U45" i="20"/>
  <c r="E46" i="20"/>
  <c r="G46" i="20"/>
  <c r="J46" i="20" s="1"/>
  <c r="T46" i="20"/>
  <c r="U46" i="20"/>
  <c r="E47" i="20"/>
  <c r="G47" i="20"/>
  <c r="J47" i="20" s="1"/>
  <c r="T47" i="20"/>
  <c r="U47" i="20"/>
  <c r="G48" i="20"/>
  <c r="J48" i="20" s="1"/>
  <c r="T48" i="20"/>
  <c r="U48" i="20"/>
  <c r="E74" i="20"/>
  <c r="G74" i="20"/>
  <c r="T74" i="20"/>
  <c r="U74" i="20"/>
  <c r="U39" i="20"/>
  <c r="T39" i="20"/>
  <c r="G39" i="20"/>
  <c r="J39" i="20" s="1"/>
  <c r="E39" i="20"/>
  <c r="V35" i="20"/>
  <c r="U26" i="20"/>
  <c r="R35" i="20"/>
  <c r="T35" i="20" s="1"/>
  <c r="N23" i="20"/>
  <c r="N24" i="20"/>
  <c r="N28" i="20"/>
  <c r="N29" i="20"/>
  <c r="N32" i="20"/>
  <c r="N33" i="20"/>
  <c r="M35" i="20"/>
  <c r="L23" i="20"/>
  <c r="L24" i="20"/>
  <c r="L28" i="20"/>
  <c r="L29" i="20"/>
  <c r="L32" i="20"/>
  <c r="L33" i="20"/>
  <c r="H35" i="20"/>
  <c r="F35" i="20"/>
  <c r="G22" i="20"/>
  <c r="E23" i="20"/>
  <c r="E24" i="20"/>
  <c r="E25" i="20"/>
  <c r="E26" i="20"/>
  <c r="E27" i="20"/>
  <c r="E28" i="20"/>
  <c r="E29" i="20"/>
  <c r="E30" i="20"/>
  <c r="E31" i="20"/>
  <c r="E32" i="20"/>
  <c r="E33" i="20"/>
  <c r="E22" i="20"/>
  <c r="D35" i="20"/>
  <c r="G35" i="20" l="1"/>
  <c r="T49" i="20"/>
  <c r="U78" i="20" l="1"/>
  <c r="G78" i="20"/>
  <c r="O77" i="20"/>
  <c r="M77" i="20"/>
  <c r="L77" i="20" s="1"/>
  <c r="D77" i="20"/>
  <c r="E77" i="20" s="1"/>
  <c r="V77" i="20"/>
  <c r="T77" i="20"/>
  <c r="E72" i="20"/>
  <c r="V49" i="20"/>
  <c r="O49" i="20"/>
  <c r="K49" i="20"/>
  <c r="H49" i="20"/>
  <c r="F49" i="20"/>
  <c r="D49" i="20"/>
  <c r="U35" i="20"/>
  <c r="O35" i="20"/>
  <c r="K35" i="20"/>
  <c r="U33" i="20"/>
  <c r="T33" i="20"/>
  <c r="G33" i="20"/>
  <c r="J33" i="20" s="1"/>
  <c r="G32" i="20"/>
  <c r="G31" i="20"/>
  <c r="U30" i="20"/>
  <c r="T30" i="20"/>
  <c r="G30" i="20"/>
  <c r="J30" i="20" s="1"/>
  <c r="U29" i="20"/>
  <c r="T29" i="20"/>
  <c r="G29" i="20"/>
  <c r="J29" i="20" s="1"/>
  <c r="U28" i="20"/>
  <c r="T28" i="20"/>
  <c r="G28" i="20"/>
  <c r="J28" i="20" s="1"/>
  <c r="U27" i="20"/>
  <c r="T27" i="20"/>
  <c r="G27" i="20"/>
  <c r="J27" i="20" s="1"/>
  <c r="T26" i="20"/>
  <c r="G26" i="20"/>
  <c r="U25" i="20"/>
  <c r="T25" i="20"/>
  <c r="G25" i="20"/>
  <c r="J25" i="20" s="1"/>
  <c r="U24" i="20"/>
  <c r="T24" i="20"/>
  <c r="G24" i="20"/>
  <c r="J24" i="20" s="1"/>
  <c r="U23" i="20"/>
  <c r="T23" i="20"/>
  <c r="G23" i="20"/>
  <c r="J23" i="20" s="1"/>
  <c r="U22" i="20"/>
  <c r="T22" i="20"/>
  <c r="J22" i="20"/>
  <c r="N77" i="20" l="1"/>
  <c r="G49" i="20"/>
  <c r="J49" i="20" s="1"/>
  <c r="G72" i="20"/>
  <c r="J72" i="20" s="1"/>
  <c r="E35" i="20"/>
  <c r="G77" i="20"/>
  <c r="J77" i="20" s="1"/>
  <c r="M49" i="20"/>
  <c r="L49" i="20" s="1"/>
  <c r="E49" i="20"/>
  <c r="U49" i="20"/>
  <c r="U72" i="20"/>
  <c r="J35" i="20"/>
  <c r="J25" i="7"/>
  <c r="J24" i="7"/>
  <c r="N49" i="20" l="1"/>
  <c r="U80" i="20"/>
  <c r="T80" i="20"/>
  <c r="G51" i="4"/>
  <c r="I20" i="4" l="1"/>
  <c r="H20" i="4"/>
  <c r="S63" i="18"/>
  <c r="D16" i="4"/>
  <c r="G36" i="4" l="1"/>
  <c r="F36" i="4"/>
  <c r="D36" i="4"/>
  <c r="I83" i="18" l="1"/>
  <c r="I80" i="13"/>
  <c r="I74" i="9"/>
  <c r="I65" i="8"/>
  <c r="I60" i="7"/>
  <c r="E66" i="18" l="1"/>
  <c r="E65" i="18"/>
  <c r="F51" i="4"/>
  <c r="D51" i="4"/>
  <c r="U64" i="13"/>
  <c r="T64" i="13"/>
  <c r="E64" i="13"/>
  <c r="U63" i="13"/>
  <c r="T63" i="13"/>
  <c r="E63" i="13"/>
  <c r="U62" i="13"/>
  <c r="T62" i="13"/>
  <c r="E62" i="13"/>
  <c r="G49" i="4"/>
  <c r="F49" i="4"/>
  <c r="D49" i="4"/>
  <c r="U67" i="11"/>
  <c r="T67" i="11"/>
  <c r="E67" i="11"/>
  <c r="U66" i="11"/>
  <c r="T66" i="11"/>
  <c r="E66" i="11"/>
  <c r="U65" i="11"/>
  <c r="T65" i="11"/>
  <c r="E65" i="11"/>
  <c r="G48" i="4"/>
  <c r="F48" i="4"/>
  <c r="D48" i="4"/>
  <c r="U59" i="10"/>
  <c r="T59" i="10"/>
  <c r="E59" i="10"/>
  <c r="U58" i="10"/>
  <c r="T58" i="10"/>
  <c r="E58" i="10"/>
  <c r="U57" i="10"/>
  <c r="T57" i="10"/>
  <c r="E57" i="10"/>
  <c r="G47" i="4"/>
  <c r="F47" i="4"/>
  <c r="D47" i="4"/>
  <c r="U58" i="9"/>
  <c r="T58" i="9"/>
  <c r="E58" i="9"/>
  <c r="U57" i="9"/>
  <c r="T57" i="9"/>
  <c r="E57" i="9"/>
  <c r="V56" i="9"/>
  <c r="U56" i="9"/>
  <c r="T56" i="9"/>
  <c r="E56" i="9"/>
  <c r="G45" i="4" l="1"/>
  <c r="D45" i="4"/>
  <c r="R49" i="8"/>
  <c r="U49" i="8" s="1"/>
  <c r="E49" i="8"/>
  <c r="R48" i="8"/>
  <c r="U48" i="8" s="1"/>
  <c r="E48" i="8"/>
  <c r="R47" i="8"/>
  <c r="U47" i="8" s="1"/>
  <c r="E47" i="8"/>
  <c r="H43" i="7"/>
  <c r="D42" i="7"/>
  <c r="F42" i="7" s="1"/>
  <c r="H42" i="7" s="1"/>
  <c r="D43" i="4"/>
  <c r="D44" i="4" l="1"/>
  <c r="T49" i="8"/>
  <c r="T47" i="8"/>
  <c r="T48" i="8"/>
  <c r="V53" i="6" l="1"/>
  <c r="D53" i="6"/>
  <c r="J49" i="6"/>
  <c r="J50" i="6"/>
  <c r="J61" i="11" l="1"/>
  <c r="J58" i="11"/>
  <c r="J57" i="11"/>
  <c r="J55" i="11"/>
  <c r="J54" i="11"/>
  <c r="J53" i="11"/>
  <c r="J52" i="11"/>
  <c r="J50" i="11"/>
  <c r="J49" i="11"/>
  <c r="J47" i="11"/>
  <c r="J30" i="11"/>
  <c r="J28" i="11"/>
  <c r="J27" i="11"/>
  <c r="J26" i="11"/>
  <c r="J25" i="11"/>
  <c r="J24" i="11"/>
  <c r="J23" i="11"/>
  <c r="J22" i="11"/>
  <c r="J56" i="18"/>
  <c r="J55" i="18"/>
  <c r="J54" i="18"/>
  <c r="J52" i="18"/>
  <c r="J51" i="18"/>
  <c r="J50" i="18"/>
  <c r="J49" i="18"/>
  <c r="J35" i="18"/>
  <c r="J33" i="18"/>
  <c r="J29" i="18"/>
  <c r="J28" i="18"/>
  <c r="J24" i="18"/>
  <c r="J25" i="18"/>
  <c r="J26" i="18"/>
  <c r="J23" i="18"/>
  <c r="J22" i="18"/>
  <c r="H80" i="18"/>
  <c r="H79" i="18"/>
  <c r="H58" i="18"/>
  <c r="H57" i="18"/>
  <c r="H56" i="18"/>
  <c r="H55" i="18"/>
  <c r="H54" i="18"/>
  <c r="H53" i="18"/>
  <c r="H52" i="18"/>
  <c r="H51" i="18"/>
  <c r="H50" i="18"/>
  <c r="H49" i="18"/>
  <c r="H35" i="18"/>
  <c r="H33" i="18"/>
  <c r="H28" i="18"/>
  <c r="H31" i="18"/>
  <c r="H30" i="18"/>
  <c r="H29" i="18"/>
  <c r="H27" i="18"/>
  <c r="H26" i="18"/>
  <c r="H25" i="18"/>
  <c r="H24" i="18"/>
  <c r="H23" i="18"/>
  <c r="H22" i="18"/>
  <c r="I21" i="4" l="1"/>
  <c r="H21" i="4"/>
  <c r="D21" i="4"/>
  <c r="D53" i="4"/>
  <c r="H52" i="4"/>
  <c r="E91" i="19"/>
  <c r="G90" i="19"/>
  <c r="J90" i="19" s="1"/>
  <c r="E97" i="19"/>
  <c r="E100" i="19"/>
  <c r="U99" i="19"/>
  <c r="T99" i="19"/>
  <c r="I99" i="19"/>
  <c r="G99" i="19"/>
  <c r="E99" i="19"/>
  <c r="E95" i="19"/>
  <c r="E53" i="19"/>
  <c r="E48" i="19"/>
  <c r="E54" i="19"/>
  <c r="E46" i="19"/>
  <c r="E52" i="19"/>
  <c r="E51" i="19"/>
  <c r="E50" i="19"/>
  <c r="E44" i="19"/>
  <c r="E38" i="19"/>
  <c r="E40" i="19"/>
  <c r="E42" i="19"/>
  <c r="E49" i="19"/>
  <c r="E36" i="19"/>
  <c r="I33" i="19"/>
  <c r="F41" i="18"/>
  <c r="D52" i="4" s="1"/>
  <c r="V114" i="19"/>
  <c r="I114" i="19"/>
  <c r="H114" i="19"/>
  <c r="F114" i="19"/>
  <c r="G114" i="19" s="1"/>
  <c r="D114" i="19"/>
  <c r="G113" i="19"/>
  <c r="G112" i="19"/>
  <c r="G111" i="19"/>
  <c r="E111" i="19"/>
  <c r="G110" i="19"/>
  <c r="J110" i="19" s="1"/>
  <c r="V108" i="19"/>
  <c r="T108" i="19"/>
  <c r="S108" i="19"/>
  <c r="R108" i="19"/>
  <c r="I108" i="19"/>
  <c r="H108" i="19"/>
  <c r="F108" i="19"/>
  <c r="D108" i="19"/>
  <c r="U107" i="19"/>
  <c r="J107" i="19"/>
  <c r="U106" i="19"/>
  <c r="J106" i="19"/>
  <c r="U105" i="19"/>
  <c r="J105" i="19"/>
  <c r="U104" i="19"/>
  <c r="J104" i="19"/>
  <c r="U103" i="19"/>
  <c r="J103" i="19"/>
  <c r="V101" i="19"/>
  <c r="S101" i="19"/>
  <c r="R101" i="19"/>
  <c r="H101" i="19"/>
  <c r="F101" i="19"/>
  <c r="D101" i="19"/>
  <c r="T98" i="19"/>
  <c r="G98" i="19"/>
  <c r="J98" i="19" s="1"/>
  <c r="E98" i="19"/>
  <c r="U96" i="19"/>
  <c r="T96" i="19"/>
  <c r="G96" i="19"/>
  <c r="E96" i="19"/>
  <c r="U94" i="19"/>
  <c r="T94" i="19"/>
  <c r="G94" i="19"/>
  <c r="J94" i="19" s="1"/>
  <c r="E94" i="19"/>
  <c r="V92" i="19"/>
  <c r="S92" i="19"/>
  <c r="R92" i="19"/>
  <c r="H92" i="19"/>
  <c r="F92" i="19"/>
  <c r="D92" i="19"/>
  <c r="G89" i="19"/>
  <c r="J89" i="19" s="1"/>
  <c r="I88" i="19"/>
  <c r="G88" i="19"/>
  <c r="E88" i="19"/>
  <c r="I87" i="19"/>
  <c r="G87" i="19"/>
  <c r="E87" i="19"/>
  <c r="T86" i="19"/>
  <c r="G86" i="19"/>
  <c r="E86" i="19"/>
  <c r="T85" i="19"/>
  <c r="G85" i="19"/>
  <c r="E85" i="19"/>
  <c r="U84" i="19"/>
  <c r="T84" i="19"/>
  <c r="I84" i="19"/>
  <c r="G84" i="19"/>
  <c r="E84" i="19"/>
  <c r="U83" i="19"/>
  <c r="T83" i="19"/>
  <c r="I83" i="19"/>
  <c r="G83" i="19"/>
  <c r="G82" i="19"/>
  <c r="J82" i="19" s="1"/>
  <c r="E82" i="19"/>
  <c r="I81" i="19"/>
  <c r="G81" i="19"/>
  <c r="E81" i="19"/>
  <c r="U80" i="19"/>
  <c r="T80" i="19"/>
  <c r="I80" i="19"/>
  <c r="G80" i="19"/>
  <c r="E80" i="19"/>
  <c r="U79" i="19"/>
  <c r="T79" i="19"/>
  <c r="I79" i="19"/>
  <c r="G79" i="19"/>
  <c r="E79" i="19"/>
  <c r="U78" i="19"/>
  <c r="T78" i="19"/>
  <c r="I78" i="19"/>
  <c r="G78" i="19"/>
  <c r="E78" i="19"/>
  <c r="U77" i="19"/>
  <c r="T77" i="19"/>
  <c r="G77" i="19"/>
  <c r="E77" i="19"/>
  <c r="U76" i="19"/>
  <c r="T76" i="19"/>
  <c r="I76" i="19"/>
  <c r="G76" i="19"/>
  <c r="E76" i="19"/>
  <c r="U75" i="19"/>
  <c r="T75" i="19"/>
  <c r="I75" i="19"/>
  <c r="G75" i="19"/>
  <c r="E75" i="19"/>
  <c r="U74" i="19"/>
  <c r="T74" i="19"/>
  <c r="I74" i="19"/>
  <c r="G74" i="19"/>
  <c r="E74" i="19"/>
  <c r="U73" i="19"/>
  <c r="T73" i="19"/>
  <c r="I73" i="19"/>
  <c r="G73" i="19"/>
  <c r="E73" i="19"/>
  <c r="I71" i="19"/>
  <c r="H71" i="19"/>
  <c r="F71" i="19"/>
  <c r="D71" i="19"/>
  <c r="H70" i="19"/>
  <c r="F70" i="19"/>
  <c r="D70" i="19"/>
  <c r="V69" i="19"/>
  <c r="S69" i="19"/>
  <c r="R69" i="19"/>
  <c r="H69" i="19"/>
  <c r="F69" i="19"/>
  <c r="D69" i="19"/>
  <c r="U68" i="19"/>
  <c r="T68" i="19"/>
  <c r="I68" i="19"/>
  <c r="G68" i="19"/>
  <c r="E68" i="19"/>
  <c r="I67" i="19"/>
  <c r="G67" i="19"/>
  <c r="E67" i="19"/>
  <c r="I66" i="19"/>
  <c r="G66" i="19"/>
  <c r="E66" i="19"/>
  <c r="I65" i="19"/>
  <c r="G65" i="19"/>
  <c r="E65" i="19"/>
  <c r="I64" i="19"/>
  <c r="G64" i="19"/>
  <c r="E64" i="19"/>
  <c r="I63" i="19"/>
  <c r="G63" i="19"/>
  <c r="E63" i="19"/>
  <c r="G62" i="19"/>
  <c r="J62" i="19" s="1"/>
  <c r="E62" i="19"/>
  <c r="I61" i="19"/>
  <c r="G61" i="19"/>
  <c r="E61" i="19"/>
  <c r="I60" i="19"/>
  <c r="G60" i="19"/>
  <c r="E60" i="19"/>
  <c r="I59" i="19"/>
  <c r="G59" i="19"/>
  <c r="E59" i="19"/>
  <c r="I58" i="19"/>
  <c r="G58" i="19"/>
  <c r="E58" i="19"/>
  <c r="I57" i="19"/>
  <c r="G57" i="19"/>
  <c r="E57" i="19"/>
  <c r="I56" i="19"/>
  <c r="G56" i="19"/>
  <c r="E56" i="19"/>
  <c r="I55" i="19"/>
  <c r="G55" i="19"/>
  <c r="E55" i="19"/>
  <c r="U35" i="19"/>
  <c r="T35" i="19"/>
  <c r="G35" i="19"/>
  <c r="J35" i="19" s="1"/>
  <c r="E35" i="19"/>
  <c r="U43" i="19"/>
  <c r="T43" i="19"/>
  <c r="G43" i="19"/>
  <c r="J43" i="19" s="1"/>
  <c r="E43" i="19"/>
  <c r="U41" i="19"/>
  <c r="T41" i="19"/>
  <c r="G41" i="19"/>
  <c r="J41" i="19" s="1"/>
  <c r="E41" i="19"/>
  <c r="U47" i="19"/>
  <c r="T47" i="19"/>
  <c r="G47" i="19"/>
  <c r="J47" i="19" s="1"/>
  <c r="E47" i="19"/>
  <c r="U34" i="19"/>
  <c r="T34" i="19"/>
  <c r="G34" i="19"/>
  <c r="J34" i="19" s="1"/>
  <c r="E34" i="19"/>
  <c r="U45" i="19"/>
  <c r="T45" i="19"/>
  <c r="G45" i="19"/>
  <c r="J45" i="19" s="1"/>
  <c r="E45" i="19"/>
  <c r="U37" i="19"/>
  <c r="T37" i="19"/>
  <c r="G37" i="19"/>
  <c r="E37" i="19"/>
  <c r="U39" i="19"/>
  <c r="T39" i="19"/>
  <c r="G39" i="19"/>
  <c r="J39" i="19" s="1"/>
  <c r="E39" i="19"/>
  <c r="U32" i="19"/>
  <c r="T32" i="19"/>
  <c r="G32" i="19"/>
  <c r="J32" i="19" s="1"/>
  <c r="E32" i="19"/>
  <c r="U31" i="19"/>
  <c r="T31" i="19"/>
  <c r="G31" i="19"/>
  <c r="J31" i="19" s="1"/>
  <c r="E31" i="19"/>
  <c r="U30" i="19"/>
  <c r="T30" i="19"/>
  <c r="G30" i="19"/>
  <c r="J30" i="19" s="1"/>
  <c r="E30" i="19"/>
  <c r="U29" i="19"/>
  <c r="T29" i="19"/>
  <c r="I29" i="19"/>
  <c r="G29" i="19"/>
  <c r="E29" i="19"/>
  <c r="T28" i="19"/>
  <c r="G28" i="19"/>
  <c r="E28" i="19"/>
  <c r="U27" i="19"/>
  <c r="T27" i="19"/>
  <c r="G27" i="19"/>
  <c r="J27" i="19" s="1"/>
  <c r="E27" i="19"/>
  <c r="U26" i="19"/>
  <c r="T26" i="19"/>
  <c r="I26" i="19"/>
  <c r="G26" i="19"/>
  <c r="E26" i="19"/>
  <c r="U25" i="19"/>
  <c r="T25" i="19"/>
  <c r="G25" i="19"/>
  <c r="J25" i="19" s="1"/>
  <c r="E25" i="19"/>
  <c r="U24" i="19"/>
  <c r="T24" i="19"/>
  <c r="G24" i="19"/>
  <c r="J24" i="19" s="1"/>
  <c r="E24" i="19"/>
  <c r="U23" i="19"/>
  <c r="T23" i="19"/>
  <c r="I23" i="19"/>
  <c r="G23" i="19"/>
  <c r="E23" i="19"/>
  <c r="U22" i="19"/>
  <c r="T22" i="19"/>
  <c r="G22" i="19"/>
  <c r="J22" i="19" s="1"/>
  <c r="E22" i="19"/>
  <c r="J21" i="4" l="1"/>
  <c r="J99" i="19"/>
  <c r="H36" i="4"/>
  <c r="J65" i="19"/>
  <c r="J57" i="19"/>
  <c r="J61" i="19"/>
  <c r="J64" i="19"/>
  <c r="J68" i="19"/>
  <c r="J75" i="19"/>
  <c r="J80" i="19"/>
  <c r="J88" i="19"/>
  <c r="U92" i="19"/>
  <c r="I101" i="19"/>
  <c r="G70" i="19"/>
  <c r="J76" i="19"/>
  <c r="J81" i="19"/>
  <c r="J83" i="19"/>
  <c r="J66" i="19"/>
  <c r="E70" i="19"/>
  <c r="J73" i="19"/>
  <c r="E108" i="19"/>
  <c r="U108" i="19"/>
  <c r="D116" i="19"/>
  <c r="E92" i="19"/>
  <c r="G108" i="19"/>
  <c r="J108" i="19" s="1"/>
  <c r="J114" i="19"/>
  <c r="R116" i="19"/>
  <c r="E101" i="19"/>
  <c r="J29" i="19"/>
  <c r="J55" i="19"/>
  <c r="J59" i="19"/>
  <c r="J63" i="19"/>
  <c r="J67" i="19"/>
  <c r="G71" i="19"/>
  <c r="J71" i="19" s="1"/>
  <c r="I92" i="19"/>
  <c r="J78" i="19"/>
  <c r="J84" i="19"/>
  <c r="G92" i="19"/>
  <c r="T101" i="19"/>
  <c r="J26" i="19"/>
  <c r="I70" i="19"/>
  <c r="J70" i="19" s="1"/>
  <c r="J58" i="19"/>
  <c r="E71" i="19"/>
  <c r="J79" i="19"/>
  <c r="J87" i="19"/>
  <c r="F116" i="19"/>
  <c r="V116" i="19"/>
  <c r="T92" i="19"/>
  <c r="U101" i="19"/>
  <c r="J23" i="19"/>
  <c r="J56" i="19"/>
  <c r="J60" i="19"/>
  <c r="J74" i="19"/>
  <c r="G101" i="19"/>
  <c r="G69" i="19"/>
  <c r="S116" i="19"/>
  <c r="E69" i="19"/>
  <c r="T69" i="19"/>
  <c r="H116" i="19"/>
  <c r="U69" i="19"/>
  <c r="I69" i="19"/>
  <c r="I36" i="4"/>
  <c r="G35" i="4"/>
  <c r="H35" i="4"/>
  <c r="F35" i="4"/>
  <c r="D35" i="4"/>
  <c r="J101" i="19" l="1"/>
  <c r="G116" i="19"/>
  <c r="I116" i="19"/>
  <c r="U116" i="19"/>
  <c r="J92" i="19"/>
  <c r="T116" i="19"/>
  <c r="J69" i="19"/>
  <c r="E62" i="18"/>
  <c r="E43" i="18"/>
  <c r="E41" i="18"/>
  <c r="E40" i="18"/>
  <c r="E39" i="18"/>
  <c r="D19" i="4"/>
  <c r="G34" i="4"/>
  <c r="H34" i="4"/>
  <c r="F34" i="4"/>
  <c r="D34" i="4"/>
  <c r="I43" i="13"/>
  <c r="D44" i="13"/>
  <c r="D43" i="13"/>
  <c r="S44" i="13"/>
  <c r="R44" i="13"/>
  <c r="F44" i="13"/>
  <c r="S43" i="13"/>
  <c r="R43" i="13"/>
  <c r="F43" i="13"/>
  <c r="U41" i="13"/>
  <c r="T41" i="13"/>
  <c r="U40" i="13"/>
  <c r="T40" i="13"/>
  <c r="U39" i="13"/>
  <c r="T39" i="13"/>
  <c r="E39" i="13"/>
  <c r="U38" i="13"/>
  <c r="T38" i="13"/>
  <c r="E38" i="13"/>
  <c r="U37" i="13"/>
  <c r="T37" i="13"/>
  <c r="E37" i="13"/>
  <c r="U36" i="13"/>
  <c r="T36" i="13"/>
  <c r="E36" i="13"/>
  <c r="U35" i="13"/>
  <c r="T35" i="13"/>
  <c r="E35" i="13"/>
  <c r="G34" i="13"/>
  <c r="J34" i="13" s="1"/>
  <c r="E34" i="13"/>
  <c r="T59" i="13"/>
  <c r="U59" i="13"/>
  <c r="E59" i="13"/>
  <c r="G58" i="13"/>
  <c r="J58" i="13" s="1"/>
  <c r="E58" i="13"/>
  <c r="G33" i="4"/>
  <c r="H33" i="4"/>
  <c r="F33" i="4"/>
  <c r="D33" i="4"/>
  <c r="R45" i="11"/>
  <c r="I17" i="4"/>
  <c r="H17" i="4"/>
  <c r="U62" i="11"/>
  <c r="T62" i="11"/>
  <c r="E62" i="11"/>
  <c r="H61" i="11"/>
  <c r="E61" i="11"/>
  <c r="I44" i="11"/>
  <c r="F45" i="11"/>
  <c r="F44" i="11"/>
  <c r="D45" i="11"/>
  <c r="D44" i="11"/>
  <c r="D43" i="11"/>
  <c r="S45" i="11"/>
  <c r="S44" i="11"/>
  <c r="R44" i="11"/>
  <c r="U42" i="11"/>
  <c r="T42" i="11"/>
  <c r="U41" i="11"/>
  <c r="T41" i="11"/>
  <c r="U40" i="11"/>
  <c r="T40" i="11"/>
  <c r="E40" i="11"/>
  <c r="U39" i="11"/>
  <c r="T39" i="11"/>
  <c r="E39" i="11"/>
  <c r="U38" i="11"/>
  <c r="T38" i="11"/>
  <c r="E38" i="11"/>
  <c r="U37" i="11"/>
  <c r="T37" i="11"/>
  <c r="E37" i="11"/>
  <c r="U36" i="11"/>
  <c r="T36" i="11"/>
  <c r="E36" i="11"/>
  <c r="E35" i="11"/>
  <c r="J46" i="10"/>
  <c r="J47" i="10"/>
  <c r="J48" i="10"/>
  <c r="J49" i="10"/>
  <c r="J50" i="10"/>
  <c r="J51" i="10"/>
  <c r="J52" i="10"/>
  <c r="J45" i="10"/>
  <c r="J43" i="10"/>
  <c r="J30" i="10"/>
  <c r="J23" i="10"/>
  <c r="J24" i="10"/>
  <c r="J25" i="10"/>
  <c r="J26" i="10"/>
  <c r="J27" i="10"/>
  <c r="J28" i="10"/>
  <c r="J22" i="10"/>
  <c r="I16" i="4"/>
  <c r="H16" i="4"/>
  <c r="T37" i="10"/>
  <c r="U37" i="10"/>
  <c r="T38" i="10"/>
  <c r="U38" i="10"/>
  <c r="R41" i="10"/>
  <c r="R39" i="10"/>
  <c r="D40" i="10"/>
  <c r="F41" i="10"/>
  <c r="E36" i="10"/>
  <c r="U36" i="10"/>
  <c r="T36" i="10"/>
  <c r="U54" i="10"/>
  <c r="T54" i="10"/>
  <c r="E54" i="10"/>
  <c r="U35" i="10"/>
  <c r="T35" i="10"/>
  <c r="E35" i="10"/>
  <c r="U34" i="10"/>
  <c r="T34" i="10"/>
  <c r="E34" i="10"/>
  <c r="U33" i="10"/>
  <c r="T33" i="10"/>
  <c r="E33" i="10"/>
  <c r="U32" i="10"/>
  <c r="T32" i="10"/>
  <c r="E32" i="10"/>
  <c r="S41" i="10"/>
  <c r="D41" i="10"/>
  <c r="S40" i="10"/>
  <c r="R40" i="10"/>
  <c r="I40" i="10"/>
  <c r="F40" i="10"/>
  <c r="I15" i="4"/>
  <c r="H15" i="4"/>
  <c r="I13" i="4"/>
  <c r="H13" i="4"/>
  <c r="I12" i="4"/>
  <c r="H12" i="4"/>
  <c r="I11" i="4"/>
  <c r="H11" i="4"/>
  <c r="E53" i="10"/>
  <c r="S40" i="9"/>
  <c r="D40" i="9"/>
  <c r="H51" i="4" l="1"/>
  <c r="E43" i="13"/>
  <c r="T43" i="13"/>
  <c r="U44" i="11"/>
  <c r="H49" i="4"/>
  <c r="H48" i="4"/>
  <c r="J116" i="19"/>
  <c r="T40" i="10"/>
  <c r="U40" i="10"/>
  <c r="U43" i="13"/>
  <c r="U44" i="13"/>
  <c r="E44" i="13"/>
  <c r="T44" i="13"/>
  <c r="U45" i="11"/>
  <c r="T44" i="11"/>
  <c r="E45" i="11"/>
  <c r="E44" i="11"/>
  <c r="T45" i="11"/>
  <c r="U41" i="10"/>
  <c r="E40" i="10"/>
  <c r="E41" i="10"/>
  <c r="T41" i="10"/>
  <c r="U22" i="9"/>
  <c r="U53" i="9"/>
  <c r="U42" i="9"/>
  <c r="U44" i="9"/>
  <c r="U45" i="9"/>
  <c r="U46" i="9"/>
  <c r="U47" i="9"/>
  <c r="U48" i="9"/>
  <c r="U49" i="9"/>
  <c r="U50" i="9"/>
  <c r="U51" i="9"/>
  <c r="T53" i="9"/>
  <c r="R40" i="9"/>
  <c r="U40" i="9" s="1"/>
  <c r="U34" i="9"/>
  <c r="U35" i="9"/>
  <c r="U36" i="9"/>
  <c r="U37" i="9"/>
  <c r="U33" i="9"/>
  <c r="U32" i="9"/>
  <c r="U24" i="9"/>
  <c r="U25" i="9"/>
  <c r="U26" i="9"/>
  <c r="U27" i="9"/>
  <c r="U28" i="9"/>
  <c r="U29" i="9"/>
  <c r="U23" i="9"/>
  <c r="T23" i="9"/>
  <c r="T24" i="9"/>
  <c r="T25" i="9"/>
  <c r="T26" i="9"/>
  <c r="T27" i="9"/>
  <c r="T28" i="9"/>
  <c r="T29" i="9"/>
  <c r="T22" i="9"/>
  <c r="T33" i="9"/>
  <c r="T34" i="9"/>
  <c r="T35" i="9"/>
  <c r="T36" i="9"/>
  <c r="T37" i="9"/>
  <c r="T32" i="9"/>
  <c r="G50" i="4"/>
  <c r="F50" i="4"/>
  <c r="F40" i="9"/>
  <c r="H47" i="4" l="1"/>
  <c r="T40" i="9"/>
  <c r="H50" i="4"/>
  <c r="S35" i="8"/>
  <c r="G46" i="4"/>
  <c r="U25" i="8"/>
  <c r="U26" i="8"/>
  <c r="U27" i="8"/>
  <c r="T25" i="8"/>
  <c r="T26" i="8"/>
  <c r="T27" i="8"/>
  <c r="T24" i="8"/>
  <c r="R32" i="8"/>
  <c r="U32" i="8" s="1"/>
  <c r="R31" i="8"/>
  <c r="U31" i="8" s="1"/>
  <c r="R30" i="8"/>
  <c r="U30" i="8" s="1"/>
  <c r="R29" i="8"/>
  <c r="U24" i="8"/>
  <c r="R28" i="8"/>
  <c r="R44" i="8"/>
  <c r="T44" i="8" s="1"/>
  <c r="D35" i="8"/>
  <c r="F35" i="8"/>
  <c r="E37" i="8"/>
  <c r="H37" i="8"/>
  <c r="J37" i="8"/>
  <c r="T37" i="8"/>
  <c r="D38" i="8"/>
  <c r="F38" i="8"/>
  <c r="H38" i="8"/>
  <c r="T38" i="8"/>
  <c r="U38" i="8"/>
  <c r="E39" i="8"/>
  <c r="H39" i="8"/>
  <c r="J39" i="8"/>
  <c r="T39" i="8"/>
  <c r="E53" i="9"/>
  <c r="S39" i="9"/>
  <c r="R39" i="9"/>
  <c r="I39" i="9"/>
  <c r="D39" i="9"/>
  <c r="E35" i="9"/>
  <c r="E34" i="9"/>
  <c r="E33" i="9"/>
  <c r="E32" i="9"/>
  <c r="F45" i="4" l="1"/>
  <c r="E35" i="8"/>
  <c r="T30" i="8"/>
  <c r="U44" i="8"/>
  <c r="F46" i="4"/>
  <c r="I46" i="4" s="1"/>
  <c r="R35" i="8"/>
  <c r="U35" i="8" s="1"/>
  <c r="T35" i="8"/>
  <c r="T32" i="8"/>
  <c r="T28" i="8"/>
  <c r="U28" i="8"/>
  <c r="U29" i="8"/>
  <c r="E38" i="8"/>
  <c r="T31" i="8"/>
  <c r="T29" i="8"/>
  <c r="D31" i="7"/>
  <c r="J42" i="8"/>
  <c r="J43" i="8"/>
  <c r="J27" i="8"/>
  <c r="J26" i="8"/>
  <c r="J25" i="8"/>
  <c r="J24" i="8"/>
  <c r="E28" i="8"/>
  <c r="E29" i="8"/>
  <c r="E30" i="8"/>
  <c r="E31" i="8"/>
  <c r="E23" i="8"/>
  <c r="E24" i="8"/>
  <c r="E25" i="8"/>
  <c r="E26" i="8"/>
  <c r="E27" i="8"/>
  <c r="E22" i="8"/>
  <c r="E44" i="8"/>
  <c r="I83" i="11"/>
  <c r="I75" i="10"/>
  <c r="H45" i="4" l="1"/>
  <c r="I45" i="4"/>
  <c r="H46" i="4"/>
  <c r="E39" i="7"/>
  <c r="E27" i="6"/>
  <c r="E28" i="6"/>
  <c r="E47" i="6"/>
  <c r="E46" i="6"/>
  <c r="E48" i="6"/>
  <c r="E37" i="6"/>
  <c r="V81" i="16"/>
  <c r="J51" i="9"/>
  <c r="J50" i="9"/>
  <c r="J49" i="9"/>
  <c r="J48" i="9"/>
  <c r="J47" i="9"/>
  <c r="J46" i="9"/>
  <c r="J45" i="9"/>
  <c r="J44" i="9"/>
  <c r="J42" i="9"/>
  <c r="J24" i="9"/>
  <c r="J25" i="9"/>
  <c r="J26" i="9"/>
  <c r="J27" i="9"/>
  <c r="J28" i="9"/>
  <c r="J29" i="9"/>
  <c r="J22" i="9"/>
  <c r="E40" i="9"/>
  <c r="U39" i="9"/>
  <c r="T39" i="9"/>
  <c r="S34" i="8"/>
  <c r="R34" i="8"/>
  <c r="I34" i="8"/>
  <c r="F34" i="8"/>
  <c r="D34" i="8"/>
  <c r="S30" i="7"/>
  <c r="R30" i="7"/>
  <c r="I30" i="7"/>
  <c r="F31" i="7"/>
  <c r="E31" i="7" s="1"/>
  <c r="F30" i="7"/>
  <c r="D30" i="7"/>
  <c r="H33" i="7"/>
  <c r="J33" i="7"/>
  <c r="T33" i="7"/>
  <c r="H34" i="7"/>
  <c r="H35" i="7"/>
  <c r="J35" i="7"/>
  <c r="T35" i="7"/>
  <c r="H36" i="7"/>
  <c r="J36" i="7"/>
  <c r="T36" i="7"/>
  <c r="H37" i="7"/>
  <c r="J37" i="7"/>
  <c r="T37" i="7"/>
  <c r="T38" i="7"/>
  <c r="H39" i="7"/>
  <c r="D40" i="7"/>
  <c r="I40" i="7"/>
  <c r="R40" i="7"/>
  <c r="S40" i="7"/>
  <c r="V40" i="7"/>
  <c r="J44" i="7"/>
  <c r="U44" i="7"/>
  <c r="J45" i="7"/>
  <c r="U45" i="7"/>
  <c r="J46" i="7"/>
  <c r="U46" i="7"/>
  <c r="D47" i="7"/>
  <c r="F47" i="7"/>
  <c r="H47" i="7"/>
  <c r="V47" i="7"/>
  <c r="S30" i="6"/>
  <c r="R30" i="6"/>
  <c r="I30" i="6"/>
  <c r="F31" i="6"/>
  <c r="F30" i="6"/>
  <c r="D31" i="6"/>
  <c r="E31" i="6" s="1"/>
  <c r="D30" i="6"/>
  <c r="T34" i="8" l="1"/>
  <c r="T30" i="7"/>
  <c r="U30" i="7"/>
  <c r="G47" i="7"/>
  <c r="U40" i="7"/>
  <c r="T40" i="7"/>
  <c r="E47" i="7"/>
  <c r="U30" i="6"/>
  <c r="E30" i="6"/>
  <c r="T30" i="6"/>
  <c r="U34" i="8"/>
  <c r="E34" i="8"/>
  <c r="E30" i="7"/>
  <c r="H53" i="4" l="1"/>
  <c r="E27" i="7" l="1"/>
  <c r="H27" i="7"/>
  <c r="E28" i="7"/>
  <c r="H28" i="7"/>
  <c r="H31" i="7" l="1"/>
  <c r="G31" i="7" s="1"/>
  <c r="I85" i="16" l="1"/>
  <c r="M54" i="16"/>
  <c r="N54" i="16" s="1"/>
  <c r="T54" i="16"/>
  <c r="U54" i="16"/>
  <c r="U64" i="16"/>
  <c r="T64" i="16"/>
  <c r="J64" i="16"/>
  <c r="F39" i="16"/>
  <c r="U37" i="16"/>
  <c r="T37" i="16"/>
  <c r="I37" i="16"/>
  <c r="G37" i="16"/>
  <c r="H39" i="16"/>
  <c r="J58" i="16"/>
  <c r="J59" i="16"/>
  <c r="J61" i="16"/>
  <c r="J62" i="16"/>
  <c r="J57" i="16"/>
  <c r="J44" i="16"/>
  <c r="J45" i="16"/>
  <c r="J46" i="16"/>
  <c r="J47" i="16"/>
  <c r="J48" i="16"/>
  <c r="J49" i="16"/>
  <c r="J50" i="16"/>
  <c r="J51" i="16"/>
  <c r="J52" i="16"/>
  <c r="J53" i="16"/>
  <c r="J43" i="16"/>
  <c r="J37" i="16" l="1"/>
  <c r="F41" i="8"/>
  <c r="J41" i="8" s="1"/>
  <c r="G73" i="4"/>
  <c r="H73" i="4"/>
  <c r="G74" i="4"/>
  <c r="H74" i="4"/>
  <c r="H72" i="4"/>
  <c r="E72" i="4"/>
  <c r="F72" i="4"/>
  <c r="G72" i="4"/>
  <c r="E73" i="4"/>
  <c r="F73" i="4"/>
  <c r="E74" i="4"/>
  <c r="F74" i="4"/>
  <c r="I23" i="4" l="1"/>
  <c r="F71" i="4" s="1"/>
  <c r="F68" i="4"/>
  <c r="E68" i="4"/>
  <c r="D20" i="4"/>
  <c r="I19" i="4"/>
  <c r="F67" i="4" s="1"/>
  <c r="H19" i="4"/>
  <c r="E67" i="4" s="1"/>
  <c r="E69" i="4"/>
  <c r="F65" i="4"/>
  <c r="E65" i="4"/>
  <c r="U32" i="11"/>
  <c r="U30" i="11"/>
  <c r="U28" i="11"/>
  <c r="U27" i="11"/>
  <c r="U26" i="11"/>
  <c r="U25" i="11"/>
  <c r="U24" i="11"/>
  <c r="U23" i="11"/>
  <c r="U22" i="11"/>
  <c r="T32" i="11"/>
  <c r="R63" i="11"/>
  <c r="H58" i="11"/>
  <c r="H48" i="11"/>
  <c r="H60" i="11"/>
  <c r="H57" i="11"/>
  <c r="F51" i="11"/>
  <c r="D17" i="4" s="1"/>
  <c r="F63" i="11" l="1"/>
  <c r="J51" i="11"/>
  <c r="F69" i="4"/>
  <c r="H69" i="4" s="1"/>
  <c r="G76" i="13"/>
  <c r="J76" i="13" s="1"/>
  <c r="E76" i="13"/>
  <c r="I53" i="18" l="1"/>
  <c r="J53" i="18" s="1"/>
  <c r="C68" i="4" l="1"/>
  <c r="T79" i="18"/>
  <c r="U79" i="18"/>
  <c r="T31" i="18"/>
  <c r="E81" i="18"/>
  <c r="E53" i="18"/>
  <c r="E54" i="18"/>
  <c r="V82" i="18"/>
  <c r="S82" i="18"/>
  <c r="R82" i="18"/>
  <c r="I82" i="18"/>
  <c r="H82" i="18"/>
  <c r="F82" i="18"/>
  <c r="E82" i="18" s="1"/>
  <c r="D82" i="18"/>
  <c r="V77" i="18"/>
  <c r="T77" i="18"/>
  <c r="S77" i="18"/>
  <c r="R77" i="18"/>
  <c r="I77" i="18"/>
  <c r="H77" i="18"/>
  <c r="F77" i="18"/>
  <c r="D77" i="18"/>
  <c r="U76" i="18"/>
  <c r="J76" i="18"/>
  <c r="U75" i="18"/>
  <c r="J75" i="18"/>
  <c r="U74" i="18"/>
  <c r="J74" i="18"/>
  <c r="U73" i="18"/>
  <c r="J73" i="18"/>
  <c r="U72" i="18"/>
  <c r="J72" i="18"/>
  <c r="V70" i="18"/>
  <c r="T70" i="18"/>
  <c r="S70" i="18"/>
  <c r="R70" i="18"/>
  <c r="F70" i="18"/>
  <c r="D70" i="18"/>
  <c r="U69" i="18"/>
  <c r="J69" i="18"/>
  <c r="U68" i="18"/>
  <c r="J68" i="18"/>
  <c r="U67" i="18"/>
  <c r="J67" i="18"/>
  <c r="V63" i="18"/>
  <c r="R63" i="18"/>
  <c r="I63" i="18"/>
  <c r="H63" i="18"/>
  <c r="F63" i="18"/>
  <c r="D63" i="18"/>
  <c r="E61" i="18"/>
  <c r="E60" i="18"/>
  <c r="E59" i="18"/>
  <c r="E57" i="18"/>
  <c r="E56" i="18"/>
  <c r="U55" i="18"/>
  <c r="T55" i="18"/>
  <c r="E55" i="18"/>
  <c r="U54" i="18"/>
  <c r="T54" i="18"/>
  <c r="U53" i="18"/>
  <c r="T53" i="18"/>
  <c r="U52" i="18"/>
  <c r="T52" i="18"/>
  <c r="E52" i="18"/>
  <c r="U51" i="18"/>
  <c r="T51" i="18"/>
  <c r="E51" i="18"/>
  <c r="U50" i="18"/>
  <c r="T50" i="18"/>
  <c r="E50" i="18"/>
  <c r="U49" i="18"/>
  <c r="T49" i="18"/>
  <c r="E49" i="18"/>
  <c r="U58" i="18"/>
  <c r="T58" i="18"/>
  <c r="E58" i="18"/>
  <c r="S45" i="18"/>
  <c r="R45" i="18"/>
  <c r="I45" i="18"/>
  <c r="H45" i="18"/>
  <c r="F45" i="18"/>
  <c r="D45" i="18"/>
  <c r="E38" i="18"/>
  <c r="E37" i="18"/>
  <c r="E36" i="18"/>
  <c r="E35" i="18"/>
  <c r="E34" i="18"/>
  <c r="E33" i="18"/>
  <c r="U32" i="18"/>
  <c r="E32" i="18"/>
  <c r="U80" i="18"/>
  <c r="T80" i="18"/>
  <c r="E80" i="18"/>
  <c r="U31" i="18"/>
  <c r="E31" i="18"/>
  <c r="U30" i="18"/>
  <c r="T30" i="18"/>
  <c r="E30" i="18"/>
  <c r="U29" i="18"/>
  <c r="T29" i="18"/>
  <c r="E29" i="18"/>
  <c r="U28" i="18"/>
  <c r="T28" i="18"/>
  <c r="E28" i="18"/>
  <c r="U27" i="18"/>
  <c r="T27" i="18"/>
  <c r="E27" i="18"/>
  <c r="U26" i="18"/>
  <c r="T26" i="18"/>
  <c r="E26" i="18"/>
  <c r="V25" i="18"/>
  <c r="V45" i="18" s="1"/>
  <c r="U25" i="18"/>
  <c r="T25" i="18"/>
  <c r="E25" i="18"/>
  <c r="U24" i="18"/>
  <c r="T24" i="18"/>
  <c r="E24" i="18"/>
  <c r="U23" i="18"/>
  <c r="T23" i="18"/>
  <c r="E23" i="18"/>
  <c r="U22" i="18"/>
  <c r="T22" i="18"/>
  <c r="E22" i="18"/>
  <c r="J20" i="4" l="1"/>
  <c r="G68" i="4" s="1"/>
  <c r="T82" i="18"/>
  <c r="T63" i="18"/>
  <c r="U63" i="18"/>
  <c r="E45" i="18"/>
  <c r="U82" i="18"/>
  <c r="U45" i="18"/>
  <c r="G63" i="18"/>
  <c r="J63" i="18" s="1"/>
  <c r="T45" i="18"/>
  <c r="G82" i="18"/>
  <c r="J82" i="18" s="1"/>
  <c r="E63" i="18"/>
  <c r="E77" i="18"/>
  <c r="U77" i="18"/>
  <c r="E70" i="18"/>
  <c r="U70" i="18"/>
  <c r="R84" i="18"/>
  <c r="U84" i="18" s="1"/>
  <c r="V84" i="18"/>
  <c r="I84" i="18"/>
  <c r="D84" i="18"/>
  <c r="G77" i="18"/>
  <c r="J77" i="18" s="1"/>
  <c r="H84" i="18"/>
  <c r="G45" i="18"/>
  <c r="J45" i="18" s="1"/>
  <c r="F84" i="18"/>
  <c r="G69" i="4" l="1"/>
  <c r="T84" i="18"/>
  <c r="E84" i="18"/>
  <c r="G84" i="18"/>
  <c r="J84" i="18" s="1"/>
  <c r="I43" i="11" l="1"/>
  <c r="J35" i="6" l="1"/>
  <c r="J34" i="6"/>
  <c r="J33" i="6"/>
  <c r="J23" i="6"/>
  <c r="J24" i="6"/>
  <c r="J25" i="6"/>
  <c r="J22" i="6"/>
  <c r="J26" i="7"/>
  <c r="J23" i="7"/>
  <c r="H22" i="7"/>
  <c r="T84" i="16"/>
  <c r="U46" i="16"/>
  <c r="U48" i="16"/>
  <c r="U49" i="16"/>
  <c r="U50" i="16"/>
  <c r="U52" i="16"/>
  <c r="U53" i="16"/>
  <c r="U51" i="16"/>
  <c r="U44" i="16"/>
  <c r="U45" i="16"/>
  <c r="U43" i="16"/>
  <c r="T53" i="16"/>
  <c r="T52" i="16"/>
  <c r="T51" i="16"/>
  <c r="T50" i="16"/>
  <c r="T49" i="16"/>
  <c r="T48" i="16"/>
  <c r="T44" i="16"/>
  <c r="T45" i="16"/>
  <c r="T46" i="16"/>
  <c r="T43" i="16"/>
  <c r="T39" i="16"/>
  <c r="T66" i="16"/>
  <c r="T58" i="16"/>
  <c r="T59" i="16"/>
  <c r="T60" i="16"/>
  <c r="T61" i="16"/>
  <c r="T62" i="16"/>
  <c r="T63" i="16"/>
  <c r="T57" i="16"/>
  <c r="T23" i="16"/>
  <c r="T24" i="16"/>
  <c r="T25" i="16"/>
  <c r="T26" i="16"/>
  <c r="T27" i="16"/>
  <c r="T28" i="16"/>
  <c r="T29" i="16"/>
  <c r="T30" i="16"/>
  <c r="T31" i="16"/>
  <c r="T32" i="16"/>
  <c r="T33" i="16"/>
  <c r="T34" i="16"/>
  <c r="T35" i="16"/>
  <c r="T36" i="16"/>
  <c r="T22" i="16"/>
  <c r="U84" i="16" l="1"/>
  <c r="G84" i="16"/>
  <c r="O39" i="16"/>
  <c r="K39" i="16"/>
  <c r="M44" i="16"/>
  <c r="N44" i="16" s="1"/>
  <c r="M46" i="16"/>
  <c r="N46" i="16" s="1"/>
  <c r="M48" i="16"/>
  <c r="N48" i="16" s="1"/>
  <c r="M43" i="16"/>
  <c r="O55" i="16"/>
  <c r="K55" i="16"/>
  <c r="N61" i="16"/>
  <c r="N60" i="16"/>
  <c r="O83" i="16"/>
  <c r="K83" i="16"/>
  <c r="K66" i="16"/>
  <c r="L60" i="16"/>
  <c r="L61" i="16"/>
  <c r="M63" i="16"/>
  <c r="N63" i="16" s="1"/>
  <c r="N80" i="16"/>
  <c r="M35" i="16"/>
  <c r="N35" i="16" s="1"/>
  <c r="M34" i="16"/>
  <c r="N34" i="16" s="1"/>
  <c r="M33" i="16"/>
  <c r="N33" i="16" s="1"/>
  <c r="M32" i="16"/>
  <c r="N32" i="16" s="1"/>
  <c r="M30" i="16"/>
  <c r="N30" i="16" s="1"/>
  <c r="M29" i="16"/>
  <c r="N29" i="16" s="1"/>
  <c r="M28" i="16"/>
  <c r="N28" i="16" s="1"/>
  <c r="M23" i="16"/>
  <c r="N23" i="16" s="1"/>
  <c r="M22" i="16"/>
  <c r="N22" i="16" s="1"/>
  <c r="K86" i="16" l="1"/>
  <c r="M39" i="16"/>
  <c r="M55" i="16"/>
  <c r="L55" i="16" s="1"/>
  <c r="M83" i="16"/>
  <c r="N43" i="16"/>
  <c r="N39" i="16" l="1"/>
  <c r="L39" i="16"/>
  <c r="N55" i="16"/>
  <c r="N83" i="16"/>
  <c r="D41" i="8" l="1"/>
  <c r="F40" i="8"/>
  <c r="D40" i="8"/>
  <c r="F23" i="9"/>
  <c r="D15" i="4" s="1"/>
  <c r="F39" i="9" l="1"/>
  <c r="J40" i="8"/>
  <c r="D13" i="4"/>
  <c r="J23" i="9"/>
  <c r="E39" i="9"/>
  <c r="U61" i="16"/>
  <c r="U60" i="16"/>
  <c r="U59" i="16"/>
  <c r="U58" i="16"/>
  <c r="U63" i="16"/>
  <c r="U62" i="16"/>
  <c r="G80" i="16"/>
  <c r="G79" i="16"/>
  <c r="G78" i="16"/>
  <c r="G77" i="16"/>
  <c r="G76" i="16"/>
  <c r="G75" i="16"/>
  <c r="G36" i="16"/>
  <c r="J36" i="16" s="1"/>
  <c r="G35" i="16"/>
  <c r="J35" i="16" s="1"/>
  <c r="G34" i="16"/>
  <c r="J34" i="16" s="1"/>
  <c r="G33" i="16"/>
  <c r="J33" i="16" s="1"/>
  <c r="G32" i="16"/>
  <c r="J32" i="16" s="1"/>
  <c r="G31" i="16"/>
  <c r="G30" i="16"/>
  <c r="J30" i="16" s="1"/>
  <c r="G29" i="16"/>
  <c r="J29" i="16" s="1"/>
  <c r="G28" i="16"/>
  <c r="J28" i="16" s="1"/>
  <c r="G27" i="16"/>
  <c r="J27" i="16" s="1"/>
  <c r="G26" i="16"/>
  <c r="J26" i="16" s="1"/>
  <c r="G25" i="16"/>
  <c r="J25" i="16" s="1"/>
  <c r="G24" i="16"/>
  <c r="G23" i="16"/>
  <c r="G22" i="16"/>
  <c r="J22" i="16" s="1"/>
  <c r="V83" i="16"/>
  <c r="H83" i="16"/>
  <c r="F83" i="16"/>
  <c r="U82" i="16"/>
  <c r="J82" i="16"/>
  <c r="V73" i="16"/>
  <c r="T73" i="16"/>
  <c r="S73" i="16"/>
  <c r="R73" i="16"/>
  <c r="I73" i="16"/>
  <c r="H73" i="16"/>
  <c r="F73" i="16"/>
  <c r="D73" i="16"/>
  <c r="U72" i="16"/>
  <c r="J72" i="16"/>
  <c r="U71" i="16"/>
  <c r="J71" i="16"/>
  <c r="U70" i="16"/>
  <c r="J70" i="16"/>
  <c r="U69" i="16"/>
  <c r="J69" i="16"/>
  <c r="U68" i="16"/>
  <c r="J68" i="16"/>
  <c r="V66" i="16"/>
  <c r="I66" i="16"/>
  <c r="H66" i="16"/>
  <c r="F66" i="16"/>
  <c r="D66" i="16"/>
  <c r="U57" i="16"/>
  <c r="V55" i="16"/>
  <c r="S55" i="16"/>
  <c r="R55" i="16"/>
  <c r="I55" i="16"/>
  <c r="H55" i="16"/>
  <c r="D55" i="16"/>
  <c r="V39" i="16"/>
  <c r="I39" i="16"/>
  <c r="D39" i="16"/>
  <c r="U36" i="16"/>
  <c r="U35" i="16"/>
  <c r="U34" i="16"/>
  <c r="U33" i="16"/>
  <c r="U32" i="16"/>
  <c r="U31" i="16"/>
  <c r="U30" i="16"/>
  <c r="U29" i="16"/>
  <c r="U28" i="16"/>
  <c r="U27" i="16"/>
  <c r="U26" i="16"/>
  <c r="U25" i="16"/>
  <c r="U24" i="16"/>
  <c r="U23" i="16"/>
  <c r="U22" i="16"/>
  <c r="U53" i="13"/>
  <c r="T53" i="13"/>
  <c r="U52" i="13"/>
  <c r="T52" i="13"/>
  <c r="U51" i="13"/>
  <c r="T51" i="13"/>
  <c r="U50" i="13"/>
  <c r="T50" i="13"/>
  <c r="U49" i="13"/>
  <c r="T49" i="13"/>
  <c r="U48" i="13"/>
  <c r="T48" i="13"/>
  <c r="U46" i="13"/>
  <c r="T46" i="13"/>
  <c r="G57" i="13"/>
  <c r="J57" i="13" s="1"/>
  <c r="E57" i="13"/>
  <c r="G56" i="13"/>
  <c r="J56" i="13" s="1"/>
  <c r="E56" i="13"/>
  <c r="G55" i="13"/>
  <c r="E55" i="13"/>
  <c r="G53" i="13"/>
  <c r="J53" i="13" s="1"/>
  <c r="E53" i="13"/>
  <c r="G52" i="13"/>
  <c r="J52" i="13" s="1"/>
  <c r="E52" i="13"/>
  <c r="G51" i="13"/>
  <c r="J51" i="13" s="1"/>
  <c r="E51" i="13"/>
  <c r="G50" i="13"/>
  <c r="J50" i="13" s="1"/>
  <c r="E50" i="13"/>
  <c r="G49" i="13"/>
  <c r="J49" i="13" s="1"/>
  <c r="E49" i="13"/>
  <c r="G48" i="13"/>
  <c r="J48" i="13" s="1"/>
  <c r="E48" i="13"/>
  <c r="G47" i="13"/>
  <c r="E47" i="13"/>
  <c r="G46" i="13"/>
  <c r="J46" i="13" s="1"/>
  <c r="E46" i="13"/>
  <c r="T32" i="13"/>
  <c r="U32" i="13" s="1"/>
  <c r="U30" i="13"/>
  <c r="T30" i="13"/>
  <c r="U28" i="13"/>
  <c r="T28" i="13"/>
  <c r="U27" i="13"/>
  <c r="T27" i="13"/>
  <c r="U26" i="13"/>
  <c r="T26" i="13"/>
  <c r="U25" i="13"/>
  <c r="T25" i="13"/>
  <c r="U24" i="13"/>
  <c r="T24" i="13"/>
  <c r="U23" i="13"/>
  <c r="T23" i="13"/>
  <c r="U22" i="13"/>
  <c r="T22" i="13"/>
  <c r="G32" i="13"/>
  <c r="E32" i="13"/>
  <c r="H31" i="13"/>
  <c r="G30" i="13"/>
  <c r="J30" i="13" s="1"/>
  <c r="E30" i="13"/>
  <c r="G29" i="13"/>
  <c r="E29" i="13"/>
  <c r="G28" i="13"/>
  <c r="J28" i="13" s="1"/>
  <c r="E28" i="13"/>
  <c r="G27" i="13"/>
  <c r="J27" i="13" s="1"/>
  <c r="E27" i="13"/>
  <c r="G26" i="13"/>
  <c r="J26" i="13" s="1"/>
  <c r="E26" i="13"/>
  <c r="G25" i="13"/>
  <c r="J25" i="13" s="1"/>
  <c r="E25" i="13"/>
  <c r="G24" i="13"/>
  <c r="J24" i="13" s="1"/>
  <c r="E24" i="13"/>
  <c r="G23" i="13"/>
  <c r="J23" i="13" s="1"/>
  <c r="E23" i="13"/>
  <c r="G22" i="13"/>
  <c r="J22" i="13" s="1"/>
  <c r="E22" i="13"/>
  <c r="I79" i="13"/>
  <c r="H79" i="13"/>
  <c r="F79" i="13"/>
  <c r="D79" i="13"/>
  <c r="U78" i="13"/>
  <c r="J78" i="13"/>
  <c r="U77" i="13"/>
  <c r="J77" i="13"/>
  <c r="V74" i="13"/>
  <c r="T74" i="13"/>
  <c r="S74" i="13"/>
  <c r="R74" i="13"/>
  <c r="I74" i="13"/>
  <c r="H74" i="13"/>
  <c r="F74" i="13"/>
  <c r="D74" i="13"/>
  <c r="U73" i="13"/>
  <c r="J73" i="13"/>
  <c r="U72" i="13"/>
  <c r="J72" i="13"/>
  <c r="U71" i="13"/>
  <c r="J71" i="13"/>
  <c r="U70" i="13"/>
  <c r="J70" i="13"/>
  <c r="U69" i="13"/>
  <c r="J69" i="13"/>
  <c r="V67" i="13"/>
  <c r="T67" i="13"/>
  <c r="S67" i="13"/>
  <c r="R67" i="13"/>
  <c r="F67" i="13"/>
  <c r="D67" i="13"/>
  <c r="U66" i="13"/>
  <c r="J66" i="13"/>
  <c r="U65" i="13"/>
  <c r="J65" i="13"/>
  <c r="V60" i="13"/>
  <c r="S60" i="13"/>
  <c r="R60" i="13"/>
  <c r="I60" i="13"/>
  <c r="F60" i="13"/>
  <c r="D60" i="13"/>
  <c r="V42" i="13"/>
  <c r="S42" i="13"/>
  <c r="R42" i="13"/>
  <c r="I42" i="13"/>
  <c r="F42" i="13"/>
  <c r="D42" i="13"/>
  <c r="I63" i="11"/>
  <c r="T55" i="11"/>
  <c r="T54" i="11"/>
  <c r="T53" i="11"/>
  <c r="T52" i="11"/>
  <c r="T51" i="11"/>
  <c r="T50" i="11"/>
  <c r="T49" i="11"/>
  <c r="T47" i="11"/>
  <c r="E60" i="11"/>
  <c r="E58" i="11"/>
  <c r="E56" i="11"/>
  <c r="E57" i="11"/>
  <c r="H55" i="11"/>
  <c r="E55" i="11"/>
  <c r="H54" i="11"/>
  <c r="E54" i="11"/>
  <c r="H53" i="11"/>
  <c r="E53" i="11"/>
  <c r="H52" i="11"/>
  <c r="E52" i="11"/>
  <c r="H51" i="11"/>
  <c r="E51" i="11"/>
  <c r="H50" i="11"/>
  <c r="E50" i="11"/>
  <c r="H49" i="11"/>
  <c r="E49" i="11"/>
  <c r="E48" i="11"/>
  <c r="H47" i="11"/>
  <c r="E47" i="11"/>
  <c r="T30" i="11"/>
  <c r="T28" i="11"/>
  <c r="T27" i="11"/>
  <c r="T26" i="11"/>
  <c r="T25" i="11"/>
  <c r="T24" i="11"/>
  <c r="T23" i="11"/>
  <c r="T22" i="11"/>
  <c r="J17" i="4" s="1"/>
  <c r="E34" i="11"/>
  <c r="E32" i="11"/>
  <c r="E31" i="11"/>
  <c r="H30" i="11"/>
  <c r="E30" i="11"/>
  <c r="E29" i="11"/>
  <c r="H28" i="11"/>
  <c r="E28" i="11"/>
  <c r="H27" i="11"/>
  <c r="E27" i="11"/>
  <c r="H26" i="11"/>
  <c r="E26" i="11"/>
  <c r="H25" i="11"/>
  <c r="E25" i="11"/>
  <c r="H24" i="11"/>
  <c r="E24" i="11"/>
  <c r="H23" i="11"/>
  <c r="E23" i="11"/>
  <c r="H22" i="11"/>
  <c r="E22" i="11"/>
  <c r="V82" i="11"/>
  <c r="T82" i="11"/>
  <c r="S82" i="11"/>
  <c r="R82" i="11"/>
  <c r="I82" i="11"/>
  <c r="H82" i="11"/>
  <c r="F82" i="11"/>
  <c r="D82" i="11"/>
  <c r="U81" i="11"/>
  <c r="J81" i="11"/>
  <c r="U80" i="11"/>
  <c r="J80" i="11"/>
  <c r="U79" i="11"/>
  <c r="J79" i="11"/>
  <c r="V77" i="11"/>
  <c r="T77" i="11"/>
  <c r="S77" i="11"/>
  <c r="R77" i="11"/>
  <c r="I77" i="11"/>
  <c r="H77" i="11"/>
  <c r="F77" i="11"/>
  <c r="D77" i="11"/>
  <c r="U76" i="11"/>
  <c r="J76" i="11"/>
  <c r="U75" i="11"/>
  <c r="J75" i="11"/>
  <c r="U74" i="11"/>
  <c r="J74" i="11"/>
  <c r="U73" i="11"/>
  <c r="J73" i="11"/>
  <c r="U72" i="11"/>
  <c r="J72" i="11"/>
  <c r="V70" i="11"/>
  <c r="T70" i="11"/>
  <c r="S70" i="11"/>
  <c r="R70" i="11"/>
  <c r="F70" i="11"/>
  <c r="D70" i="11"/>
  <c r="U69" i="11"/>
  <c r="J69" i="11"/>
  <c r="U68" i="11"/>
  <c r="J68" i="11"/>
  <c r="V63" i="11"/>
  <c r="S63" i="11"/>
  <c r="D63" i="11"/>
  <c r="V43" i="11"/>
  <c r="S43" i="11"/>
  <c r="R43" i="11"/>
  <c r="F43" i="11"/>
  <c r="I55" i="10"/>
  <c r="T52" i="10"/>
  <c r="H52" i="10"/>
  <c r="E52" i="10"/>
  <c r="H51" i="10"/>
  <c r="E51" i="10"/>
  <c r="H50" i="10"/>
  <c r="E50" i="10"/>
  <c r="H49" i="10"/>
  <c r="E49" i="10"/>
  <c r="H48" i="10"/>
  <c r="E48" i="10"/>
  <c r="H47" i="10"/>
  <c r="E47" i="10"/>
  <c r="H46" i="10"/>
  <c r="E46" i="10"/>
  <c r="H45" i="10"/>
  <c r="E45" i="10"/>
  <c r="E44" i="10"/>
  <c r="H43" i="10"/>
  <c r="E43" i="10"/>
  <c r="T51" i="10"/>
  <c r="T50" i="10"/>
  <c r="T49" i="10"/>
  <c r="T48" i="10"/>
  <c r="T47" i="10"/>
  <c r="T46" i="10"/>
  <c r="T45" i="10"/>
  <c r="T43" i="10"/>
  <c r="T30" i="10"/>
  <c r="T28" i="10"/>
  <c r="T27" i="10"/>
  <c r="T26" i="10"/>
  <c r="T25" i="10"/>
  <c r="T24" i="10"/>
  <c r="T23" i="10"/>
  <c r="T22" i="10"/>
  <c r="H30" i="10"/>
  <c r="H28" i="10"/>
  <c r="H27" i="10"/>
  <c r="H26" i="10"/>
  <c r="H25" i="10"/>
  <c r="H24" i="10"/>
  <c r="H23" i="10"/>
  <c r="H22" i="10"/>
  <c r="V74" i="10"/>
  <c r="T74" i="10"/>
  <c r="S74" i="10"/>
  <c r="R74" i="10"/>
  <c r="I74" i="10"/>
  <c r="H74" i="10"/>
  <c r="F74" i="10"/>
  <c r="D74" i="10"/>
  <c r="U73" i="10"/>
  <c r="J73" i="10"/>
  <c r="U72" i="10"/>
  <c r="J72" i="10"/>
  <c r="U71" i="10"/>
  <c r="J71" i="10"/>
  <c r="V69" i="10"/>
  <c r="T69" i="10"/>
  <c r="S69" i="10"/>
  <c r="R69" i="10"/>
  <c r="U69" i="10" s="1"/>
  <c r="I69" i="10"/>
  <c r="H69" i="10"/>
  <c r="F69" i="10"/>
  <c r="D69" i="10"/>
  <c r="U68" i="10"/>
  <c r="J68" i="10"/>
  <c r="U67" i="10"/>
  <c r="J67" i="10"/>
  <c r="U66" i="10"/>
  <c r="J66" i="10"/>
  <c r="U65" i="10"/>
  <c r="J65" i="10"/>
  <c r="U64" i="10"/>
  <c r="J64" i="10"/>
  <c r="V62" i="10"/>
  <c r="T62" i="10"/>
  <c r="S62" i="10"/>
  <c r="R62" i="10"/>
  <c r="F62" i="10"/>
  <c r="D62" i="10"/>
  <c r="U61" i="10"/>
  <c r="J61" i="10"/>
  <c r="U60" i="10"/>
  <c r="J60" i="10"/>
  <c r="V55" i="10"/>
  <c r="S55" i="10"/>
  <c r="R55" i="10"/>
  <c r="F55" i="10"/>
  <c r="D55" i="10"/>
  <c r="V39" i="10"/>
  <c r="S39" i="10"/>
  <c r="I39" i="10"/>
  <c r="F39" i="10"/>
  <c r="D39" i="10"/>
  <c r="T51" i="9"/>
  <c r="T50" i="9"/>
  <c r="T49" i="9"/>
  <c r="T48" i="9"/>
  <c r="T47" i="9"/>
  <c r="T46" i="9"/>
  <c r="T45" i="9"/>
  <c r="T44" i="9"/>
  <c r="T42" i="9"/>
  <c r="H51" i="9"/>
  <c r="E51" i="9"/>
  <c r="H50" i="9"/>
  <c r="E50" i="9"/>
  <c r="H49" i="9"/>
  <c r="E49" i="9"/>
  <c r="H48" i="9"/>
  <c r="E48" i="9"/>
  <c r="H47" i="9"/>
  <c r="E47" i="9"/>
  <c r="H46" i="9"/>
  <c r="E46" i="9"/>
  <c r="H45" i="9"/>
  <c r="E45" i="9"/>
  <c r="H44" i="9"/>
  <c r="E44" i="9"/>
  <c r="D43" i="9"/>
  <c r="E43" i="9" s="1"/>
  <c r="H42" i="9"/>
  <c r="E42" i="9"/>
  <c r="V25" i="9"/>
  <c r="V38" i="9" s="1"/>
  <c r="E30" i="9"/>
  <c r="H29" i="9"/>
  <c r="E29" i="9"/>
  <c r="H28" i="9"/>
  <c r="E28" i="9"/>
  <c r="H27" i="9"/>
  <c r="E27" i="9"/>
  <c r="H26" i="9"/>
  <c r="E26" i="9"/>
  <c r="H25" i="9"/>
  <c r="E25" i="9"/>
  <c r="H24" i="9"/>
  <c r="E24" i="9"/>
  <c r="H23" i="9"/>
  <c r="E23" i="9"/>
  <c r="H22" i="9"/>
  <c r="E22" i="9"/>
  <c r="V73" i="9"/>
  <c r="T73" i="9"/>
  <c r="S73" i="9"/>
  <c r="R73" i="9"/>
  <c r="I73" i="9"/>
  <c r="H73" i="9"/>
  <c r="F73" i="9"/>
  <c r="D73" i="9"/>
  <c r="U72" i="9"/>
  <c r="J72" i="9"/>
  <c r="U71" i="9"/>
  <c r="J71" i="9"/>
  <c r="U70" i="9"/>
  <c r="J70" i="9"/>
  <c r="V68" i="9"/>
  <c r="T68" i="9"/>
  <c r="S68" i="9"/>
  <c r="R68" i="9"/>
  <c r="I68" i="9"/>
  <c r="H68" i="9"/>
  <c r="F68" i="9"/>
  <c r="D68" i="9"/>
  <c r="U67" i="9"/>
  <c r="J67" i="9"/>
  <c r="U66" i="9"/>
  <c r="J66" i="9"/>
  <c r="U65" i="9"/>
  <c r="J65" i="9"/>
  <c r="U64" i="9"/>
  <c r="J64" i="9"/>
  <c r="U63" i="9"/>
  <c r="J63" i="9"/>
  <c r="V61" i="9"/>
  <c r="T61" i="9"/>
  <c r="S61" i="9"/>
  <c r="R61" i="9"/>
  <c r="F61" i="9"/>
  <c r="D61" i="9"/>
  <c r="U60" i="9"/>
  <c r="J60" i="9"/>
  <c r="U59" i="9"/>
  <c r="J59" i="9"/>
  <c r="V54" i="9"/>
  <c r="S54" i="9"/>
  <c r="R54" i="9"/>
  <c r="I54" i="9"/>
  <c r="F54" i="9"/>
  <c r="S38" i="9"/>
  <c r="R38" i="9"/>
  <c r="I38" i="9"/>
  <c r="F38" i="9"/>
  <c r="D38" i="9"/>
  <c r="T43" i="8"/>
  <c r="T42" i="8"/>
  <c r="T41" i="8"/>
  <c r="T40" i="8"/>
  <c r="H43" i="8"/>
  <c r="E43" i="8"/>
  <c r="H42" i="8"/>
  <c r="E42" i="8"/>
  <c r="H41" i="8"/>
  <c r="E41" i="8"/>
  <c r="H40" i="8"/>
  <c r="E40" i="8"/>
  <c r="H27" i="8"/>
  <c r="H26" i="8"/>
  <c r="H25" i="8"/>
  <c r="H24" i="8"/>
  <c r="V64" i="8"/>
  <c r="T64" i="8"/>
  <c r="S64" i="8"/>
  <c r="R64" i="8"/>
  <c r="I64" i="8"/>
  <c r="H64" i="8"/>
  <c r="F64" i="8"/>
  <c r="D64" i="8"/>
  <c r="U63" i="8"/>
  <c r="J63" i="8"/>
  <c r="U62" i="8"/>
  <c r="J62" i="8"/>
  <c r="U61" i="8"/>
  <c r="J61" i="8"/>
  <c r="V59" i="8"/>
  <c r="T59" i="8"/>
  <c r="S59" i="8"/>
  <c r="R59" i="8"/>
  <c r="I59" i="8"/>
  <c r="H59" i="8"/>
  <c r="F59" i="8"/>
  <c r="D59" i="8"/>
  <c r="U58" i="8"/>
  <c r="J58" i="8"/>
  <c r="U57" i="8"/>
  <c r="J57" i="8"/>
  <c r="U56" i="8"/>
  <c r="J56" i="8"/>
  <c r="U55" i="8"/>
  <c r="J55" i="8"/>
  <c r="U54" i="8"/>
  <c r="J54" i="8"/>
  <c r="V52" i="8"/>
  <c r="T52" i="8"/>
  <c r="S52" i="8"/>
  <c r="R52" i="8"/>
  <c r="F52" i="8"/>
  <c r="D52" i="8"/>
  <c r="U51" i="8"/>
  <c r="J51" i="8"/>
  <c r="U50" i="8"/>
  <c r="J50" i="8"/>
  <c r="V45" i="8"/>
  <c r="S45" i="8"/>
  <c r="R45" i="8"/>
  <c r="I45" i="8"/>
  <c r="D45" i="8"/>
  <c r="V33" i="8"/>
  <c r="T33" i="8"/>
  <c r="S33" i="8"/>
  <c r="R33" i="8"/>
  <c r="I33" i="8"/>
  <c r="F33" i="8"/>
  <c r="D33" i="8"/>
  <c r="J15" i="4" l="1"/>
  <c r="J18" i="4" s="1"/>
  <c r="D54" i="9"/>
  <c r="J16" i="4"/>
  <c r="H55" i="10"/>
  <c r="J13" i="4"/>
  <c r="J19" i="4"/>
  <c r="J22" i="4" s="1"/>
  <c r="G65" i="4"/>
  <c r="H44" i="11"/>
  <c r="G44" i="11" s="1"/>
  <c r="J44" i="11" s="1"/>
  <c r="U77" i="11"/>
  <c r="T55" i="10"/>
  <c r="U62" i="10"/>
  <c r="E74" i="10"/>
  <c r="T54" i="9"/>
  <c r="H42" i="13"/>
  <c r="G42" i="13" s="1"/>
  <c r="J42" i="13" s="1"/>
  <c r="H43" i="13"/>
  <c r="G43" i="13" s="1"/>
  <c r="J43" i="13" s="1"/>
  <c r="H40" i="10"/>
  <c r="G40" i="10" s="1"/>
  <c r="J40" i="10" s="1"/>
  <c r="I76" i="10"/>
  <c r="H54" i="9"/>
  <c r="H34" i="8"/>
  <c r="G34" i="8" s="1"/>
  <c r="J34" i="8" s="1"/>
  <c r="V75" i="9"/>
  <c r="H39" i="9"/>
  <c r="G39" i="9" s="1"/>
  <c r="J39" i="9" s="1"/>
  <c r="U38" i="9"/>
  <c r="G68" i="9"/>
  <c r="J68" i="9" s="1"/>
  <c r="E73" i="9"/>
  <c r="U73" i="9"/>
  <c r="T38" i="9"/>
  <c r="H38" i="9"/>
  <c r="G38" i="9" s="1"/>
  <c r="J38" i="9" s="1"/>
  <c r="D86" i="16"/>
  <c r="I86" i="16"/>
  <c r="T43" i="11"/>
  <c r="T63" i="11"/>
  <c r="E82" i="11"/>
  <c r="U82" i="11"/>
  <c r="H63" i="11"/>
  <c r="U70" i="11"/>
  <c r="F81" i="13"/>
  <c r="V81" i="13"/>
  <c r="U74" i="13"/>
  <c r="V86" i="16"/>
  <c r="T55" i="16"/>
  <c r="R86" i="16"/>
  <c r="H86" i="16"/>
  <c r="U66" i="16"/>
  <c r="F45" i="8"/>
  <c r="E45" i="8" s="1"/>
  <c r="U59" i="8"/>
  <c r="H45" i="8"/>
  <c r="G59" i="8"/>
  <c r="J59" i="8" s="1"/>
  <c r="H33" i="8"/>
  <c r="E64" i="8"/>
  <c r="U64" i="8"/>
  <c r="E33" i="8"/>
  <c r="U45" i="8"/>
  <c r="T45" i="8"/>
  <c r="T66" i="8" s="1"/>
  <c r="I66" i="8"/>
  <c r="I75" i="9"/>
  <c r="E39" i="16"/>
  <c r="G66" i="16"/>
  <c r="J66" i="16" s="1"/>
  <c r="E83" i="16"/>
  <c r="G83" i="16"/>
  <c r="J83" i="16" s="1"/>
  <c r="U55" i="16"/>
  <c r="E73" i="16"/>
  <c r="U73" i="16"/>
  <c r="E66" i="16"/>
  <c r="G73" i="16"/>
  <c r="J73" i="16" s="1"/>
  <c r="G39" i="16"/>
  <c r="J39" i="16" s="1"/>
  <c r="U39" i="16"/>
  <c r="F55" i="16"/>
  <c r="E55" i="16" s="1"/>
  <c r="U60" i="13"/>
  <c r="I81" i="13"/>
  <c r="G79" i="13"/>
  <c r="J79" i="13" s="1"/>
  <c r="T42" i="13"/>
  <c r="R81" i="13"/>
  <c r="H60" i="13"/>
  <c r="G60" i="13" s="1"/>
  <c r="J60" i="13" s="1"/>
  <c r="T60" i="13"/>
  <c r="E60" i="13"/>
  <c r="U67" i="13"/>
  <c r="E74" i="13"/>
  <c r="S81" i="13"/>
  <c r="E79" i="13"/>
  <c r="U42" i="13"/>
  <c r="E42" i="13"/>
  <c r="D81" i="13"/>
  <c r="E67" i="13"/>
  <c r="G74" i="13"/>
  <c r="J74" i="13" s="1"/>
  <c r="H43" i="11"/>
  <c r="G43" i="11" s="1"/>
  <c r="J43" i="11" s="1"/>
  <c r="U63" i="11"/>
  <c r="R84" i="11"/>
  <c r="E63" i="11"/>
  <c r="E77" i="11"/>
  <c r="G82" i="11"/>
  <c r="J82" i="11" s="1"/>
  <c r="E43" i="11"/>
  <c r="V84" i="11"/>
  <c r="U43" i="11"/>
  <c r="I84" i="11"/>
  <c r="D84" i="11"/>
  <c r="S84" i="11"/>
  <c r="E70" i="11"/>
  <c r="F84" i="11"/>
  <c r="G77" i="11"/>
  <c r="J77" i="11" s="1"/>
  <c r="U39" i="10"/>
  <c r="E39" i="10"/>
  <c r="U74" i="10"/>
  <c r="U55" i="10"/>
  <c r="E69" i="10"/>
  <c r="G74" i="10"/>
  <c r="J74" i="10" s="1"/>
  <c r="R76" i="10"/>
  <c r="E64" i="4" s="1"/>
  <c r="E62" i="10"/>
  <c r="H39" i="10"/>
  <c r="H76" i="10" s="1"/>
  <c r="T39" i="10"/>
  <c r="T76" i="10" s="1"/>
  <c r="G64" i="4" s="1"/>
  <c r="V76" i="10"/>
  <c r="E55" i="10"/>
  <c r="D76" i="10"/>
  <c r="S76" i="10"/>
  <c r="F64" i="4" s="1"/>
  <c r="G55" i="10"/>
  <c r="J55" i="10" s="1"/>
  <c r="G69" i="10"/>
  <c r="J69" i="10" s="1"/>
  <c r="F76" i="10"/>
  <c r="C64" i="4" s="1"/>
  <c r="E61" i="9"/>
  <c r="U61" i="9"/>
  <c r="G73" i="9"/>
  <c r="J73" i="9" s="1"/>
  <c r="E68" i="9"/>
  <c r="U68" i="9"/>
  <c r="S75" i="9"/>
  <c r="F63" i="4" s="1"/>
  <c r="E54" i="9"/>
  <c r="U54" i="9"/>
  <c r="G54" i="9"/>
  <c r="J54" i="9" s="1"/>
  <c r="D75" i="9"/>
  <c r="R75" i="9"/>
  <c r="E38" i="9"/>
  <c r="F75" i="9"/>
  <c r="C63" i="4" s="1"/>
  <c r="V66" i="8"/>
  <c r="E52" i="8"/>
  <c r="U52" i="8"/>
  <c r="E59" i="8"/>
  <c r="G64" i="8"/>
  <c r="J64" i="8" s="1"/>
  <c r="R66" i="8"/>
  <c r="E61" i="4" s="1"/>
  <c r="S66" i="8"/>
  <c r="F61" i="4" s="1"/>
  <c r="D66" i="8"/>
  <c r="U33" i="8"/>
  <c r="F66" i="8"/>
  <c r="C61" i="4" s="1"/>
  <c r="T26" i="7"/>
  <c r="T25" i="7"/>
  <c r="T24" i="7"/>
  <c r="T23" i="7"/>
  <c r="H26" i="7"/>
  <c r="H25" i="7"/>
  <c r="H24" i="7"/>
  <c r="H23" i="7"/>
  <c r="V59" i="7"/>
  <c r="T59" i="7"/>
  <c r="S59" i="7"/>
  <c r="R59" i="7"/>
  <c r="I59" i="7"/>
  <c r="H59" i="7"/>
  <c r="F59" i="7"/>
  <c r="D59" i="7"/>
  <c r="U58" i="7"/>
  <c r="J58" i="7"/>
  <c r="U57" i="7"/>
  <c r="J57" i="7"/>
  <c r="U56" i="7"/>
  <c r="J56" i="7"/>
  <c r="V54" i="7"/>
  <c r="T54" i="7"/>
  <c r="S54" i="7"/>
  <c r="R54" i="7"/>
  <c r="I54" i="7"/>
  <c r="H54" i="7"/>
  <c r="F54" i="7"/>
  <c r="D54" i="7"/>
  <c r="U53" i="7"/>
  <c r="J53" i="7"/>
  <c r="U52" i="7"/>
  <c r="J52" i="7"/>
  <c r="U51" i="7"/>
  <c r="J51" i="7"/>
  <c r="U50" i="7"/>
  <c r="J50" i="7"/>
  <c r="U49" i="7"/>
  <c r="J49" i="7"/>
  <c r="V29" i="7"/>
  <c r="S29" i="7"/>
  <c r="R29" i="7"/>
  <c r="I29" i="7"/>
  <c r="F29" i="7"/>
  <c r="D29" i="7"/>
  <c r="I27" i="4"/>
  <c r="I22" i="4"/>
  <c r="H22" i="4"/>
  <c r="H54" i="4"/>
  <c r="G54" i="4"/>
  <c r="F54" i="4"/>
  <c r="I50" i="4"/>
  <c r="F70" i="4"/>
  <c r="E70" i="4"/>
  <c r="D54" i="4"/>
  <c r="D50" i="4"/>
  <c r="H68" i="4"/>
  <c r="H67" i="4"/>
  <c r="H65" i="4"/>
  <c r="I53" i="4"/>
  <c r="I52" i="4"/>
  <c r="I51" i="4"/>
  <c r="I49" i="4"/>
  <c r="I48" i="4"/>
  <c r="I47" i="4"/>
  <c r="K21" i="4"/>
  <c r="K20" i="4"/>
  <c r="K19" i="4"/>
  <c r="K17" i="4"/>
  <c r="C72" i="4"/>
  <c r="C73" i="4"/>
  <c r="C74" i="4"/>
  <c r="C71" i="4"/>
  <c r="C65" i="4"/>
  <c r="C69" i="4"/>
  <c r="C67" i="4"/>
  <c r="E27" i="4"/>
  <c r="F26" i="4"/>
  <c r="G26" i="4" s="1"/>
  <c r="F25" i="4"/>
  <c r="G25" i="4" s="1"/>
  <c r="F24" i="4"/>
  <c r="F27" i="4" s="1"/>
  <c r="D27" i="4"/>
  <c r="F23" i="4"/>
  <c r="E22" i="4"/>
  <c r="D22" i="4"/>
  <c r="F21" i="4"/>
  <c r="G21" i="4" s="1"/>
  <c r="F20" i="4"/>
  <c r="G20" i="4" s="1"/>
  <c r="F19" i="4"/>
  <c r="E18" i="4"/>
  <c r="F16" i="4"/>
  <c r="F15" i="4"/>
  <c r="E14" i="4"/>
  <c r="G23" i="4"/>
  <c r="G17" i="4"/>
  <c r="F13" i="4"/>
  <c r="F12" i="4"/>
  <c r="F14" i="4"/>
  <c r="F22" i="4" l="1"/>
  <c r="G61" i="4"/>
  <c r="G67" i="4"/>
  <c r="G70" i="4" s="1"/>
  <c r="F18" i="4"/>
  <c r="J12" i="4"/>
  <c r="G27" i="4"/>
  <c r="G22" i="4"/>
  <c r="H84" i="11"/>
  <c r="G84" i="11" s="1"/>
  <c r="J84" i="11" s="1"/>
  <c r="H30" i="7"/>
  <c r="G30" i="7" s="1"/>
  <c r="J30" i="7" s="1"/>
  <c r="H29" i="7"/>
  <c r="T29" i="7"/>
  <c r="E54" i="7"/>
  <c r="U54" i="7"/>
  <c r="E59" i="7"/>
  <c r="U59" i="7"/>
  <c r="T84" i="11"/>
  <c r="G63" i="11"/>
  <c r="J63" i="11" s="1"/>
  <c r="H64" i="4"/>
  <c r="K16" i="4"/>
  <c r="G16" i="4"/>
  <c r="F66" i="4"/>
  <c r="G39" i="10"/>
  <c r="J39" i="10" s="1"/>
  <c r="T75" i="9"/>
  <c r="G63" i="4" s="1"/>
  <c r="G66" i="4" s="1"/>
  <c r="H61" i="4"/>
  <c r="H75" i="9"/>
  <c r="G75" i="9" s="1"/>
  <c r="J75" i="9" s="1"/>
  <c r="K15" i="4"/>
  <c r="G15" i="4"/>
  <c r="D18" i="4"/>
  <c r="G18" i="4" s="1"/>
  <c r="G45" i="8"/>
  <c r="J45" i="8" s="1"/>
  <c r="I18" i="4"/>
  <c r="E63" i="4"/>
  <c r="H18" i="4"/>
  <c r="K13" i="4"/>
  <c r="I54" i="4"/>
  <c r="R61" i="7"/>
  <c r="D61" i="7"/>
  <c r="T86" i="16"/>
  <c r="J23" i="4" s="1"/>
  <c r="J27" i="4" s="1"/>
  <c r="H23" i="4"/>
  <c r="H66" i="8"/>
  <c r="G66" i="8" s="1"/>
  <c r="J66" i="8" s="1"/>
  <c r="C75" i="4"/>
  <c r="F75" i="4"/>
  <c r="K22" i="4"/>
  <c r="E81" i="13"/>
  <c r="T81" i="13"/>
  <c r="C70" i="4"/>
  <c r="G33" i="8"/>
  <c r="J33" i="8" s="1"/>
  <c r="U86" i="16"/>
  <c r="F86" i="16"/>
  <c r="E86" i="16" s="1"/>
  <c r="C66" i="4"/>
  <c r="G13" i="4"/>
  <c r="U66" i="8"/>
  <c r="G59" i="7"/>
  <c r="J59" i="7" s="1"/>
  <c r="G55" i="16"/>
  <c r="J55" i="16" s="1"/>
  <c r="U81" i="13"/>
  <c r="H81" i="13"/>
  <c r="G81" i="13" s="1"/>
  <c r="J81" i="13" s="1"/>
  <c r="U84" i="11"/>
  <c r="E84" i="11"/>
  <c r="U76" i="10"/>
  <c r="E76" i="10"/>
  <c r="G76" i="10"/>
  <c r="J76" i="10" s="1"/>
  <c r="U75" i="9"/>
  <c r="E75" i="9"/>
  <c r="E66" i="8"/>
  <c r="S61" i="7"/>
  <c r="F60" i="4" s="1"/>
  <c r="G54" i="7"/>
  <c r="J54" i="7" s="1"/>
  <c r="I61" i="7"/>
  <c r="E29" i="7"/>
  <c r="G29" i="7"/>
  <c r="J29" i="7" s="1"/>
  <c r="T61" i="7"/>
  <c r="G60" i="4" s="1"/>
  <c r="V61" i="7"/>
  <c r="U29" i="7"/>
  <c r="H70" i="4"/>
  <c r="G19" i="4"/>
  <c r="G24" i="4"/>
  <c r="K18" i="4" l="1"/>
  <c r="E66" i="4"/>
  <c r="H66" i="4" s="1"/>
  <c r="H63" i="4"/>
  <c r="U61" i="7"/>
  <c r="E60" i="4"/>
  <c r="H60" i="4" s="1"/>
  <c r="K12" i="4"/>
  <c r="K23" i="4"/>
  <c r="H27" i="4"/>
  <c r="K27" i="4" s="1"/>
  <c r="E71" i="4"/>
  <c r="G71" i="4"/>
  <c r="G75" i="4" s="1"/>
  <c r="G86" i="16"/>
  <c r="J86" i="16" s="1"/>
  <c r="H71" i="4" l="1"/>
  <c r="E75" i="4"/>
  <c r="H75" i="4" s="1"/>
  <c r="U39" i="6"/>
  <c r="U40" i="6"/>
  <c r="U41" i="6"/>
  <c r="U42" i="6"/>
  <c r="U43" i="6"/>
  <c r="U38" i="6"/>
  <c r="U47" i="5"/>
  <c r="U48" i="5"/>
  <c r="U49" i="5"/>
  <c r="U50" i="5"/>
  <c r="U54" i="5"/>
  <c r="U55" i="5"/>
  <c r="U56" i="5"/>
  <c r="U57" i="5"/>
  <c r="U61" i="5"/>
  <c r="U62" i="5"/>
  <c r="U60" i="5"/>
  <c r="U53" i="5"/>
  <c r="U46" i="5"/>
  <c r="U38" i="5"/>
  <c r="U39" i="5"/>
  <c r="U40" i="5"/>
  <c r="U41" i="5"/>
  <c r="U42" i="5"/>
  <c r="U43" i="5"/>
  <c r="U37" i="5"/>
  <c r="U36" i="5"/>
  <c r="U35" i="5"/>
  <c r="U34" i="5"/>
  <c r="G30" i="5"/>
  <c r="J38" i="6"/>
  <c r="T35" i="6"/>
  <c r="H35" i="6"/>
  <c r="E35" i="6"/>
  <c r="T34" i="6"/>
  <c r="H34" i="6"/>
  <c r="E34" i="6"/>
  <c r="T33" i="6"/>
  <c r="H33" i="6"/>
  <c r="E33" i="6"/>
  <c r="I44" i="6"/>
  <c r="U25" i="6"/>
  <c r="T25" i="6"/>
  <c r="H25" i="6"/>
  <c r="E25" i="6"/>
  <c r="U24" i="6"/>
  <c r="T24" i="6"/>
  <c r="H24" i="6"/>
  <c r="E24" i="6"/>
  <c r="U23" i="6"/>
  <c r="T23" i="6"/>
  <c r="H23" i="6"/>
  <c r="E23" i="6"/>
  <c r="U22" i="6"/>
  <c r="T22" i="6"/>
  <c r="H22" i="6"/>
  <c r="H30" i="6" s="1"/>
  <c r="G30" i="6" s="1"/>
  <c r="J30" i="6" s="1"/>
  <c r="E22" i="6"/>
  <c r="V65" i="6"/>
  <c r="T65" i="6"/>
  <c r="S65" i="6"/>
  <c r="R65" i="6"/>
  <c r="I65" i="6"/>
  <c r="H65" i="6"/>
  <c r="F65" i="6"/>
  <c r="D65" i="6"/>
  <c r="J64" i="6"/>
  <c r="J63" i="6"/>
  <c r="J62" i="6"/>
  <c r="V60" i="6"/>
  <c r="T60" i="6"/>
  <c r="S60" i="6"/>
  <c r="R60" i="6"/>
  <c r="I60" i="6"/>
  <c r="H60" i="6"/>
  <c r="G60" i="6"/>
  <c r="F60" i="6"/>
  <c r="D60" i="6"/>
  <c r="J59" i="6"/>
  <c r="J58" i="6"/>
  <c r="J57" i="6"/>
  <c r="J56" i="6"/>
  <c r="J55" i="6"/>
  <c r="F53" i="6"/>
  <c r="J52" i="6"/>
  <c r="J51" i="6"/>
  <c r="V44" i="6"/>
  <c r="S44" i="6"/>
  <c r="R44" i="6"/>
  <c r="D44" i="6"/>
  <c r="J43" i="6"/>
  <c r="J42" i="6"/>
  <c r="J41" i="6"/>
  <c r="J40" i="6"/>
  <c r="J39" i="6"/>
  <c r="V29" i="6"/>
  <c r="S29" i="6"/>
  <c r="R29" i="6"/>
  <c r="I29" i="6"/>
  <c r="F29" i="6"/>
  <c r="D29" i="6"/>
  <c r="H65" i="5"/>
  <c r="V63" i="5"/>
  <c r="T63" i="5"/>
  <c r="S63" i="5"/>
  <c r="R63" i="5"/>
  <c r="J62" i="5"/>
  <c r="J61" i="5"/>
  <c r="J60" i="5"/>
  <c r="I63" i="5"/>
  <c r="H63" i="5"/>
  <c r="G63" i="5" s="1"/>
  <c r="J63" i="5" s="1"/>
  <c r="F63" i="5"/>
  <c r="D63" i="5"/>
  <c r="E63" i="5" s="1"/>
  <c r="D58" i="5"/>
  <c r="V58" i="5"/>
  <c r="U58" i="5"/>
  <c r="T58" i="5"/>
  <c r="S58" i="5"/>
  <c r="R58" i="5"/>
  <c r="I58" i="5"/>
  <c r="H58" i="5"/>
  <c r="G58" i="5" s="1"/>
  <c r="F58" i="5"/>
  <c r="F51" i="5"/>
  <c r="H51" i="5"/>
  <c r="G51" i="5" s="1"/>
  <c r="I51" i="5"/>
  <c r="R51" i="5"/>
  <c r="S51" i="5"/>
  <c r="T51" i="5"/>
  <c r="V51" i="5"/>
  <c r="D51" i="5"/>
  <c r="V44" i="5"/>
  <c r="T44" i="5"/>
  <c r="S44" i="5"/>
  <c r="R44" i="5"/>
  <c r="D44" i="5"/>
  <c r="H44" i="5"/>
  <c r="G44" i="5" s="1"/>
  <c r="J44" i="5" s="1"/>
  <c r="I44" i="5"/>
  <c r="I30" i="5"/>
  <c r="J30" i="5" s="1"/>
  <c r="H30" i="5"/>
  <c r="F30" i="5"/>
  <c r="F65" i="5" s="1"/>
  <c r="F44" i="5"/>
  <c r="V30" i="5"/>
  <c r="V65" i="5" s="1"/>
  <c r="U26" i="5"/>
  <c r="U27" i="5"/>
  <c r="U28" i="5"/>
  <c r="U29" i="5"/>
  <c r="U25" i="5"/>
  <c r="U24" i="5"/>
  <c r="U23" i="5"/>
  <c r="U22" i="5"/>
  <c r="T30" i="5"/>
  <c r="T65" i="5" s="1"/>
  <c r="S30" i="5"/>
  <c r="S65" i="5" s="1"/>
  <c r="R30" i="5"/>
  <c r="U30" i="5" s="1"/>
  <c r="J57" i="5"/>
  <c r="J56" i="5"/>
  <c r="J55" i="5"/>
  <c r="J54" i="5"/>
  <c r="J53" i="5"/>
  <c r="J50" i="5"/>
  <c r="J49" i="5"/>
  <c r="J48" i="5"/>
  <c r="J47" i="5"/>
  <c r="J46" i="5"/>
  <c r="J35" i="5"/>
  <c r="J36" i="5"/>
  <c r="J37" i="5"/>
  <c r="J38" i="5"/>
  <c r="J39" i="5"/>
  <c r="J40" i="5"/>
  <c r="J41" i="5"/>
  <c r="J42" i="5"/>
  <c r="J43" i="5"/>
  <c r="J34" i="5"/>
  <c r="J23" i="5"/>
  <c r="J24" i="5"/>
  <c r="J25" i="5"/>
  <c r="J26" i="5"/>
  <c r="J27" i="5"/>
  <c r="J28" i="5"/>
  <c r="J29" i="5"/>
  <c r="J22" i="5"/>
  <c r="D30" i="5"/>
  <c r="D65" i="5" s="1"/>
  <c r="R65" i="5" l="1"/>
  <c r="U65" i="5" s="1"/>
  <c r="E30" i="5"/>
  <c r="J11" i="4"/>
  <c r="J14" i="4" s="1"/>
  <c r="E44" i="5"/>
  <c r="I65" i="5"/>
  <c r="U44" i="6"/>
  <c r="H44" i="6"/>
  <c r="E65" i="6"/>
  <c r="U65" i="6"/>
  <c r="T29" i="6"/>
  <c r="R67" i="6"/>
  <c r="E53" i="6"/>
  <c r="D67" i="6"/>
  <c r="H29" i="6"/>
  <c r="G29" i="6" s="1"/>
  <c r="J29" i="6" s="1"/>
  <c r="J60" i="6"/>
  <c r="T44" i="6"/>
  <c r="E60" i="6"/>
  <c r="V67" i="6"/>
  <c r="G65" i="6"/>
  <c r="J65" i="6" s="1"/>
  <c r="U60" i="6"/>
  <c r="F44" i="6"/>
  <c r="E44" i="6" s="1"/>
  <c r="I67" i="6"/>
  <c r="U29" i="6"/>
  <c r="S67" i="6"/>
  <c r="E29" i="6"/>
  <c r="G65" i="5"/>
  <c r="J65" i="5" s="1"/>
  <c r="E65" i="5"/>
  <c r="U63" i="5"/>
  <c r="E58" i="5"/>
  <c r="J58" i="5"/>
  <c r="J51" i="5"/>
  <c r="U51" i="5"/>
  <c r="E51" i="5"/>
  <c r="U44" i="5"/>
  <c r="T67" i="6" l="1"/>
  <c r="U67" i="6"/>
  <c r="G59" i="4"/>
  <c r="G62" i="4" s="1"/>
  <c r="E59" i="4"/>
  <c r="K11" i="4"/>
  <c r="H14" i="4"/>
  <c r="H67" i="6"/>
  <c r="G44" i="6"/>
  <c r="J44" i="6" s="1"/>
  <c r="F67" i="6"/>
  <c r="C59" i="4" l="1"/>
  <c r="G11" i="4"/>
  <c r="F59" i="4"/>
  <c r="F62" i="4" s="1"/>
  <c r="I14" i="4"/>
  <c r="K14" i="4" s="1"/>
  <c r="E62" i="4"/>
  <c r="E67" i="6"/>
  <c r="G67" i="6"/>
  <c r="J67" i="6" s="1"/>
  <c r="H62" i="4" l="1"/>
  <c r="H59" i="4"/>
  <c r="M62" i="16"/>
  <c r="O66" i="16"/>
  <c r="O86" i="16" s="1"/>
  <c r="N62" i="16" l="1"/>
  <c r="M66" i="16"/>
  <c r="M86" i="16" s="1"/>
  <c r="D71" i="4" l="1"/>
  <c r="D75" i="4" s="1"/>
  <c r="L66" i="16"/>
  <c r="L86" i="16"/>
  <c r="N66" i="16"/>
  <c r="N86" i="16" l="1"/>
  <c r="F38" i="7" l="1"/>
  <c r="D12" i="4" s="1"/>
  <c r="J38" i="7" l="1"/>
  <c r="H38" i="7"/>
  <c r="F40" i="7" l="1"/>
  <c r="D46" i="4"/>
  <c r="F61" i="7"/>
  <c r="E40" i="7"/>
  <c r="H40" i="7"/>
  <c r="H61" i="7" l="1"/>
  <c r="G61" i="7" s="1"/>
  <c r="J61" i="7" s="1"/>
  <c r="G40" i="7"/>
  <c r="J40" i="7" s="1"/>
  <c r="E61" i="7"/>
  <c r="G12" i="4" l="1"/>
  <c r="C60" i="4"/>
  <c r="C62" i="4" s="1"/>
  <c r="D14" i="4"/>
  <c r="G14" i="4" s="1"/>
  <c r="N35" i="20" l="1"/>
  <c r="L35" i="20" l="1"/>
  <c r="U60" i="20" l="1"/>
  <c r="D80" i="20" l="1"/>
  <c r="F80" i="20"/>
  <c r="E60" i="20"/>
  <c r="G60" i="20"/>
  <c r="J60" i="20" s="1"/>
  <c r="H80" i="20"/>
  <c r="K80" i="20"/>
  <c r="O80" i="20"/>
  <c r="V80" i="20"/>
  <c r="G80" i="20" l="1"/>
  <c r="J80" i="20" s="1"/>
  <c r="E80" i="20"/>
  <c r="M80" i="20"/>
  <c r="L80" i="20" s="1"/>
  <c r="L60" i="20"/>
  <c r="N60" i="20"/>
  <c r="N80"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tc={A5301DF0-573F-4EA7-8CBE-4567C9F30E57}</author>
  </authors>
  <commentList>
    <comment ref="I17" authorId="0" shapeId="0" xr:uid="{A5301DF0-573F-4EA7-8CBE-4567C9F30E5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Joe Gainer report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tc={C532D106-A74C-4EB7-9963-683706FA3C30}</author>
    <author>tc={D710E532-106D-480B-A37D-41538462DB53}</author>
    <author>tc={E83B582E-EE5F-486B-94B4-F2F98FEF9327}</author>
    <author>tc={DF743DAC-AC15-4C67-9490-156D37427265}</author>
    <author>tc={753DD120-33AC-4B5A-AF57-FD0E243C24C5}</author>
    <author>tc={E1B1CFC7-F04E-4288-B9A0-6B2D3AD2ED81}</author>
    <author>tc={7A8F2E69-E3A4-4BA3-ACA6-CB1798413880}</author>
    <author>tc={ACB84E0E-3653-4CB5-8430-847D64FD2703}</author>
    <author>tc={BA951D2F-C205-4DE2-A3AC-2E4FE72A9E72}</author>
    <author>tc={4A24F48F-F2F8-4745-BB47-DFBF41804A65}</author>
    <author>tc={5CE0FEAC-A965-470A-B00D-07AC0B2AD575}</author>
    <author>tc={B6F39A1E-E792-47D7-9B65-D3F3D8ACEB42}</author>
    <author>tc={EE0638D8-D1F7-4115-BA98-5BE0FC13B1B6}</author>
    <author>tc={E91CDF98-F629-496F-807F-D7FDE69AABA2}</author>
    <author>tc={C40FA631-6073-4153-88BE-1D21045ECB7C}</author>
    <author>tc={30B4FDB3-024F-411E-A03E-C240BF150F6F}</author>
    <author>tc={29B70DF8-0336-47EE-82E5-66C0AEF6CF66}</author>
    <author>tc={04231F0C-37B2-4BD8-94EB-FBCC375C0202}</author>
  </authors>
  <commentList>
    <comment ref="I23" authorId="0" shapeId="0" xr:uid="{C532D106-A74C-4EB7-9963-683706FA3C3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Custom</t>
        </r>
      </text>
    </comment>
    <comment ref="I24" authorId="1" shapeId="0" xr:uid="{D710E532-106D-480B-A37D-41538462DB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Small Business Public</t>
        </r>
      </text>
    </comment>
    <comment ref="R24" authorId="2" shapeId="0" xr:uid="{E83B582E-EE5F-486B-94B4-F2F98FEF932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Small Business Public</t>
        </r>
      </text>
    </comment>
    <comment ref="S24" authorId="3" shapeId="0" xr:uid="{DF743DAC-AC15-4C67-9490-156D3742726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Small Business Public</t>
        </r>
      </text>
    </comment>
    <comment ref="I25" authorId="4" shapeId="0" xr:uid="{753DD120-33AC-4B5A-AF57-FD0E243C24C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Streetlight Capital</t>
        </r>
      </text>
    </comment>
    <comment ref="I28" authorId="5" shapeId="0" xr:uid="{E1B1CFC7-F04E-4288-B9A0-6B2D3AD2ED8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Virtual Commissioning</t>
        </r>
      </text>
    </comment>
    <comment ref="R28" authorId="6" shapeId="0" xr:uid="{7A8F2E69-E3A4-4BA3-ACA6-CB179841388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Virtual Commissioning</t>
        </r>
      </text>
    </comment>
    <comment ref="S28" authorId="7" shapeId="0" xr:uid="{ACB84E0E-3653-4CB5-8430-847D64FD270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Virtual Commissioning</t>
        </r>
      </text>
    </comment>
    <comment ref="R31" authorId="8" shapeId="0" xr:uid="{BA951D2F-C205-4DE2-A3AC-2E4FE72A9E7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Included with RetroCommissioning in cell R28</t>
        </r>
      </text>
    </comment>
    <comment ref="S31" authorId="9" shapeId="0" xr:uid="{4A24F48F-F2F8-4745-BB47-DFBF41804A6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Included with RetroCommissioning in cell R28</t>
        </r>
      </text>
    </comment>
    <comment ref="R32" authorId="10" shapeId="0" xr:uid="{5CE0FEAC-A965-470A-B00D-07AC0B2AD57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Included with RetroCommissioning in cell R28</t>
        </r>
      </text>
    </comment>
    <comment ref="S32" authorId="11" shapeId="0" xr:uid="{B6F39A1E-E792-47D7-9B65-D3F3D8ACEB4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Included with RetroCommissioning in cell R28</t>
        </r>
      </text>
    </comment>
    <comment ref="I43" authorId="12" shapeId="0" xr:uid="{EE0638D8-D1F7-4115-BA98-5BE0FC13B1B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Weatherization</t>
        </r>
      </text>
    </comment>
    <comment ref="I51" authorId="13" shapeId="0" xr:uid="{E91CDF98-F629-496F-807F-D7FDE69AAB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IE - Appliance Rebate</t>
        </r>
      </text>
    </comment>
    <comment ref="I52" authorId="14" shapeId="0" xr:uid="{C40FA631-6073-4153-88BE-1D21045ECB7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Multi-Family IHWAP</t>
        </r>
      </text>
    </comment>
    <comment ref="I53" authorId="15" shapeId="0" xr:uid="{30B4FDB3-024F-411E-A03E-C240BF150F6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Single Family IHWAP</t>
        </r>
      </text>
    </comment>
    <comment ref="I77" authorId="16" shapeId="0" xr:uid="{29B70DF8-0336-47EE-82E5-66C0AEF6CF6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R&amp;D costs associated with these pilots are included in portfolio-level costs.</t>
        </r>
      </text>
    </comment>
    <comment ref="R80" authorId="17" shapeId="0" xr:uid="{04231F0C-37B2-4BD8-94EB-FBCC375C020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Hardcoded total to match TRC report. Total is $788,617,946</t>
        </r>
      </text>
    </comment>
  </commentList>
</comments>
</file>

<file path=xl/sharedStrings.xml><?xml version="1.0" encoding="utf-8"?>
<sst xmlns="http://schemas.openxmlformats.org/spreadsheetml/2006/main" count="7606" uniqueCount="455">
  <si>
    <t>[Add Program Name]</t>
  </si>
  <si>
    <t>Residential Programs</t>
  </si>
  <si>
    <t>Commercial &amp; Industrial Programs</t>
  </si>
  <si>
    <t>Footnotes:</t>
  </si>
  <si>
    <t>Electric Plan 1 Total</t>
  </si>
  <si>
    <t>Electric Plan 2/Gas Plan 1 Total</t>
  </si>
  <si>
    <t>Electric Plan 3/Gas Plan 2 Total</t>
  </si>
  <si>
    <t>C&amp;I Programs Subtotal</t>
  </si>
  <si>
    <t>Residential Programs Subtotal</t>
  </si>
  <si>
    <t>Income Qualified Programs</t>
  </si>
  <si>
    <t>Income Qualified Programs Subtotal</t>
  </si>
  <si>
    <t>Third Party Programs (Section 8-103B - Beginning in 2019)</t>
  </si>
  <si>
    <t>Third Party Programs (Section 8-103B - Beginning in 2019) Subtotal</t>
  </si>
  <si>
    <t>2018-2021 Plan Total</t>
  </si>
  <si>
    <t>C&amp;I Programs - Private Sector Total</t>
  </si>
  <si>
    <t>C&amp;I Programs - Public Sector Total</t>
  </si>
  <si>
    <t>Demonstration of Breakthrough Equipment and Devices</t>
  </si>
  <si>
    <t>Demonstration of Breakthrough Equipment and Devices Subtotal</t>
  </si>
  <si>
    <t>EPY1- 6/1/08-5/31/09</t>
  </si>
  <si>
    <t>EPY2- 6/1/09-5/31/10</t>
  </si>
  <si>
    <t>EPY3- 6/1/10-5/31/11</t>
  </si>
  <si>
    <t>EPY4/GPY1- 6/1/11-5/31/12</t>
  </si>
  <si>
    <t>EPY5/GPY2- 6/1/12-5/31/13</t>
  </si>
  <si>
    <t>EPY6/GPY3- 6/1/13-5/31/14</t>
  </si>
  <si>
    <t>EPY7/GPY4- 6/1/14-5/31/15</t>
  </si>
  <si>
    <t>EPY8/GPY5- 6/1/15-5/31/16</t>
  </si>
  <si>
    <t>EPY9/GPY6- 6/1/16-12/31/17</t>
  </si>
  <si>
    <t>Statewide Annual Report Template</t>
  </si>
  <si>
    <t>Tab 1: Portfolio Summary Table</t>
  </si>
  <si>
    <t>Tab 2: Program Summary Table</t>
  </si>
  <si>
    <r>
      <rPr>
        <b/>
        <sz val="12"/>
        <color rgb="FFFF0000"/>
        <rFont val="Century Gothic"/>
        <family val="2"/>
      </rPr>
      <t>[Gas or Electric]</t>
    </r>
    <r>
      <rPr>
        <b/>
        <sz val="12"/>
        <color theme="1"/>
        <rFont val="Century Gothic"/>
        <family val="2"/>
      </rPr>
      <t xml:space="preserve"> Program Year </t>
    </r>
    <r>
      <rPr>
        <b/>
        <sz val="12"/>
        <color rgb="FFFF0000"/>
        <rFont val="Century Gothic"/>
        <family val="2"/>
      </rPr>
      <t>[add program year] [add program year dates]</t>
    </r>
  </si>
  <si>
    <t>Program Year</t>
  </si>
  <si>
    <t>Other Portfolio-Level Costs (i.e., Portfolio Administrative Costs, Evaluation Costs, and Marketing Costs)</t>
  </si>
  <si>
    <t>Portfolio TRC Benefit/Cost Ratio</t>
  </si>
  <si>
    <t>Portfolio TRC Net Benefits 
(in $)</t>
  </si>
  <si>
    <t>Evaluation Status
(Ex Ante, Verified***, or ICC Approved)</t>
  </si>
  <si>
    <t>% of Net Energy Savings Goal Achieved</t>
  </si>
  <si>
    <t>Energy Efficiency Program</t>
  </si>
  <si>
    <t>EPY7 - 6/1/14-5/31/15</t>
  </si>
  <si>
    <t>EPY8 - 6/1/15-5/31/16</t>
  </si>
  <si>
    <t>EPY9 - 6/1/16-12/31/17</t>
  </si>
  <si>
    <t>EPY6 - 6/1/13-5/31/14</t>
  </si>
  <si>
    <t>First-Year Net Energy Savings Achieved (MWh)</t>
  </si>
  <si>
    <t>First-Year Net Energy Savings Achieved
(therms)</t>
  </si>
  <si>
    <t>First-Year Net Energy Savings Achieved
(MWh)</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</si>
  <si>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</si>
  <si>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</si>
  <si>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</si>
  <si>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Sources:</t>
  </si>
  <si>
    <t>Portfolio TRC Benefit/Cost 
Ratio</t>
  </si>
  <si>
    <t>EPY9/GPY6- 6/1/16-5/31/17</t>
  </si>
  <si>
    <t>Utilities to add source references.</t>
  </si>
  <si>
    <t>Portfolio Total TRC Costs 
(in $)</t>
  </si>
  <si>
    <t>Portfolio Total TRC Benefits 
(in $)</t>
  </si>
  <si>
    <t>First-Year Gross Energy Savings Achieved (MWh)</t>
  </si>
  <si>
    <t>First-Year Gross Energy Savings Achieved (therms)</t>
  </si>
  <si>
    <t>First-Year Net Energy Savings Achieved (therms)</t>
  </si>
  <si>
    <t>Electric Program NTG (deemed/ used)</t>
  </si>
  <si>
    <t>Gas Program NTG (deemed/ used)</t>
  </si>
  <si>
    <t>Program TRC Net Benefits 
(in $)</t>
  </si>
  <si>
    <t>Program Total TRC Costs 
(in $)</t>
  </si>
  <si>
    <t>Program Total TRC Benefits 
(in $)</t>
  </si>
  <si>
    <t>Program TRC Benefit/Cost Ratio 
(ex post)</t>
  </si>
  <si>
    <t>Unit Definition</t>
  </si>
  <si>
    <t>EE Statute? 
(Section 8-103, 8-103B, 8-104, or 16-111.5B)</t>
  </si>
  <si>
    <t>Net Lifetime Savings (MWh)</t>
  </si>
  <si>
    <t>Net Lifetime Savings (therms)</t>
  </si>
  <si>
    <t>Total Electric Program Costs (in $)</t>
  </si>
  <si>
    <t>Total Gas Program Costs 
(in $)</t>
  </si>
  <si>
    <t>Electric Weighted Average Measure Life (Years)</t>
  </si>
  <si>
    <t>Gas Weighted Average Measure Life (Years)</t>
  </si>
  <si>
    <r>
      <rPr>
        <b/>
        <sz val="10"/>
        <color theme="1"/>
        <rFont val="Century Gothic"/>
        <family val="2"/>
      </rPr>
      <t>Instructions:</t>
    </r>
    <r>
      <rPr>
        <sz val="10"/>
        <color theme="1"/>
        <rFont val="Century Gothic"/>
        <family val="2"/>
      </rPr>
      <t xml:space="preserve">
*Each Program Administrator should complete the Portfolio Summary tables and include them in Annual Reports.
*"Energy Savings" refers to first-year savings.
*Program Administrators should complete these tables to the best of your ability, including Section 16-111.5B (Illinois Power Agency programs) and DCEO programs, if the information is available.
*Program Administrators are encouraged to provide source references for greater transparency.
*Reported TRC results will reflect only the reporting utility's portion of joint electric and gas utility Program impacts.</t>
    </r>
  </si>
  <si>
    <t>First-Year Net Energy Savings Achieved
(therms) - See Note</t>
  </si>
  <si>
    <r>
      <t>Note:</t>
    </r>
    <r>
      <rPr>
        <sz val="11"/>
        <rFont val="Century Gothic"/>
        <family val="2"/>
      </rPr>
      <t xml:space="preserve"> Column E may not include all therm savings.</t>
    </r>
  </si>
  <si>
    <t>Program Participation 
(# units)</t>
  </si>
  <si>
    <t>Program Net Levelized Utility Cost per Unit Energy ($/therms)</t>
  </si>
  <si>
    <r>
      <rPr>
        <b/>
        <sz val="11"/>
        <color theme="1"/>
        <rFont val="Century Gothic"/>
        <family val="2"/>
      </rPr>
      <t>Instructions:</t>
    </r>
    <r>
      <rPr>
        <sz val="11"/>
        <color theme="1"/>
        <rFont val="Century Gothic"/>
        <family val="2"/>
      </rPr>
      <t xml:space="preserve">
</t>
    </r>
    <r>
      <rPr>
        <b/>
        <i/>
        <sz val="11"/>
        <color theme="1"/>
        <rFont val="Century Gothic"/>
        <family val="2"/>
      </rPr>
      <t>*Program Administrators should duplicate the table template below for each Program Year, starting with Program Year 1.</t>
    </r>
    <r>
      <rPr>
        <sz val="11"/>
        <color theme="1"/>
        <rFont val="Century Gothic"/>
        <family val="2"/>
      </rPr>
      <t xml:space="preserve">
*If a utility offers Demand Response, information should be listed separately in this table as a separate program.
*For Program Costs [referred to as Program Expenditures in the Policy Manual], each Program Administrator should include actual costs incurred from the beginning of the Program Year through the end of the Program Year,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Annual Reports.
*Program Administrators should complete this table to the best of your ability, including Section 16-111.5B (Illinois Power Agency programs) and DCEO programs, if the information is available.
*Program Administrators are encouraged to provide source references for greater transparency.
</t>
    </r>
    <r>
      <rPr>
        <sz val="11"/>
        <rFont val="Century Gothic"/>
        <family val="2"/>
      </rPr>
      <t>*The Program Net Levelized Utility Cost per Unit Energy in columns J and Q should be calculated using a real discount rate, the Weighted Average Measure Life as reported in columns G and N, and the utility cost as reported in columns I and P, divided by the First Year Net Energy Savings. There is a formula built into this template using the Excel PMT function.</t>
    </r>
    <r>
      <rPr>
        <sz val="11"/>
        <color theme="1"/>
        <rFont val="Century Gothic"/>
        <family val="2"/>
      </rPr>
      <t xml:space="preserve">
*Program Administrators will designate joint electric and gas utility Programs with an asterisk next to the Program name. 
*The Weighted Average Measure Life (WAML) will be calculated using net lifetime savings, divided by first year net energy savings. This differs than how WAML is calculated under the Future Energy Jobs Act (FEJA) for amortizing costs.
*Reported TRC results will reflect only the reporting utility's portion of joint electric and gas utility Program impacts.
*The "Unit Definition" in Column W may be a project, a kit, the number of customers, and/or whatever definition is appropriate for a given program. Starting in Calendar Year 2018 where the Unit Definition is "project" it shall mean the following: </t>
    </r>
    <r>
      <rPr>
        <i/>
        <sz val="11"/>
        <color theme="1"/>
        <rFont val="Century Gothic"/>
        <family val="2"/>
      </rPr>
      <t>any application for an eligible incentive received through a program or initiative.</t>
    </r>
  </si>
  <si>
    <t>Final (12-28-2018)</t>
  </si>
  <si>
    <r>
      <rPr>
        <b/>
        <sz val="11"/>
        <color theme="1"/>
        <rFont val="Century Gothic"/>
        <family val="2"/>
      </rPr>
      <t xml:space="preserve">Background:
</t>
    </r>
    <r>
      <rPr>
        <sz val="11"/>
        <color theme="1"/>
        <rFont val="Century Gothic"/>
        <family val="2"/>
      </rPr>
      <t>*Definitions used within this template correspond to IL Energy Efficiency Policy Manual Version 1.1.
*Footnotes have been added where clarifying information may be helpful.
*See Section 6.6 of IL Energy Efficiency Policy Manual Version 1.1 for a full list of requirements for Program Administrator Annual Reports.</t>
    </r>
  </si>
  <si>
    <t>Program Net Levelized Utility Cost per Unit Energy ($/kWh)</t>
  </si>
  <si>
    <t>Small C&amp;I Intro Kit</t>
  </si>
  <si>
    <t>Section 8-103</t>
  </si>
  <si>
    <t>N/A</t>
  </si>
  <si>
    <t>Business Prescriptive (Standard)</t>
  </si>
  <si>
    <t>Business Custom</t>
  </si>
  <si>
    <t>C&amp;I Retro-Commissioning</t>
  </si>
  <si>
    <t>C&amp;I New Construction</t>
  </si>
  <si>
    <t>Residential Lighting</t>
  </si>
  <si>
    <t>Appliance Recycling</t>
  </si>
  <si>
    <t>All-Electric Efficiency Upgrade</t>
  </si>
  <si>
    <t>Residential HVAC</t>
  </si>
  <si>
    <t>http://ilsagfiles.org/SAG_files/Evaluation_Documents/ComEd/ComEd%20EPY1%20Evaluation%20Reports/ComEd_Summary_Evaluation_Report_Program_Year_1_2009.pdf</t>
  </si>
  <si>
    <t>http://ilsagfiles.org/SAG_files/Evaluation_Documents/TRC_Reports/ComEd/ComEd_PY1-PY5_TRC_Summary_Report.pdf</t>
  </si>
  <si>
    <t>https://www.icc.illinois.gov/downloads/public/edocket/250135.pdf</t>
  </si>
  <si>
    <r>
      <t>Overall Total</t>
    </r>
    <r>
      <rPr>
        <b/>
        <sz val="10"/>
        <color rgb="FFFF0000"/>
        <rFont val="Century Gothic"/>
        <family val="2"/>
      </rPr>
      <t xml:space="preserve"> ComEd </t>
    </r>
    <r>
      <rPr>
        <b/>
        <sz val="10"/>
        <rFont val="Century Gothic"/>
        <family val="2"/>
      </rPr>
      <t>Portfolio</t>
    </r>
  </si>
  <si>
    <r>
      <rPr>
        <b/>
        <sz val="11"/>
        <color rgb="FFFF0000"/>
        <rFont val="Century Gothic"/>
        <family val="2"/>
      </rPr>
      <t>ComEd</t>
    </r>
    <r>
      <rPr>
        <b/>
        <sz val="11"/>
        <color theme="1"/>
        <rFont val="Century Gothic"/>
        <family val="2"/>
      </rPr>
      <t xml:space="preserve"> Service Territory Program Summary</t>
    </r>
  </si>
  <si>
    <t>Electric Program Year 1 (6/1/2008 - 5/31/2009)</t>
  </si>
  <si>
    <t>ICC Approved</t>
  </si>
  <si>
    <t>Verified</t>
  </si>
  <si>
    <t>Ex Ante</t>
  </si>
  <si>
    <r>
      <t>Portfolio Summary for</t>
    </r>
    <r>
      <rPr>
        <b/>
        <sz val="11"/>
        <color rgb="FFFF0000"/>
        <rFont val="Century Gothic"/>
        <family val="2"/>
      </rPr>
      <t xml:space="preserve"> ComEd</t>
    </r>
    <r>
      <rPr>
        <b/>
        <sz val="11"/>
        <rFont val="Century Gothic"/>
        <family val="2"/>
      </rPr>
      <t xml:space="preserve"> Section 16-111.5B Illinois Power Agency (IPA) Programs</t>
    </r>
  </si>
  <si>
    <t>Small C&amp;I Intro Kit Carryover</t>
  </si>
  <si>
    <t>Residential Lighting Carryover</t>
  </si>
  <si>
    <t>All-Electric Single Family  Tune Up</t>
  </si>
  <si>
    <t>Central A/C Efficiency Service</t>
  </si>
  <si>
    <t>http://ilsagfiles.org/SAG_files/Evaluation_Documents/ComEd/ComEd%20EPY2%20Evaluation%20Reports/ComEd_Summary_PY2_Evaluation_Report_Final.pdf</t>
  </si>
  <si>
    <t>https://www.icc.illinois.gov/downloads/public/edocket/275392.pdf</t>
  </si>
  <si>
    <t>Business Instant Discounts</t>
  </si>
  <si>
    <t>Business Lighting Carryover</t>
  </si>
  <si>
    <t>Mutli Family All-Electric Efficiency Upgrade</t>
  </si>
  <si>
    <t>Multi Family Joint</t>
  </si>
  <si>
    <t>Single Family Performance</t>
  </si>
  <si>
    <t>Single Family Joint</t>
  </si>
  <si>
    <t>Central Air Conditioning Efficiency Service</t>
  </si>
  <si>
    <t>Home Energy Report</t>
  </si>
  <si>
    <t>http://ilsagfiles.org/SAG_files/Evaluation_Documents/ComEd/ComEd%20EPY3%20Evaluation%20Reports/ComEd_Summary_PY3_Evaluation_Report_Final.pdf</t>
  </si>
  <si>
    <t>https://www.icc.illinois.gov/downloads/public/edocket/304132.pdf</t>
  </si>
  <si>
    <t>Electric Program Year 3 (6/1/2010 - 5/31/2011)</t>
  </si>
  <si>
    <t>Electric Program Year 2 (6/1/2009- 5/31/2010)</t>
  </si>
  <si>
    <t>Data Centers</t>
  </si>
  <si>
    <t>Compressed Air</t>
  </si>
  <si>
    <t>Small Business Energy Savings</t>
  </si>
  <si>
    <t>IP Thermostat</t>
  </si>
  <si>
    <t>Commercial Real Estate</t>
  </si>
  <si>
    <t>Complete Systems Replacement</t>
  </si>
  <si>
    <t>Clothes Washer</t>
  </si>
  <si>
    <t>Elementary Energy Education</t>
  </si>
  <si>
    <t>Residential New Construction</t>
  </si>
  <si>
    <t>Rebates Provided</t>
  </si>
  <si>
    <t>Kits Distributed</t>
  </si>
  <si>
    <t>http://ilsagfiles.org/SAG_files/Evaluation_Documents/ComEd/ComEd%20EPY4%20Evaluation%20Reports/ComEd_Summary_Evaluation_Report_EPY4.pdf</t>
  </si>
  <si>
    <t>https://www.icc.illinois.gov/downloads/public/edocket/355243.pdf</t>
  </si>
  <si>
    <t>Electric Program Year 5 (6/1/2012 - 5/31/2013)</t>
  </si>
  <si>
    <t>Industrial Systems</t>
  </si>
  <si>
    <t>Business Instant Lighting Discount</t>
  </si>
  <si>
    <t>http://ilsagfiles.org/SAG_files/Evaluation_Documents/ComEd/ComEd%20EPY5%20Evaluation%20Reports/ComEd_Summary_PY5_Evaluation_Report_2014-11-08_Final.pdf</t>
  </si>
  <si>
    <t>https://www.icc.illinois.gov/downloads/public/edocket/375374.pdf</t>
  </si>
  <si>
    <t>16-111.5B</t>
  </si>
  <si>
    <t>C3-CUB Energy Saver</t>
  </si>
  <si>
    <t>Projects Completed</t>
  </si>
  <si>
    <t>LED Street Lighting</t>
  </si>
  <si>
    <t>Measures</t>
  </si>
  <si>
    <t xml:space="preserve">Small Business Energy Savings </t>
  </si>
  <si>
    <t>Home Energy Assessment</t>
  </si>
  <si>
    <t>https://icc.illinois.gov/downloads/public/edocket/416820.pdf</t>
  </si>
  <si>
    <t>http://www.ilsag.info/comed_eval_reports.html</t>
  </si>
  <si>
    <t>http://ilsagfiles.org/SAG_files/Evaluation_Documents/TRC_Reports/ComEd/ComEd_PY7_TRC_Report_2018-05-07_Final.pdf</t>
  </si>
  <si>
    <t>Electric Program Year 8 (6/1/2015 - 5/31/2016)</t>
  </si>
  <si>
    <t>AirCare Plus</t>
  </si>
  <si>
    <t>Strategic Energy Management</t>
  </si>
  <si>
    <t>Root3 Pilot</t>
  </si>
  <si>
    <t>Appliance Rebates</t>
  </si>
  <si>
    <t>Residential Lighting IPA</t>
  </si>
  <si>
    <t>National Theatre for Children Kits</t>
  </si>
  <si>
    <t>https://icc.illinois.gov/downloads/public/edocket/436805.pdf</t>
  </si>
  <si>
    <t>http://ilsagfiles.org/SAG_files/Evaluation_Documents/TRC_Reports/ComEd/ComEd_PY8_TRC_Report_2019-01-28_Final.pdf</t>
  </si>
  <si>
    <t>Operational Savings</t>
  </si>
  <si>
    <t>Measures Installed</t>
  </si>
  <si>
    <t>Rural Small Business Kits</t>
  </si>
  <si>
    <t>Section 8-103B</t>
  </si>
  <si>
    <t>Shelton Solutions Great Energy Stewards</t>
  </si>
  <si>
    <t>Air Care Plus</t>
  </si>
  <si>
    <t>Custom</t>
  </si>
  <si>
    <t>Energy Advisor Monitoring-Based Commissioning</t>
  </si>
  <si>
    <t>Industrial Systems Optimization</t>
  </si>
  <si>
    <t>Instant Discounts</t>
  </si>
  <si>
    <t>New Construction (Joint /Nicor Gas &amp; PGL-NSG)</t>
  </si>
  <si>
    <t>Operational Efficiency / Facility Assessments</t>
  </si>
  <si>
    <t>Public Housing Authority (Joint /Nicor)</t>
  </si>
  <si>
    <t>Public Small Facilities (PSF)</t>
  </si>
  <si>
    <t>Retrocommissioning (Joint /Nicor Gas &amp; PGL-NSG)</t>
  </si>
  <si>
    <t>Standard</t>
  </si>
  <si>
    <t>Strategic Energy Management (Joint /Nicor Gas)</t>
  </si>
  <si>
    <t>Street Lighting</t>
  </si>
  <si>
    <t xml:space="preserve">Variable Speed Drive Energy Savings in Refrigeration Condensers </t>
  </si>
  <si>
    <t>Smart Building Operations</t>
  </si>
  <si>
    <t>Ductless Heat Pump and Building Envelope</t>
  </si>
  <si>
    <t>HVAC SAVE</t>
  </si>
  <si>
    <t>Nest Seasonal Savings (Cooling Season)</t>
  </si>
  <si>
    <t>Nest Seasonal Savings (Heating Season)</t>
  </si>
  <si>
    <t>Voltage Optimization</t>
  </si>
  <si>
    <t>https://www.icc.illinois.gov/downloads/public/edocket/485777.pdf</t>
  </si>
  <si>
    <t>Elementary Education Kits (Joint w/Nicor Gas &amp; PGL-NSG)</t>
  </si>
  <si>
    <t>Fridge and Freezer Recycling</t>
  </si>
  <si>
    <t>Heating and Cooling (HVAC) Rebates</t>
  </si>
  <si>
    <t>Holiday Light Exchange</t>
  </si>
  <si>
    <t>Home Energy Assessment (Joint w/Nicor Gas &amp; PGL-NSG)</t>
  </si>
  <si>
    <t>Home Energy Reports</t>
  </si>
  <si>
    <t>Lighting Discounts</t>
  </si>
  <si>
    <t>Middle School Take-Home Kits</t>
  </si>
  <si>
    <t>Multi-Family Market Rate (Joint w/Nicor Gas &amp; PGL-NSG)</t>
  </si>
  <si>
    <t>New Construction (Joint w/Nicor Gas &amp; PGL-NSG)</t>
  </si>
  <si>
    <t>Weatherization - Market Rate</t>
  </si>
  <si>
    <t>Participants</t>
  </si>
  <si>
    <t>Measures Distribued</t>
  </si>
  <si>
    <t>Total Homes</t>
  </si>
  <si>
    <t>Affordable Housing New Construction (Joint w/Nicor Gas)</t>
  </si>
  <si>
    <t>Food Bank LED Distribution</t>
  </si>
  <si>
    <t>Retail (Lighting) Discounts - Income Eligible</t>
  </si>
  <si>
    <t>Multi-Family IHWAP</t>
  </si>
  <si>
    <t>Multi-Family Retrofits (Joint w/Nicor Gas &amp; PGL-NSG)</t>
  </si>
  <si>
    <t>Single Family Retrofit - CBA (Joint w/Nicor Gas &amp; PGL-NSG)</t>
  </si>
  <si>
    <t>Single Family Retrofit - IHWAP (Joint w/Nicor Gas &amp; PGL-NSG)</t>
  </si>
  <si>
    <t>UIC ERC Low Income Kits</t>
  </si>
  <si>
    <t>Measured Distributed</t>
  </si>
  <si>
    <t>Electric Calendar Year 2018 (1/1/2018 - 12/31/2018)</t>
  </si>
  <si>
    <t>Electric Program Year 4 (6/1/2011 - 5/31/2012)</t>
  </si>
  <si>
    <t>Cohorts</t>
  </si>
  <si>
    <t>Bulbs Incentivized</t>
  </si>
  <si>
    <t>Systems Installed</t>
  </si>
  <si>
    <t>VO-Enabled Feeders</t>
  </si>
  <si>
    <t>Electric Program Year 9 (6/1/2016 - 12/31/2017)</t>
  </si>
  <si>
    <t>Projects Sites</t>
  </si>
  <si>
    <t>Project Sites</t>
  </si>
  <si>
    <t>Multi-Family Common Area</t>
  </si>
  <si>
    <t>One Change CFL Distribution</t>
  </si>
  <si>
    <t>CLEAResult Desktop Power Management</t>
  </si>
  <si>
    <t>RLD Resources IP Thermostat</t>
  </si>
  <si>
    <t>Data Center Efficiency</t>
  </si>
  <si>
    <t>Multi-family Common Area Pilot</t>
  </si>
  <si>
    <t>Business Energy Analyzer Pilot</t>
  </si>
  <si>
    <t>Elementary Education Kits</t>
  </si>
  <si>
    <t>Fridge Freezer Recycling</t>
  </si>
  <si>
    <t>Home Energy Assessments</t>
  </si>
  <si>
    <t>Multi-Family Comprehensive EE</t>
  </si>
  <si>
    <t>Weatherization Rebates</t>
  </si>
  <si>
    <t>Heating &amp; Cooling Rebates</t>
  </si>
  <si>
    <t>Bidgely Pilot</t>
  </si>
  <si>
    <t>Nest Seasonal Savings Pilot</t>
  </si>
  <si>
    <t>Elevate Energy Assisted &amp; Senior Housing</t>
  </si>
  <si>
    <t>SEDAC Enhanced Building Optimization</t>
  </si>
  <si>
    <t>UIC-ERC Low-Income Kits</t>
  </si>
  <si>
    <t>CLEAResult CFL Distribution</t>
  </si>
  <si>
    <t>Free Lights (DCEO)</t>
  </si>
  <si>
    <t>Instant Discounts Carryover</t>
  </si>
  <si>
    <t>Projects</t>
  </si>
  <si>
    <t>Bulbs</t>
  </si>
  <si>
    <t>Appliances</t>
  </si>
  <si>
    <t>Kits</t>
  </si>
  <si>
    <t>Homes</t>
  </si>
  <si>
    <t>Thermostats</t>
  </si>
  <si>
    <t>Project</t>
  </si>
  <si>
    <t>NA</t>
  </si>
  <si>
    <t>Residential Lighting Discounts</t>
  </si>
  <si>
    <t>Residential Lighting Discounts Carryover IPA</t>
  </si>
  <si>
    <t>Residential Lighting Discounts Carryover EEPS</t>
  </si>
  <si>
    <t>CLEAResult School Direct Install</t>
  </si>
  <si>
    <t>Matrix School Direct Install</t>
  </si>
  <si>
    <t>Matrix Direct Control Ventillation</t>
  </si>
  <si>
    <t>CLEAResult AirCare Plus</t>
  </si>
  <si>
    <t>Multi-Family Tenant Area</t>
  </si>
  <si>
    <t>Included Above</t>
  </si>
  <si>
    <t>Meter Genius Pilot</t>
  </si>
  <si>
    <t>HVAC &amp; Weatherization</t>
  </si>
  <si>
    <t>Accelerate CUB Energy Saver</t>
  </si>
  <si>
    <t>Elevate Retrofit Chicago Residential</t>
  </si>
  <si>
    <t>Home Energy Rebates (HVAC &amp; Wx)</t>
  </si>
  <si>
    <t xml:space="preserve">Residential Lighting Carryover IPA </t>
  </si>
  <si>
    <t>Residential Lighting Carryover EEPS</t>
  </si>
  <si>
    <t xml:space="preserve">Appliance Rebates </t>
  </si>
  <si>
    <t>Small C&amp;I Behavioral (EnergyCheck/Pulse) Pilot</t>
  </si>
  <si>
    <t>Electric Program Year 6 (6/1/2013 - 5/31/2014)</t>
  </si>
  <si>
    <t>Electric Program Year 7 (6/1/2014 - 5/31/2015)</t>
  </si>
  <si>
    <t>Residential Lighting EEPS</t>
  </si>
  <si>
    <t>Willdan Sustainable Schools</t>
  </si>
  <si>
    <t>Complete System Replacement</t>
  </si>
  <si>
    <t>Multi-Family Home Energy Savings</t>
  </si>
  <si>
    <t>Multi-Family Home Energy Savings IPA</t>
  </si>
  <si>
    <t>Single-Family Home Energy Savings IPA</t>
  </si>
  <si>
    <t>Single-Family Home Energy Savings/Jumpstart</t>
  </si>
  <si>
    <t>Included Below</t>
  </si>
  <si>
    <t>http://ilsagfiles.org/SAG_files/Evaluation_Documents/ComEd/ComEd%20EPY6%20Evaluation%20Reports/ComEd_Summary_PY6_Evaluation_Report_2016-05-23_Final.pdf</t>
  </si>
  <si>
    <t xml:space="preserve">http://ilsagfiles.org/SAG_files/Evaluation_Documents/TRC_Reports/ComEd/ComEd_PY6_TRC_Report_2016-05-23_Final.pdf </t>
  </si>
  <si>
    <t xml:space="preserve">https://icc.illinois.gov/downloads/public/edocket/392697.pdf </t>
  </si>
  <si>
    <t>http://ilsagfiles.org/SAG_files/Evaluation_Documents/ComEd/ComEd_EPY7_Evaluation_Reports/ComEd_Plan_Year_7_Summary_Evaluation_Report_2018-08-28_Final.pdf</t>
  </si>
  <si>
    <t>http://ilsagfiles.org/SAG_files/Evaluation_Documents/ComEd/ComEd_CY2018_Evaluation_Reports_Final/ComEd_CY2018_Summary_Evaluation_Report_2018-04-30_Final.pdf</t>
  </si>
  <si>
    <t>http://ilsagfiles.org/SAG_files/Evaluation_Documents/ComEd/ComEd_CY2018_Evaluation_Reports_Final/ComEd_CY2018_Summary_Evaluation_Report_Data_Final_2019-04-30.xlsx</t>
  </si>
  <si>
    <t>Included in Standard</t>
  </si>
  <si>
    <t>Included in SBES</t>
  </si>
  <si>
    <t>Business Sector Outreach</t>
  </si>
  <si>
    <t>Included in MF Retrofits</t>
  </si>
  <si>
    <t>Included in SF Retrofits</t>
  </si>
  <si>
    <t>Income Eligible Outreach</t>
  </si>
  <si>
    <t>Included in HVAC</t>
  </si>
  <si>
    <t>Included in Heating &amp; Cooling</t>
  </si>
  <si>
    <t>Weidt Group New Construction Small Buildings</t>
  </si>
  <si>
    <t>Elevate Energy MF Retrofit Chicago</t>
  </si>
  <si>
    <t>Power TakeOff Energy Advisor MBCx</t>
  </si>
  <si>
    <t>Franklin Rural Small Business EE Kits</t>
  </si>
  <si>
    <t>CLEAResult Luminaire Level Lighting Control</t>
  </si>
  <si>
    <t>GDS Agriculture Energy Efficiency</t>
  </si>
  <si>
    <t>GDS Small Commercial Lit Signage</t>
  </si>
  <si>
    <t>Savings Through Efficient Products (DCEO)</t>
  </si>
  <si>
    <t>Included in Res Retrofits</t>
  </si>
  <si>
    <t>Included in Standard (DCEO)</t>
  </si>
  <si>
    <t>Section 8-103 (DCEO)</t>
  </si>
  <si>
    <t>Residential Retrofit Weatherization</t>
  </si>
  <si>
    <t>Residential Retrofit Home Improvement</t>
  </si>
  <si>
    <t>Lights for Learning</t>
  </si>
  <si>
    <t>Public Sector Standard Incentives</t>
  </si>
  <si>
    <t>Public Sector Custom Incentives</t>
  </si>
  <si>
    <t>Affordable Housing Construction</t>
  </si>
  <si>
    <t>Installations</t>
  </si>
  <si>
    <t xml:space="preserve">Residential Retrofit </t>
  </si>
  <si>
    <t>Tenant Units</t>
  </si>
  <si>
    <t>CUB Energy Saver</t>
  </si>
  <si>
    <t xml:space="preserve">Total Connected Savings Wi-Fi Thermostat Optimization </t>
  </si>
  <si>
    <t>http://www.ilsag.info/dceo_eval_reports.html</t>
  </si>
  <si>
    <t>*The costs above are limited to rider costs as reflected in the Annual Report. Total DCEO spend is included in "Other Portfolio-Level Costs" as program-level spend for DCEO programs was unavailable.</t>
  </si>
  <si>
    <t>Public Sector New Construction</t>
  </si>
  <si>
    <t>Building Operator Certification</t>
  </si>
  <si>
    <t>*DCEO summary was not included in ComEd's PY2 summary evaluation report, so DCEO portoflio-level TRC was unavailable.</t>
  </si>
  <si>
    <t>Residential Units</t>
  </si>
  <si>
    <t>Rebates</t>
  </si>
  <si>
    <t>http://ilsagfiles.org/SAG_files/Evaluation_Documents/TRC_Reports/DCEO/DCEO_TRC_Summary_Report_PY3_2012-05-15-1.pdf</t>
  </si>
  <si>
    <t xml:space="preserve">*The PY3 DCEO TRC Summary Report does not report comprehensive utility-specific TRC results. The benefits, costs, net benefits, and TRC values above include ComEd and Ameren service territory results. </t>
  </si>
  <si>
    <t>http://ilsagfiles.org/SAG_files/Evaluation_Documents/TRC_Reports/DCEO/DCEO_Cost_Effectiveness_Report_EPY4_GPY1.pdf</t>
  </si>
  <si>
    <t>Smart Energy Design Assistance Program</t>
  </si>
  <si>
    <t>Savings Through Efficient Products (STEP)</t>
  </si>
  <si>
    <t xml:space="preserve">Public Sector Retro-commissioning </t>
  </si>
  <si>
    <t>http://ilsagfiles.org/SAG_files/Evaluation_Documents/TRC_Reports/DCEO/Department_of_Commerce_Cost_Effectiveness_Report_EPY6-GPY3_Final_v2.pdf</t>
  </si>
  <si>
    <t>http://ilsagfiles.org/SAG_files/Evaluation_Documents/TRC_Reports/DCEO/DCEO_Cost_Effectiveness_Report_EPY5_GPY2_05-12-15.pdf</t>
  </si>
  <si>
    <t>Public Housing Authority Efficient Living</t>
  </si>
  <si>
    <t xml:space="preserve">*The PY7 DCEO program evaluation reports typically do not provide utility-specific participation and/or measure units;  Program Participation values above reflect total participation across ComEd and Ameren service territories. </t>
  </si>
  <si>
    <t xml:space="preserve">*The PY6 DCEO program evaluation reports typically do not provide utility-specific participation and/or measure units;  Program Participation values above reflect total participation across ComEd and Ameren service territories. </t>
  </si>
  <si>
    <t xml:space="preserve">*The PY5 DCEO program evaluation reports typically do not provide utility-specific participation and/or measure units;  Program Participation values above reflect total participation across ComEd and Ameren service territories. </t>
  </si>
  <si>
    <t xml:space="preserve">*The PY4 DCEO program evaluation reports typically do not provide utility-specific participation and/or measure units;  Program Participation values above reflect total participation across ComEd and Ameren service territories. </t>
  </si>
  <si>
    <t xml:space="preserve">*The PY2 DCEO program evaluation reports typically do not provide utility-specific participation and/or measure units;  Program Participation values above typically reflect total participation across ComEd and Ameren service territories. </t>
  </si>
  <si>
    <t xml:space="preserve">*The PY3 DCEO program evaluation reports typically do not provide utility-specific participation and/or measure units;  Program Participation values above typically reflect total participation across ComEd and Ameren service territories. </t>
  </si>
  <si>
    <t xml:space="preserve">*The PY1 DCEO program evaluation reports typically do not provide utility-specific participation and/or measure units;  Program Participation values above typically reflect total participation across ComEd and Ameren service territories. </t>
  </si>
  <si>
    <t>K-12 Energy Efficiency</t>
  </si>
  <si>
    <t>http://ilsagfiles.org/SAG_files/Evaluation_Documents/TRC_Reports/DCEO/Department_of_Commerce_Cost_Effectiveness_Report_EPY7-GPY4_Final_Report.pdf</t>
  </si>
  <si>
    <t>Clean Water Custom</t>
  </si>
  <si>
    <t>Section 8-103B (Bridge)</t>
  </si>
  <si>
    <t>Free Lights (ComEd)</t>
  </si>
  <si>
    <t>Public Sector Standard Incentives (ComEd)</t>
  </si>
  <si>
    <t>Savings Through Efficient Products (ComEd)</t>
  </si>
  <si>
    <t>LED Street Lighting (ComEd)</t>
  </si>
  <si>
    <t>Public Sector Custom (ComEd)</t>
  </si>
  <si>
    <t>Public Sector Standard Incentives (DCEO)</t>
  </si>
  <si>
    <t>Public Sector Custom Incentives (DCEO)</t>
  </si>
  <si>
    <t>Public Sector New Construction (DCEO)</t>
  </si>
  <si>
    <t>Public Sector Retro-commissioning (DCEO)</t>
  </si>
  <si>
    <t>Clean Water Custom (DCEO)</t>
  </si>
  <si>
    <t>EE Aggregation Standard (DCEO)</t>
  </si>
  <si>
    <t>EE Aggregation Custom (DCEO)</t>
  </si>
  <si>
    <t>Combined Heat and Power (DCEO)</t>
  </si>
  <si>
    <t>Smart Energy Design Assistance Program (DCEO)</t>
  </si>
  <si>
    <t>Building Operator Certification (DCEO)</t>
  </si>
  <si>
    <t>Public Sector New Construction (ComEd)</t>
  </si>
  <si>
    <t>Public Housing Authority Efficient Living (DCEO)</t>
  </si>
  <si>
    <t>Public Housing Authority Efficient Living (ComEd)</t>
  </si>
  <si>
    <t xml:space="preserve">Retro-commissioning </t>
  </si>
  <si>
    <t>Public Sector Retro-commissioning (ComEd)</t>
  </si>
  <si>
    <t>Affordable Housing New Construction (ComEd)</t>
  </si>
  <si>
    <t>Residential Retrofit: Energy Savers Multi-Family (ComEd)</t>
  </si>
  <si>
    <t>Residential Retrofit: Single Family Retrofits (CBA) (ComEd)</t>
  </si>
  <si>
    <t>Affordable Housing New Construction (DCEO)</t>
  </si>
  <si>
    <t>Illinois Home Weatherization Assistance Program (ComEd)</t>
  </si>
  <si>
    <t>Illinois Home Weatherization Assistance Program (DCEO)</t>
  </si>
  <si>
    <t>Residential Retrofit (DCEO)</t>
  </si>
  <si>
    <t>http://ilsagfiles.org/SAG_files/Evaluation_Documents/DCEO/DCEO_Summary_Impact_Evaluation_Report_EPY7-9_GPY4-6_2019-02-06_Final.pdf</t>
  </si>
  <si>
    <t xml:space="preserve">*DCEO programs administrated by DCEO 6/1/2016 - 5/31/2017 and by ComEd 6/2/2017 - 12/31/2018 are reported as two line items separated by Program Administrator. </t>
  </si>
  <si>
    <t>*Program Total TRC Benefits for DCEO programs reflect total benefits with NEBs, using a 10-year treasury discount rate, as shown on page 8 of the PY7 DCEO Cost Effectiveness Report.</t>
  </si>
  <si>
    <t>http://ilsagfiles.org/SAG_files/Evaluation_Documents/ComEd/ComEd_EPY9_Evaluation_Reports_Final/ComEd_PY9_Summary_Evaluation_Report_Final_2018-11-30.pdf</t>
  </si>
  <si>
    <t>*'Electric Weighted Average Measure Life (Years)' are from the supporting workbook from Navigant's PY8 TRC Report; this workbook is not available on the IL SAG website. 'Net Lifetime Savings (MWh)' is the product of 'First-Year Net Energy Savings Achieved (MWh)' and ''Electric Weighted Average Measure Life (Years)', so this value is only reported for those programs evaluated in Navigant's PY8 TRC Report.</t>
  </si>
  <si>
    <t>*Program Total TRC Benefits for DCEO programs reflect total benefits with NEBs, using a 10-year treasury discount rate, as shown on page 8 of the PY4 DCEO Cost Effectiveness Report.</t>
  </si>
  <si>
    <t>*Program Total TRC Benefits for DCEO programs reflect total benefits with NEBs, using a 10-year treasury discount rate, as shown on page 8 of the PY5 DCEO Cost Effectiveness Report.</t>
  </si>
  <si>
    <t>*Program Total TRC Benefits for DCEO programs reflect total benefits with NEBs, using a 10-year treasury discount rate, as shown on page 8 of the PY6 DCEO Cost Effectiveness Report.</t>
  </si>
  <si>
    <t>*The PY1 ComEd Summary Evaluation Report included a summary of DCEO programs with final TRC values but not TRC benefits and costs.</t>
  </si>
  <si>
    <t>*The DCEO Summary Impact Report for EPY7 - EPY9 does not provide program-level TRC results or program participation. Portfolio-level TRC results are included on the 'Portoflio Summary' tab.</t>
  </si>
  <si>
    <t>*The costs above are limited to rider costs. DCEO spend for 6/1/2016 - 5/31/2017 is included in "Other Portfolio-Level Costs" as DCEO program-level spend for that period was unavailable; known DCEO program-level spend is limited to the PY9 Bridge Period 6/2/2017 - 12/31/2017.</t>
  </si>
  <si>
    <t>Tab 2: PY1 Program Summary Table</t>
  </si>
  <si>
    <t>Tab 3: PY2 Program Summary Table</t>
  </si>
  <si>
    <t>Tab 4: PY3 Program Summary Table</t>
  </si>
  <si>
    <t>Tab 5: PY4 Program Summary Table</t>
  </si>
  <si>
    <t>Tab 6: PY5 Program Summary Table</t>
  </si>
  <si>
    <t>Tab 7: PY6 Program Summary Table</t>
  </si>
  <si>
    <t>Tab 8: PY7 Program Summary Table</t>
  </si>
  <si>
    <t>Tab 9: PY8 Program Summary Table</t>
  </si>
  <si>
    <t>Tab 10: PY9 Program Summary Table</t>
  </si>
  <si>
    <t>Tab 11: CY2018 Program Summary Table</t>
  </si>
  <si>
    <t xml:space="preserve">*DCEO program-level MWh savings from individual evaluation reports sum to 34,076 net MWh rather than ICC approved savings of 34,084 net MWh; a downward adjustment of 38 net MWh is reflected only in Cell D43 on the Portoflio Summary tab. </t>
  </si>
  <si>
    <t xml:space="preserve">*EEPS program-level MWh savings from ComEd Summary PY5 Evaluation Report sum to 949,392 net MWh rather than ICC approved savings of 942,061 net MWh; a downward adjustment of 7,331 net MWh is reflected only in Cell D16 on the Portoflio Summary tab. </t>
  </si>
  <si>
    <t xml:space="preserve">*EEPS program-level MWh savings from PY4 ComEd Summary Evaluation Report sum to 944,142 net MWh rather than ICC approved savings of 944,111 net MWh; a downward adjustment of 31 net MWh is reflected only in Cell D15 on the Portoflio Summary tab. </t>
  </si>
  <si>
    <t xml:space="preserve">*EEPS program-level MWh savings from ComEd Summary PY6 Evaluation Report sum to 986,314 net MWh rather than ICC approved savings of 977,911 net MWh; a downward adjustment of 8,403 net MWh is reflected only in Cell D17 on the Portoflio Summary tab. </t>
  </si>
  <si>
    <r>
      <t xml:space="preserve">First-Year Net Energy Savings Achieved
</t>
    </r>
    <r>
      <rPr>
        <b/>
        <sz val="10"/>
        <color rgb="FFFF0000"/>
        <rFont val="Century Gothic"/>
        <family val="2"/>
      </rPr>
      <t>(MWh)</t>
    </r>
  </si>
  <si>
    <r>
      <t xml:space="preserve">Original Plan Savings Goal** 
</t>
    </r>
    <r>
      <rPr>
        <b/>
        <sz val="10"/>
        <color rgb="FFFF0000"/>
        <rFont val="Century Gothic"/>
        <family val="2"/>
      </rPr>
      <t>(MWh)</t>
    </r>
  </si>
  <si>
    <r>
      <t xml:space="preserve">Net Energy Savings Goal* 
</t>
    </r>
    <r>
      <rPr>
        <b/>
        <sz val="10"/>
        <color rgb="FFFF0000"/>
        <rFont val="Century Gothic"/>
        <family val="2"/>
      </rPr>
      <t>(MWh)</t>
    </r>
  </si>
  <si>
    <t xml:space="preserve">See sources on respective Program Year tabs. </t>
  </si>
  <si>
    <t>Discount Rate*</t>
  </si>
  <si>
    <r>
      <t>*See Illinois Energy Efficiency Policy Manual Version 2.0, Section 8.5, Discount Rates (effective January 1, 2020):</t>
    </r>
    <r>
      <rPr>
        <i/>
        <sz val="9"/>
        <rFont val="Century Gothic"/>
        <family val="2"/>
      </rPr>
      <t xml:space="preserve"> To ensure accuracy and transparency in the application of this policy, all multi-year Plans, retrospective Cost-Effectiveness analyses, annual reports, and potential studies shall include information on the discount rate used.</t>
    </r>
  </si>
  <si>
    <t>Final (updated 2-7-2020)</t>
  </si>
  <si>
    <r>
      <rPr>
        <b/>
        <sz val="11"/>
        <rFont val="Century Gothic"/>
        <family val="2"/>
      </rPr>
      <t xml:space="preserve">Background:
</t>
    </r>
    <r>
      <rPr>
        <sz val="11"/>
        <rFont val="Century Gothic"/>
        <family val="2"/>
      </rPr>
      <t>*Definitions used within this template correspond to IL Energy Efficiency Policy Manual Version 2.0.
*Footnotes have been added where clarifying information may be helpful.
*See Section 6.7 of IL Energy Efficiency Policy Manual Version 2.0 for a full list of requirements for Program Administrator Annual Reports.</t>
    </r>
  </si>
  <si>
    <t>Tab 12: CY2019 Program Summary Table</t>
  </si>
  <si>
    <t>Electric Calendar Year 2019 (1/1/2019 - 12/31/2019)</t>
  </si>
  <si>
    <t>Incentives - Standard</t>
  </si>
  <si>
    <t>Small Business - Private</t>
  </si>
  <si>
    <t>LED Streetlighting</t>
  </si>
  <si>
    <t>Incentives - Custom</t>
  </si>
  <si>
    <t>RetroCommissioning (Coordinated w/Nicor Gas &amp; PGL/NSG)</t>
  </si>
  <si>
    <t>Non-residential New Construction (Coordinated w/Nicor Gas &amp; PGL/NSG)</t>
  </si>
  <si>
    <t>Strategic Energy Management (Joint w/Nicor Gas &amp; PGL/NSG)</t>
  </si>
  <si>
    <t>Virtual Commissioning</t>
  </si>
  <si>
    <t>Small Business - Public</t>
  </si>
  <si>
    <t>Small Business Kits</t>
  </si>
  <si>
    <t>Business Grocery</t>
  </si>
  <si>
    <t>Business Telecomm</t>
  </si>
  <si>
    <t>Facility Assessments</t>
  </si>
  <si>
    <t>Nonprofit Retrofits</t>
  </si>
  <si>
    <t>Agriculture</t>
  </si>
  <si>
    <t>Fridge &amp; Freezer Recycling</t>
  </si>
  <si>
    <t>Single-Family Assessment (Joint w/Nicor Gas &amp; PGL/NSG)</t>
  </si>
  <si>
    <t>Multi-Family Assessments (Joint w/Nicor Gas &amp; PGL/NSG)</t>
  </si>
  <si>
    <t>Elementary Education Kits (Joint w/Nicor Gas &amp; PGL/NSG)</t>
  </si>
  <si>
    <t>Weatherization</t>
  </si>
  <si>
    <t>Residential New Construction (Joint w/Nicor Gas)</t>
  </si>
  <si>
    <t>Residential Behavior</t>
  </si>
  <si>
    <t>Food Bank-LED Distribution</t>
  </si>
  <si>
    <t>Lighting Discounts - IE [Combined with Appliance Rebates - IE]</t>
  </si>
  <si>
    <t>UIC-ERC Income Eligible Kits</t>
  </si>
  <si>
    <t>Multi-Family Retrofits - IE (Joint w/Nicor Gas &amp; PGL/NSG)</t>
  </si>
  <si>
    <t>Single-Family Retrofits - CBA (Joint w/Nicor Gas &amp; PGL/NSG)</t>
  </si>
  <si>
    <t>Appliance Rebates - IE [Combined with Lighting Discounts - IE]</t>
  </si>
  <si>
    <t>Multi-Family Retrofits - IHWAP (Joint w/Nicor Gas &amp; PGL/NSG)</t>
  </si>
  <si>
    <t>Public Housing Retrofits (Joint w/Nicor Gas &amp; PGL/NSG)</t>
  </si>
  <si>
    <t>Single-Family Retrofits - IHWAP (Joint w/Nicor Gas &amp; PGL/NSG)</t>
  </si>
  <si>
    <t>Manufactured Housing Retrofit</t>
  </si>
  <si>
    <t>IE Program Design Pilot</t>
  </si>
  <si>
    <t>IE Senior Design Pilot</t>
  </si>
  <si>
    <t>Ductless Heat Pump and Building Envelope Pilot</t>
  </si>
  <si>
    <t>Business Outreach</t>
  </si>
  <si>
    <t>Included in Cell R24</t>
  </si>
  <si>
    <t>Included in Cell R28</t>
  </si>
  <si>
    <t>Included in Cell S28</t>
  </si>
  <si>
    <t>Included in Cell S24</t>
  </si>
  <si>
    <t>New Manufactured Housing</t>
  </si>
  <si>
    <t>Included in Cell I48</t>
  </si>
  <si>
    <t>Business HVAC/Lighting/Distressed Communities</t>
  </si>
  <si>
    <t>Included in Cell I 28</t>
  </si>
  <si>
    <t>Included in Cell I 24</t>
  </si>
  <si>
    <t>Included in Cell I 23</t>
  </si>
  <si>
    <t>Included in Cell I 52</t>
  </si>
  <si>
    <t>Included in Cell I 54</t>
  </si>
  <si>
    <t>Included in Cell I 55</t>
  </si>
  <si>
    <t>*The costs above are limited to rider costs.</t>
  </si>
  <si>
    <t xml:space="preserve">*The costs above are limited to rider costs. </t>
  </si>
  <si>
    <t>https://www.ilsag.info/evaluation-documents/final-evaluation-reports/#comed</t>
  </si>
  <si>
    <t>**Columns D-J include only those therms claimed toward the 10% therm conversion limit. Columns K-O reflect all verified therms including unclaimed therms that surpassed the therm conversion limit.</t>
  </si>
  <si>
    <t>Measures Distributed</t>
  </si>
  <si>
    <t>Multifamily Buildings</t>
  </si>
  <si>
    <r>
      <t>Portfolio Summary for the</t>
    </r>
    <r>
      <rPr>
        <b/>
        <sz val="11"/>
        <color rgb="FFFF0000"/>
        <rFont val="Century Gothic"/>
        <family val="2"/>
      </rPr>
      <t xml:space="preserve"> ComEd </t>
    </r>
    <r>
      <rPr>
        <b/>
        <sz val="11"/>
        <rFont val="Century Gothic"/>
        <family val="2"/>
      </rPr>
      <t xml:space="preserve">Section </t>
    </r>
    <r>
      <rPr>
        <b/>
        <sz val="11"/>
        <color rgb="FFFF0000"/>
        <rFont val="Century Gothic"/>
        <family val="2"/>
      </rPr>
      <t xml:space="preserve">[8-103, 8-103B, 8-104] </t>
    </r>
    <r>
      <rPr>
        <b/>
        <sz val="11"/>
        <rFont val="Century Gothic"/>
        <family val="2"/>
      </rPr>
      <t>(EEPS) Programs as of</t>
    </r>
    <r>
      <rPr>
        <b/>
        <sz val="11"/>
        <color rgb="FFFF0000"/>
        <rFont val="Century Gothic"/>
        <family val="2"/>
      </rPr>
      <t xml:space="preserve"> CY2019</t>
    </r>
  </si>
  <si>
    <r>
      <t>Portfolio Summary for</t>
    </r>
    <r>
      <rPr>
        <b/>
        <sz val="11"/>
        <color rgb="FFFF0000"/>
        <rFont val="Century Gothic"/>
        <family val="2"/>
      </rPr>
      <t xml:space="preserve"> </t>
    </r>
    <r>
      <rPr>
        <b/>
        <sz val="11"/>
        <rFont val="Century Gothic"/>
        <family val="2"/>
      </rPr>
      <t xml:space="preserve">DCEO Programs in </t>
    </r>
    <r>
      <rPr>
        <b/>
        <sz val="11"/>
        <color rgb="FFFF0000"/>
        <rFont val="Century Gothic"/>
        <family val="2"/>
      </rPr>
      <t xml:space="preserve">ComEd </t>
    </r>
    <r>
      <rPr>
        <b/>
        <sz val="11"/>
        <rFont val="Century Gothic"/>
        <family val="2"/>
      </rPr>
      <t xml:space="preserve">Service Territory as of </t>
    </r>
    <r>
      <rPr>
        <b/>
        <sz val="11"/>
        <color rgb="FFFF0000"/>
        <rFont val="Century Gothic"/>
        <family val="2"/>
      </rPr>
      <t>CY2019</t>
    </r>
  </si>
  <si>
    <r>
      <t xml:space="preserve">Total Portfolio Summary for </t>
    </r>
    <r>
      <rPr>
        <b/>
        <sz val="11"/>
        <color rgb="FFFF0000"/>
        <rFont val="Century Gothic"/>
        <family val="2"/>
      </rPr>
      <t>ComEd</t>
    </r>
    <r>
      <rPr>
        <b/>
        <sz val="11"/>
        <rFont val="Century Gothic"/>
        <family val="2"/>
      </rPr>
      <t xml:space="preserve"> Service Territory - Section(s) </t>
    </r>
    <r>
      <rPr>
        <b/>
        <sz val="11"/>
        <color rgb="FFFF0000"/>
        <rFont val="Century Gothic"/>
        <family val="2"/>
      </rPr>
      <t xml:space="preserve">[8-103, 8-103B, 8-104, 16-111.5B] </t>
    </r>
    <r>
      <rPr>
        <b/>
        <sz val="11"/>
        <rFont val="Century Gothic"/>
        <family val="2"/>
      </rPr>
      <t xml:space="preserve">and DCEO Programs as of </t>
    </r>
    <r>
      <rPr>
        <b/>
        <sz val="11"/>
        <color rgb="FFFF0000"/>
        <rFont val="Century Gothic"/>
        <family val="2"/>
      </rPr>
      <t>CY2019</t>
    </r>
  </si>
  <si>
    <t>Final (updated 8-6-2020)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</si>
</sst>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_(&quot;$&quot;* #,##0.000000_);_(&quot;$&quot;* \(#,##0.000000\);_(&quot;$&quot;* &quot;-&quot;??_);_(@_)"/>
  </numFmts>
  <fonts count="29" x14ac:knownFonts="1">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sz val="11"/>
      <name val="Century Gothic"/>
      <family val="2"/>
    </font>
    <font>
      <b/>
      <sz val="11"/>
      <name val="Century Gothic"/>
      <family val="2"/>
    </font>
    <font>
      <b/>
      <sz val="10"/>
      <color indexed="9"/>
      <name val="Century Gothic"/>
      <family val="2"/>
    </font>
    <font>
      <sz val="10"/>
      <color theme="1"/>
      <name val="Calibri"/>
      <family val="2"/>
      <scheme val="minor"/>
    </font>
    <font>
      <b/>
      <sz val="10"/>
      <color rgb="FFFF0000"/>
      <name val="Century Gothic"/>
      <family val="2"/>
    </font>
    <font>
      <i/>
      <sz val="10"/>
      <name val="Century Gothic"/>
      <family val="2"/>
    </font>
    <font>
      <b/>
      <sz val="11"/>
      <color rgb="FFFF0000"/>
      <name val="Century Gothic"/>
      <family val="2"/>
    </font>
    <font>
      <sz val="10"/>
      <color theme="0"/>
      <name val="Century Gothic"/>
      <family val="2"/>
    </font>
    <font>
      <b/>
      <sz val="12"/>
      <color theme="1"/>
      <name val="Century Gothic"/>
      <family val="2"/>
    </font>
    <font>
      <b/>
      <sz val="12"/>
      <color rgb="FFFF0000"/>
      <name val="Century Gothic"/>
      <family val="2"/>
    </font>
    <font>
      <b/>
      <i/>
      <sz val="11"/>
      <color theme="1"/>
      <name val="Century Gothic"/>
      <family val="2"/>
    </font>
    <font>
      <b/>
      <sz val="10"/>
      <color theme="1"/>
      <name val="Century Gothic"/>
      <family val="2"/>
    </font>
    <font>
      <i/>
      <sz val="11"/>
      <color theme="1"/>
      <name val="Century Gothic"/>
      <family val="2"/>
    </font>
    <font>
      <sz val="11"/>
      <color theme="1"/>
      <name val="Calibri"/>
      <family val="2"/>
      <scheme val="minor"/>
    </font>
    <font>
      <sz val="10"/>
      <color theme="1" tint="0.34998626667073579"/>
      <name val="Century Gothic"/>
      <family val="2"/>
    </font>
    <font>
      <sz val="10"/>
      <color rgb="FF000000"/>
      <name val="Century Gothic"/>
      <family val="2"/>
    </font>
    <font>
      <sz val="8"/>
      <name val="Century Gothic"/>
      <family val="2"/>
    </font>
    <font>
      <sz val="7"/>
      <name val="Century Gothic"/>
      <family val="2"/>
    </font>
    <font>
      <sz val="9"/>
      <name val="Century Gothic"/>
      <family val="2"/>
    </font>
    <font>
      <i/>
      <sz val="9"/>
      <name val="Century Gothic"/>
      <family val="2"/>
    </font>
    <font>
      <u/>
      <sz val="11"/>
      <color theme="10"/>
      <name val="Calibri"/>
      <family val="2"/>
      <scheme val="minor"/>
    </font>
  </fonts>
  <fills count="11">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rgb="FFCACACA"/>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s>
  <cellStyleXfs count="5">
    <xf numFmtId="0" fontId="0" fillId="0" borderId="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0" fontId="28" fillId="0" borderId="0" applyNumberFormat="0" applyFill="0" applyBorder="0" applyAlignment="0" applyProtection="0"/>
  </cellStyleXfs>
  <cellXfs count="434">
    <xf numFmtId="0" fontId="0" fillId="0" borderId="0" xfId="0"/>
    <xf numFmtId="164" fontId="1" fillId="0" borderId="1" xfId="0" applyNumberFormat="1" applyFont="1" applyFill="1" applyBorder="1" applyAlignment="1"/>
    <xf numFmtId="0" fontId="1" fillId="0" borderId="1" xfId="0" applyFont="1" applyBorder="1" applyAlignment="1">
      <alignment horizontal="left" wrapText="1"/>
    </xf>
    <xf numFmtId="164" fontId="1" fillId="0" borderId="1" xfId="0" applyNumberFormat="1" applyFont="1" applyBorder="1" applyAlignment="1"/>
    <xf numFmtId="0" fontId="2" fillId="4" borderId="1" xfId="0" applyFont="1" applyFill="1" applyBorder="1" applyAlignment="1">
      <alignment horizontal="left" wrapText="1"/>
    </xf>
    <xf numFmtId="0" fontId="4" fillId="0" borderId="0" xfId="0" applyFont="1"/>
    <xf numFmtId="0" fontId="5" fillId="0" borderId="0" xfId="0" applyFont="1"/>
    <xf numFmtId="0" fontId="6" fillId="0" borderId="0" xfId="0" applyFont="1"/>
    <xf numFmtId="0" fontId="7" fillId="0" borderId="0" xfId="0" applyFont="1" applyFill="1" applyBorder="1" applyAlignment="1"/>
    <xf numFmtId="0" fontId="3" fillId="0" borderId="0" xfId="0" applyFont="1" applyFill="1" applyBorder="1" applyAlignment="1"/>
    <xf numFmtId="0" fontId="6" fillId="0" borderId="0" xfId="0" applyFont="1" applyBorder="1"/>
    <xf numFmtId="0" fontId="3" fillId="0" borderId="0" xfId="0" applyFont="1" applyFill="1" applyBorder="1" applyAlignment="1">
      <alignment horizontal="left" wrapText="1"/>
    </xf>
    <xf numFmtId="164" fontId="3" fillId="0" borderId="0" xfId="0" applyNumberFormat="1" applyFont="1" applyFill="1" applyBorder="1" applyAlignment="1"/>
    <xf numFmtId="0" fontId="10" fillId="2" borderId="1" xfId="0" applyFont="1" applyFill="1" applyBorder="1" applyAlignment="1">
      <alignment horizontal="center" vertical="center" wrapText="1"/>
    </xf>
    <xf numFmtId="0" fontId="11" fillId="0" borderId="0" xfId="0" applyFont="1"/>
    <xf numFmtId="0" fontId="10" fillId="0" borderId="1" xfId="0" applyFont="1" applyFill="1" applyBorder="1" applyAlignment="1">
      <alignment horizontal="center" vertical="center" wrapText="1"/>
    </xf>
    <xf numFmtId="1" fontId="6" fillId="0" borderId="0" xfId="0" applyNumberFormat="1" applyFont="1" applyBorder="1" applyAlignment="1">
      <alignment horizontal="center"/>
    </xf>
    <xf numFmtId="9" fontId="2" fillId="0" borderId="1" xfId="0" applyNumberFormat="1" applyFont="1" applyFill="1" applyBorder="1" applyAlignment="1">
      <alignment horizontal="center"/>
    </xf>
    <xf numFmtId="0" fontId="2" fillId="0" borderId="1" xfId="0" applyFont="1" applyFill="1" applyBorder="1" applyAlignment="1">
      <alignment horizontal="left"/>
    </xf>
    <xf numFmtId="164" fontId="2" fillId="0" borderId="1" xfId="0" applyNumberFormat="1" applyFont="1" applyFill="1" applyBorder="1" applyAlignment="1"/>
    <xf numFmtId="0" fontId="3" fillId="2" borderId="1" xfId="0" applyFont="1" applyFill="1" applyBorder="1" applyAlignment="1">
      <alignment horizontal="center" vertical="center" wrapText="1"/>
    </xf>
    <xf numFmtId="0" fontId="6" fillId="0" borderId="0" xfId="0" applyFont="1" applyBorder="1" applyAlignment="1">
      <alignment horizontal="left" vertical="center" wrapText="1"/>
    </xf>
    <xf numFmtId="0" fontId="0" fillId="0" borderId="0" xfId="0" applyFill="1"/>
    <xf numFmtId="0" fontId="8" fillId="0"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5" fillId="0" borderId="0" xfId="0" applyFont="1" applyAlignment="1">
      <alignment wrapText="1"/>
    </xf>
    <xf numFmtId="0" fontId="3" fillId="0" borderId="0"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 fillId="3" borderId="1" xfId="0" applyFont="1" applyFill="1" applyBorder="1" applyAlignment="1">
      <alignment horizontal="left" wrapText="1"/>
    </xf>
    <xf numFmtId="164" fontId="1" fillId="3" borderId="1" xfId="0" applyNumberFormat="1" applyFont="1" applyFill="1" applyBorder="1" applyAlignment="1"/>
    <xf numFmtId="0" fontId="2" fillId="6" borderId="1" xfId="0" applyFont="1" applyFill="1" applyBorder="1" applyAlignment="1">
      <alignment horizontal="left" vertical="center" wrapText="1"/>
    </xf>
    <xf numFmtId="0" fontId="13" fillId="3" borderId="1" xfId="0" applyFont="1" applyFill="1" applyBorder="1" applyAlignment="1">
      <alignment horizontal="right" wrapText="1"/>
    </xf>
    <xf numFmtId="0" fontId="1"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5" fillId="0" borderId="0" xfId="0" applyFont="1" applyBorder="1" applyAlignment="1">
      <alignment horizontal="left" vertical="center"/>
    </xf>
    <xf numFmtId="0" fontId="8" fillId="0"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2" fillId="8" borderId="1" xfId="0" applyFont="1" applyFill="1" applyBorder="1" applyAlignment="1">
      <alignment horizontal="left" vertical="center" wrapText="1"/>
    </xf>
    <xf numFmtId="164" fontId="2" fillId="8" borderId="1" xfId="0" applyNumberFormat="1" applyFont="1" applyFill="1" applyBorder="1" applyAlignment="1"/>
    <xf numFmtId="0" fontId="4" fillId="0" borderId="0" xfId="0" applyFont="1" applyBorder="1" applyAlignment="1">
      <alignment vertical="center" wrapText="1"/>
    </xf>
    <xf numFmtId="0" fontId="2" fillId="0" borderId="0" xfId="0" applyFont="1" applyFill="1" applyBorder="1" applyAlignment="1">
      <alignment horizontal="left" vertical="center" wrapText="1"/>
    </xf>
    <xf numFmtId="3" fontId="6" fillId="0" borderId="0" xfId="0" applyNumberFormat="1" applyFont="1" applyFill="1" applyBorder="1" applyAlignment="1">
      <alignment horizontal="center"/>
    </xf>
    <xf numFmtId="0" fontId="0" fillId="0" borderId="0" xfId="0" applyBorder="1"/>
    <xf numFmtId="0" fontId="3" fillId="0" borderId="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9" fillId="0" borderId="0" xfId="0" applyFont="1"/>
    <xf numFmtId="0" fontId="9" fillId="0" borderId="0" xfId="0" applyFont="1" applyFill="1" applyBorder="1" applyAlignment="1">
      <alignment vertical="center"/>
    </xf>
    <xf numFmtId="0" fontId="0" fillId="0" borderId="0" xfId="0" applyAlignment="1">
      <alignment vertical="center"/>
    </xf>
    <xf numFmtId="0" fontId="1"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3" fillId="0" borderId="0" xfId="0" applyFont="1" applyFill="1" applyBorder="1" applyAlignme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 fillId="0" borderId="1" xfId="0" applyFont="1" applyBorder="1" applyAlignment="1">
      <alignment horizontal="right" wrapText="1"/>
    </xf>
    <xf numFmtId="165" fontId="1" fillId="0" borderId="1" xfId="1" applyNumberFormat="1" applyFont="1" applyFill="1" applyBorder="1" applyAlignment="1">
      <alignment horizontal="right" vertical="center" wrapText="1"/>
    </xf>
    <xf numFmtId="43" fontId="1" fillId="0" borderId="1" xfId="1" applyFont="1" applyFill="1" applyBorder="1" applyAlignment="1">
      <alignment horizontal="right" vertical="center" wrapText="1"/>
    </xf>
    <xf numFmtId="165" fontId="1" fillId="0" borderId="1" xfId="1" applyNumberFormat="1" applyFont="1" applyFill="1" applyBorder="1" applyAlignment="1">
      <alignment horizontal="right"/>
    </xf>
    <xf numFmtId="43" fontId="1" fillId="0" borderId="1" xfId="1" applyFont="1" applyFill="1" applyBorder="1" applyAlignment="1">
      <alignment horizontal="right"/>
    </xf>
    <xf numFmtId="3" fontId="1" fillId="0" borderId="1" xfId="0" applyNumberFormat="1" applyFont="1" applyFill="1" applyBorder="1" applyAlignment="1">
      <alignment horizontal="right"/>
    </xf>
    <xf numFmtId="164" fontId="1" fillId="0" borderId="1" xfId="2" applyNumberFormat="1" applyFont="1" applyFill="1" applyBorder="1" applyAlignment="1">
      <alignment horizontal="right"/>
    </xf>
    <xf numFmtId="164" fontId="1" fillId="0" borderId="1" xfId="0" applyNumberFormat="1" applyFont="1" applyFill="1" applyBorder="1" applyAlignment="1">
      <alignment horizontal="right"/>
    </xf>
    <xf numFmtId="0" fontId="1" fillId="0" borderId="1" xfId="0" applyFont="1" applyFill="1" applyBorder="1" applyAlignment="1">
      <alignment horizontal="right" vertical="center" wrapText="1"/>
    </xf>
    <xf numFmtId="165" fontId="1" fillId="0" borderId="1" xfId="1" applyNumberFormat="1" applyFont="1" applyBorder="1" applyAlignment="1">
      <alignment horizontal="right" wrapText="1"/>
    </xf>
    <xf numFmtId="43" fontId="1" fillId="0" borderId="1" xfId="1" applyFont="1" applyBorder="1" applyAlignment="1">
      <alignment horizontal="right" wrapText="1"/>
    </xf>
    <xf numFmtId="3" fontId="1" fillId="0" borderId="1" xfId="0" applyNumberFormat="1" applyFont="1" applyFill="1" applyBorder="1" applyAlignment="1">
      <alignment horizontal="right" vertical="center" wrapText="1"/>
    </xf>
    <xf numFmtId="165" fontId="2" fillId="4" borderId="1" xfId="0" applyNumberFormat="1" applyFont="1" applyFill="1" applyBorder="1" applyAlignment="1">
      <alignment horizontal="right"/>
    </xf>
    <xf numFmtId="43" fontId="2" fillId="4" borderId="1" xfId="0" applyNumberFormat="1" applyFont="1" applyFill="1" applyBorder="1" applyAlignment="1">
      <alignment horizontal="right"/>
    </xf>
    <xf numFmtId="164" fontId="2" fillId="4" borderId="1" xfId="0" applyNumberFormat="1" applyFont="1" applyFill="1" applyBorder="1" applyAlignment="1">
      <alignment horizontal="right"/>
    </xf>
    <xf numFmtId="0" fontId="2" fillId="4" borderId="13" xfId="0" applyFont="1" applyFill="1" applyBorder="1" applyAlignment="1">
      <alignment horizontal="right"/>
    </xf>
    <xf numFmtId="43" fontId="2" fillId="4" borderId="1" xfId="1" applyFont="1" applyFill="1" applyBorder="1" applyAlignment="1">
      <alignment horizontal="right" vertical="center" wrapText="1"/>
    </xf>
    <xf numFmtId="0" fontId="2" fillId="4" borderId="1" xfId="0" applyNumberFormat="1" applyFont="1" applyFill="1" applyBorder="1" applyAlignment="1">
      <alignment horizontal="right"/>
    </xf>
    <xf numFmtId="165" fontId="2" fillId="4" borderId="1" xfId="1" applyNumberFormat="1" applyFont="1" applyFill="1" applyBorder="1" applyAlignment="1">
      <alignment horizontal="right"/>
    </xf>
    <xf numFmtId="164" fontId="2" fillId="4" borderId="13" xfId="0" applyNumberFormat="1" applyFont="1" applyFill="1" applyBorder="1" applyAlignment="1">
      <alignment horizontal="right"/>
    </xf>
    <xf numFmtId="43" fontId="2" fillId="4" borderId="13" xfId="1" applyFont="1" applyFill="1" applyBorder="1" applyAlignment="1">
      <alignment horizontal="right"/>
    </xf>
    <xf numFmtId="165" fontId="2" fillId="4" borderId="13" xfId="1" applyNumberFormat="1" applyFont="1" applyFill="1" applyBorder="1" applyAlignment="1">
      <alignment horizontal="right"/>
    </xf>
    <xf numFmtId="164" fontId="1" fillId="0" borderId="1" xfId="2" applyNumberFormat="1" applyFont="1" applyFill="1" applyBorder="1" applyAlignment="1"/>
    <xf numFmtId="164" fontId="10" fillId="0" borderId="1" xfId="2" applyNumberFormat="1" applyFont="1" applyFill="1" applyBorder="1" applyAlignment="1">
      <alignment horizontal="center" vertical="center" wrapText="1"/>
    </xf>
    <xf numFmtId="164" fontId="1" fillId="0" borderId="1" xfId="2" applyNumberFormat="1" applyFont="1" applyBorder="1" applyAlignment="1">
      <alignment horizontal="left" wrapText="1"/>
    </xf>
    <xf numFmtId="164" fontId="1" fillId="0" borderId="1" xfId="2" applyNumberFormat="1" applyFont="1" applyBorder="1" applyAlignment="1"/>
    <xf numFmtId="165" fontId="2" fillId="6" borderId="1" xfId="0" applyNumberFormat="1" applyFont="1" applyFill="1" applyBorder="1" applyAlignment="1">
      <alignment horizontal="left" wrapText="1"/>
    </xf>
    <xf numFmtId="43" fontId="2" fillId="6" borderId="1" xfId="1" applyFont="1" applyFill="1" applyBorder="1" applyAlignment="1">
      <alignment horizontal="right" wrapText="1"/>
    </xf>
    <xf numFmtId="164" fontId="2" fillId="6" borderId="1" xfId="2" applyNumberFormat="1" applyFont="1" applyFill="1" applyBorder="1" applyAlignment="1">
      <alignment horizontal="left" wrapText="1"/>
    </xf>
    <xf numFmtId="164" fontId="2" fillId="6" borderId="1" xfId="0" applyNumberFormat="1" applyFont="1" applyFill="1" applyBorder="1" applyAlignment="1">
      <alignment horizontal="right"/>
    </xf>
    <xf numFmtId="165" fontId="1" fillId="0" borderId="1" xfId="1" applyNumberFormat="1" applyFont="1" applyBorder="1" applyAlignment="1">
      <alignment horizontal="right"/>
    </xf>
    <xf numFmtId="43" fontId="1" fillId="0" borderId="1" xfId="1" applyFont="1" applyBorder="1" applyAlignment="1">
      <alignment horizontal="right"/>
    </xf>
    <xf numFmtId="3" fontId="1" fillId="0" borderId="1" xfId="0" applyNumberFormat="1" applyFont="1" applyBorder="1" applyAlignment="1">
      <alignment horizontal="right"/>
    </xf>
    <xf numFmtId="164" fontId="1" fillId="0" borderId="1" xfId="2" applyNumberFormat="1" applyFont="1" applyBorder="1" applyAlignment="1">
      <alignment horizontal="right"/>
    </xf>
    <xf numFmtId="164" fontId="1" fillId="0" borderId="1" xfId="0" applyNumberFormat="1" applyFont="1" applyBorder="1" applyAlignment="1">
      <alignment horizontal="right"/>
    </xf>
    <xf numFmtId="164" fontId="2" fillId="4" borderId="1" xfId="2" applyNumberFormat="1" applyFont="1" applyFill="1" applyBorder="1" applyAlignment="1">
      <alignment horizontal="right"/>
    </xf>
    <xf numFmtId="164" fontId="2" fillId="8" borderId="1" xfId="2" applyNumberFormat="1" applyFont="1" applyFill="1" applyBorder="1" applyAlignment="1">
      <alignment horizontal="right"/>
    </xf>
    <xf numFmtId="164" fontId="2" fillId="6" borderId="1" xfId="2" applyNumberFormat="1" applyFont="1" applyFill="1" applyBorder="1" applyAlignment="1">
      <alignment horizontal="right"/>
    </xf>
    <xf numFmtId="3"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3"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xf>
    <xf numFmtId="9" fontId="8" fillId="0" borderId="1" xfId="3" applyFont="1" applyFill="1" applyBorder="1" applyAlignment="1">
      <alignment horizontal="center" vertical="center" wrapText="1"/>
    </xf>
    <xf numFmtId="0" fontId="4" fillId="0" borderId="1" xfId="0" applyFont="1" applyFill="1" applyBorder="1" applyAlignment="1">
      <alignment horizontal="center"/>
    </xf>
    <xf numFmtId="43" fontId="1" fillId="0" borderId="1" xfId="1" applyFont="1" applyFill="1" applyBorder="1" applyAlignment="1">
      <alignment horizontal="center" vertical="center" wrapText="1"/>
    </xf>
    <xf numFmtId="165" fontId="4" fillId="0" borderId="1" xfId="1" applyNumberFormat="1" applyFont="1" applyBorder="1" applyAlignment="1">
      <alignment horizontal="center" vertical="center"/>
    </xf>
    <xf numFmtId="37" fontId="4" fillId="0" borderId="1" xfId="1" applyNumberFormat="1" applyFont="1" applyBorder="1" applyAlignment="1">
      <alignment horizontal="center"/>
    </xf>
    <xf numFmtId="164" fontId="8" fillId="0" borderId="1" xfId="2"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3" fontId="5" fillId="5" borderId="1" xfId="0" applyNumberFormat="1" applyFont="1" applyFill="1" applyBorder="1" applyAlignment="1">
      <alignment horizontal="center"/>
    </xf>
    <xf numFmtId="164" fontId="8" fillId="0" borderId="1" xfId="2" applyNumberFormat="1" applyFont="1" applyFill="1" applyBorder="1" applyAlignment="1">
      <alignment horizontal="center" vertical="center"/>
    </xf>
    <xf numFmtId="164" fontId="9" fillId="5" borderId="1" xfId="2" applyNumberFormat="1" applyFont="1" applyFill="1" applyBorder="1" applyAlignment="1">
      <alignment horizontal="center" vertical="center" wrapText="1"/>
    </xf>
    <xf numFmtId="164" fontId="9" fillId="5" borderId="2" xfId="2" applyNumberFormat="1" applyFont="1" applyFill="1" applyBorder="1" applyAlignment="1">
      <alignment horizontal="center" vertical="center" wrapText="1"/>
    </xf>
    <xf numFmtId="9" fontId="9" fillId="5" borderId="1" xfId="3"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165" fontId="1" fillId="0" borderId="1" xfId="1" applyNumberFormat="1" applyFont="1" applyFill="1" applyBorder="1" applyAlignment="1"/>
    <xf numFmtId="165" fontId="1" fillId="0" borderId="1" xfId="1" applyNumberFormat="1" applyFont="1" applyBorder="1" applyAlignment="1">
      <alignment horizontal="left" wrapText="1"/>
    </xf>
    <xf numFmtId="43" fontId="1" fillId="0" borderId="1" xfId="1" applyFont="1" applyBorder="1" applyAlignment="1">
      <alignment horizontal="left" wrapText="1"/>
    </xf>
    <xf numFmtId="43" fontId="1" fillId="0" borderId="1" xfId="1" applyFont="1" applyFill="1" applyBorder="1" applyAlignment="1"/>
    <xf numFmtId="37" fontId="1" fillId="0" borderId="1" xfId="0" applyNumberFormat="1" applyFont="1" applyFill="1" applyBorder="1" applyAlignment="1"/>
    <xf numFmtId="164" fontId="1" fillId="0" borderId="15" xfId="2" applyNumberFormat="1" applyFont="1" applyFill="1" applyBorder="1" applyAlignment="1">
      <alignment horizontal="right" vertical="center"/>
    </xf>
    <xf numFmtId="165" fontId="1" fillId="0" borderId="14" xfId="1" applyNumberFormat="1" applyFont="1" applyBorder="1" applyAlignment="1">
      <alignment horizontal="right"/>
    </xf>
    <xf numFmtId="0" fontId="1" fillId="0" borderId="1" xfId="0" applyNumberFormat="1" applyFont="1" applyFill="1" applyBorder="1" applyAlignment="1">
      <alignment horizontal="right"/>
    </xf>
    <xf numFmtId="43" fontId="1" fillId="0" borderId="1" xfId="1" applyFont="1" applyBorder="1" applyAlignment="1"/>
    <xf numFmtId="165" fontId="1" fillId="0" borderId="1" xfId="1" applyNumberFormat="1" applyFont="1" applyBorder="1" applyAlignment="1"/>
    <xf numFmtId="43" fontId="2" fillId="4" borderId="1" xfId="1" applyFont="1" applyFill="1" applyBorder="1" applyAlignment="1">
      <alignment horizontal="right"/>
    </xf>
    <xf numFmtId="37" fontId="1" fillId="0" borderId="1" xfId="0" applyNumberFormat="1" applyFont="1" applyBorder="1" applyAlignment="1"/>
    <xf numFmtId="165" fontId="1" fillId="0" borderId="14" xfId="1" applyNumberFormat="1" applyFont="1" applyFill="1" applyBorder="1" applyAlignment="1">
      <alignment horizontal="right"/>
    </xf>
    <xf numFmtId="39" fontId="1" fillId="0" borderId="1" xfId="0" applyNumberFormat="1" applyFont="1" applyBorder="1" applyAlignment="1"/>
    <xf numFmtId="39" fontId="1" fillId="0" borderId="1" xfId="2" applyNumberFormat="1" applyFont="1" applyBorder="1" applyAlignment="1"/>
    <xf numFmtId="164" fontId="1" fillId="0" borderId="1" xfId="0" applyNumberFormat="1" applyFont="1" applyBorder="1" applyAlignment="1">
      <alignment horizontal="right" vertical="center"/>
    </xf>
    <xf numFmtId="0" fontId="1" fillId="0" borderId="1" xfId="0" applyNumberFormat="1" applyFont="1" applyFill="1" applyBorder="1" applyAlignment="1"/>
    <xf numFmtId="164" fontId="1" fillId="0" borderId="1" xfId="2" applyNumberFormat="1" applyFont="1" applyBorder="1" applyAlignment="1">
      <alignment wrapText="1"/>
    </xf>
    <xf numFmtId="164" fontId="1" fillId="0" borderId="0" xfId="2" applyNumberFormat="1" applyFont="1" applyAlignment="1"/>
    <xf numFmtId="165" fontId="2" fillId="8" borderId="1" xfId="1" applyNumberFormat="1" applyFont="1" applyFill="1" applyBorder="1" applyAlignment="1">
      <alignment horizontal="right"/>
    </xf>
    <xf numFmtId="165" fontId="2" fillId="6" borderId="1" xfId="1" applyNumberFormat="1" applyFont="1" applyFill="1" applyBorder="1" applyAlignment="1">
      <alignment horizontal="left" wrapText="1"/>
    </xf>
    <xf numFmtId="165" fontId="2" fillId="0" borderId="0" xfId="0" applyNumberFormat="1" applyFont="1" applyFill="1" applyBorder="1" applyAlignment="1">
      <alignment horizontal="left" wrapText="1"/>
    </xf>
    <xf numFmtId="164" fontId="1" fillId="0" borderId="1" xfId="2" applyNumberFormat="1" applyFont="1" applyFill="1" applyBorder="1" applyAlignment="1">
      <alignment horizontal="right" vertical="center"/>
    </xf>
    <xf numFmtId="0" fontId="1" fillId="0" borderId="1" xfId="0" applyFont="1" applyFill="1" applyBorder="1" applyAlignment="1">
      <alignment horizontal="right" wrapText="1"/>
    </xf>
    <xf numFmtId="165" fontId="1" fillId="0" borderId="1" xfId="1" applyNumberFormat="1" applyFont="1" applyFill="1" applyBorder="1" applyAlignment="1">
      <alignment horizontal="right" wrapText="1"/>
    </xf>
    <xf numFmtId="164" fontId="1" fillId="0" borderId="1" xfId="2" applyNumberFormat="1" applyFont="1" applyFill="1" applyBorder="1" applyAlignment="1">
      <alignment vertical="center"/>
    </xf>
    <xf numFmtId="164" fontId="1" fillId="0" borderId="15" xfId="2" applyNumberFormat="1" applyFont="1" applyBorder="1" applyAlignment="1">
      <alignment horizontal="right" vertical="center"/>
    </xf>
    <xf numFmtId="37" fontId="1" fillId="0" borderId="1" xfId="0" applyNumberFormat="1" applyFont="1" applyBorder="1" applyAlignment="1">
      <alignment horizontal="right"/>
    </xf>
    <xf numFmtId="164" fontId="1" fillId="0" borderId="15" xfId="0" applyNumberFormat="1" applyFont="1" applyBorder="1" applyAlignment="1">
      <alignment horizontal="right" vertical="center"/>
    </xf>
    <xf numFmtId="3" fontId="1" fillId="0" borderId="1" xfId="0" applyNumberFormat="1" applyFont="1" applyBorder="1" applyAlignment="1">
      <alignment horizontal="right" wrapText="1"/>
    </xf>
    <xf numFmtId="43" fontId="1" fillId="0" borderId="15" xfId="1" applyFont="1" applyBorder="1" applyAlignment="1">
      <alignment horizontal="right" wrapText="1"/>
    </xf>
    <xf numFmtId="165" fontId="1" fillId="0" borderId="15" xfId="1" applyNumberFormat="1" applyFont="1" applyFill="1" applyBorder="1" applyAlignment="1">
      <alignment horizontal="right"/>
    </xf>
    <xf numFmtId="164" fontId="1" fillId="0" borderId="15" xfId="0" applyNumberFormat="1" applyFont="1" applyBorder="1" applyAlignment="1">
      <alignment horizontal="right"/>
    </xf>
    <xf numFmtId="0" fontId="1" fillId="0" borderId="15" xfId="0" applyFont="1" applyBorder="1" applyAlignment="1">
      <alignment horizontal="right" wrapText="1"/>
    </xf>
    <xf numFmtId="1" fontId="1" fillId="0" borderId="15" xfId="2" applyNumberFormat="1" applyFont="1" applyBorder="1" applyAlignment="1">
      <alignment horizontal="right"/>
    </xf>
    <xf numFmtId="0" fontId="1" fillId="0" borderId="0" xfId="0" applyFont="1" applyAlignment="1">
      <alignment horizontal="right"/>
    </xf>
    <xf numFmtId="165" fontId="1" fillId="0" borderId="0" xfId="1" applyNumberFormat="1" applyFont="1" applyBorder="1" applyAlignment="1">
      <alignment horizontal="right"/>
    </xf>
    <xf numFmtId="164" fontId="1" fillId="0" borderId="15" xfId="2" applyNumberFormat="1" applyFont="1" applyBorder="1" applyAlignment="1">
      <alignment vertical="center"/>
    </xf>
    <xf numFmtId="164" fontId="1" fillId="0" borderId="15" xfId="0" applyNumberFormat="1" applyFont="1" applyBorder="1" applyAlignment="1">
      <alignment vertical="center"/>
    </xf>
    <xf numFmtId="164" fontId="2" fillId="4" borderId="1" xfId="0" applyNumberFormat="1" applyFont="1" applyFill="1" applyBorder="1" applyAlignment="1"/>
    <xf numFmtId="164" fontId="1" fillId="0" borderId="15" xfId="2" applyNumberFormat="1" applyFont="1" applyBorder="1" applyAlignment="1"/>
    <xf numFmtId="164" fontId="1" fillId="0" borderId="15" xfId="0" applyNumberFormat="1" applyFont="1" applyBorder="1" applyAlignment="1"/>
    <xf numFmtId="164" fontId="2" fillId="0" borderId="0" xfId="0" applyNumberFormat="1" applyFont="1" applyFill="1" applyBorder="1" applyAlignment="1"/>
    <xf numFmtId="43" fontId="1" fillId="0" borderId="1" xfId="1" applyFont="1" applyFill="1" applyBorder="1" applyAlignment="1">
      <alignment horizontal="right" wrapText="1"/>
    </xf>
    <xf numFmtId="0" fontId="1" fillId="0" borderId="13" xfId="0" applyFont="1" applyBorder="1" applyAlignment="1">
      <alignment horizontal="right" wrapText="1"/>
    </xf>
    <xf numFmtId="164" fontId="1" fillId="0" borderId="13" xfId="0" applyNumberFormat="1" applyFont="1" applyBorder="1" applyAlignment="1"/>
    <xf numFmtId="164" fontId="1" fillId="0" borderId="13" xfId="2" applyNumberFormat="1" applyFont="1" applyBorder="1" applyAlignment="1">
      <alignment wrapText="1"/>
    </xf>
    <xf numFmtId="165" fontId="1" fillId="0" borderId="15" xfId="1" applyNumberFormat="1" applyFont="1" applyFill="1" applyBorder="1" applyAlignment="1"/>
    <xf numFmtId="165" fontId="1" fillId="0" borderId="15" xfId="1" applyNumberFormat="1" applyFont="1" applyBorder="1" applyAlignment="1">
      <alignment horizontal="right"/>
    </xf>
    <xf numFmtId="165" fontId="1" fillId="0" borderId="0" xfId="1" applyNumberFormat="1" applyFont="1" applyAlignment="1">
      <alignment horizontal="right"/>
    </xf>
    <xf numFmtId="43" fontId="1" fillId="0" borderId="1" xfId="1" applyNumberFormat="1" applyFont="1" applyBorder="1" applyAlignment="1"/>
    <xf numFmtId="43" fontId="1" fillId="0" borderId="1" xfId="0" applyNumberFormat="1" applyFont="1" applyBorder="1" applyAlignment="1"/>
    <xf numFmtId="3" fontId="1" fillId="0" borderId="1" xfId="0" applyNumberFormat="1" applyFont="1" applyFill="1" applyBorder="1" applyAlignment="1">
      <alignment horizontal="right" wrapText="1"/>
    </xf>
    <xf numFmtId="164" fontId="1" fillId="0" borderId="15" xfId="2" applyNumberFormat="1" applyFont="1" applyFill="1" applyBorder="1" applyAlignment="1">
      <alignment vertical="center"/>
    </xf>
    <xf numFmtId="165" fontId="1" fillId="9" borderId="1" xfId="1" applyNumberFormat="1" applyFont="1" applyFill="1" applyBorder="1" applyAlignment="1">
      <alignment horizontal="right" wrapText="1"/>
    </xf>
    <xf numFmtId="165" fontId="1" fillId="9" borderId="1" xfId="1" applyNumberFormat="1" applyFont="1" applyFill="1" applyBorder="1" applyAlignment="1">
      <alignment horizontal="right"/>
    </xf>
    <xf numFmtId="37" fontId="1" fillId="0" borderId="1" xfId="0" applyNumberFormat="1" applyFont="1" applyFill="1" applyBorder="1" applyAlignment="1">
      <alignment horizontal="right"/>
    </xf>
    <xf numFmtId="165" fontId="1" fillId="0" borderId="14" xfId="3" applyNumberFormat="1" applyFont="1" applyBorder="1" applyAlignment="1">
      <alignment horizontal="right"/>
    </xf>
    <xf numFmtId="2" fontId="1" fillId="0" borderId="1" xfId="0" applyNumberFormat="1" applyFont="1" applyFill="1" applyBorder="1" applyAlignment="1">
      <alignment horizontal="right" wrapText="1"/>
    </xf>
    <xf numFmtId="1" fontId="1" fillId="0" borderId="1" xfId="0" applyNumberFormat="1" applyFont="1" applyFill="1" applyBorder="1" applyAlignment="1">
      <alignment horizontal="right"/>
    </xf>
    <xf numFmtId="165" fontId="1" fillId="0" borderId="14" xfId="3" applyNumberFormat="1" applyFont="1" applyFill="1" applyBorder="1" applyAlignment="1">
      <alignment horizontal="right"/>
    </xf>
    <xf numFmtId="43" fontId="1" fillId="0" borderId="1" xfId="1" applyNumberFormat="1" applyFont="1" applyBorder="1" applyAlignment="1">
      <alignment horizontal="right"/>
    </xf>
    <xf numFmtId="43" fontId="1" fillId="0" borderId="1" xfId="0" applyNumberFormat="1" applyFont="1" applyBorder="1" applyAlignment="1">
      <alignment horizontal="right"/>
    </xf>
    <xf numFmtId="39" fontId="1" fillId="0" borderId="1" xfId="0" applyNumberFormat="1" applyFont="1" applyBorder="1" applyAlignment="1">
      <alignment horizontal="right"/>
    </xf>
    <xf numFmtId="165" fontId="1" fillId="0" borderId="16" xfId="1" applyNumberFormat="1" applyFont="1" applyFill="1" applyBorder="1" applyAlignment="1">
      <alignment horizontal="right"/>
    </xf>
    <xf numFmtId="165" fontId="1" fillId="0" borderId="1" xfId="3" applyNumberFormat="1" applyFont="1" applyBorder="1" applyAlignment="1">
      <alignment horizontal="right"/>
    </xf>
    <xf numFmtId="164" fontId="1" fillId="0" borderId="1" xfId="2" applyNumberFormat="1" applyFont="1" applyFill="1" applyBorder="1" applyAlignment="1">
      <alignment horizontal="right"/>
    </xf>
    <xf numFmtId="3" fontId="1" fillId="0" borderId="1" xfId="3" applyNumberFormat="1" applyFont="1" applyFill="1" applyBorder="1" applyAlignment="1">
      <alignment horizontal="right"/>
    </xf>
    <xf numFmtId="3" fontId="1" fillId="0" borderId="13" xfId="0" applyNumberFormat="1" applyFont="1" applyFill="1" applyBorder="1" applyAlignment="1">
      <alignment horizontal="right" wrapText="1"/>
    </xf>
    <xf numFmtId="3" fontId="1" fillId="0" borderId="13" xfId="0" applyNumberFormat="1" applyFont="1" applyFill="1" applyBorder="1" applyAlignment="1">
      <alignment horizontal="right"/>
    </xf>
    <xf numFmtId="164" fontId="1" fillId="0" borderId="1" xfId="0" applyNumberFormat="1" applyFont="1" applyBorder="1" applyAlignment="1">
      <alignment horizontal="right" wrapText="1"/>
    </xf>
    <xf numFmtId="0" fontId="1" fillId="0" borderId="1" xfId="1" applyNumberFormat="1" applyFont="1" applyFill="1" applyBorder="1" applyAlignment="1">
      <alignment horizontal="right"/>
    </xf>
    <xf numFmtId="165" fontId="1" fillId="0" borderId="1" xfId="3" applyNumberFormat="1" applyFont="1" applyFill="1" applyBorder="1" applyAlignment="1">
      <alignment horizontal="right"/>
    </xf>
    <xf numFmtId="164" fontId="1" fillId="0" borderId="1" xfId="2" applyNumberFormat="1" applyFont="1" applyBorder="1" applyAlignment="1">
      <alignment horizontal="right" vertical="center"/>
    </xf>
    <xf numFmtId="164" fontId="1" fillId="0" borderId="1" xfId="0" applyNumberFormat="1" applyFont="1" applyFill="1" applyBorder="1" applyAlignment="1">
      <alignment horizontal="right" vertical="center"/>
    </xf>
    <xf numFmtId="1" fontId="1" fillId="0" borderId="1" xfId="2" applyNumberFormat="1" applyFont="1" applyBorder="1" applyAlignment="1">
      <alignment horizontal="right"/>
    </xf>
    <xf numFmtId="43" fontId="1" fillId="0" borderId="13" xfId="1" applyFont="1" applyBorder="1" applyAlignment="1">
      <alignment horizontal="right" wrapText="1"/>
    </xf>
    <xf numFmtId="165" fontId="1" fillId="0" borderId="18" xfId="3" applyNumberFormat="1" applyFont="1" applyFill="1" applyBorder="1" applyAlignment="1">
      <alignment horizontal="right"/>
    </xf>
    <xf numFmtId="0" fontId="1" fillId="0" borderId="15" xfId="0" applyFont="1" applyFill="1" applyBorder="1" applyAlignment="1">
      <alignment horizontal="right" vertical="center" wrapText="1"/>
    </xf>
    <xf numFmtId="164" fontId="1" fillId="0" borderId="15" xfId="2" applyNumberFormat="1" applyFont="1" applyFill="1" applyBorder="1" applyAlignment="1">
      <alignment horizontal="right"/>
    </xf>
    <xf numFmtId="0" fontId="1" fillId="0" borderId="12" xfId="0" applyFont="1" applyFill="1" applyBorder="1" applyAlignment="1">
      <alignment horizontal="right" vertical="center" wrapText="1"/>
    </xf>
    <xf numFmtId="165" fontId="1" fillId="0" borderId="14" xfId="0" applyNumberFormat="1" applyFont="1" applyFill="1" applyBorder="1" applyAlignment="1">
      <alignment horizontal="right"/>
    </xf>
    <xf numFmtId="164" fontId="1" fillId="0" borderId="15" xfId="2" applyNumberFormat="1" applyFont="1" applyBorder="1" applyAlignment="1">
      <alignment horizontal="right"/>
    </xf>
    <xf numFmtId="0" fontId="1" fillId="0" borderId="3" xfId="0" applyFont="1" applyFill="1" applyBorder="1" applyAlignment="1">
      <alignment horizontal="right" vertical="center" wrapText="1"/>
    </xf>
    <xf numFmtId="0" fontId="1" fillId="0" borderId="0" xfId="0" applyFont="1" applyFill="1" applyAlignment="1">
      <alignment horizontal="right"/>
    </xf>
    <xf numFmtId="165" fontId="1" fillId="0" borderId="1" xfId="0" applyNumberFormat="1" applyFont="1" applyFill="1" applyBorder="1" applyAlignment="1">
      <alignment horizontal="right"/>
    </xf>
    <xf numFmtId="164" fontId="1" fillId="0" borderId="13" xfId="2" applyNumberFormat="1" applyFont="1" applyFill="1" applyBorder="1" applyAlignment="1">
      <alignment vertical="center"/>
    </xf>
    <xf numFmtId="164" fontId="1" fillId="0" borderId="17" xfId="2" applyNumberFormat="1" applyFont="1" applyFill="1" applyBorder="1" applyAlignment="1">
      <alignment horizontal="right"/>
    </xf>
    <xf numFmtId="165" fontId="1" fillId="0" borderId="15" xfId="1" applyNumberFormat="1" applyFont="1" applyBorder="1" applyAlignment="1"/>
    <xf numFmtId="165" fontId="1" fillId="0" borderId="14" xfId="1" applyNumberFormat="1" applyFont="1" applyFill="1" applyBorder="1" applyAlignment="1"/>
    <xf numFmtId="165" fontId="2" fillId="4" borderId="13" xfId="1" applyNumberFormat="1" applyFont="1" applyFill="1" applyBorder="1" applyAlignment="1"/>
    <xf numFmtId="0" fontId="1" fillId="0" borderId="1" xfId="0" applyNumberFormat="1" applyFont="1" applyBorder="1" applyAlignment="1">
      <alignment horizontal="right"/>
    </xf>
    <xf numFmtId="0" fontId="1" fillId="0" borderId="1" xfId="0" applyNumberFormat="1" applyFont="1" applyBorder="1" applyAlignment="1">
      <alignment horizontal="right" vertical="center"/>
    </xf>
    <xf numFmtId="0" fontId="1" fillId="0" borderId="15" xfId="0" applyNumberFormat="1" applyFont="1" applyBorder="1" applyAlignment="1">
      <alignment horizontal="right" vertical="center"/>
    </xf>
    <xf numFmtId="0" fontId="1" fillId="0" borderId="15" xfId="0" applyNumberFormat="1" applyFont="1" applyBorder="1" applyAlignment="1">
      <alignment horizontal="right" vertical="center" wrapText="1"/>
    </xf>
    <xf numFmtId="0" fontId="1" fillId="0" borderId="15" xfId="0" applyNumberFormat="1" applyFont="1" applyBorder="1" applyAlignment="1">
      <alignment horizontal="right"/>
    </xf>
    <xf numFmtId="0" fontId="1" fillId="0" borderId="1" xfId="0" applyNumberFormat="1" applyFont="1" applyFill="1" applyBorder="1" applyAlignment="1">
      <alignment horizontal="right" vertical="center" wrapText="1"/>
    </xf>
    <xf numFmtId="0" fontId="1" fillId="0" borderId="13" xfId="0" applyNumberFormat="1" applyFont="1" applyFill="1" applyBorder="1" applyAlignment="1">
      <alignment horizontal="right"/>
    </xf>
    <xf numFmtId="0" fontId="1" fillId="0" borderId="15" xfId="0" applyNumberFormat="1" applyFont="1" applyFill="1" applyBorder="1" applyAlignment="1">
      <alignment horizontal="right"/>
    </xf>
    <xf numFmtId="0" fontId="1" fillId="0" borderId="15" xfId="0" applyNumberFormat="1" applyFont="1" applyFill="1" applyBorder="1" applyAlignment="1">
      <alignment horizontal="right" vertical="center" wrapText="1"/>
    </xf>
    <xf numFmtId="43" fontId="2" fillId="0" borderId="1" xfId="1" applyFont="1" applyFill="1" applyBorder="1" applyAlignment="1"/>
    <xf numFmtId="165" fontId="2" fillId="0" borderId="1" xfId="1" applyNumberFormat="1" applyFont="1" applyFill="1" applyBorder="1" applyAlignment="1"/>
    <xf numFmtId="3" fontId="23" fillId="0" borderId="1" xfId="0" applyNumberFormat="1" applyFont="1" applyBorder="1" applyAlignment="1">
      <alignment horizontal="right" vertical="center" wrapText="1"/>
    </xf>
    <xf numFmtId="164" fontId="1" fillId="0" borderId="13" xfId="2" applyNumberFormat="1" applyFont="1" applyBorder="1" applyAlignment="1">
      <alignment vertical="center"/>
    </xf>
    <xf numFmtId="164" fontId="1" fillId="0" borderId="13" xfId="2" applyNumberFormat="1" applyFont="1" applyBorder="1" applyAlignment="1"/>
    <xf numFmtId="165" fontId="1" fillId="0" borderId="13" xfId="1" applyNumberFormat="1" applyFont="1" applyFill="1" applyBorder="1" applyAlignment="1"/>
    <xf numFmtId="164" fontId="1" fillId="0" borderId="13" xfId="0" applyNumberFormat="1" applyFont="1" applyBorder="1" applyAlignment="1">
      <alignment vertical="center"/>
    </xf>
    <xf numFmtId="164" fontId="2" fillId="4" borderId="13" xfId="0" applyNumberFormat="1" applyFont="1" applyFill="1" applyBorder="1" applyAlignment="1"/>
    <xf numFmtId="164" fontId="6" fillId="0" borderId="1" xfId="2" applyNumberFormat="1" applyFont="1" applyBorder="1" applyAlignment="1"/>
    <xf numFmtId="164" fontId="6" fillId="0" borderId="0" xfId="2" applyNumberFormat="1" applyFont="1" applyAlignment="1"/>
    <xf numFmtId="0" fontId="2" fillId="4" borderId="13" xfId="0" applyNumberFormat="1" applyFont="1" applyFill="1" applyBorder="1" applyAlignment="1">
      <alignment horizontal="right"/>
    </xf>
    <xf numFmtId="0" fontId="1" fillId="0" borderId="1" xfId="0" applyNumberFormat="1" applyFont="1" applyBorder="1" applyAlignment="1"/>
    <xf numFmtId="0" fontId="2" fillId="0" borderId="1" xfId="0" applyNumberFormat="1" applyFont="1" applyFill="1" applyBorder="1" applyAlignment="1">
      <alignment horizontal="center"/>
    </xf>
    <xf numFmtId="0" fontId="2" fillId="8" borderId="1" xfId="2" applyNumberFormat="1" applyFont="1" applyFill="1" applyBorder="1" applyAlignment="1">
      <alignment horizontal="right"/>
    </xf>
    <xf numFmtId="0" fontId="2" fillId="6" borderId="1" xfId="0" applyNumberFormat="1" applyFont="1" applyFill="1" applyBorder="1" applyAlignment="1">
      <alignment horizontal="right"/>
    </xf>
    <xf numFmtId="0" fontId="1" fillId="0" borderId="1" xfId="2" applyNumberFormat="1" applyFont="1" applyFill="1" applyBorder="1" applyAlignment="1">
      <alignment horizontal="right"/>
    </xf>
    <xf numFmtId="0" fontId="1" fillId="0" borderId="1" xfId="0" applyFont="1" applyFill="1" applyBorder="1" applyAlignment="1">
      <alignment horizontal="left" wrapText="1"/>
    </xf>
    <xf numFmtId="165" fontId="22" fillId="0" borderId="14" xfId="1" applyNumberFormat="1" applyFont="1" applyBorder="1"/>
    <xf numFmtId="0" fontId="1" fillId="0" borderId="1" xfId="0" applyFont="1" applyFill="1" applyBorder="1" applyAlignment="1">
      <alignment horizontal="left" vertical="center" wrapText="1"/>
    </xf>
    <xf numFmtId="164" fontId="1" fillId="0" borderId="1" xfId="2" applyNumberFormat="1" applyFont="1" applyFill="1" applyBorder="1" applyAlignment="1">
      <alignment horizontal="right"/>
    </xf>
    <xf numFmtId="164" fontId="1" fillId="0" borderId="13" xfId="2" applyNumberFormat="1" applyFont="1" applyFill="1" applyBorder="1" applyAlignment="1"/>
    <xf numFmtId="165" fontId="2" fillId="4" borderId="13" xfId="0" applyNumberFormat="1" applyFont="1" applyFill="1" applyBorder="1" applyAlignment="1">
      <alignment horizontal="right"/>
    </xf>
    <xf numFmtId="43" fontId="2" fillId="6" borderId="1" xfId="1" applyFont="1" applyFill="1" applyBorder="1" applyAlignment="1">
      <alignment horizontal="right"/>
    </xf>
    <xf numFmtId="3" fontId="2" fillId="4" borderId="13" xfId="0" applyNumberFormat="1" applyFont="1" applyFill="1" applyBorder="1" applyAlignment="1">
      <alignment horizontal="right"/>
    </xf>
    <xf numFmtId="43" fontId="6" fillId="0" borderId="1" xfId="1" applyFont="1" applyFill="1" applyBorder="1" applyAlignment="1">
      <alignment horizontal="right"/>
    </xf>
    <xf numFmtId="165" fontId="6" fillId="0" borderId="1" xfId="1" applyNumberFormat="1" applyFont="1" applyFill="1" applyBorder="1" applyAlignment="1">
      <alignment horizontal="right"/>
    </xf>
    <xf numFmtId="3" fontId="2" fillId="4" borderId="1" xfId="0" applyNumberFormat="1" applyFont="1" applyFill="1" applyBorder="1" applyAlignment="1"/>
    <xf numFmtId="165" fontId="2" fillId="4" borderId="1" xfId="1" applyNumberFormat="1" applyFont="1" applyFill="1" applyBorder="1" applyAlignment="1"/>
    <xf numFmtId="44" fontId="2" fillId="6" borderId="1" xfId="2" applyFont="1" applyFill="1" applyBorder="1" applyAlignment="1">
      <alignment horizontal="right"/>
    </xf>
    <xf numFmtId="43" fontId="2" fillId="4" borderId="1" xfId="1" applyFont="1" applyFill="1" applyBorder="1" applyAlignment="1">
      <alignment horizontal="right" vertical="center"/>
    </xf>
    <xf numFmtId="43" fontId="2" fillId="4" borderId="1" xfId="1" applyFont="1" applyFill="1" applyBorder="1" applyAlignment="1"/>
    <xf numFmtId="43" fontId="1" fillId="0" borderId="1" xfId="1" applyFont="1" applyBorder="1" applyAlignment="1">
      <alignment horizontal="left"/>
    </xf>
    <xf numFmtId="0" fontId="1" fillId="0" borderId="1" xfId="0" applyNumberFormat="1" applyFont="1" applyBorder="1" applyAlignment="1">
      <alignment horizontal="right" vertical="center" wrapText="1"/>
    </xf>
    <xf numFmtId="165" fontId="6" fillId="0" borderId="1" xfId="1" applyNumberFormat="1" applyFont="1" applyBorder="1" applyAlignment="1">
      <alignment horizontal="right" wrapText="1"/>
    </xf>
    <xf numFmtId="165" fontId="6" fillId="0" borderId="1" xfId="1" applyNumberFormat="1" applyFont="1" applyFill="1" applyBorder="1" applyAlignment="1">
      <alignment horizontal="right" vertical="center" wrapText="1"/>
    </xf>
    <xf numFmtId="165" fontId="1" fillId="0" borderId="1" xfId="1" applyNumberFormat="1" applyFont="1" applyBorder="1" applyAlignment="1">
      <alignment wrapText="1"/>
    </xf>
    <xf numFmtId="164" fontId="2" fillId="6" borderId="1" xfId="2" applyNumberFormat="1" applyFont="1" applyFill="1" applyBorder="1" applyAlignment="1">
      <alignment wrapText="1"/>
    </xf>
    <xf numFmtId="164" fontId="2" fillId="8" borderId="1" xfId="0" applyNumberFormat="1" applyFont="1" applyFill="1" applyBorder="1" applyAlignment="1">
      <alignment wrapText="1"/>
    </xf>
    <xf numFmtId="0" fontId="2" fillId="4" borderId="1" xfId="0" applyFont="1" applyFill="1" applyBorder="1" applyAlignment="1">
      <alignment horizontal="right" vertical="center" wrapText="1"/>
    </xf>
    <xf numFmtId="167" fontId="1" fillId="0" borderId="1" xfId="0" applyNumberFormat="1" applyFont="1" applyFill="1" applyBorder="1" applyAlignment="1">
      <alignment horizontal="right"/>
    </xf>
    <xf numFmtId="166" fontId="2" fillId="4" borderId="1" xfId="2" applyNumberFormat="1" applyFont="1" applyFill="1" applyBorder="1" applyAlignment="1">
      <alignment horizontal="right"/>
    </xf>
    <xf numFmtId="166" fontId="2" fillId="6" borderId="1" xfId="2" applyNumberFormat="1" applyFont="1" applyFill="1" applyBorder="1" applyAlignment="1">
      <alignment horizontal="right"/>
    </xf>
    <xf numFmtId="43" fontId="6" fillId="0" borderId="1" xfId="1" applyFont="1" applyFill="1" applyBorder="1" applyAlignment="1"/>
    <xf numFmtId="164" fontId="1" fillId="0" borderId="1" xfId="2" applyNumberFormat="1" applyFont="1" applyFill="1" applyBorder="1" applyAlignment="1">
      <alignment horizontal="right" wrapText="1"/>
    </xf>
    <xf numFmtId="165" fontId="1" fillId="0" borderId="14" xfId="3" applyNumberFormat="1" applyFont="1" applyBorder="1"/>
    <xf numFmtId="165" fontId="1" fillId="0" borderId="0" xfId="1" applyNumberFormat="1" applyFont="1" applyFill="1" applyBorder="1" applyAlignment="1">
      <alignment horizontal="right"/>
    </xf>
    <xf numFmtId="165" fontId="1" fillId="0" borderId="1" xfId="1" applyNumberFormat="1" applyFont="1" applyFill="1" applyBorder="1" applyAlignment="1">
      <alignment horizontal="left"/>
    </xf>
    <xf numFmtId="165" fontId="1" fillId="3" borderId="1" xfId="0" applyNumberFormat="1" applyFont="1" applyFill="1" applyBorder="1" applyAlignment="1">
      <alignment horizontal="left" wrapText="1"/>
    </xf>
    <xf numFmtId="43" fontId="1" fillId="3" borderId="1" xfId="1" applyFont="1" applyFill="1" applyBorder="1" applyAlignment="1"/>
    <xf numFmtId="165" fontId="1" fillId="3" borderId="1" xfId="1" applyNumberFormat="1" applyFont="1" applyFill="1" applyBorder="1" applyAlignment="1"/>
    <xf numFmtId="43" fontId="2" fillId="4" borderId="1" xfId="1" applyFont="1" applyFill="1" applyBorder="1" applyAlignment="1">
      <alignment horizontal="right" wrapText="1"/>
    </xf>
    <xf numFmtId="43" fontId="1" fillId="3" borderId="1" xfId="1" applyFont="1" applyFill="1" applyBorder="1" applyAlignment="1">
      <alignment horizontal="left" wrapText="1"/>
    </xf>
    <xf numFmtId="165" fontId="1" fillId="0" borderId="1" xfId="1" applyNumberFormat="1" applyFont="1" applyFill="1" applyBorder="1" applyAlignment="1">
      <alignment vertical="center"/>
    </xf>
    <xf numFmtId="0" fontId="1" fillId="0" borderId="13" xfId="0" applyFont="1" applyBorder="1" applyAlignment="1">
      <alignment horizontal="left" wrapText="1"/>
    </xf>
    <xf numFmtId="0" fontId="1" fillId="0" borderId="2" xfId="0" applyFont="1" applyBorder="1" applyAlignment="1">
      <alignment horizontal="left" wrapText="1"/>
    </xf>
    <xf numFmtId="0" fontId="1" fillId="9" borderId="15" xfId="0" applyFont="1" applyFill="1" applyBorder="1" applyAlignment="1">
      <alignment horizontal="left" vertical="center" wrapText="1"/>
    </xf>
    <xf numFmtId="0" fontId="1" fillId="0" borderId="2" xfId="0" applyFont="1" applyFill="1" applyBorder="1" applyAlignment="1">
      <alignment horizontal="left" wrapText="1"/>
    </xf>
    <xf numFmtId="0" fontId="1" fillId="0" borderId="15" xfId="0" applyFont="1" applyFill="1" applyBorder="1" applyAlignment="1">
      <alignment horizontal="left" vertical="center" wrapText="1"/>
    </xf>
    <xf numFmtId="43" fontId="1" fillId="0" borderId="4" xfId="1" applyFont="1" applyBorder="1" applyAlignment="1">
      <alignment horizontal="right" wrapText="1"/>
    </xf>
    <xf numFmtId="3" fontId="8" fillId="0" borderId="2" xfId="0" applyNumberFormat="1" applyFont="1" applyFill="1" applyBorder="1" applyAlignment="1">
      <alignment horizontal="center" vertical="center" wrapText="1"/>
    </xf>
    <xf numFmtId="43" fontId="1" fillId="0" borderId="13" xfId="1" applyFont="1" applyFill="1" applyBorder="1" applyAlignment="1">
      <alignment horizontal="right" wrapText="1"/>
    </xf>
    <xf numFmtId="43" fontId="2" fillId="8" borderId="1" xfId="1" applyFont="1" applyFill="1" applyBorder="1" applyAlignment="1">
      <alignment horizontal="right"/>
    </xf>
    <xf numFmtId="165" fontId="1" fillId="0" borderId="19" xfId="1" applyNumberFormat="1" applyFont="1" applyBorder="1" applyAlignment="1">
      <alignment horizontal="right"/>
    </xf>
    <xf numFmtId="0" fontId="1" fillId="0" borderId="1" xfId="0" applyFont="1" applyBorder="1" applyAlignment="1">
      <alignment horizontal="right"/>
    </xf>
    <xf numFmtId="165" fontId="1" fillId="0" borderId="19" xfId="1" applyNumberFormat="1" applyFont="1" applyFill="1" applyBorder="1" applyAlignment="1">
      <alignment horizontal="right"/>
    </xf>
    <xf numFmtId="165" fontId="1" fillId="0" borderId="4" xfId="1" applyNumberFormat="1" applyFont="1" applyBorder="1" applyAlignment="1">
      <alignment horizontal="right"/>
    </xf>
    <xf numFmtId="165" fontId="1" fillId="0" borderId="4" xfId="1" applyNumberFormat="1" applyFont="1" applyFill="1" applyBorder="1" applyAlignment="1">
      <alignment horizontal="right"/>
    </xf>
    <xf numFmtId="164" fontId="24" fillId="0" borderId="1" xfId="2" applyNumberFormat="1" applyFont="1" applyFill="1" applyBorder="1" applyAlignment="1">
      <alignment horizontal="right"/>
    </xf>
    <xf numFmtId="164" fontId="8" fillId="0" borderId="2" xfId="2" applyNumberFormat="1" applyFont="1" applyFill="1" applyBorder="1" applyAlignment="1">
      <alignment vertical="center"/>
    </xf>
    <xf numFmtId="164" fontId="1" fillId="0" borderId="1" xfId="2" applyNumberFormat="1" applyFont="1" applyFill="1" applyBorder="1" applyAlignment="1">
      <alignment horizontal="center" vertical="center"/>
    </xf>
    <xf numFmtId="164" fontId="9" fillId="5" borderId="2" xfId="2" applyNumberFormat="1" applyFont="1" applyFill="1" applyBorder="1" applyAlignment="1">
      <alignment vertical="center"/>
    </xf>
    <xf numFmtId="164" fontId="9" fillId="5" borderId="1" xfId="2" applyNumberFormat="1" applyFont="1" applyFill="1" applyBorder="1" applyAlignment="1">
      <alignment vertical="center"/>
    </xf>
    <xf numFmtId="43" fontId="8" fillId="0" borderId="1" xfId="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xf>
    <xf numFmtId="43" fontId="1" fillId="0" borderId="1" xfId="1" applyFont="1" applyFill="1" applyBorder="1" applyAlignment="1">
      <alignment horizontal="center" vertical="center"/>
    </xf>
    <xf numFmtId="43" fontId="1" fillId="0" borderId="1" xfId="1" applyNumberFormat="1" applyFont="1" applyBorder="1" applyAlignment="1">
      <alignment horizontal="left"/>
    </xf>
    <xf numFmtId="0" fontId="1" fillId="0" borderId="1" xfId="0" applyFont="1" applyBorder="1" applyAlignment="1">
      <alignment horizontal="left"/>
    </xf>
    <xf numFmtId="164" fontId="24" fillId="0" borderId="1" xfId="2" applyNumberFormat="1" applyFont="1" applyFill="1" applyBorder="1" applyAlignment="1"/>
    <xf numFmtId="166" fontId="1" fillId="0" borderId="1" xfId="0" applyNumberFormat="1" applyFont="1" applyFill="1" applyBorder="1" applyAlignment="1">
      <alignment horizontal="right"/>
    </xf>
    <xf numFmtId="0" fontId="1" fillId="0" borderId="20" xfId="0" applyFont="1" applyBorder="1" applyAlignment="1">
      <alignment horizontal="left" wrapText="1"/>
    </xf>
    <xf numFmtId="0" fontId="1" fillId="0" borderId="20" xfId="0" applyFont="1" applyBorder="1" applyAlignment="1">
      <alignment horizontal="right" wrapText="1"/>
    </xf>
    <xf numFmtId="165" fontId="1" fillId="0" borderId="20" xfId="1" applyNumberFormat="1" applyFont="1" applyFill="1" applyBorder="1" applyAlignment="1">
      <alignment horizontal="right"/>
    </xf>
    <xf numFmtId="0" fontId="1" fillId="0" borderId="20" xfId="0" applyFont="1" applyFill="1" applyBorder="1" applyAlignment="1">
      <alignment horizontal="right" vertical="center" wrapText="1"/>
    </xf>
    <xf numFmtId="43" fontId="1" fillId="0" borderId="20" xfId="1" applyFont="1" applyBorder="1" applyAlignment="1">
      <alignment horizontal="right" wrapText="1"/>
    </xf>
    <xf numFmtId="0" fontId="6" fillId="0" borderId="1" xfId="1" applyNumberFormat="1" applyFont="1" applyFill="1" applyBorder="1" applyAlignment="1">
      <alignment horizontal="right"/>
    </xf>
    <xf numFmtId="164" fontId="25" fillId="0" borderId="1" xfId="0" applyNumberFormat="1" applyFont="1" applyBorder="1" applyAlignment="1"/>
    <xf numFmtId="43" fontId="1" fillId="0" borderId="20" xfId="1" applyFont="1" applyFill="1" applyBorder="1" applyAlignment="1">
      <alignment horizontal="right" vertical="center" wrapText="1"/>
    </xf>
    <xf numFmtId="164" fontId="2" fillId="4" borderId="1" xfId="2" applyNumberFormat="1" applyFont="1" applyFill="1" applyBorder="1" applyAlignment="1">
      <alignment horizontal="right" wrapText="1"/>
    </xf>
    <xf numFmtId="164" fontId="24" fillId="0" borderId="1" xfId="0" applyNumberFormat="1" applyFont="1" applyFill="1" applyBorder="1" applyAlignment="1">
      <alignment horizontal="right"/>
    </xf>
    <xf numFmtId="165" fontId="1" fillId="0" borderId="1" xfId="1" applyNumberFormat="1" applyFont="1" applyFill="1" applyBorder="1" applyAlignment="1">
      <alignment horizontal="left" wrapText="1"/>
    </xf>
    <xf numFmtId="43" fontId="1" fillId="0" borderId="1" xfId="1" applyFont="1" applyFill="1" applyBorder="1" applyAlignment="1">
      <alignment horizontal="left"/>
    </xf>
    <xf numFmtId="164" fontId="25" fillId="0" borderId="15" xfId="0" applyNumberFormat="1" applyFont="1" applyBorder="1" applyAlignment="1">
      <alignment vertical="center"/>
    </xf>
    <xf numFmtId="164" fontId="0" fillId="0" borderId="0" xfId="0" applyNumberFormat="1"/>
    <xf numFmtId="164" fontId="0" fillId="0" borderId="0" xfId="2" applyNumberFormat="1" applyFont="1" applyFill="1"/>
    <xf numFmtId="0" fontId="1" fillId="0" borderId="10" xfId="0" applyFont="1" applyFill="1" applyBorder="1" applyAlignment="1">
      <alignment horizontal="left" vertical="center" wrapText="1"/>
    </xf>
    <xf numFmtId="0" fontId="1" fillId="9" borderId="10" xfId="0" applyFont="1" applyFill="1" applyBorder="1" applyAlignment="1">
      <alignment horizontal="left" vertical="center" wrapText="1"/>
    </xf>
    <xf numFmtId="165" fontId="1" fillId="0" borderId="21" xfId="3" applyNumberFormat="1" applyFont="1" applyFill="1" applyBorder="1" applyAlignment="1">
      <alignment horizontal="right"/>
    </xf>
    <xf numFmtId="43" fontId="1" fillId="0" borderId="15" xfId="1" applyFont="1" applyFill="1" applyBorder="1" applyAlignment="1">
      <alignment horizontal="right" wrapText="1"/>
    </xf>
    <xf numFmtId="165" fontId="1" fillId="0" borderId="20" xfId="3" applyNumberFormat="1" applyFont="1" applyFill="1" applyBorder="1" applyAlignment="1">
      <alignment horizontal="right"/>
    </xf>
    <xf numFmtId="3" fontId="1" fillId="0" borderId="20" xfId="3" applyNumberFormat="1" applyFont="1" applyFill="1" applyBorder="1" applyAlignment="1">
      <alignment horizontal="right"/>
    </xf>
    <xf numFmtId="165" fontId="1" fillId="0" borderId="20" xfId="1" applyNumberFormat="1" applyFont="1" applyBorder="1" applyAlignment="1">
      <alignment horizontal="right"/>
    </xf>
    <xf numFmtId="0" fontId="1" fillId="0" borderId="20" xfId="0" applyFont="1" applyFill="1" applyBorder="1" applyAlignment="1">
      <alignment horizontal="right" wrapText="1"/>
    </xf>
    <xf numFmtId="43" fontId="1" fillId="0" borderId="20" xfId="1" applyFont="1" applyFill="1" applyBorder="1" applyAlignment="1">
      <alignment horizontal="right" wrapText="1"/>
    </xf>
    <xf numFmtId="164" fontId="1" fillId="0" borderId="1" xfId="2" applyNumberFormat="1" applyFont="1" applyFill="1" applyBorder="1" applyAlignment="1">
      <alignment horizontal="right" vertical="center" wrapText="1"/>
    </xf>
    <xf numFmtId="165" fontId="2" fillId="0" borderId="1" xfId="1" applyNumberFormat="1" applyFont="1" applyFill="1" applyBorder="1" applyAlignment="1">
      <alignment horizontal="center"/>
    </xf>
    <xf numFmtId="165" fontId="1" fillId="0" borderId="1" xfId="1" applyNumberFormat="1" applyFont="1" applyFill="1" applyBorder="1" applyAlignment="1">
      <alignment horizontal="center"/>
    </xf>
    <xf numFmtId="43" fontId="1" fillId="0" borderId="1" xfId="1" applyFont="1" applyFill="1" applyBorder="1" applyAlignment="1">
      <alignment horizontal="center"/>
    </xf>
    <xf numFmtId="164" fontId="1" fillId="0" borderId="20" xfId="2" applyNumberFormat="1" applyFont="1" applyFill="1" applyBorder="1" applyAlignment="1">
      <alignment horizontal="right"/>
    </xf>
    <xf numFmtId="0" fontId="1" fillId="0" borderId="20" xfId="0" applyFont="1" applyFill="1" applyBorder="1" applyAlignment="1">
      <alignment horizontal="left" wrapText="1"/>
    </xf>
    <xf numFmtId="165" fontId="1" fillId="0" borderId="20" xfId="3" applyNumberFormat="1" applyFont="1" applyBorder="1" applyAlignment="1">
      <alignment horizontal="right"/>
    </xf>
    <xf numFmtId="164" fontId="1" fillId="0" borderId="20" xfId="0" applyNumberFormat="1" applyFont="1" applyFill="1" applyBorder="1" applyAlignment="1"/>
    <xf numFmtId="44" fontId="0" fillId="0" borderId="0" xfId="0" applyNumberFormat="1" applyFill="1"/>
    <xf numFmtId="164" fontId="1" fillId="3" borderId="1" xfId="2" applyNumberFormat="1" applyFont="1" applyFill="1" applyBorder="1" applyAlignment="1">
      <alignment horizontal="left" wrapText="1"/>
    </xf>
    <xf numFmtId="166" fontId="1" fillId="3" borderId="1" xfId="0" applyNumberFormat="1" applyFont="1" applyFill="1" applyBorder="1" applyAlignment="1"/>
    <xf numFmtId="0" fontId="1" fillId="3" borderId="1" xfId="0" applyFont="1" applyFill="1" applyBorder="1" applyAlignment="1">
      <alignment horizontal="right" wrapText="1"/>
    </xf>
    <xf numFmtId="164" fontId="1" fillId="3" borderId="1" xfId="0" applyNumberFormat="1" applyFont="1" applyFill="1" applyBorder="1" applyAlignment="1">
      <alignment horizontal="right"/>
    </xf>
    <xf numFmtId="164" fontId="1" fillId="3" borderId="1" xfId="0" applyNumberFormat="1" applyFont="1" applyFill="1" applyBorder="1" applyAlignment="1">
      <alignment horizontal="left" wrapText="1"/>
    </xf>
    <xf numFmtId="165" fontId="1" fillId="3" borderId="1" xfId="1" applyNumberFormat="1" applyFont="1" applyFill="1" applyBorder="1" applyAlignment="1">
      <alignment horizontal="right" wrapText="1"/>
    </xf>
    <xf numFmtId="0" fontId="1" fillId="0" borderId="1" xfId="1" applyNumberFormat="1" applyFont="1" applyBorder="1" applyAlignment="1">
      <alignment horizontal="right"/>
    </xf>
    <xf numFmtId="0" fontId="1" fillId="0" borderId="14" xfId="1" applyNumberFormat="1" applyFont="1" applyFill="1" applyBorder="1" applyAlignment="1">
      <alignment horizontal="right"/>
    </xf>
    <xf numFmtId="166" fontId="1" fillId="0" borderId="1" xfId="0" applyNumberFormat="1" applyFont="1" applyFill="1" applyBorder="1" applyAlignment="1"/>
    <xf numFmtId="166" fontId="1" fillId="0" borderId="1" xfId="0" applyNumberFormat="1" applyFont="1" applyFill="1" applyBorder="1" applyAlignment="1">
      <alignment vertical="center"/>
    </xf>
    <xf numFmtId="166" fontId="1" fillId="0" borderId="1" xfId="0" applyNumberFormat="1" applyFont="1" applyBorder="1" applyAlignment="1">
      <alignment horizontal="right" wrapText="1"/>
    </xf>
    <xf numFmtId="166" fontId="2" fillId="4" borderId="1" xfId="2" applyNumberFormat="1" applyFont="1" applyFill="1" applyBorder="1" applyAlignment="1"/>
    <xf numFmtId="0" fontId="26" fillId="0" borderId="1" xfId="0" applyFont="1" applyFill="1" applyBorder="1" applyAlignment="1">
      <alignment horizontal="left" wrapText="1"/>
    </xf>
    <xf numFmtId="2" fontId="1" fillId="0" borderId="20" xfId="0" applyNumberFormat="1" applyFont="1" applyFill="1" applyBorder="1" applyAlignment="1">
      <alignment horizontal="right" vertical="center" wrapText="1"/>
    </xf>
    <xf numFmtId="165" fontId="1" fillId="0" borderId="1" xfId="1" applyNumberFormat="1" applyFont="1" applyFill="1" applyBorder="1" applyAlignment="1">
      <alignment horizontal="right" vertical="center"/>
    </xf>
    <xf numFmtId="43" fontId="1" fillId="0" borderId="1" xfId="1" applyFont="1" applyFill="1" applyBorder="1" applyAlignment="1">
      <alignment horizontal="right" vertical="center"/>
    </xf>
    <xf numFmtId="43" fontId="1" fillId="0" borderId="20" xfId="1" applyFont="1" applyFill="1" applyBorder="1" applyAlignment="1">
      <alignment horizontal="right" vertical="center"/>
    </xf>
    <xf numFmtId="165" fontId="1" fillId="0" borderId="20" xfId="1" applyNumberFormat="1" applyFont="1" applyFill="1" applyBorder="1" applyAlignment="1">
      <alignment horizontal="right" vertical="center"/>
    </xf>
    <xf numFmtId="0" fontId="1" fillId="0" borderId="1" xfId="0" applyFont="1" applyFill="1" applyBorder="1" applyAlignment="1">
      <alignment horizontal="right" vertical="center"/>
    </xf>
    <xf numFmtId="43" fontId="1" fillId="3" borderId="1" xfId="1" applyFont="1" applyFill="1" applyBorder="1" applyAlignment="1">
      <alignment horizontal="left"/>
    </xf>
    <xf numFmtId="37" fontId="0" fillId="0" borderId="0" xfId="0" applyNumberFormat="1" applyAlignment="1">
      <alignment vertical="center"/>
    </xf>
    <xf numFmtId="0" fontId="6" fillId="0" borderId="0" xfId="0" applyFont="1" applyFill="1"/>
    <xf numFmtId="0" fontId="6" fillId="0" borderId="0" xfId="0" applyFont="1" applyBorder="1" applyAlignment="1">
      <alignment vertical="center"/>
    </xf>
    <xf numFmtId="0" fontId="19" fillId="0" borderId="0" xfId="0" applyFont="1" applyBorder="1" applyAlignment="1">
      <alignment vertical="center" wrapText="1"/>
    </xf>
    <xf numFmtId="165" fontId="1" fillId="0" borderId="20" xfId="1" applyNumberFormat="1" applyFont="1" applyFill="1" applyBorder="1" applyAlignment="1"/>
    <xf numFmtId="165" fontId="1" fillId="0" borderId="20" xfId="1" applyNumberFormat="1" applyFont="1" applyBorder="1" applyAlignment="1"/>
    <xf numFmtId="43" fontId="1" fillId="0" borderId="13" xfId="1" applyFont="1" applyBorder="1" applyAlignment="1"/>
    <xf numFmtId="165" fontId="1" fillId="0" borderId="13" xfId="1" applyNumberFormat="1" applyFont="1" applyBorder="1" applyAlignment="1"/>
    <xf numFmtId="164" fontId="1" fillId="3" borderId="1" xfId="2" applyNumberFormat="1" applyFont="1" applyFill="1" applyBorder="1" applyAlignment="1">
      <alignment horizontal="right" wrapText="1"/>
    </xf>
    <xf numFmtId="164" fontId="9" fillId="5" borderId="2" xfId="2" applyNumberFormat="1" applyFont="1" applyFill="1" applyBorder="1" applyAlignment="1">
      <alignment horizontal="center" vertical="center"/>
    </xf>
    <xf numFmtId="164" fontId="1" fillId="0" borderId="1" xfId="2" applyNumberFormat="1" applyFont="1" applyFill="1" applyBorder="1" applyAlignment="1">
      <alignment vertical="center" wrapText="1"/>
    </xf>
    <xf numFmtId="164" fontId="1" fillId="0" borderId="20" xfId="2" applyNumberFormat="1" applyFont="1" applyFill="1" applyBorder="1" applyAlignment="1">
      <alignment vertical="center" wrapText="1"/>
    </xf>
    <xf numFmtId="164" fontId="1" fillId="0" borderId="20" xfId="2" applyNumberFormat="1" applyFont="1" applyFill="1" applyBorder="1" applyAlignment="1">
      <alignment horizontal="right" vertical="center" wrapText="1"/>
    </xf>
    <xf numFmtId="2" fontId="1" fillId="0" borderId="1" xfId="1" applyNumberFormat="1" applyFont="1" applyFill="1" applyBorder="1" applyAlignment="1">
      <alignment horizontal="center" vertical="center" wrapText="1"/>
    </xf>
    <xf numFmtId="2" fontId="9" fillId="5" borderId="1" xfId="1" applyNumberFormat="1" applyFont="1" applyFill="1" applyBorder="1" applyAlignment="1">
      <alignment horizontal="center" vertical="center" wrapText="1"/>
    </xf>
    <xf numFmtId="2" fontId="8" fillId="0" borderId="1" xfId="2" applyNumberFormat="1" applyFont="1" applyFill="1" applyBorder="1" applyAlignment="1">
      <alignment horizontal="center" vertical="center"/>
    </xf>
    <xf numFmtId="2" fontId="9" fillId="5" borderId="20" xfId="2" applyNumberFormat="1" applyFont="1" applyFill="1" applyBorder="1" applyAlignment="1">
      <alignment horizontal="center" vertical="center"/>
    </xf>
    <xf numFmtId="2" fontId="1" fillId="0" borderId="1" xfId="1" applyNumberFormat="1" applyFont="1" applyFill="1" applyBorder="1" applyAlignment="1">
      <alignment horizontal="center" vertical="center"/>
    </xf>
    <xf numFmtId="2" fontId="9" fillId="5" borderId="1" xfId="1"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164" fontId="1" fillId="3" borderId="1" xfId="2" applyNumberFormat="1" applyFont="1" applyFill="1" applyBorder="1" applyAlignment="1">
      <alignment horizontal="left"/>
    </xf>
    <xf numFmtId="165" fontId="1" fillId="0" borderId="14" xfId="1" applyNumberFormat="1" applyFont="1" applyBorder="1" applyAlignment="1"/>
    <xf numFmtId="165" fontId="6" fillId="0" borderId="0" xfId="1" applyNumberFormat="1" applyFont="1"/>
    <xf numFmtId="2" fontId="1" fillId="0" borderId="1" xfId="0" applyNumberFormat="1" applyFont="1" applyFill="1" applyBorder="1" applyAlignment="1">
      <alignment horizontal="right" vertical="center"/>
    </xf>
    <xf numFmtId="0" fontId="1" fillId="0" borderId="4" xfId="0" applyNumberFormat="1" applyFont="1" applyFill="1" applyBorder="1" applyAlignment="1">
      <alignment horizontal="right"/>
    </xf>
    <xf numFmtId="2" fontId="8" fillId="0" borderId="1" xfId="1" applyNumberFormat="1" applyFont="1" applyFill="1" applyBorder="1" applyAlignment="1">
      <alignment horizontal="center" vertical="center" wrapText="1"/>
    </xf>
    <xf numFmtId="0" fontId="1" fillId="0" borderId="20" xfId="2" applyNumberFormat="1" applyFont="1" applyFill="1" applyBorder="1" applyAlignment="1">
      <alignment horizontal="right"/>
    </xf>
    <xf numFmtId="43" fontId="1" fillId="0" borderId="13" xfId="1" applyFont="1" applyFill="1" applyBorder="1" applyAlignment="1">
      <alignment horizontal="right"/>
    </xf>
    <xf numFmtId="165" fontId="1" fillId="3" borderId="1" xfId="1" applyNumberFormat="1" applyFont="1" applyFill="1" applyBorder="1" applyAlignment="1">
      <alignment wrapText="1"/>
    </xf>
    <xf numFmtId="164" fontId="1" fillId="0" borderId="15" xfId="0" applyNumberFormat="1" applyFont="1" applyFill="1" applyBorder="1" applyAlignment="1">
      <alignment vertical="center"/>
    </xf>
    <xf numFmtId="3" fontId="0" fillId="0" borderId="0" xfId="0" applyNumberFormat="1" applyAlignment="1">
      <alignment vertical="center"/>
    </xf>
    <xf numFmtId="0" fontId="3" fillId="2" borderId="20" xfId="0" applyFont="1" applyFill="1" applyBorder="1" applyAlignment="1">
      <alignment horizontal="center" vertical="center" wrapText="1"/>
    </xf>
    <xf numFmtId="3" fontId="6" fillId="5" borderId="20" xfId="0" applyNumberFormat="1" applyFont="1" applyFill="1" applyBorder="1" applyAlignment="1">
      <alignment horizontal="center"/>
    </xf>
    <xf numFmtId="0" fontId="0" fillId="0" borderId="20" xfId="0" applyBorder="1"/>
    <xf numFmtId="0" fontId="8" fillId="0" borderId="20" xfId="0" applyFont="1" applyBorder="1" applyAlignment="1">
      <alignment horizontal="center" vertical="center" wrapText="1"/>
    </xf>
    <xf numFmtId="0" fontId="8" fillId="5" borderId="20" xfId="0" applyFont="1" applyFill="1" applyBorder="1" applyAlignment="1">
      <alignment horizontal="center" vertical="center" wrapText="1"/>
    </xf>
    <xf numFmtId="9" fontId="8" fillId="0" borderId="20" xfId="3" applyFont="1" applyBorder="1" applyAlignment="1">
      <alignment horizontal="center" vertical="center" wrapText="1"/>
    </xf>
    <xf numFmtId="2" fontId="8" fillId="5" borderId="20" xfId="0" applyNumberFormat="1" applyFont="1" applyFill="1" applyBorder="1" applyAlignment="1">
      <alignment horizontal="center" vertical="center" wrapText="1"/>
    </xf>
    <xf numFmtId="10" fontId="8" fillId="0" borderId="20" xfId="3" applyNumberFormat="1" applyFont="1" applyBorder="1" applyAlignment="1">
      <alignment horizontal="center" vertical="center" wrapText="1"/>
    </xf>
    <xf numFmtId="10" fontId="1" fillId="0" borderId="20" xfId="3" applyNumberFormat="1" applyFont="1" applyBorder="1" applyAlignment="1">
      <alignment horizontal="center" vertical="center" wrapText="1"/>
    </xf>
    <xf numFmtId="0" fontId="21" fillId="0" borderId="0" xfId="0" applyFont="1"/>
    <xf numFmtId="0" fontId="6" fillId="0" borderId="0" xfId="0" applyFont="1" applyBorder="1" applyAlignment="1">
      <alignment horizontal="left" vertical="center" wrapText="1"/>
    </xf>
    <xf numFmtId="0" fontId="6" fillId="0" borderId="0" xfId="0" applyFont="1" applyBorder="1" applyAlignment="1">
      <alignment vertical="center"/>
    </xf>
    <xf numFmtId="0" fontId="6" fillId="0" borderId="0" xfId="0" applyFont="1" applyBorder="1" applyAlignment="1">
      <alignment horizontal="left" vertical="center" wrapText="1"/>
    </xf>
    <xf numFmtId="0" fontId="6" fillId="0" borderId="0" xfId="0" applyFont="1" applyBorder="1" applyAlignment="1">
      <alignment vertical="center"/>
    </xf>
    <xf numFmtId="164" fontId="2" fillId="4" borderId="13" xfId="2" applyNumberFormat="1" applyFont="1" applyFill="1" applyBorder="1" applyAlignment="1">
      <alignment horizontal="right"/>
    </xf>
    <xf numFmtId="164" fontId="2" fillId="10" borderId="13" xfId="0" applyNumberFormat="1" applyFont="1" applyFill="1" applyBorder="1" applyAlignment="1">
      <alignment horizontal="right"/>
    </xf>
    <xf numFmtId="43" fontId="2" fillId="10" borderId="13" xfId="1" applyFont="1" applyFill="1" applyBorder="1" applyAlignment="1">
      <alignment horizontal="right"/>
    </xf>
    <xf numFmtId="165" fontId="2" fillId="10" borderId="13" xfId="1" applyNumberFormat="1" applyFont="1" applyFill="1" applyBorder="1" applyAlignment="1">
      <alignment horizontal="right"/>
    </xf>
    <xf numFmtId="0" fontId="14" fillId="0" borderId="0" xfId="0" applyFont="1"/>
    <xf numFmtId="165" fontId="6" fillId="0" borderId="20" xfId="1" applyNumberFormat="1" applyFont="1" applyFill="1" applyBorder="1" applyAlignment="1">
      <alignment horizontal="right"/>
    </xf>
    <xf numFmtId="164" fontId="1" fillId="0" borderId="20" xfId="2" applyNumberFormat="1" applyFont="1" applyFill="1" applyBorder="1" applyAlignment="1"/>
    <xf numFmtId="165" fontId="6" fillId="0" borderId="20" xfId="1" applyNumberFormat="1" applyFont="1" applyBorder="1" applyAlignment="1">
      <alignment horizontal="right" wrapText="1"/>
    </xf>
    <xf numFmtId="164" fontId="1" fillId="0" borderId="20" xfId="0" applyNumberFormat="1" applyFont="1" applyFill="1" applyBorder="1" applyAlignment="1">
      <alignment horizontal="right"/>
    </xf>
    <xf numFmtId="43" fontId="1" fillId="0" borderId="20" xfId="1" applyFont="1" applyFill="1" applyBorder="1" applyAlignment="1">
      <alignment horizontal="right"/>
    </xf>
    <xf numFmtId="43" fontId="1" fillId="0" borderId="20" xfId="1" applyFont="1" applyFill="1" applyBorder="1" applyAlignment="1"/>
    <xf numFmtId="0" fontId="6" fillId="0" borderId="13" xfId="1" applyNumberFormat="1" applyFont="1" applyFill="1" applyBorder="1" applyAlignment="1">
      <alignment horizontal="right"/>
    </xf>
    <xf numFmtId="0" fontId="1" fillId="0" borderId="13" xfId="0" applyFont="1" applyFill="1" applyBorder="1" applyAlignment="1">
      <alignment horizontal="right" vertical="center" wrapText="1"/>
    </xf>
    <xf numFmtId="164" fontId="1" fillId="0" borderId="13" xfId="0" applyNumberFormat="1" applyFont="1" applyFill="1" applyBorder="1" applyAlignment="1">
      <alignment horizontal="right"/>
    </xf>
    <xf numFmtId="0" fontId="6" fillId="0" borderId="0" xfId="0" applyFont="1" applyFill="1" applyBorder="1" applyAlignment="1">
      <alignment horizontal="left" vertical="center" wrapText="1"/>
    </xf>
    <xf numFmtId="165" fontId="2" fillId="6" borderId="20" xfId="0" applyNumberFormat="1" applyFont="1" applyFill="1" applyBorder="1" applyAlignment="1">
      <alignment horizontal="left" wrapText="1"/>
    </xf>
    <xf numFmtId="0" fontId="6" fillId="0" borderId="0" xfId="0" applyFont="1" applyBorder="1" applyAlignment="1">
      <alignment vertical="center"/>
    </xf>
    <xf numFmtId="0" fontId="28" fillId="0" borderId="0" xfId="4" applyFill="1"/>
    <xf numFmtId="164" fontId="26" fillId="0" borderId="1" xfId="2" applyNumberFormat="1" applyFont="1" applyFill="1" applyBorder="1" applyAlignment="1">
      <alignment horizontal="right"/>
    </xf>
    <xf numFmtId="164" fontId="26" fillId="0" borderId="1" xfId="2" applyNumberFormat="1" applyFont="1" applyFill="1" applyBorder="1" applyAlignment="1"/>
    <xf numFmtId="0" fontId="6" fillId="0" borderId="20" xfId="0" applyFont="1" applyBorder="1" applyAlignment="1">
      <alignment horizontal="left" vertical="center" wrapText="1"/>
    </xf>
    <xf numFmtId="0" fontId="1" fillId="0" borderId="20" xfId="0" applyFont="1" applyBorder="1" applyAlignment="1">
      <alignment horizontal="left" vertical="center" wrapText="1"/>
    </xf>
    <xf numFmtId="0" fontId="26" fillId="0" borderId="6" xfId="0" applyFont="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6" fillId="7" borderId="2"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8" fillId="0" borderId="20" xfId="0" applyFont="1" applyBorder="1" applyAlignment="1">
      <alignment horizontal="left" vertical="center" wrapText="1"/>
    </xf>
    <xf numFmtId="0" fontId="4" fillId="0" borderId="0" xfId="0" applyFont="1" applyAlignment="1">
      <alignment horizontal="left" vertical="center" wrapText="1"/>
    </xf>
    <xf numFmtId="0" fontId="17" fillId="7" borderId="2" xfId="0" applyFont="1" applyFill="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vertic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CACACA"/>
      <color rgb="FF65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apoor, Shikha:(ComEd)" id="{7684A1BC-B6EE-48AF-9069-F37F579C8625}" userId="S::E061910@exelonds.com::f9467f03-421a-4614-be94-8bd49321dc4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7" dT="2020-06-25T15:38:42.64" personId="{7684A1BC-B6EE-48AF-9069-F37F579C8625}" id="{A5301DF0-573F-4EA7-8CBE-4567C9F30E57}">
    <text>Joe Gainer report</text>
  </threadedComment>
</ThreadedComments>
</file>

<file path=xl/threadedComments/threadedComment2.xml><?xml version="1.0" encoding="utf-8"?>
<ThreadedComments xmlns="http://schemas.microsoft.com/office/spreadsheetml/2018/threadedcomments" xmlns:x="http://schemas.openxmlformats.org/spreadsheetml/2006/main">
  <threadedComment ref="I23" dT="2020-07-15T17:37:32.65" personId="{7684A1BC-B6EE-48AF-9069-F37F579C8625}" id="{C532D106-A74C-4EB7-9963-683706FA3C30}">
    <text>Includes Custom</text>
  </threadedComment>
  <threadedComment ref="I24" dT="2020-07-15T17:36:35.33" personId="{7684A1BC-B6EE-48AF-9069-F37F579C8625}" id="{D710E532-106D-480B-A37D-41538462DB53}">
    <text>Includes Small Business Public</text>
  </threadedComment>
  <threadedComment ref="R24" dT="2020-07-14T16:36:34.11" personId="{7684A1BC-B6EE-48AF-9069-F37F579C8625}" id="{E83B582E-EE5F-486B-94B4-F2F98FEF9327}">
    <text>Includes Small Business Public</text>
  </threadedComment>
  <threadedComment ref="S24" dT="2020-07-14T16:36:53.35" personId="{7684A1BC-B6EE-48AF-9069-F37F579C8625}" id="{DF743DAC-AC15-4C67-9490-156D37427265}">
    <text>Includes Small Business Public</text>
  </threadedComment>
  <threadedComment ref="I25" dT="2020-07-17T15:44:16.62" personId="{7684A1BC-B6EE-48AF-9069-F37F579C8625}" id="{753DD120-33AC-4B5A-AF57-FD0E243C24C5}">
    <text>Includes Streetlight Capital</text>
  </threadedComment>
  <threadedComment ref="I28" dT="2020-07-15T17:31:17.81" personId="{7684A1BC-B6EE-48AF-9069-F37F579C8625}" id="{E1B1CFC7-F04E-4288-B9A0-6B2D3AD2ED81}">
    <text>Includes Virtual Commissioning</text>
  </threadedComment>
  <threadedComment ref="R28" dT="2020-07-14T16:35:57.00" personId="{7684A1BC-B6EE-48AF-9069-F37F579C8625}" id="{7A8F2E69-E3A4-4BA3-ACA6-CB1798413880}">
    <text>Includes Virtual Commissioning</text>
  </threadedComment>
  <threadedComment ref="S28" dT="2020-07-14T16:36:03.80" personId="{7684A1BC-B6EE-48AF-9069-F37F579C8625}" id="{ACB84E0E-3653-4CB5-8430-847D64FD2703}">
    <text>Includes Virtual Commissioning</text>
  </threadedComment>
  <threadedComment ref="R31" dT="2020-07-14T16:28:54.91" personId="{7684A1BC-B6EE-48AF-9069-F37F579C8625}" id="{BA951D2F-C205-4DE2-A3AC-2E4FE72A9E72}">
    <text>Included with RetroCommissioning in cell R28</text>
  </threadedComment>
  <threadedComment ref="S31" dT="2020-07-14T16:28:54.91" personId="{7684A1BC-B6EE-48AF-9069-F37F579C8625}" id="{4A24F48F-F2F8-4745-BB47-DFBF41804A65}">
    <text>Included with RetroCommissioning in cell R28</text>
  </threadedComment>
  <threadedComment ref="R32" dT="2020-07-14T16:28:54.91" personId="{7684A1BC-B6EE-48AF-9069-F37F579C8625}" id="{5CE0FEAC-A965-470A-B00D-07AC0B2AD575}">
    <text>Included with RetroCommissioning in cell R28</text>
  </threadedComment>
  <threadedComment ref="S32" dT="2020-07-14T16:28:54.91" personId="{7684A1BC-B6EE-48AF-9069-F37F579C8625}" id="{B6F39A1E-E792-47D7-9B65-D3F3D8ACEB42}">
    <text>Included with RetroCommissioning in cell R28</text>
  </threadedComment>
  <threadedComment ref="I43" dT="2020-07-15T14:12:36.27" personId="{7684A1BC-B6EE-48AF-9069-F37F579C8625}" id="{EE0638D8-D1F7-4115-BA98-5BE0FC13B1B6}">
    <text>Includes Weatherization</text>
  </threadedComment>
  <threadedComment ref="I51" dT="2020-07-15T17:39:10.22" personId="{7684A1BC-B6EE-48AF-9069-F37F579C8625}" id="{E91CDF98-F629-496F-807F-D7FDE69AABA2}">
    <text>Includes IE - Appliance Rebate</text>
  </threadedComment>
  <threadedComment ref="I52" dT="2020-07-15T17:40:37.54" personId="{7684A1BC-B6EE-48AF-9069-F37F579C8625}" id="{C40FA631-6073-4153-88BE-1D21045ECB7C}">
    <text>Includes Multi-Family IHWAP</text>
  </threadedComment>
  <threadedComment ref="I53" dT="2020-07-15T17:41:01.69" personId="{7684A1BC-B6EE-48AF-9069-F37F579C8625}" id="{30B4FDB3-024F-411E-A03E-C240BF150F6F}">
    <text>Includes Single Family IHWAP</text>
  </threadedComment>
  <threadedComment ref="I77" dT="2020-07-17T15:43:27.70" personId="{7684A1BC-B6EE-48AF-9069-F37F579C8625}" id="{29B70DF8-0336-47EE-82E5-66C0AEF6CF66}">
    <text>R&amp;D costs associated with these pilots are included in portfolio-level costs.</text>
  </threadedComment>
  <threadedComment ref="R80" dT="2020-07-14T16:55:53.35" personId="{7684A1BC-B6EE-48AF-9069-F37F579C8625}" id="{04231F0C-37B2-4BD8-94EB-FBCC375C0202}">
    <text>Hardcoded total to match TRC report. Total is $788,617,946</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3.bin"/><Relationship Id="rId1" Type="http://schemas.openxmlformats.org/officeDocument/2006/relationships/hyperlink" Target="https://www.ilsag.info/evaluation-documents/final-evaluation-reports/"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83"/>
  <sheetViews>
    <sheetView tabSelected="1" zoomScaleNormal="100" zoomScaleSheetLayoutView="80" workbookViewId="0">
      <selection activeCell="B83" sqref="B83:G83"/>
    </sheetView>
  </sheetViews>
  <sheetFormatPr defaultRowHeight="14.5" x14ac:dyDescent="0.35"/>
  <cols>
    <col min="1" max="1" width="1.54296875" customWidth="1"/>
    <col min="2" max="2" width="32.26953125" customWidth="1"/>
    <col min="3" max="3" width="19.54296875" customWidth="1"/>
    <col min="4" max="5" width="20.26953125" customWidth="1"/>
    <col min="6" max="6" width="20" customWidth="1"/>
    <col min="7" max="7" width="16.26953125" customWidth="1"/>
    <col min="8" max="8" width="17.54296875" bestFit="1" customWidth="1"/>
    <col min="9" max="9" width="18.81640625" customWidth="1"/>
    <col min="10" max="10" width="17.7265625" customWidth="1"/>
    <col min="11" max="11" width="14.26953125" customWidth="1"/>
    <col min="12" max="12" width="12.26953125" customWidth="1"/>
  </cols>
  <sheetData>
    <row r="1" spans="2:12" x14ac:dyDescent="0.35">
      <c r="B1" s="6" t="s">
        <v>27</v>
      </c>
      <c r="C1" s="6"/>
      <c r="D1" s="6"/>
      <c r="E1" s="6"/>
      <c r="F1" s="6"/>
      <c r="G1" s="6"/>
    </row>
    <row r="2" spans="2:12" x14ac:dyDescent="0.35">
      <c r="B2" s="6" t="s">
        <v>28</v>
      </c>
      <c r="C2" s="6"/>
      <c r="D2" s="6"/>
      <c r="E2" s="6"/>
      <c r="F2" s="6"/>
      <c r="G2" s="6"/>
    </row>
    <row r="3" spans="2:12" x14ac:dyDescent="0.35">
      <c r="B3" s="6" t="s">
        <v>454</v>
      </c>
      <c r="C3" s="6"/>
      <c r="D3" s="6"/>
      <c r="E3" s="6"/>
      <c r="F3" s="6"/>
      <c r="G3" s="6"/>
    </row>
    <row r="4" spans="2:12" x14ac:dyDescent="0.35">
      <c r="B4" s="6"/>
      <c r="C4" s="6"/>
      <c r="D4" s="6"/>
      <c r="E4" s="6"/>
      <c r="F4" s="6"/>
      <c r="G4" s="6"/>
    </row>
    <row r="5" spans="2:12" ht="45" customHeight="1" x14ac:dyDescent="0.35">
      <c r="B5" s="406" t="s">
        <v>71</v>
      </c>
      <c r="C5" s="406"/>
      <c r="D5" s="406"/>
      <c r="E5" s="406"/>
      <c r="F5" s="39"/>
      <c r="G5" s="39"/>
      <c r="H5" s="39"/>
      <c r="I5" s="39"/>
      <c r="J5" s="39"/>
    </row>
    <row r="6" spans="2:12" ht="84" customHeight="1" x14ac:dyDescent="0.35">
      <c r="B6" s="406"/>
      <c r="C6" s="406"/>
      <c r="D6" s="406"/>
      <c r="E6" s="406"/>
      <c r="F6" s="39"/>
      <c r="G6" s="39"/>
      <c r="H6" s="39"/>
      <c r="I6" s="39"/>
      <c r="J6" s="39"/>
    </row>
    <row r="7" spans="2:12" ht="12.75" customHeight="1" x14ac:dyDescent="0.35">
      <c r="B7" s="5"/>
      <c r="C7" s="5"/>
      <c r="D7" s="5"/>
      <c r="E7" s="5"/>
      <c r="F7" s="5"/>
      <c r="G7" s="5"/>
      <c r="H7" s="5"/>
      <c r="I7" s="5"/>
    </row>
    <row r="8" spans="2:12" s="47" customFormat="1" ht="20.149999999999999" customHeight="1" x14ac:dyDescent="0.35">
      <c r="B8" s="46" t="s">
        <v>451</v>
      </c>
      <c r="C8" s="46"/>
      <c r="D8" s="46"/>
      <c r="E8" s="46"/>
      <c r="F8" s="46"/>
      <c r="G8" s="46"/>
      <c r="H8" s="50"/>
      <c r="I8" s="50"/>
    </row>
    <row r="9" spans="2:12" ht="13.5" customHeight="1" x14ac:dyDescent="0.35">
      <c r="B9" s="8"/>
      <c r="C9" s="8"/>
      <c r="D9" s="8"/>
      <c r="E9" s="8"/>
      <c r="F9" s="8"/>
      <c r="G9" s="8"/>
      <c r="H9" s="9"/>
      <c r="I9" s="9"/>
    </row>
    <row r="10" spans="2:12" ht="50.15" customHeight="1" x14ac:dyDescent="0.35">
      <c r="B10" s="20" t="s">
        <v>31</v>
      </c>
      <c r="C10" s="20" t="s">
        <v>35</v>
      </c>
      <c r="D10" s="20" t="s">
        <v>386</v>
      </c>
      <c r="E10" s="20" t="s">
        <v>387</v>
      </c>
      <c r="F10" s="20" t="s">
        <v>388</v>
      </c>
      <c r="G10" s="20" t="s">
        <v>36</v>
      </c>
      <c r="H10" s="20" t="s">
        <v>53</v>
      </c>
      <c r="I10" s="20" t="s">
        <v>52</v>
      </c>
      <c r="J10" s="20" t="s">
        <v>34</v>
      </c>
      <c r="K10" s="20" t="s">
        <v>33</v>
      </c>
      <c r="L10" s="372" t="s">
        <v>390</v>
      </c>
    </row>
    <row r="11" spans="2:12" x14ac:dyDescent="0.35">
      <c r="B11" s="33" t="s">
        <v>18</v>
      </c>
      <c r="C11" s="33" t="s">
        <v>97</v>
      </c>
      <c r="D11" s="91">
        <f>SUM('2 - PY1'!F22:F26,'2 - PY1'!F33:F36)</f>
        <v>163717</v>
      </c>
      <c r="E11" s="94">
        <v>148842</v>
      </c>
      <c r="F11" s="94">
        <f>E11</f>
        <v>148842</v>
      </c>
      <c r="G11" s="95">
        <f>D11/F11</f>
        <v>1.0999381894895257</v>
      </c>
      <c r="H11" s="133">
        <f>SUM('2 - PY1'!R22:R26,'2 - PY1'!R33:R36)</f>
        <v>64444736</v>
      </c>
      <c r="I11" s="133">
        <f>SUM('2 - PY1'!S22:S26,'2 - PY1'!S33:S36)</f>
        <v>22818802</v>
      </c>
      <c r="J11" s="133">
        <f>SUM('2 - PY1'!T22:T26,'2 - PY1'!T33:T36)</f>
        <v>41625934</v>
      </c>
      <c r="K11" s="354">
        <f>H11/I11</f>
        <v>2.8241945392225234</v>
      </c>
      <c r="L11" s="380">
        <v>8.0299999999999996E-2</v>
      </c>
    </row>
    <row r="12" spans="2:12" x14ac:dyDescent="0.35">
      <c r="B12" s="33" t="s">
        <v>19</v>
      </c>
      <c r="C12" s="33" t="s">
        <v>97</v>
      </c>
      <c r="D12" s="93">
        <f>SUM('3 - PY2'!F22:F26,'3 - PY2'!F33:F38)</f>
        <v>472132</v>
      </c>
      <c r="E12" s="93">
        <v>312339</v>
      </c>
      <c r="F12" s="94">
        <f t="shared" ref="F12:F13" si="0">E12</f>
        <v>312339</v>
      </c>
      <c r="G12" s="95">
        <f t="shared" ref="G12:G14" si="1">D12/F12</f>
        <v>1.5116011769263524</v>
      </c>
      <c r="H12" s="133">
        <f>SUM('3 - PY2'!R22:R26,'3 - PY2'!R33:R38)</f>
        <v>274572353</v>
      </c>
      <c r="I12" s="133">
        <f>SUM('3 - PY2'!S22:S26,'3 - PY2'!S33:S38)</f>
        <v>89988769</v>
      </c>
      <c r="J12" s="133">
        <f>SUM('3 - PY2'!T22:T26,'3 - PY2'!T33:T38)</f>
        <v>184583584</v>
      </c>
      <c r="K12" s="354">
        <f>H12/I12</f>
        <v>3.0511846761677561</v>
      </c>
      <c r="L12" s="380">
        <v>8.3599999999999994E-2</v>
      </c>
    </row>
    <row r="13" spans="2:12" x14ac:dyDescent="0.35">
      <c r="B13" s="33" t="s">
        <v>20</v>
      </c>
      <c r="C13" s="33" t="s">
        <v>97</v>
      </c>
      <c r="D13" s="282">
        <f>SUM('4- PY3'!F22:F27,'4- PY3'!F37:F43)</f>
        <v>626714.6</v>
      </c>
      <c r="E13" s="94">
        <v>458919</v>
      </c>
      <c r="F13" s="94">
        <f t="shared" si="0"/>
        <v>458919</v>
      </c>
      <c r="G13" s="95">
        <f t="shared" si="1"/>
        <v>1.3656322793346973</v>
      </c>
      <c r="H13" s="133">
        <f>SUM('4- PY3'!R22:R27,'4- PY3'!R37:R43)</f>
        <v>247051732</v>
      </c>
      <c r="I13" s="133">
        <f>SUM('4- PY3'!S22:S27,'4- PY3'!S37:S43)</f>
        <v>144788378</v>
      </c>
      <c r="J13" s="133">
        <f>SUM('4- PY3'!T22:T27,'4- PY3'!T37:T43)</f>
        <v>102263354</v>
      </c>
      <c r="K13" s="354">
        <f>H13/I13</f>
        <v>1.7062953215761558</v>
      </c>
      <c r="L13" s="380">
        <v>8.5099999999999995E-2</v>
      </c>
    </row>
    <row r="14" spans="2:12" x14ac:dyDescent="0.35">
      <c r="B14" s="27" t="s">
        <v>4</v>
      </c>
      <c r="C14" s="44"/>
      <c r="D14" s="102">
        <f>SUM(D11:D13)</f>
        <v>1262563.6000000001</v>
      </c>
      <c r="E14" s="102">
        <f t="shared" ref="E14:F14" si="2">SUM(E11:E13)</f>
        <v>920100</v>
      </c>
      <c r="F14" s="102">
        <f t="shared" si="2"/>
        <v>920100</v>
      </c>
      <c r="G14" s="106">
        <f t="shared" si="1"/>
        <v>1.3722025866753615</v>
      </c>
      <c r="H14" s="278">
        <f>SUM(H11:H13)</f>
        <v>586068821</v>
      </c>
      <c r="I14" s="278">
        <f>SUM(I11:I13)</f>
        <v>257595949</v>
      </c>
      <c r="J14" s="278">
        <f>SUM(J11:J13)</f>
        <v>328472872</v>
      </c>
      <c r="K14" s="355">
        <f t="shared" ref="K14" si="3">H14/I14</f>
        <v>2.2751476615806565</v>
      </c>
      <c r="L14" s="373" t="s">
        <v>82</v>
      </c>
    </row>
    <row r="15" spans="2:12" x14ac:dyDescent="0.35">
      <c r="B15" s="35" t="s">
        <v>21</v>
      </c>
      <c r="C15" s="92" t="s">
        <v>97</v>
      </c>
      <c r="D15" s="282">
        <f>SUM('5- PY4'!F22:F31,'5- PY4'!F42:F52)-31</f>
        <v>944111.03</v>
      </c>
      <c r="E15" s="94">
        <v>610804</v>
      </c>
      <c r="F15" s="94">
        <f>E15</f>
        <v>610804</v>
      </c>
      <c r="G15" s="95">
        <f>D15/F15</f>
        <v>1.5456857355223608</v>
      </c>
      <c r="H15" s="133">
        <f>SUM('5- PY4'!R22:R31,'5- PY4'!R42:R52)</f>
        <v>280804868</v>
      </c>
      <c r="I15" s="133">
        <f>SUM('5- PY4'!S22:S31,'5- PY4'!S42:S52)</f>
        <v>139911880</v>
      </c>
      <c r="J15" s="133">
        <f>SUM('5- PY4'!T22:T31,'5- PY4'!T42:T52)</f>
        <v>140892988</v>
      </c>
      <c r="K15" s="354">
        <f>H15/I15</f>
        <v>2.0070123280453385</v>
      </c>
      <c r="L15" s="380">
        <v>7.5399999999999995E-2</v>
      </c>
    </row>
    <row r="16" spans="2:12" x14ac:dyDescent="0.35">
      <c r="B16" s="35" t="s">
        <v>22</v>
      </c>
      <c r="C16" s="92" t="s">
        <v>97</v>
      </c>
      <c r="D16" s="282">
        <f>SUM('6 - PY5'!F22:F31,'6 - PY5'!F43:F53)-(949392-942061)</f>
        <v>942060.55</v>
      </c>
      <c r="E16" s="94">
        <v>806353</v>
      </c>
      <c r="F16" s="94">
        <f t="shared" ref="F16" si="4">E16</f>
        <v>806353</v>
      </c>
      <c r="G16" s="95">
        <f t="shared" ref="G16:G18" si="5">D16/F16</f>
        <v>1.1682979414722834</v>
      </c>
      <c r="H16" s="133">
        <f>SUM('6 - PY5'!R22:R31,'6 - PY5'!R43:R53)</f>
        <v>379271016</v>
      </c>
      <c r="I16" s="133">
        <f>SUM('6 - PY5'!S22:S31,'6 - PY5'!S43:S53)</f>
        <v>180640245</v>
      </c>
      <c r="J16" s="133">
        <f>SUM('6 - PY5'!T22:T31,'6 - PY5'!T43:T53)</f>
        <v>198630771</v>
      </c>
      <c r="K16" s="354">
        <f t="shared" ref="K16:K18" si="6">H16/I16</f>
        <v>2.0995931222303201</v>
      </c>
      <c r="L16" s="380">
        <v>6.9400000000000003E-2</v>
      </c>
    </row>
    <row r="17" spans="2:12" x14ac:dyDescent="0.35">
      <c r="B17" s="35" t="s">
        <v>23</v>
      </c>
      <c r="C17" s="92" t="s">
        <v>97</v>
      </c>
      <c r="D17" s="282">
        <f>SUM('7 - PY6'!F22:F33,'7 - PY6'!F47:F56)-(986314-977911)</f>
        <v>977910.7</v>
      </c>
      <c r="E17" s="94">
        <v>809556</v>
      </c>
      <c r="F17" s="94">
        <v>791103</v>
      </c>
      <c r="G17" s="95">
        <f t="shared" si="5"/>
        <v>1.2361357497064225</v>
      </c>
      <c r="H17" s="75">
        <f>SUM('7 - PY6'!R22:R33,'7 - PY6'!R47:R56)</f>
        <v>496065108</v>
      </c>
      <c r="I17" s="75">
        <f>SUM('7 - PY6'!S22:S33,'7 - PY6'!S47:S56)</f>
        <v>278651896</v>
      </c>
      <c r="J17" s="75">
        <f>SUM('7 - PY6'!T22:T33,'7 - PY6'!T47:T56)</f>
        <v>217413212</v>
      </c>
      <c r="K17" s="354">
        <f t="shared" si="6"/>
        <v>1.7802323081986136</v>
      </c>
      <c r="L17" s="380">
        <v>7.0599999999999996E-2</v>
      </c>
    </row>
    <row r="18" spans="2:12" x14ac:dyDescent="0.35">
      <c r="B18" s="36" t="s">
        <v>5</v>
      </c>
      <c r="C18" s="36"/>
      <c r="D18" s="102">
        <f>SUM(D15:D17)</f>
        <v>2864082.2800000003</v>
      </c>
      <c r="E18" s="102">
        <f t="shared" ref="E18:F18" si="7">SUM(E15:E17)</f>
        <v>2226713</v>
      </c>
      <c r="F18" s="102">
        <f t="shared" si="7"/>
        <v>2208260</v>
      </c>
      <c r="G18" s="106">
        <f t="shared" si="5"/>
        <v>1.2969859889686903</v>
      </c>
      <c r="H18" s="278">
        <f>SUM(H15:H17)</f>
        <v>1156140992</v>
      </c>
      <c r="I18" s="278">
        <f>SUM(I15:I17)</f>
        <v>599204021</v>
      </c>
      <c r="J18" s="278">
        <f>SUM(J15:J17)</f>
        <v>556936971</v>
      </c>
      <c r="K18" s="355">
        <f t="shared" si="6"/>
        <v>1.9294613378437258</v>
      </c>
      <c r="L18" s="373" t="s">
        <v>82</v>
      </c>
    </row>
    <row r="19" spans="2:12" x14ac:dyDescent="0.35">
      <c r="B19" s="35" t="s">
        <v>24</v>
      </c>
      <c r="C19" s="92" t="s">
        <v>98</v>
      </c>
      <c r="D19" s="282">
        <f>SUM('8 - PY7'!F22:F33,'8 - PY7'!F46:F54,'8 - PY7'!F76)</f>
        <v>809878.04273600003</v>
      </c>
      <c r="E19" s="94">
        <v>648029</v>
      </c>
      <c r="F19" s="94">
        <f>E19</f>
        <v>648029</v>
      </c>
      <c r="G19" s="95">
        <f>D19/F19</f>
        <v>1.2497558639134978</v>
      </c>
      <c r="H19" s="133">
        <f>SUM('8 - PY7'!R22:R33,'8 - PY7'!R46:R54,'8 - PY7'!R76)</f>
        <v>373631483</v>
      </c>
      <c r="I19" s="133">
        <f>SUM('8 - PY7'!S22:S33,'8 - PY7'!S46:S54,'8 - PY7'!S76)</f>
        <v>130240825</v>
      </c>
      <c r="J19" s="133">
        <f>SUM('8 - PY7'!T22:T33,'8 - PY7'!T46:T54,'8 - PY7'!T76)</f>
        <v>243390658</v>
      </c>
      <c r="K19" s="354">
        <f>H19/I19</f>
        <v>2.8687739270693347</v>
      </c>
      <c r="L19" s="380">
        <v>7.0499999999999993E-2</v>
      </c>
    </row>
    <row r="20" spans="2:12" x14ac:dyDescent="0.35">
      <c r="B20" s="35" t="s">
        <v>25</v>
      </c>
      <c r="C20" s="92" t="s">
        <v>98</v>
      </c>
      <c r="D20" s="282">
        <f>SUM('9 - PY8'!F22:F32,'9 - PY8'!F49:F55,'9 - PY8'!F58,'9 - PY8'!F79:F81)</f>
        <v>671027.05099999998</v>
      </c>
      <c r="E20" s="94">
        <v>541983</v>
      </c>
      <c r="F20" s="94">
        <f t="shared" ref="F20:F21" si="8">E20</f>
        <v>541983</v>
      </c>
      <c r="G20" s="95">
        <f t="shared" ref="G20:G22" si="9">D20/F20</f>
        <v>1.2380961229411254</v>
      </c>
      <c r="H20" s="133">
        <f>SUM('9 - PY8'!R22:R32,'9 - PY8'!R49:R55,'9 - PY8'!R58,'9 - PY8'!R79:R81)</f>
        <v>450244564</v>
      </c>
      <c r="I20" s="133">
        <f>'9 - PY8'!S84</f>
        <v>176495918</v>
      </c>
      <c r="J20" s="133">
        <f>SUM('9 - PY8'!T22:T32,'9 - PY8'!T49:T55,'9 - PY8'!T58,'9 - PY8'!T79:T81)</f>
        <v>272940841</v>
      </c>
      <c r="K20" s="354">
        <f t="shared" ref="K20:K22" si="10">H20/I20</f>
        <v>2.5510197012035145</v>
      </c>
      <c r="L20" s="380">
        <v>7.0599999999999996E-2</v>
      </c>
    </row>
    <row r="21" spans="2:12" x14ac:dyDescent="0.35">
      <c r="B21" s="35" t="s">
        <v>26</v>
      </c>
      <c r="C21" s="96" t="s">
        <v>98</v>
      </c>
      <c r="D21" s="282">
        <f>SUM('10 - PY9'!F22:F33,'10 - PY9'!F73:F80,'10 - PY9'!F86,'10 - PY9'!F110:F113)</f>
        <v>1087075.7269999997</v>
      </c>
      <c r="E21" s="94">
        <v>787629</v>
      </c>
      <c r="F21" s="94">
        <f t="shared" si="8"/>
        <v>787629</v>
      </c>
      <c r="G21" s="95">
        <f t="shared" si="9"/>
        <v>1.3801875337246339</v>
      </c>
      <c r="H21" s="133">
        <f>SUM('10 - PY9'!R22:R33,'10 - PY9'!R73:R80,'10 - PY9'!R86,'10 - PY9'!R110:R113)</f>
        <v>405292873.94226503</v>
      </c>
      <c r="I21" s="133">
        <f>SUM('10 - PY9'!S22:S33,'10 - PY9'!S73:S80,'10 - PY9'!S86,'10 - PY9'!S110:S113)</f>
        <v>276292785.90779495</v>
      </c>
      <c r="J21" s="133">
        <f>SUM('10 - PY9'!T22:T33,'10 - PY9'!T73:T80,'10 - PY9'!T86,'10 - PY9'!T110:T113)</f>
        <v>129000088.03446989</v>
      </c>
      <c r="K21" s="354">
        <f t="shared" si="10"/>
        <v>1.4668963310447065</v>
      </c>
      <c r="L21" s="380">
        <v>7.0599999999999996E-2</v>
      </c>
    </row>
    <row r="22" spans="2:12" x14ac:dyDescent="0.35">
      <c r="B22" s="36" t="s">
        <v>6</v>
      </c>
      <c r="C22" s="36"/>
      <c r="D22" s="102">
        <f>SUM(D19:D21)</f>
        <v>2567980.8207359994</v>
      </c>
      <c r="E22" s="102">
        <f t="shared" ref="E22" si="11">SUM(E19:E21)</f>
        <v>1977641</v>
      </c>
      <c r="F22" s="102">
        <f>SUM(F19:F21)</f>
        <v>1977641</v>
      </c>
      <c r="G22" s="106">
        <f t="shared" si="9"/>
        <v>1.2985070701588404</v>
      </c>
      <c r="H22" s="278">
        <f>SUM(H19:H21)</f>
        <v>1229168920.942265</v>
      </c>
      <c r="I22" s="278">
        <f>SUM(I19:I21)</f>
        <v>583029528.90779495</v>
      </c>
      <c r="J22" s="278">
        <f>SUM(J19:J21)</f>
        <v>645331587.03446984</v>
      </c>
      <c r="K22" s="355">
        <f t="shared" si="10"/>
        <v>2.1082447114555252</v>
      </c>
      <c r="L22" s="373" t="s">
        <v>82</v>
      </c>
    </row>
    <row r="23" spans="2:12" x14ac:dyDescent="0.35">
      <c r="B23" s="23">
        <v>2018</v>
      </c>
      <c r="C23" s="96" t="s">
        <v>98</v>
      </c>
      <c r="D23" s="94">
        <v>1859773.2879999999</v>
      </c>
      <c r="E23" s="94">
        <v>1713451.1340047012</v>
      </c>
      <c r="F23" s="94">
        <f>E23</f>
        <v>1713451.1340047012</v>
      </c>
      <c r="G23" s="95">
        <f>D23/F23</f>
        <v>1.0853961639707301</v>
      </c>
      <c r="H23" s="133">
        <f>'11 - CY2018'!R86</f>
        <v>1011551455.0014077</v>
      </c>
      <c r="I23" s="133">
        <f>'11 - CY2018'!S86</f>
        <v>545022566.45271218</v>
      </c>
      <c r="J23" s="133">
        <f>'11 - CY2018'!T86</f>
        <v>466528888.54869556</v>
      </c>
      <c r="K23" s="354">
        <f>H23/I23</f>
        <v>1.8559808662329453</v>
      </c>
      <c r="L23" s="380">
        <v>2.3800000000000002E-2</v>
      </c>
    </row>
    <row r="24" spans="2:12" x14ac:dyDescent="0.35">
      <c r="B24" s="23">
        <v>2019</v>
      </c>
      <c r="C24" s="96" t="s">
        <v>99</v>
      </c>
      <c r="D24" s="94">
        <f>'12 - CY2019'!F80</f>
        <v>1700029.4122546271</v>
      </c>
      <c r="E24" s="94">
        <v>1629782.8910777657</v>
      </c>
      <c r="F24" s="94">
        <f t="shared" ref="F24:F26" si="12">E24</f>
        <v>1629782.8910777657</v>
      </c>
      <c r="G24" s="95">
        <f t="shared" ref="G24:G25" si="13">D24/F24</f>
        <v>1.043101766229984</v>
      </c>
      <c r="H24" s="277">
        <f>'12 - CY2019'!R80</f>
        <v>719861474.6063211</v>
      </c>
      <c r="I24" s="277">
        <f>'12 - CY2019'!S80</f>
        <v>542103014.78299141</v>
      </c>
      <c r="J24" s="277">
        <f>'12 - CY2019'!T80</f>
        <v>177758459.82332969</v>
      </c>
      <c r="K24" s="354">
        <f>H24/I24</f>
        <v>1.3279053149971651</v>
      </c>
      <c r="L24" s="380">
        <v>2.3800000000000002E-2</v>
      </c>
    </row>
    <row r="25" spans="2:12" x14ac:dyDescent="0.35">
      <c r="B25" s="23">
        <v>2020</v>
      </c>
      <c r="C25" s="96" t="s">
        <v>99</v>
      </c>
      <c r="D25" s="94">
        <v>0</v>
      </c>
      <c r="E25" s="94">
        <v>1637682.4130108685</v>
      </c>
      <c r="F25" s="94">
        <f t="shared" si="12"/>
        <v>1637682.4130108685</v>
      </c>
      <c r="G25" s="95">
        <f t="shared" si="13"/>
        <v>0</v>
      </c>
      <c r="H25" s="277" t="s">
        <v>82</v>
      </c>
      <c r="I25" s="277" t="s">
        <v>82</v>
      </c>
      <c r="J25" s="277" t="s">
        <v>82</v>
      </c>
      <c r="K25" s="356" t="s">
        <v>82</v>
      </c>
      <c r="L25" s="374"/>
    </row>
    <row r="26" spans="2:12" x14ac:dyDescent="0.35">
      <c r="B26" s="23">
        <v>2021</v>
      </c>
      <c r="C26" s="96" t="s">
        <v>99</v>
      </c>
      <c r="D26" s="94">
        <v>0</v>
      </c>
      <c r="E26" s="94">
        <v>1659037.2773371474</v>
      </c>
      <c r="F26" s="94">
        <f t="shared" si="12"/>
        <v>1659037.2773371474</v>
      </c>
      <c r="G26" s="95">
        <f>D26/F26</f>
        <v>0</v>
      </c>
      <c r="H26" s="277" t="s">
        <v>82</v>
      </c>
      <c r="I26" s="277" t="s">
        <v>82</v>
      </c>
      <c r="J26" s="277" t="s">
        <v>82</v>
      </c>
      <c r="K26" s="356" t="s">
        <v>82</v>
      </c>
      <c r="L26" s="374"/>
    </row>
    <row r="27" spans="2:12" x14ac:dyDescent="0.35">
      <c r="B27" s="27" t="s">
        <v>13</v>
      </c>
      <c r="C27" s="27"/>
      <c r="D27" s="102">
        <f>SUM(D23:D26)</f>
        <v>3559802.700254627</v>
      </c>
      <c r="E27" s="102">
        <f>SUM(E23:E26)</f>
        <v>6639953.7154304832</v>
      </c>
      <c r="F27" s="102">
        <f>SUM(F23:F26)</f>
        <v>6639953.7154304832</v>
      </c>
      <c r="G27" s="106">
        <f t="shared" ref="G27" si="14">D27/F27</f>
        <v>0.53611860154718516</v>
      </c>
      <c r="H27" s="279">
        <f>SUM(H23:H26)</f>
        <v>1731412929.607729</v>
      </c>
      <c r="I27" s="279">
        <f>SUM(I23:I26)</f>
        <v>1087125581.2357035</v>
      </c>
      <c r="J27" s="279">
        <f>SUM(J23:J26)</f>
        <v>644287348.37202525</v>
      </c>
      <c r="K27" s="355">
        <f t="shared" ref="K27" si="15">H27/I27</f>
        <v>1.5926521825010163</v>
      </c>
      <c r="L27" s="373" t="s">
        <v>82</v>
      </c>
    </row>
    <row r="28" spans="2:12" ht="30" customHeight="1" x14ac:dyDescent="0.35">
      <c r="B28" s="408" t="s">
        <v>391</v>
      </c>
      <c r="C28" s="408"/>
      <c r="D28" s="408"/>
      <c r="E28" s="408"/>
      <c r="F28" s="408"/>
      <c r="G28" s="408"/>
      <c r="H28" s="408"/>
      <c r="I28" s="408"/>
      <c r="J28" s="408"/>
      <c r="K28" s="408"/>
      <c r="L28" s="408"/>
    </row>
    <row r="29" spans="2:12" x14ac:dyDescent="0.35">
      <c r="B29" s="10"/>
      <c r="C29" s="10"/>
      <c r="D29" s="10"/>
      <c r="E29" s="10"/>
      <c r="F29" s="10"/>
      <c r="G29" s="10"/>
      <c r="H29" s="16"/>
      <c r="I29" s="16"/>
    </row>
    <row r="30" spans="2:12" s="47" customFormat="1" ht="20.149999999999999" customHeight="1" x14ac:dyDescent="0.35">
      <c r="B30" s="46" t="s">
        <v>100</v>
      </c>
      <c r="F30" s="371"/>
    </row>
    <row r="31" spans="2:12" ht="10.5" customHeight="1" x14ac:dyDescent="0.35"/>
    <row r="32" spans="2:12" ht="50.15" customHeight="1" x14ac:dyDescent="0.35">
      <c r="B32" s="20" t="s">
        <v>31</v>
      </c>
      <c r="C32" s="20" t="s">
        <v>35</v>
      </c>
      <c r="D32" s="20" t="s">
        <v>44</v>
      </c>
      <c r="E32" s="20" t="s">
        <v>72</v>
      </c>
      <c r="F32" s="20" t="s">
        <v>53</v>
      </c>
      <c r="G32" s="20" t="s">
        <v>52</v>
      </c>
      <c r="H32" s="20" t="s">
        <v>34</v>
      </c>
      <c r="I32" s="20" t="s">
        <v>33</v>
      </c>
      <c r="J32" s="372" t="s">
        <v>390</v>
      </c>
    </row>
    <row r="33" spans="2:10" x14ac:dyDescent="0.35">
      <c r="B33" s="35" t="s">
        <v>41</v>
      </c>
      <c r="C33" s="92" t="s">
        <v>97</v>
      </c>
      <c r="D33" s="267">
        <f>SUM('7 - PY6'!F34:F35,'7 - PY6'!F57:F61)</f>
        <v>132335</v>
      </c>
      <c r="E33" s="267" t="s">
        <v>82</v>
      </c>
      <c r="F33" s="276">
        <f>SUM('7 - PY6'!R34:R35,'7 - PY6'!R57:R61)</f>
        <v>0</v>
      </c>
      <c r="G33" s="276">
        <f>SUM('7 - PY6'!S34:S35,'7 - PY6'!S57:S61)</f>
        <v>0</v>
      </c>
      <c r="H33" s="276">
        <f>SUM('7 - PY6'!T34:T35,'7 - PY6'!T57:T61)</f>
        <v>0</v>
      </c>
      <c r="I33" s="280" t="s">
        <v>82</v>
      </c>
      <c r="J33" s="280" t="s">
        <v>82</v>
      </c>
    </row>
    <row r="34" spans="2:10" x14ac:dyDescent="0.35">
      <c r="B34" s="35" t="s">
        <v>38</v>
      </c>
      <c r="C34" s="92" t="s">
        <v>98</v>
      </c>
      <c r="D34" s="267">
        <f>SUM('8 - PY7'!F34,'8 - PY7'!F55:F58)</f>
        <v>312779</v>
      </c>
      <c r="E34" s="267" t="s">
        <v>82</v>
      </c>
      <c r="F34" s="276">
        <f>SUM('8 - PY7'!R34,'8 - PY7'!R55:R58)</f>
        <v>0</v>
      </c>
      <c r="G34" s="276">
        <f>SUM('8 - PY7'!S34,'8 - PY7'!S55:S58)</f>
        <v>0</v>
      </c>
      <c r="H34" s="276">
        <f>SUM('8 - PY7'!T34,'8 - PY7'!T55:T58)</f>
        <v>0</v>
      </c>
      <c r="I34" s="280" t="s">
        <v>82</v>
      </c>
      <c r="J34" s="280" t="s">
        <v>82</v>
      </c>
    </row>
    <row r="35" spans="2:10" x14ac:dyDescent="0.35">
      <c r="B35" s="35" t="s">
        <v>39</v>
      </c>
      <c r="C35" s="92" t="s">
        <v>98</v>
      </c>
      <c r="D35" s="267">
        <f>SUM('9 - PY8'!F33:F39,'9 - PY8'!F56:F57,'9 - PY8'!F59:F62)</f>
        <v>681974.3</v>
      </c>
      <c r="E35" s="267" t="s">
        <v>82</v>
      </c>
      <c r="F35" s="276">
        <f>SUM('9 - PY8'!R33:R39,'9 - PY8'!R56:R57,'9 - PY8'!R59:R62)</f>
        <v>0</v>
      </c>
      <c r="G35" s="276">
        <f>SUM('9 - PY8'!S33:S39,'9 - PY8'!S56:S57,'9 - PY8'!S59:S62)</f>
        <v>0</v>
      </c>
      <c r="H35" s="276">
        <f>SUM('9 - PY8'!T33:T39,'9 - PY8'!T56:T57,'9 - PY8'!T59:T62)</f>
        <v>0</v>
      </c>
      <c r="I35" s="280" t="s">
        <v>82</v>
      </c>
      <c r="J35" s="280" t="s">
        <v>82</v>
      </c>
    </row>
    <row r="36" spans="2:10" x14ac:dyDescent="0.35">
      <c r="B36" s="35" t="s">
        <v>40</v>
      </c>
      <c r="C36" s="96" t="s">
        <v>98</v>
      </c>
      <c r="D36" s="267">
        <f>SUM('10 - PY9'!F55:F68,'10 - PY9'!F81:F85,'10 - PY9'!F87:F90)</f>
        <v>1247922.4990000001</v>
      </c>
      <c r="E36" s="267" t="s">
        <v>82</v>
      </c>
      <c r="F36" s="276">
        <f>SUM('10 - PY9'!R55:R68,'10 - PY9'!R81:R85,'10 - PY9'!R87:R90)</f>
        <v>361653799.82648283</v>
      </c>
      <c r="G36" s="276">
        <f>SUM('10 - PY9'!S55:S68,'10 - PY9'!S81:S85,'10 - PY9'!S87:S90)</f>
        <v>229212751.93255544</v>
      </c>
      <c r="H36" s="276">
        <f>SUM('10 - PY9'!T55:T68,'10 - PY9'!T81:T85,'10 - PY9'!T87:T90)</f>
        <v>132441047.89392734</v>
      </c>
      <c r="I36" s="366">
        <f>F36/G36</f>
        <v>1.5778083757438479</v>
      </c>
      <c r="J36" s="380">
        <v>7.0599999999999996E-2</v>
      </c>
    </row>
    <row r="37" spans="2:10" x14ac:dyDescent="0.35">
      <c r="B37" s="51"/>
      <c r="C37" s="51"/>
      <c r="D37" s="51"/>
      <c r="E37" s="51"/>
      <c r="F37" s="51"/>
      <c r="G37" s="51"/>
      <c r="H37" s="51"/>
      <c r="I37" s="51"/>
      <c r="J37" s="381"/>
    </row>
    <row r="38" spans="2:10" ht="18.649999999999999" customHeight="1" x14ac:dyDescent="0.35">
      <c r="B38" s="46" t="s">
        <v>73</v>
      </c>
      <c r="C38" s="52"/>
      <c r="D38" s="51"/>
      <c r="E38" s="51"/>
      <c r="F38" s="51"/>
      <c r="G38" s="51"/>
      <c r="H38" s="51"/>
      <c r="I38" s="51"/>
    </row>
    <row r="39" spans="2:10" x14ac:dyDescent="0.35">
      <c r="G39" s="42"/>
      <c r="H39" s="42"/>
      <c r="I39" s="42"/>
    </row>
    <row r="40" spans="2:10" s="47" customFormat="1" ht="17.649999999999999" customHeight="1" x14ac:dyDescent="0.35">
      <c r="B40" s="46" t="s">
        <v>452</v>
      </c>
      <c r="F40" s="341"/>
    </row>
    <row r="41" spans="2:10" ht="11.25" customHeight="1" x14ac:dyDescent="0.35"/>
    <row r="42" spans="2:10" ht="50.15" customHeight="1" x14ac:dyDescent="0.35">
      <c r="B42" s="20" t="s">
        <v>31</v>
      </c>
      <c r="C42" s="20" t="s">
        <v>35</v>
      </c>
      <c r="D42" s="20" t="s">
        <v>44</v>
      </c>
      <c r="E42" s="20" t="s">
        <v>43</v>
      </c>
      <c r="F42" s="20" t="s">
        <v>53</v>
      </c>
      <c r="G42" s="20" t="s">
        <v>52</v>
      </c>
      <c r="H42" s="20" t="s">
        <v>34</v>
      </c>
      <c r="I42" s="20" t="s">
        <v>33</v>
      </c>
      <c r="J42" s="372" t="s">
        <v>390</v>
      </c>
    </row>
    <row r="43" spans="2:10" x14ac:dyDescent="0.35">
      <c r="B43" s="33" t="s">
        <v>18</v>
      </c>
      <c r="C43" s="98" t="s">
        <v>97</v>
      </c>
      <c r="D43" s="99">
        <f>SUM('2 - PY1'!F27:F28,'2 - PY1'!F37,'2 - PY1'!F46:F48)</f>
        <v>18636</v>
      </c>
      <c r="E43" s="99" t="s">
        <v>82</v>
      </c>
      <c r="F43" s="100" t="s">
        <v>82</v>
      </c>
      <c r="G43" s="100" t="s">
        <v>82</v>
      </c>
      <c r="H43" s="100" t="s">
        <v>82</v>
      </c>
      <c r="I43" s="354">
        <v>1.83</v>
      </c>
      <c r="J43" s="375" t="s">
        <v>82</v>
      </c>
    </row>
    <row r="44" spans="2:10" x14ac:dyDescent="0.35">
      <c r="B44" s="33" t="s">
        <v>19</v>
      </c>
      <c r="C44" s="98" t="s">
        <v>97</v>
      </c>
      <c r="D44" s="99">
        <f>SUM('3 - PY2'!F27:F28,'3 - PY2'!F39,'3 - PY2'!F42:F43)-38</f>
        <v>34037.684000000001</v>
      </c>
      <c r="E44" s="99" t="s">
        <v>82</v>
      </c>
      <c r="F44" s="100" t="s">
        <v>82</v>
      </c>
      <c r="G44" s="100" t="s">
        <v>82</v>
      </c>
      <c r="H44" s="100" t="s">
        <v>82</v>
      </c>
      <c r="I44" s="356" t="s">
        <v>82</v>
      </c>
      <c r="J44" s="375" t="s">
        <v>82</v>
      </c>
    </row>
    <row r="45" spans="2:10" x14ac:dyDescent="0.35">
      <c r="B45" s="33" t="s">
        <v>20</v>
      </c>
      <c r="C45" s="98" t="s">
        <v>97</v>
      </c>
      <c r="D45" s="99">
        <f>SUM('4- PY3'!F28:F32,'4- PY3'!F44,'4- PY3'!F47:F49)</f>
        <v>54130</v>
      </c>
      <c r="E45" s="99" t="s">
        <v>82</v>
      </c>
      <c r="F45" s="103">
        <f>SUM('4- PY3'!R28:R32,'4- PY3'!R44,'4- PY3'!R47:R49)</f>
        <v>37700000</v>
      </c>
      <c r="G45" s="103">
        <f>SUM('4- PY3'!S28:S32,'4- PY3'!S44,'4- PY3'!S47:S49)</f>
        <v>35209000</v>
      </c>
      <c r="H45" s="103">
        <f>SUM('4- PY3'!T28:T32,'4- PY3'!T44,'4- PY3'!T47:T49)</f>
        <v>2491000</v>
      </c>
      <c r="I45" s="354">
        <f>F45/G45</f>
        <v>1.0707489562327814</v>
      </c>
      <c r="J45" s="375" t="s">
        <v>82</v>
      </c>
    </row>
    <row r="46" spans="2:10" x14ac:dyDescent="0.35">
      <c r="B46" s="27" t="s">
        <v>4</v>
      </c>
      <c r="C46" s="36"/>
      <c r="D46" s="102">
        <f>SUM(D43:D45)</f>
        <v>106803.68400000001</v>
      </c>
      <c r="E46" s="350" t="s">
        <v>82</v>
      </c>
      <c r="F46" s="105">
        <f>SUM(F43:F45)</f>
        <v>37700000</v>
      </c>
      <c r="G46" s="105">
        <f t="shared" ref="G46:H46" si="16">SUM(G43:G45)</f>
        <v>35209000</v>
      </c>
      <c r="H46" s="105">
        <f t="shared" si="16"/>
        <v>2491000</v>
      </c>
      <c r="I46" s="357">
        <f>F46/G46</f>
        <v>1.0707489562327814</v>
      </c>
      <c r="J46" s="376" t="s">
        <v>82</v>
      </c>
    </row>
    <row r="47" spans="2:10" x14ac:dyDescent="0.35">
      <c r="B47" s="35" t="s">
        <v>21</v>
      </c>
      <c r="C47" s="98" t="s">
        <v>97</v>
      </c>
      <c r="D47" s="99">
        <f>SUM('5- PY4'!F32:F37,'5- PY4'!F53,'5- PY4'!F56:F58)</f>
        <v>107640.3474</v>
      </c>
      <c r="E47" s="99" t="s">
        <v>82</v>
      </c>
      <c r="F47" s="103">
        <f>SUM('5- PY4'!R32:R37,'5- PY4'!R53,'5- PY4'!R56:R58)</f>
        <v>82595574</v>
      </c>
      <c r="G47" s="103">
        <f>SUM('5- PY4'!S32:S37,'5- PY4'!S53,'5- PY4'!S56:S58)</f>
        <v>44702019</v>
      </c>
      <c r="H47" s="103">
        <f>SUM('5- PY4'!T32:T37,'5- PY4'!T53,'5- PY4'!T56:T58,0.5)</f>
        <v>37893555.5</v>
      </c>
      <c r="I47" s="354">
        <f>F47/G47</f>
        <v>1.8476922485313247</v>
      </c>
      <c r="J47" s="377">
        <v>0.02</v>
      </c>
    </row>
    <row r="48" spans="2:10" x14ac:dyDescent="0.35">
      <c r="B48" s="35" t="s">
        <v>22</v>
      </c>
      <c r="C48" s="98" t="s">
        <v>97</v>
      </c>
      <c r="D48" s="99">
        <f>SUM('6 - PY5'!F32:F38,'6 - PY5'!F54,'6 - PY5'!F57:F59)</f>
        <v>98943.824000000008</v>
      </c>
      <c r="E48" s="99" t="s">
        <v>82</v>
      </c>
      <c r="F48" s="103">
        <f>SUM('6 - PY5'!R32:R38,'6 - PY5'!R54,'6 - PY5'!R57:R59)</f>
        <v>74492205.800000012</v>
      </c>
      <c r="G48" s="103">
        <f>SUM('6 - PY5'!S32:S38,'6 - PY5'!S54,'6 - PY5'!S57:S59)</f>
        <v>46843911</v>
      </c>
      <c r="H48" s="103">
        <f>SUM('6 - PY5'!T32:T38,'6 - PY5'!T54,'6 - PY5'!T57:T59)</f>
        <v>27648294.799999997</v>
      </c>
      <c r="I48" s="354">
        <f t="shared" ref="I48:I50" si="17">F48/G48</f>
        <v>1.5902217430137293</v>
      </c>
      <c r="J48" s="377">
        <v>0.02</v>
      </c>
    </row>
    <row r="49" spans="2:10" ht="13.9" customHeight="1" x14ac:dyDescent="0.35">
      <c r="B49" s="35" t="s">
        <v>23</v>
      </c>
      <c r="C49" s="98" t="s">
        <v>97</v>
      </c>
      <c r="D49" s="99">
        <f>SUM('7 - PY6'!F36:F42,'7 - PY6'!F62,'7 - PY6'!F65:F67)</f>
        <v>86438.688999999984</v>
      </c>
      <c r="E49" s="99" t="s">
        <v>82</v>
      </c>
      <c r="F49" s="103">
        <f>SUM('7 - PY6'!R36:R42,'7 - PY6'!R62,'7 - PY6'!R65:R67)</f>
        <v>72385063</v>
      </c>
      <c r="G49" s="103">
        <f>SUM('7 - PY6'!S36:S42,'7 - PY6'!S62,'7 - PY6'!S65:S67)</f>
        <v>38055749.799999997</v>
      </c>
      <c r="H49" s="103">
        <f>SUM('7 - PY6'!T36:T42,'7 - PY6'!T62,'7 - PY6'!T65:T67)</f>
        <v>34329313.200000003</v>
      </c>
      <c r="I49" s="354">
        <f t="shared" si="17"/>
        <v>1.902079538057085</v>
      </c>
      <c r="J49" s="377">
        <v>0.02</v>
      </c>
    </row>
    <row r="50" spans="2:10" x14ac:dyDescent="0.35">
      <c r="B50" s="36" t="s">
        <v>5</v>
      </c>
      <c r="C50" s="36"/>
      <c r="D50" s="102">
        <f>SUM(D47:D49)</f>
        <v>293022.86040000001</v>
      </c>
      <c r="E50" s="350" t="s">
        <v>82</v>
      </c>
      <c r="F50" s="105">
        <f>SUM(F47:F49)</f>
        <v>229472842.80000001</v>
      </c>
      <c r="G50" s="105">
        <f t="shared" ref="G50:H50" si="18">SUM(G47:G49)</f>
        <v>129601679.8</v>
      </c>
      <c r="H50" s="105">
        <f t="shared" si="18"/>
        <v>99871163.5</v>
      </c>
      <c r="I50" s="355">
        <f t="shared" si="17"/>
        <v>1.7706008375363667</v>
      </c>
      <c r="J50" s="378" t="s">
        <v>82</v>
      </c>
    </row>
    <row r="51" spans="2:10" x14ac:dyDescent="0.35">
      <c r="B51" s="35" t="s">
        <v>24</v>
      </c>
      <c r="C51" s="98" t="s">
        <v>98</v>
      </c>
      <c r="D51" s="99">
        <f>SUM('8 - PY7'!F35:F41,'8 - PY7'!F59,'8 - PY7'!F62:F64)</f>
        <v>85124.305999999997</v>
      </c>
      <c r="E51" s="99" t="s">
        <v>82</v>
      </c>
      <c r="F51" s="103">
        <f>SUM('8 - PY7'!R35:R41,'8 - PY7'!R59,'8 - PY7'!R62:R64)</f>
        <v>85456542</v>
      </c>
      <c r="G51" s="103">
        <f>SUM('8 - PY7'!S35:S41,'8 - PY7'!S59,'8 - PY7'!S62:S64)+3692731+287234.5</f>
        <v>29577882.5</v>
      </c>
      <c r="H51" s="103">
        <f>SUM('8 - PY7'!T35:T41,'8 - PY7'!T59,'8 - PY7'!T62:T64,34)</f>
        <v>59858659</v>
      </c>
      <c r="I51" s="354">
        <f>F51/G51</f>
        <v>2.8892041882984691</v>
      </c>
      <c r="J51" s="377">
        <v>0.02</v>
      </c>
    </row>
    <row r="52" spans="2:10" x14ac:dyDescent="0.35">
      <c r="B52" s="35" t="s">
        <v>25</v>
      </c>
      <c r="C52" s="98" t="s">
        <v>98</v>
      </c>
      <c r="D52" s="99">
        <f>SUM('9 - PY8'!F40:F44,'9 - PY8'!F65:F66)</f>
        <v>30340.803</v>
      </c>
      <c r="E52" s="99" t="s">
        <v>82</v>
      </c>
      <c r="F52" s="103">
        <v>27666020</v>
      </c>
      <c r="G52" s="103">
        <v>11545468</v>
      </c>
      <c r="H52" s="100">
        <f>F52-G52</f>
        <v>16120552</v>
      </c>
      <c r="I52" s="354">
        <f t="shared" ref="I52:I54" si="19">F52/G52</f>
        <v>2.3962666563191721</v>
      </c>
      <c r="J52" s="379">
        <v>2.3800000000000002E-2</v>
      </c>
    </row>
    <row r="53" spans="2:10" x14ac:dyDescent="0.35">
      <c r="B53" s="35" t="s">
        <v>50</v>
      </c>
      <c r="C53" s="98" t="s">
        <v>98</v>
      </c>
      <c r="D53" s="99">
        <f>SUM('10 - PY9'!F36,'10 - PY9'!F38,'10 - PY9'!F40,'10 - PY9'!F42,'10 - PY9'!F44,'10 - PY9'!F46,'10 - PY9'!F48:F54,'10 - PY9'!F91,'10 - PY9'!F95,'10 - PY9'!F97,'10 - PY9'!F100)</f>
        <v>171941.09000000003</v>
      </c>
      <c r="E53" s="99" t="s">
        <v>82</v>
      </c>
      <c r="F53" s="100">
        <v>163025458</v>
      </c>
      <c r="G53" s="100">
        <v>50130236</v>
      </c>
      <c r="H53" s="100">
        <f>F53-G53</f>
        <v>112895222</v>
      </c>
      <c r="I53" s="354">
        <f t="shared" si="19"/>
        <v>3.2520385102515776</v>
      </c>
      <c r="J53" s="379">
        <v>2.3800000000000002E-2</v>
      </c>
    </row>
    <row r="54" spans="2:10" x14ac:dyDescent="0.35">
      <c r="B54" s="36" t="s">
        <v>6</v>
      </c>
      <c r="C54" s="36"/>
      <c r="D54" s="102">
        <f>SUM(D51:D53)</f>
        <v>287406.19900000002</v>
      </c>
      <c r="E54" s="350" t="s">
        <v>82</v>
      </c>
      <c r="F54" s="105">
        <f>SUM(F51:F53)</f>
        <v>276148020</v>
      </c>
      <c r="G54" s="105">
        <f>SUM(G51:G53)</f>
        <v>91253586.5</v>
      </c>
      <c r="H54" s="105">
        <f>SUM(H51:H53)</f>
        <v>188874433</v>
      </c>
      <c r="I54" s="355">
        <f t="shared" si="19"/>
        <v>3.0261607306798841</v>
      </c>
      <c r="J54" s="378" t="s">
        <v>82</v>
      </c>
    </row>
    <row r="56" spans="2:10" s="47" customFormat="1" ht="18.649999999999999" customHeight="1" x14ac:dyDescent="0.35">
      <c r="B56" s="46" t="s">
        <v>453</v>
      </c>
    </row>
    <row r="57" spans="2:10" ht="13.5" customHeight="1" x14ac:dyDescent="0.35"/>
    <row r="58" spans="2:10" ht="50.15" customHeight="1" x14ac:dyDescent="0.35">
      <c r="B58" s="20" t="s">
        <v>31</v>
      </c>
      <c r="C58" s="20" t="s">
        <v>44</v>
      </c>
      <c r="D58" s="20" t="s">
        <v>43</v>
      </c>
      <c r="E58" s="20" t="s">
        <v>53</v>
      </c>
      <c r="F58" s="20" t="s">
        <v>52</v>
      </c>
      <c r="G58" s="20" t="s">
        <v>34</v>
      </c>
      <c r="H58" s="20" t="s">
        <v>49</v>
      </c>
      <c r="I58" s="43"/>
    </row>
    <row r="59" spans="2:10" x14ac:dyDescent="0.35">
      <c r="B59" s="33" t="s">
        <v>18</v>
      </c>
      <c r="C59" s="91">
        <f>SUM(D11,D43)</f>
        <v>182353</v>
      </c>
      <c r="D59" s="33" t="s">
        <v>82</v>
      </c>
      <c r="E59" s="281">
        <f>SUM(H11,F43)</f>
        <v>64444736</v>
      </c>
      <c r="F59" s="281">
        <f t="shared" ref="F59:G59" si="20">SUM(I11,G43)</f>
        <v>22818802</v>
      </c>
      <c r="G59" s="281">
        <f t="shared" si="20"/>
        <v>41625934</v>
      </c>
      <c r="H59" s="358">
        <f>E59/F59</f>
        <v>2.8241945392225234</v>
      </c>
      <c r="I59" s="48"/>
    </row>
    <row r="60" spans="2:10" x14ac:dyDescent="0.35">
      <c r="B60" s="33" t="s">
        <v>19</v>
      </c>
      <c r="C60" s="91">
        <f>SUM(D12,D44)</f>
        <v>506169.68400000001</v>
      </c>
      <c r="D60" s="33" t="s">
        <v>82</v>
      </c>
      <c r="E60" s="281">
        <f>SUM(H12,F44)</f>
        <v>274572353</v>
      </c>
      <c r="F60" s="281">
        <f>SUM(I12,G44)</f>
        <v>89988769</v>
      </c>
      <c r="G60" s="281">
        <f>SUM(J12,H44)</f>
        <v>184583584</v>
      </c>
      <c r="H60" s="358">
        <f t="shared" ref="H60:H62" si="21">E60/F60</f>
        <v>3.0511846761677561</v>
      </c>
      <c r="I60" s="49"/>
    </row>
    <row r="61" spans="2:10" x14ac:dyDescent="0.35">
      <c r="B61" s="33" t="s">
        <v>20</v>
      </c>
      <c r="C61" s="91">
        <f>SUM(D13,D45)</f>
        <v>680844.6</v>
      </c>
      <c r="D61" s="33" t="s">
        <v>82</v>
      </c>
      <c r="E61" s="281">
        <f>SUM(H13,F45)</f>
        <v>284751732</v>
      </c>
      <c r="F61" s="281">
        <f>SUM(I13,G45)</f>
        <v>179997378</v>
      </c>
      <c r="G61" s="281">
        <f>SUM(J13,H45)</f>
        <v>104754354</v>
      </c>
      <c r="H61" s="358">
        <f t="shared" si="21"/>
        <v>1.5819771107999139</v>
      </c>
      <c r="I61" s="41"/>
    </row>
    <row r="62" spans="2:10" x14ac:dyDescent="0.35">
      <c r="B62" s="27" t="s">
        <v>4</v>
      </c>
      <c r="C62" s="102">
        <f>SUM(C59:C61)</f>
        <v>1369367.284</v>
      </c>
      <c r="D62" s="350" t="s">
        <v>82</v>
      </c>
      <c r="E62" s="105">
        <f>SUM(E59:E61)</f>
        <v>623768821</v>
      </c>
      <c r="F62" s="105">
        <f>SUM(F59:F61)</f>
        <v>292804949</v>
      </c>
      <c r="G62" s="105">
        <f>SUM(G59:G61)</f>
        <v>330963872</v>
      </c>
      <c r="H62" s="359">
        <f t="shared" si="21"/>
        <v>2.1303219878295159</v>
      </c>
      <c r="I62" s="41"/>
    </row>
    <row r="63" spans="2:10" x14ac:dyDescent="0.35">
      <c r="B63" s="35" t="s">
        <v>21</v>
      </c>
      <c r="C63" s="91">
        <f>SUM(D15,D47)</f>
        <v>1051751.3774000001</v>
      </c>
      <c r="D63" s="33" t="s">
        <v>82</v>
      </c>
      <c r="E63" s="281">
        <f>SUM(H15,F47)</f>
        <v>363400442</v>
      </c>
      <c r="F63" s="281">
        <f>SUM(I15,G47)</f>
        <v>184613899</v>
      </c>
      <c r="G63" s="281">
        <f>SUM(J15,H47)</f>
        <v>178786543.5</v>
      </c>
      <c r="H63" s="358">
        <f>E63/F63</f>
        <v>1.9684349009930178</v>
      </c>
      <c r="I63" s="41"/>
    </row>
    <row r="64" spans="2:10" x14ac:dyDescent="0.35">
      <c r="B64" s="35" t="s">
        <v>22</v>
      </c>
      <c r="C64" s="91">
        <f>SUM(D16,D48)</f>
        <v>1041004.3740000001</v>
      </c>
      <c r="D64" s="33" t="s">
        <v>82</v>
      </c>
      <c r="E64" s="281">
        <f t="shared" ref="E64:G64" si="22">SUM(H16,F48)</f>
        <v>453763221.80000001</v>
      </c>
      <c r="F64" s="281">
        <f t="shared" si="22"/>
        <v>227484156</v>
      </c>
      <c r="G64" s="281">
        <f t="shared" si="22"/>
        <v>226279065.80000001</v>
      </c>
      <c r="H64" s="358">
        <f t="shared" ref="H64:H66" si="23">E64/F64</f>
        <v>1.9947025312831017</v>
      </c>
      <c r="I64" s="41"/>
    </row>
    <row r="65" spans="2:9" x14ac:dyDescent="0.35">
      <c r="B65" s="35" t="s">
        <v>23</v>
      </c>
      <c r="C65" s="91">
        <f>SUM(D17,D33,D49)</f>
        <v>1196684.389</v>
      </c>
      <c r="D65" s="33" t="s">
        <v>82</v>
      </c>
      <c r="E65" s="281">
        <f t="shared" ref="E65:G65" si="24">SUM(H17,F49)</f>
        <v>568450171</v>
      </c>
      <c r="F65" s="281">
        <f t="shared" si="24"/>
        <v>316707645.80000001</v>
      </c>
      <c r="G65" s="281">
        <f t="shared" si="24"/>
        <v>251742525.19999999</v>
      </c>
      <c r="H65" s="358">
        <f t="shared" si="23"/>
        <v>1.7948735325416636</v>
      </c>
      <c r="I65" s="41"/>
    </row>
    <row r="66" spans="2:9" x14ac:dyDescent="0.35">
      <c r="B66" s="36" t="s">
        <v>5</v>
      </c>
      <c r="C66" s="102">
        <f>SUM(C63:C65)</f>
        <v>3289440.1403999999</v>
      </c>
      <c r="D66" s="350" t="s">
        <v>82</v>
      </c>
      <c r="E66" s="105">
        <f>SUM(E63:E65)</f>
        <v>1385613834.8</v>
      </c>
      <c r="F66" s="105">
        <f>SUM(F63:F65)</f>
        <v>728805700.79999995</v>
      </c>
      <c r="G66" s="105">
        <f>SUM(G63:G65)</f>
        <v>656808134.5</v>
      </c>
      <c r="H66" s="359">
        <f t="shared" si="23"/>
        <v>1.9012115757039645</v>
      </c>
      <c r="I66" s="41"/>
    </row>
    <row r="67" spans="2:9" x14ac:dyDescent="0.35">
      <c r="B67" s="35" t="s">
        <v>24</v>
      </c>
      <c r="C67" s="91">
        <f>SUM(D19,D34,D51)</f>
        <v>1207781.348736</v>
      </c>
      <c r="D67" s="33" t="s">
        <v>82</v>
      </c>
      <c r="E67" s="281">
        <f t="shared" ref="E67" si="25">SUM(H19,F51)</f>
        <v>459088025</v>
      </c>
      <c r="F67" s="281">
        <f t="shared" ref="F67" si="26">SUM(I19,G51)</f>
        <v>159818707.5</v>
      </c>
      <c r="G67" s="281">
        <f t="shared" ref="G67" si="27">SUM(J19,H51)</f>
        <v>303249317</v>
      </c>
      <c r="H67" s="358">
        <f>E67/F67</f>
        <v>2.8725549854668921</v>
      </c>
      <c r="I67" s="41"/>
    </row>
    <row r="68" spans="2:9" x14ac:dyDescent="0.35">
      <c r="B68" s="35" t="s">
        <v>25</v>
      </c>
      <c r="C68" s="91">
        <f>SUM(D20,D35,D52)</f>
        <v>1383342.1540000001</v>
      </c>
      <c r="D68" s="33" t="s">
        <v>82</v>
      </c>
      <c r="E68" s="281">
        <f t="shared" ref="E68" si="28">SUM(H20,F52)</f>
        <v>477910584</v>
      </c>
      <c r="F68" s="281">
        <f t="shared" ref="F68" si="29">SUM(I20,G52)</f>
        <v>188041386</v>
      </c>
      <c r="G68" s="281">
        <f t="shared" ref="G68" si="30">SUM(J20,H52)</f>
        <v>289061393</v>
      </c>
      <c r="H68" s="358">
        <f t="shared" ref="H68" si="31">E68/F68</f>
        <v>2.5415180890019604</v>
      </c>
      <c r="I68" s="41"/>
    </row>
    <row r="69" spans="2:9" x14ac:dyDescent="0.35">
      <c r="B69" s="35" t="s">
        <v>26</v>
      </c>
      <c r="C69" s="91">
        <f t="shared" ref="C69" si="32">SUM(D21,D36,D53)</f>
        <v>2506939.3159999996</v>
      </c>
      <c r="D69" s="33" t="s">
        <v>82</v>
      </c>
      <c r="E69" s="281">
        <f>SUM(H21,F36,F53)</f>
        <v>929972131.76874781</v>
      </c>
      <c r="F69" s="281">
        <f>SUM(I21,G36,G53)</f>
        <v>555635773.84035039</v>
      </c>
      <c r="G69" s="281">
        <f>SUM(J21,H36,H53)</f>
        <v>374336357.92839724</v>
      </c>
      <c r="H69" s="358">
        <f>E69/F69</f>
        <v>1.6737081655868231</v>
      </c>
      <c r="I69" s="41"/>
    </row>
    <row r="70" spans="2:9" x14ac:dyDescent="0.35">
      <c r="B70" s="36" t="s">
        <v>6</v>
      </c>
      <c r="C70" s="102">
        <f>SUM(C67:C69)</f>
        <v>5098062.818736</v>
      </c>
      <c r="D70" s="350" t="s">
        <v>82</v>
      </c>
      <c r="E70" s="105">
        <f>SUM(E67:E69)</f>
        <v>1866970740.7687478</v>
      </c>
      <c r="F70" s="105">
        <f>SUM(F67:F69)</f>
        <v>903495867.34035039</v>
      </c>
      <c r="G70" s="105">
        <f>SUM(G67:G69)</f>
        <v>966647067.92839718</v>
      </c>
      <c r="H70" s="359">
        <f t="shared" ref="H70:H75" si="33">E70/F70</f>
        <v>2.0663854791772418</v>
      </c>
      <c r="I70" s="41"/>
    </row>
    <row r="71" spans="2:9" x14ac:dyDescent="0.35">
      <c r="B71" s="23">
        <v>2018</v>
      </c>
      <c r="C71" s="91">
        <f>D23</f>
        <v>1859773.2879999999</v>
      </c>
      <c r="D71" s="91">
        <f>'11 - CY2018'!M86</f>
        <v>7399442.1650462085</v>
      </c>
      <c r="E71" s="103">
        <f>H23</f>
        <v>1011551455.0014077</v>
      </c>
      <c r="F71" s="101">
        <f>I23</f>
        <v>545022566.45271218</v>
      </c>
      <c r="G71" s="101">
        <f t="shared" ref="G71" si="34">J23</f>
        <v>466528888.54869556</v>
      </c>
      <c r="H71" s="358">
        <f>E71/F71</f>
        <v>1.8559808662329453</v>
      </c>
      <c r="I71" s="41"/>
    </row>
    <row r="72" spans="2:9" x14ac:dyDescent="0.35">
      <c r="B72" s="23">
        <v>2019</v>
      </c>
      <c r="C72" s="91">
        <f t="shared" ref="C72:C74" si="35">D24</f>
        <v>1700029.4122546271</v>
      </c>
      <c r="D72" s="91">
        <f>'12 - CY2019'!M80</f>
        <v>7278423.7003684435</v>
      </c>
      <c r="E72" s="103">
        <f t="shared" ref="E72:E74" si="36">H24</f>
        <v>719861474.6063211</v>
      </c>
      <c r="F72" s="101">
        <f t="shared" ref="F72:F74" si="37">I24</f>
        <v>542103014.78299141</v>
      </c>
      <c r="G72" s="101">
        <f t="shared" ref="G72:H72" si="38">J24</f>
        <v>177758459.82332969</v>
      </c>
      <c r="H72" s="360">
        <f t="shared" si="38"/>
        <v>1.3279053149971651</v>
      </c>
      <c r="I72" s="41"/>
    </row>
    <row r="73" spans="2:9" x14ac:dyDescent="0.35">
      <c r="B73" s="23">
        <v>2020</v>
      </c>
      <c r="C73" s="91">
        <f t="shared" si="35"/>
        <v>0</v>
      </c>
      <c r="D73" s="91">
        <v>0</v>
      </c>
      <c r="E73" s="103" t="str">
        <f t="shared" si="36"/>
        <v>N/A</v>
      </c>
      <c r="F73" s="101" t="str">
        <f t="shared" si="37"/>
        <v>N/A</v>
      </c>
      <c r="G73" s="101" t="str">
        <f t="shared" ref="G73:G74" si="39">J25</f>
        <v>N/A</v>
      </c>
      <c r="H73" s="360" t="str">
        <f t="shared" ref="H73:H74" si="40">K25</f>
        <v>N/A</v>
      </c>
      <c r="I73" s="41"/>
    </row>
    <row r="74" spans="2:9" x14ac:dyDescent="0.35">
      <c r="B74" s="23">
        <v>2021</v>
      </c>
      <c r="C74" s="91">
        <f t="shared" si="35"/>
        <v>0</v>
      </c>
      <c r="D74" s="91">
        <v>0</v>
      </c>
      <c r="E74" s="103" t="str">
        <f t="shared" si="36"/>
        <v>N/A</v>
      </c>
      <c r="F74" s="101" t="str">
        <f t="shared" si="37"/>
        <v>N/A</v>
      </c>
      <c r="G74" s="101" t="str">
        <f t="shared" si="39"/>
        <v>N/A</v>
      </c>
      <c r="H74" s="360" t="str">
        <f t="shared" si="40"/>
        <v>N/A</v>
      </c>
      <c r="I74" s="41"/>
    </row>
    <row r="75" spans="2:9" x14ac:dyDescent="0.35">
      <c r="B75" s="27" t="s">
        <v>13</v>
      </c>
      <c r="C75" s="102">
        <f>SUM(C71:C74)</f>
        <v>3559802.700254627</v>
      </c>
      <c r="D75" s="102">
        <f>SUM(D71:D74)</f>
        <v>14677865.865414653</v>
      </c>
      <c r="E75" s="104">
        <f>SUM(E71:E74)</f>
        <v>1731412929.607729</v>
      </c>
      <c r="F75" s="104">
        <f>SUM(F71:F74)</f>
        <v>1087125581.2357035</v>
      </c>
      <c r="G75" s="104">
        <f>SUM(G71:G74)</f>
        <v>644287348.37202525</v>
      </c>
      <c r="H75" s="359">
        <f t="shared" si="33"/>
        <v>1.5926521825010163</v>
      </c>
      <c r="I75" s="41"/>
    </row>
    <row r="77" spans="2:9" x14ac:dyDescent="0.35">
      <c r="B77" s="45" t="s">
        <v>48</v>
      </c>
    </row>
    <row r="78" spans="2:9" x14ac:dyDescent="0.35">
      <c r="B78" s="7" t="s">
        <v>389</v>
      </c>
    </row>
    <row r="79" spans="2:9" ht="12" customHeight="1" x14ac:dyDescent="0.35">
      <c r="B79" s="5"/>
    </row>
    <row r="80" spans="2:9" ht="20.65" customHeight="1" x14ac:dyDescent="0.35">
      <c r="B80" s="40" t="s">
        <v>3</v>
      </c>
      <c r="C80" s="7"/>
      <c r="D80" s="7"/>
      <c r="E80" s="7"/>
      <c r="F80" s="7"/>
      <c r="G80" s="7"/>
      <c r="H80" s="5"/>
      <c r="I80" s="5"/>
    </row>
    <row r="81" spans="2:9" ht="47.15" customHeight="1" x14ac:dyDescent="0.35">
      <c r="B81" s="407" t="s">
        <v>45</v>
      </c>
      <c r="C81" s="407"/>
      <c r="D81" s="407"/>
      <c r="E81" s="407"/>
      <c r="F81" s="407"/>
      <c r="G81" s="407"/>
      <c r="H81" s="5"/>
      <c r="I81" s="5"/>
    </row>
    <row r="82" spans="2:9" ht="39.65" customHeight="1" x14ac:dyDescent="0.35">
      <c r="B82" s="407" t="s">
        <v>46</v>
      </c>
      <c r="C82" s="407"/>
      <c r="D82" s="407"/>
      <c r="E82" s="407"/>
      <c r="F82" s="407"/>
      <c r="G82" s="407"/>
    </row>
    <row r="83" spans="2:9" ht="45.65" customHeight="1" x14ac:dyDescent="0.35">
      <c r="B83" s="406" t="s">
        <v>47</v>
      </c>
      <c r="C83" s="406"/>
      <c r="D83" s="406"/>
      <c r="E83" s="406"/>
      <c r="F83" s="406"/>
      <c r="G83" s="406"/>
    </row>
  </sheetData>
  <mergeCells count="5">
    <mergeCell ref="B5:E6"/>
    <mergeCell ref="B81:G81"/>
    <mergeCell ref="B82:G82"/>
    <mergeCell ref="B83:G83"/>
    <mergeCell ref="B28:L28"/>
  </mergeCells>
  <printOptions horizontalCentered="1" headings="1"/>
  <pageMargins left="1" right="1" top="1.25" bottom="1" header="0.5" footer="0.5"/>
  <pageSetup scale="37" orientation="portrait" r:id="rId1"/>
  <headerFooter scaleWithDoc="0">
    <oddHeader>&amp;R&amp;"Arial,Bold"ICC Dkt. No. 17-0312
2019 Statewide Annual Report Template
Tab:  &amp;A</oddHeader>
  </headerFooter>
  <rowBreaks count="3" manualBreakCount="3">
    <brk id="29" max="16383" man="1"/>
    <brk id="39" max="16383" man="1"/>
    <brk id="5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5EB16-50E1-4112-A725-36C52C29CC18}">
  <sheetPr>
    <pageSetUpPr fitToPage="1"/>
  </sheetPr>
  <dimension ref="B1:W96"/>
  <sheetViews>
    <sheetView zoomScale="90" zoomScaleNormal="90" workbookViewId="0">
      <selection activeCell="B83" sqref="B83:G83"/>
    </sheetView>
  </sheetViews>
  <sheetFormatPr defaultRowHeight="14.5" x14ac:dyDescent="0.35"/>
  <cols>
    <col min="1" max="1" width="2.7265625" customWidth="1"/>
    <col min="2" max="2" width="44.81640625" customWidth="1"/>
    <col min="3" max="3" width="20.7265625" customWidth="1"/>
    <col min="4" max="4" width="17.26953125" customWidth="1"/>
    <col min="5" max="5" width="15.26953125" customWidth="1"/>
    <col min="6" max="6" width="16" customWidth="1"/>
    <col min="7" max="7" width="15" customWidth="1"/>
    <col min="8" max="8" width="12.453125" customWidth="1"/>
    <col min="9" max="9" width="14.7265625" customWidth="1"/>
    <col min="10" max="10" width="15.453125" customWidth="1"/>
    <col min="11" max="11" width="17" customWidth="1"/>
    <col min="12" max="12" width="18.81640625" customWidth="1"/>
    <col min="13" max="13" width="15" customWidth="1"/>
    <col min="14" max="14" width="14" customWidth="1"/>
    <col min="15" max="15" width="12" customWidth="1"/>
    <col min="16" max="16" width="14.26953125" customWidth="1"/>
    <col min="17" max="17" width="17" customWidth="1"/>
    <col min="18" max="22" width="14.26953125" customWidth="1"/>
    <col min="23" max="23" width="23" bestFit="1" customWidth="1"/>
  </cols>
  <sheetData>
    <row r="1" spans="2:12" x14ac:dyDescent="0.35">
      <c r="B1" s="6" t="s">
        <v>27</v>
      </c>
      <c r="C1" s="6"/>
      <c r="D1" s="6"/>
      <c r="E1" s="6"/>
    </row>
    <row r="2" spans="2:12" x14ac:dyDescent="0.35">
      <c r="B2" s="6" t="s">
        <v>379</v>
      </c>
      <c r="C2" s="6"/>
      <c r="D2" s="6"/>
      <c r="E2" s="6"/>
    </row>
    <row r="3" spans="2:12" x14ac:dyDescent="0.35">
      <c r="B3" s="6" t="s">
        <v>392</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7.5" customHeight="1" x14ac:dyDescent="0.35">
      <c r="B6" s="428"/>
      <c r="C6" s="428"/>
      <c r="D6" s="428"/>
      <c r="E6" s="428"/>
      <c r="F6" s="428"/>
      <c r="G6" s="428"/>
      <c r="H6" s="428"/>
      <c r="I6" s="428"/>
      <c r="J6" s="428"/>
      <c r="K6" s="428"/>
      <c r="L6" s="428"/>
    </row>
    <row r="7" spans="2:12" ht="13.5" customHeight="1" x14ac:dyDescent="0.35">
      <c r="B7" s="25"/>
      <c r="C7" s="25"/>
      <c r="D7" s="6"/>
      <c r="E7" s="6"/>
    </row>
    <row r="8" spans="2:12" ht="11.25" customHeight="1" x14ac:dyDescent="0.35">
      <c r="B8" s="413" t="s">
        <v>76</v>
      </c>
      <c r="C8" s="414"/>
      <c r="D8" s="414"/>
      <c r="E8" s="414"/>
      <c r="F8" s="414"/>
      <c r="G8" s="414"/>
      <c r="H8" s="414"/>
      <c r="I8" s="414"/>
      <c r="J8" s="414"/>
      <c r="K8" s="414"/>
      <c r="L8" s="415"/>
    </row>
    <row r="9" spans="2:12" ht="84.75" customHeight="1" x14ac:dyDescent="0.35">
      <c r="B9" s="416"/>
      <c r="C9" s="417"/>
      <c r="D9" s="417"/>
      <c r="E9" s="417"/>
      <c r="F9" s="417"/>
      <c r="G9" s="417"/>
      <c r="H9" s="417"/>
      <c r="I9" s="417"/>
      <c r="J9" s="417"/>
      <c r="K9" s="417"/>
      <c r="L9" s="418"/>
    </row>
    <row r="10" spans="2:12" ht="71.25" customHeight="1" x14ac:dyDescent="0.35">
      <c r="B10" s="416"/>
      <c r="C10" s="417"/>
      <c r="D10" s="417"/>
      <c r="E10" s="417"/>
      <c r="F10" s="417"/>
      <c r="G10" s="417"/>
      <c r="H10" s="417"/>
      <c r="I10" s="417"/>
      <c r="J10" s="417"/>
      <c r="K10" s="417"/>
      <c r="L10" s="418"/>
    </row>
    <row r="11" spans="2:12" ht="42" customHeight="1" x14ac:dyDescent="0.35">
      <c r="B11" s="416"/>
      <c r="C11" s="417"/>
      <c r="D11" s="417"/>
      <c r="E11" s="417"/>
      <c r="F11" s="417"/>
      <c r="G11" s="417"/>
      <c r="H11" s="417"/>
      <c r="I11" s="417"/>
      <c r="J11" s="417"/>
      <c r="K11" s="417"/>
      <c r="L11" s="418"/>
    </row>
    <row r="12" spans="2:12" ht="34.5" customHeight="1" x14ac:dyDescent="0.35">
      <c r="B12" s="416"/>
      <c r="C12" s="417"/>
      <c r="D12" s="417"/>
      <c r="E12" s="417"/>
      <c r="F12" s="417"/>
      <c r="G12" s="417"/>
      <c r="H12" s="417"/>
      <c r="I12" s="417"/>
      <c r="J12" s="417"/>
      <c r="K12" s="417"/>
      <c r="L12" s="418"/>
    </row>
    <row r="13" spans="2:12" ht="24" customHeight="1" x14ac:dyDescent="0.35">
      <c r="B13" s="416"/>
      <c r="C13" s="417"/>
      <c r="D13" s="417"/>
      <c r="E13" s="417"/>
      <c r="F13" s="417"/>
      <c r="G13" s="417"/>
      <c r="H13" s="417"/>
      <c r="I13" s="417"/>
      <c r="J13" s="417"/>
      <c r="K13" s="417"/>
      <c r="L13" s="418"/>
    </row>
    <row r="14" spans="2:12" ht="24" customHeight="1" x14ac:dyDescent="0.35">
      <c r="B14" s="416"/>
      <c r="C14" s="417"/>
      <c r="D14" s="417"/>
      <c r="E14" s="417"/>
      <c r="F14" s="417"/>
      <c r="G14" s="417"/>
      <c r="H14" s="417"/>
      <c r="I14" s="417"/>
      <c r="J14" s="417"/>
      <c r="K14" s="417"/>
      <c r="L14" s="418"/>
    </row>
    <row r="15" spans="2:12" ht="37.5" customHeight="1" x14ac:dyDescent="0.35">
      <c r="B15" s="419"/>
      <c r="C15" s="420"/>
      <c r="D15" s="420"/>
      <c r="E15" s="420"/>
      <c r="F15" s="420"/>
      <c r="G15" s="420"/>
      <c r="H15" s="420"/>
      <c r="I15" s="420"/>
      <c r="J15" s="420"/>
      <c r="K15" s="420"/>
      <c r="L15" s="421"/>
    </row>
    <row r="16" spans="2:12" ht="17.649999999999999" customHeight="1" x14ac:dyDescent="0.35">
      <c r="B16" s="382"/>
      <c r="C16" s="382"/>
      <c r="D16" s="382"/>
      <c r="E16" s="382"/>
      <c r="F16" s="382"/>
      <c r="G16" s="382"/>
      <c r="H16" s="382"/>
      <c r="I16" s="382"/>
      <c r="J16" s="382"/>
      <c r="K16" s="382"/>
      <c r="L16" s="382"/>
    </row>
    <row r="17" spans="2:23" ht="17.649999999999999" customHeight="1" x14ac:dyDescent="0.35">
      <c r="B17" s="34" t="s">
        <v>95</v>
      </c>
      <c r="C17" s="34"/>
      <c r="D17" s="382"/>
      <c r="E17" s="382"/>
      <c r="F17" s="382"/>
      <c r="G17" s="382"/>
      <c r="H17" s="382"/>
      <c r="I17" s="382"/>
      <c r="J17" s="382"/>
      <c r="K17" s="382"/>
      <c r="L17" s="382"/>
    </row>
    <row r="18" spans="2:23" ht="12.75" customHeight="1" x14ac:dyDescent="0.35">
      <c r="B18" s="382"/>
      <c r="C18" s="382"/>
      <c r="D18" s="382"/>
      <c r="E18" s="382"/>
      <c r="F18" s="382"/>
      <c r="G18" s="382"/>
      <c r="H18" s="382"/>
      <c r="I18" s="382"/>
      <c r="J18" s="382"/>
      <c r="K18" s="382"/>
      <c r="L18" s="382"/>
    </row>
    <row r="19" spans="2:23" ht="20.149999999999999" customHeight="1" x14ac:dyDescent="0.35">
      <c r="B19" s="430" t="s">
        <v>147</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62" t="s">
        <v>83</v>
      </c>
      <c r="C22" s="289" t="s">
        <v>81</v>
      </c>
      <c r="D22" s="307">
        <v>230289</v>
      </c>
      <c r="E22" s="292">
        <f>F22/D22</f>
        <v>0.71419390418126794</v>
      </c>
      <c r="F22" s="56">
        <v>164471</v>
      </c>
      <c r="G22" s="57">
        <v>12.599136332098285</v>
      </c>
      <c r="H22" s="58">
        <f t="shared" ref="H22:H31" si="0">F22*G22</f>
        <v>2072192.5516765369</v>
      </c>
      <c r="I22" s="133">
        <v>31662053.679999992</v>
      </c>
      <c r="J22" s="287">
        <f>-PMT( 0.46%,G22,I22)/(F22*1000)</f>
        <v>1.5761646163989628E-2</v>
      </c>
      <c r="K22" s="61" t="s">
        <v>82</v>
      </c>
      <c r="L22" s="61" t="s">
        <v>82</v>
      </c>
      <c r="M22" s="61" t="s">
        <v>82</v>
      </c>
      <c r="N22" s="61" t="s">
        <v>82</v>
      </c>
      <c r="O22" s="61" t="s">
        <v>82</v>
      </c>
      <c r="P22" s="61" t="s">
        <v>82</v>
      </c>
      <c r="Q22" s="61" t="s">
        <v>82</v>
      </c>
      <c r="R22" s="75">
        <v>181961273</v>
      </c>
      <c r="S22" s="75">
        <v>56081747</v>
      </c>
      <c r="T22" s="75">
        <f>R22-S22</f>
        <v>125879526</v>
      </c>
      <c r="U22" s="63">
        <f>R22/S22</f>
        <v>3.2445721243312908</v>
      </c>
      <c r="V22" s="120">
        <v>2487</v>
      </c>
      <c r="W22" s="115" t="s">
        <v>235</v>
      </c>
    </row>
    <row r="23" spans="2:23" x14ac:dyDescent="0.35">
      <c r="B23" s="262" t="s">
        <v>84</v>
      </c>
      <c r="C23" s="289" t="s">
        <v>81</v>
      </c>
      <c r="D23" s="290">
        <v>26725</v>
      </c>
      <c r="E23" s="292">
        <f t="shared" ref="E23:E32" si="1">F23/D23</f>
        <v>0.68</v>
      </c>
      <c r="F23" s="56">
        <v>18173</v>
      </c>
      <c r="G23" s="57">
        <v>11.864391549569103</v>
      </c>
      <c r="H23" s="58">
        <f t="shared" si="0"/>
        <v>215611.58763031929</v>
      </c>
      <c r="I23" s="133">
        <v>4453791.1500000004</v>
      </c>
      <c r="J23" s="287">
        <f>-PMT( 0.46%,G23,I23)/(F23*1000)</f>
        <v>2.127281509760592E-2</v>
      </c>
      <c r="K23" s="61" t="s">
        <v>82</v>
      </c>
      <c r="L23" s="61" t="s">
        <v>82</v>
      </c>
      <c r="M23" s="61" t="s">
        <v>82</v>
      </c>
      <c r="N23" s="61" t="s">
        <v>82</v>
      </c>
      <c r="O23" s="61" t="s">
        <v>82</v>
      </c>
      <c r="P23" s="61" t="s">
        <v>82</v>
      </c>
      <c r="Q23" s="61" t="s">
        <v>82</v>
      </c>
      <c r="R23" s="75">
        <v>13895384</v>
      </c>
      <c r="S23" s="75">
        <v>12241532</v>
      </c>
      <c r="T23" s="75">
        <f t="shared" ref="T23:T30" si="2">R23-S23</f>
        <v>1653852</v>
      </c>
      <c r="U23" s="63">
        <f t="shared" ref="U23:U29" si="3">R23/S23</f>
        <v>1.1351017176608287</v>
      </c>
      <c r="V23" s="120">
        <v>75</v>
      </c>
      <c r="W23" s="115" t="s">
        <v>235</v>
      </c>
    </row>
    <row r="24" spans="2:23" x14ac:dyDescent="0.35">
      <c r="B24" s="262" t="s">
        <v>119</v>
      </c>
      <c r="C24" s="289" t="s">
        <v>81</v>
      </c>
      <c r="D24" s="290">
        <v>19153</v>
      </c>
      <c r="E24" s="292">
        <f t="shared" si="1"/>
        <v>0.60001044222837152</v>
      </c>
      <c r="F24" s="56">
        <v>11492</v>
      </c>
      <c r="G24" s="57">
        <v>15</v>
      </c>
      <c r="H24" s="58">
        <f t="shared" si="0"/>
        <v>172380</v>
      </c>
      <c r="I24" s="133">
        <v>1488688.4</v>
      </c>
      <c r="J24" s="287">
        <f t="shared" ref="J24:J29" si="4">-PMT( 0.46%,G24,I24)/(F24*1000)</f>
        <v>8.9572963821500321E-3</v>
      </c>
      <c r="K24" s="61" t="s">
        <v>82</v>
      </c>
      <c r="L24" s="61" t="s">
        <v>82</v>
      </c>
      <c r="M24" s="61" t="s">
        <v>82</v>
      </c>
      <c r="N24" s="61" t="s">
        <v>82</v>
      </c>
      <c r="O24" s="61" t="s">
        <v>82</v>
      </c>
      <c r="P24" s="61" t="s">
        <v>82</v>
      </c>
      <c r="Q24" s="61" t="s">
        <v>82</v>
      </c>
      <c r="R24" s="75">
        <v>9399722</v>
      </c>
      <c r="S24" s="75">
        <v>10344614</v>
      </c>
      <c r="T24" s="75">
        <f t="shared" si="2"/>
        <v>-944892</v>
      </c>
      <c r="U24" s="63">
        <f t="shared" si="3"/>
        <v>0.90865855410361374</v>
      </c>
      <c r="V24" s="114">
        <v>29</v>
      </c>
      <c r="W24" s="115" t="s">
        <v>235</v>
      </c>
    </row>
    <row r="25" spans="2:23" x14ac:dyDescent="0.35">
      <c r="B25" s="262" t="s">
        <v>85</v>
      </c>
      <c r="C25" s="289" t="s">
        <v>81</v>
      </c>
      <c r="D25" s="290">
        <v>25215</v>
      </c>
      <c r="E25" s="292">
        <f t="shared" si="1"/>
        <v>0.95002974419988107</v>
      </c>
      <c r="F25" s="56">
        <v>23955</v>
      </c>
      <c r="G25" s="57">
        <v>5</v>
      </c>
      <c r="H25" s="58">
        <f t="shared" si="0"/>
        <v>119775</v>
      </c>
      <c r="I25" s="75">
        <v>4731899.9399999995</v>
      </c>
      <c r="J25" s="287">
        <f t="shared" si="4"/>
        <v>4.0053433121914256E-2</v>
      </c>
      <c r="K25" s="61" t="s">
        <v>82</v>
      </c>
      <c r="L25" s="61" t="s">
        <v>82</v>
      </c>
      <c r="M25" s="61" t="s">
        <v>82</v>
      </c>
      <c r="N25" s="61" t="s">
        <v>82</v>
      </c>
      <c r="O25" s="61" t="s">
        <v>82</v>
      </c>
      <c r="P25" s="61" t="s">
        <v>82</v>
      </c>
      <c r="Q25" s="61" t="s">
        <v>82</v>
      </c>
      <c r="R25" s="75">
        <v>5201622</v>
      </c>
      <c r="S25" s="75">
        <v>4449959</v>
      </c>
      <c r="T25" s="75">
        <f t="shared" si="2"/>
        <v>751663</v>
      </c>
      <c r="U25" s="63">
        <f t="shared" si="3"/>
        <v>1.1689145899995932</v>
      </c>
      <c r="V25" s="120">
        <f>22+11+10+52+5</f>
        <v>100</v>
      </c>
      <c r="W25" s="115" t="s">
        <v>235</v>
      </c>
    </row>
    <row r="26" spans="2:23" x14ac:dyDescent="0.35">
      <c r="B26" s="264" t="s">
        <v>133</v>
      </c>
      <c r="C26" s="289" t="s">
        <v>81</v>
      </c>
      <c r="D26" s="308">
        <v>39434</v>
      </c>
      <c r="E26" s="292">
        <f t="shared" si="1"/>
        <v>0.75001267941370386</v>
      </c>
      <c r="F26" s="56">
        <v>29576</v>
      </c>
      <c r="G26" s="57">
        <v>7.1</v>
      </c>
      <c r="H26" s="58">
        <f t="shared" si="0"/>
        <v>209989.59999999998</v>
      </c>
      <c r="I26" s="75">
        <v>6114330.5599999987</v>
      </c>
      <c r="J26" s="287">
        <f t="shared" si="4"/>
        <v>2.9662288162034312E-2</v>
      </c>
      <c r="K26" s="61" t="s">
        <v>82</v>
      </c>
      <c r="L26" s="61" t="s">
        <v>82</v>
      </c>
      <c r="M26" s="61" t="s">
        <v>82</v>
      </c>
      <c r="N26" s="61" t="s">
        <v>82</v>
      </c>
      <c r="O26" s="61" t="s">
        <v>82</v>
      </c>
      <c r="P26" s="61" t="s">
        <v>82</v>
      </c>
      <c r="Q26" s="61" t="s">
        <v>82</v>
      </c>
      <c r="R26" s="75">
        <v>14691111</v>
      </c>
      <c r="S26" s="75">
        <v>5284457</v>
      </c>
      <c r="T26" s="75">
        <f t="shared" si="2"/>
        <v>9406654</v>
      </c>
      <c r="U26" s="63">
        <f t="shared" si="3"/>
        <v>2.7800606571309028</v>
      </c>
      <c r="V26" s="165">
        <v>74</v>
      </c>
      <c r="W26" s="115" t="s">
        <v>235</v>
      </c>
    </row>
    <row r="27" spans="2:23" x14ac:dyDescent="0.35">
      <c r="B27" s="262" t="s">
        <v>148</v>
      </c>
      <c r="C27" s="289" t="s">
        <v>81</v>
      </c>
      <c r="D27" s="307">
        <v>2786</v>
      </c>
      <c r="E27" s="292">
        <f>F27/D27</f>
        <v>0.89985642498205309</v>
      </c>
      <c r="F27" s="56">
        <v>2507</v>
      </c>
      <c r="G27" s="57">
        <v>3.2071787508973442</v>
      </c>
      <c r="H27" s="58">
        <f t="shared" si="0"/>
        <v>8040.3971284996414</v>
      </c>
      <c r="I27" s="61" t="s">
        <v>82</v>
      </c>
      <c r="J27" s="61" t="s">
        <v>82</v>
      </c>
      <c r="K27" s="61" t="s">
        <v>82</v>
      </c>
      <c r="L27" s="61" t="s">
        <v>82</v>
      </c>
      <c r="M27" s="61" t="s">
        <v>82</v>
      </c>
      <c r="N27" s="61" t="s">
        <v>82</v>
      </c>
      <c r="O27" s="61" t="s">
        <v>82</v>
      </c>
      <c r="P27" s="61" t="s">
        <v>82</v>
      </c>
      <c r="Q27" s="61" t="s">
        <v>82</v>
      </c>
      <c r="R27" s="75">
        <v>453655</v>
      </c>
      <c r="S27" s="75">
        <v>277224</v>
      </c>
      <c r="T27" s="75">
        <f>R27-S27</f>
        <v>176431</v>
      </c>
      <c r="U27" s="63">
        <f>R27/S27</f>
        <v>1.6364203676449369</v>
      </c>
      <c r="V27" s="168">
        <v>1454</v>
      </c>
      <c r="W27" s="115" t="s">
        <v>235</v>
      </c>
    </row>
    <row r="28" spans="2:23" x14ac:dyDescent="0.35">
      <c r="B28" s="262" t="s">
        <v>86</v>
      </c>
      <c r="C28" s="289" t="s">
        <v>81</v>
      </c>
      <c r="D28" s="290">
        <v>44129</v>
      </c>
      <c r="E28" s="292">
        <f t="shared" si="1"/>
        <v>0.79999546783294428</v>
      </c>
      <c r="F28" s="56">
        <v>35303</v>
      </c>
      <c r="G28" s="57">
        <v>20</v>
      </c>
      <c r="H28" s="58">
        <f t="shared" si="0"/>
        <v>706060</v>
      </c>
      <c r="I28" s="75">
        <v>7908536.7699999996</v>
      </c>
      <c r="J28" s="287">
        <f t="shared" si="4"/>
        <v>1.1749808465720889E-2</v>
      </c>
      <c r="K28" s="61" t="s">
        <v>82</v>
      </c>
      <c r="L28" s="61" t="s">
        <v>82</v>
      </c>
      <c r="M28" s="61" t="s">
        <v>82</v>
      </c>
      <c r="N28" s="61" t="s">
        <v>82</v>
      </c>
      <c r="O28" s="61" t="s">
        <v>82</v>
      </c>
      <c r="P28" s="61" t="s">
        <v>82</v>
      </c>
      <c r="Q28" s="61" t="s">
        <v>82</v>
      </c>
      <c r="R28" s="75">
        <v>44073671</v>
      </c>
      <c r="S28" s="75">
        <v>21210825</v>
      </c>
      <c r="T28" s="75">
        <f t="shared" si="2"/>
        <v>22862846</v>
      </c>
      <c r="U28" s="63">
        <f t="shared" si="3"/>
        <v>2.0778857493756138</v>
      </c>
      <c r="V28" s="56">
        <v>76</v>
      </c>
      <c r="W28" s="115" t="s">
        <v>235</v>
      </c>
    </row>
    <row r="29" spans="2:23" x14ac:dyDescent="0.35">
      <c r="B29" s="262" t="s">
        <v>134</v>
      </c>
      <c r="C29" s="289" t="s">
        <v>81</v>
      </c>
      <c r="D29" s="309">
        <v>282451</v>
      </c>
      <c r="E29" s="292">
        <f t="shared" si="1"/>
        <v>0.67807513515618634</v>
      </c>
      <c r="F29" s="83">
        <v>191523</v>
      </c>
      <c r="G29" s="57">
        <v>7.6917037029216928</v>
      </c>
      <c r="H29" s="58">
        <f t="shared" si="0"/>
        <v>1473138.1682946715</v>
      </c>
      <c r="I29" s="75">
        <v>11398577.09</v>
      </c>
      <c r="J29" s="287">
        <f t="shared" si="4"/>
        <v>7.8930895238574841E-3</v>
      </c>
      <c r="K29" s="61" t="s">
        <v>82</v>
      </c>
      <c r="L29" s="61" t="s">
        <v>82</v>
      </c>
      <c r="M29" s="61" t="s">
        <v>82</v>
      </c>
      <c r="N29" s="61" t="s">
        <v>82</v>
      </c>
      <c r="O29" s="61" t="s">
        <v>82</v>
      </c>
      <c r="P29" s="61" t="s">
        <v>82</v>
      </c>
      <c r="Q29" s="61" t="s">
        <v>82</v>
      </c>
      <c r="R29" s="75">
        <v>83242498</v>
      </c>
      <c r="S29" s="75">
        <v>33866795</v>
      </c>
      <c r="T29" s="75">
        <f t="shared" si="2"/>
        <v>49375703</v>
      </c>
      <c r="U29" s="63">
        <f t="shared" si="3"/>
        <v>2.4579384615520894</v>
      </c>
      <c r="V29" s="120">
        <v>1636016</v>
      </c>
      <c r="W29" s="115" t="s">
        <v>141</v>
      </c>
    </row>
    <row r="30" spans="2:23" x14ac:dyDescent="0.35">
      <c r="B30" s="262" t="s">
        <v>108</v>
      </c>
      <c r="C30" s="289" t="s">
        <v>81</v>
      </c>
      <c r="D30" s="290">
        <v>31002</v>
      </c>
      <c r="E30" s="292">
        <f t="shared" si="1"/>
        <v>0.63502354686794404</v>
      </c>
      <c r="F30" s="56">
        <v>19687</v>
      </c>
      <c r="G30" s="57">
        <v>4.1813151159974229</v>
      </c>
      <c r="H30" s="58">
        <f t="shared" si="0"/>
        <v>82317.550688641262</v>
      </c>
      <c r="I30" s="61" t="s">
        <v>82</v>
      </c>
      <c r="J30" s="61" t="s">
        <v>82</v>
      </c>
      <c r="K30" s="61" t="s">
        <v>82</v>
      </c>
      <c r="L30" s="61" t="s">
        <v>82</v>
      </c>
      <c r="M30" s="61" t="s">
        <v>82</v>
      </c>
      <c r="N30" s="61" t="s">
        <v>82</v>
      </c>
      <c r="O30" s="61" t="s">
        <v>82</v>
      </c>
      <c r="P30" s="61" t="s">
        <v>82</v>
      </c>
      <c r="Q30" s="61" t="s">
        <v>82</v>
      </c>
      <c r="R30" s="75">
        <v>6388132</v>
      </c>
      <c r="S30" s="75">
        <v>0</v>
      </c>
      <c r="T30" s="75">
        <f t="shared" si="2"/>
        <v>6388132</v>
      </c>
      <c r="U30" s="63" t="str">
        <f>IF(S30=0,"N/A",R30/S30)</f>
        <v>N/A</v>
      </c>
      <c r="V30" s="120" t="s">
        <v>82</v>
      </c>
      <c r="W30" s="328" t="s">
        <v>82</v>
      </c>
    </row>
    <row r="31" spans="2:23" x14ac:dyDescent="0.35">
      <c r="B31" s="262" t="s">
        <v>149</v>
      </c>
      <c r="C31" s="289" t="s">
        <v>81</v>
      </c>
      <c r="D31" s="290">
        <v>7160</v>
      </c>
      <c r="E31" s="292">
        <f>F31/D31</f>
        <v>0.94972067039106145</v>
      </c>
      <c r="F31" s="56">
        <v>6800</v>
      </c>
      <c r="G31" s="57">
        <v>5</v>
      </c>
      <c r="H31" s="58">
        <f t="shared" si="0"/>
        <v>34000</v>
      </c>
      <c r="I31" s="61" t="s">
        <v>82</v>
      </c>
      <c r="J31" s="61" t="s">
        <v>82</v>
      </c>
      <c r="K31" s="61" t="s">
        <v>82</v>
      </c>
      <c r="L31" s="61" t="s">
        <v>82</v>
      </c>
      <c r="M31" s="61" t="s">
        <v>82</v>
      </c>
      <c r="N31" s="61" t="s">
        <v>82</v>
      </c>
      <c r="O31" s="61" t="s">
        <v>82</v>
      </c>
      <c r="P31" s="61" t="s">
        <v>82</v>
      </c>
      <c r="Q31" s="61" t="s">
        <v>82</v>
      </c>
      <c r="R31" s="75">
        <v>246828</v>
      </c>
      <c r="S31" s="75">
        <v>269363</v>
      </c>
      <c r="T31" s="75">
        <f>R31-S31</f>
        <v>-22535</v>
      </c>
      <c r="U31" s="63">
        <f>R31/S31</f>
        <v>0.91633966060669059</v>
      </c>
      <c r="V31" s="120">
        <v>10</v>
      </c>
      <c r="W31" s="115" t="s">
        <v>193</v>
      </c>
    </row>
    <row r="32" spans="2:23" x14ac:dyDescent="0.35">
      <c r="B32" s="262" t="s">
        <v>214</v>
      </c>
      <c r="C32" s="289" t="s">
        <v>81</v>
      </c>
      <c r="D32" s="290">
        <v>4233</v>
      </c>
      <c r="E32" s="292">
        <f t="shared" si="1"/>
        <v>0.90999291282778172</v>
      </c>
      <c r="F32" s="56">
        <v>3852</v>
      </c>
      <c r="G32" s="61" t="s">
        <v>82</v>
      </c>
      <c r="H32" s="61" t="s">
        <v>82</v>
      </c>
      <c r="I32" s="75">
        <v>637100.49</v>
      </c>
      <c r="J32" s="61" t="s">
        <v>82</v>
      </c>
      <c r="K32" s="61" t="s">
        <v>82</v>
      </c>
      <c r="L32" s="61" t="s">
        <v>82</v>
      </c>
      <c r="M32" s="61" t="s">
        <v>82</v>
      </c>
      <c r="N32" s="61" t="s">
        <v>82</v>
      </c>
      <c r="O32" s="61" t="s">
        <v>82</v>
      </c>
      <c r="P32" s="61" t="s">
        <v>82</v>
      </c>
      <c r="Q32" s="61" t="s">
        <v>82</v>
      </c>
      <c r="R32" s="75">
        <v>0</v>
      </c>
      <c r="S32" s="75">
        <v>0</v>
      </c>
      <c r="T32" s="75">
        <v>0</v>
      </c>
      <c r="U32" s="63" t="str">
        <f>IF(S32=0,"N/A",R32/S32)</f>
        <v>N/A</v>
      </c>
      <c r="V32" s="120">
        <v>186</v>
      </c>
      <c r="W32" s="115" t="s">
        <v>235</v>
      </c>
    </row>
    <row r="33" spans="2:23" x14ac:dyDescent="0.35">
      <c r="B33" s="264" t="s">
        <v>121</v>
      </c>
      <c r="C33" s="310" t="s">
        <v>137</v>
      </c>
      <c r="D33" s="290">
        <v>164695</v>
      </c>
      <c r="E33" s="311">
        <f>F33/D33</f>
        <v>0.91000333950636025</v>
      </c>
      <c r="F33" s="56">
        <v>149873</v>
      </c>
      <c r="G33" s="368">
        <v>11.587627477714328</v>
      </c>
      <c r="H33" s="176">
        <f>F33*G33</f>
        <v>1736672.4929674794</v>
      </c>
      <c r="I33" s="75">
        <v>33610828.409999996</v>
      </c>
      <c r="J33" s="287">
        <f t="shared" ref="J33" si="5">-PMT( 0.46%,G33,I33)/(F33*1000)</f>
        <v>1.9918432591636823E-2</v>
      </c>
      <c r="K33" s="61" t="s">
        <v>82</v>
      </c>
      <c r="L33" s="61" t="s">
        <v>82</v>
      </c>
      <c r="M33" s="61" t="s">
        <v>82</v>
      </c>
      <c r="N33" s="61" t="s">
        <v>82</v>
      </c>
      <c r="O33" s="61" t="s">
        <v>82</v>
      </c>
      <c r="P33" s="61" t="s">
        <v>82</v>
      </c>
      <c r="Q33" s="61" t="s">
        <v>82</v>
      </c>
      <c r="R33" s="1">
        <v>0</v>
      </c>
      <c r="S33" s="1">
        <v>0</v>
      </c>
      <c r="T33" s="1">
        <v>0</v>
      </c>
      <c r="U33" s="151" t="s">
        <v>82</v>
      </c>
      <c r="V33" s="120">
        <v>7537</v>
      </c>
      <c r="W33" s="115" t="s">
        <v>235</v>
      </c>
    </row>
    <row r="34" spans="2:23" x14ac:dyDescent="0.35">
      <c r="B34" s="264" t="s">
        <v>140</v>
      </c>
      <c r="C34" s="310" t="s">
        <v>137</v>
      </c>
      <c r="D34" s="307">
        <v>5978</v>
      </c>
      <c r="E34" s="311">
        <f t="shared" ref="E34:E38" si="6">F34/D34</f>
        <v>1</v>
      </c>
      <c r="F34" s="56">
        <v>5978</v>
      </c>
      <c r="G34" s="61" t="s">
        <v>82</v>
      </c>
      <c r="H34" s="61" t="s">
        <v>82</v>
      </c>
      <c r="I34" s="1">
        <v>3801312.7699999996</v>
      </c>
      <c r="J34" s="61" t="s">
        <v>82</v>
      </c>
      <c r="K34" s="61" t="s">
        <v>82</v>
      </c>
      <c r="L34" s="61" t="s">
        <v>82</v>
      </c>
      <c r="M34" s="61" t="s">
        <v>82</v>
      </c>
      <c r="N34" s="61" t="s">
        <v>82</v>
      </c>
      <c r="O34" s="61" t="s">
        <v>82</v>
      </c>
      <c r="P34" s="61" t="s">
        <v>82</v>
      </c>
      <c r="Q34" s="61" t="s">
        <v>82</v>
      </c>
      <c r="R34" s="1">
        <v>0</v>
      </c>
      <c r="S34" s="1">
        <v>0</v>
      </c>
      <c r="T34" s="1">
        <v>0</v>
      </c>
      <c r="U34" s="151" t="s">
        <v>82</v>
      </c>
      <c r="V34" s="120">
        <v>10077</v>
      </c>
      <c r="W34" s="365" t="s">
        <v>141</v>
      </c>
    </row>
    <row r="35" spans="2:23" x14ac:dyDescent="0.35">
      <c r="B35" s="303" t="s">
        <v>249</v>
      </c>
      <c r="C35" s="291" t="s">
        <v>137</v>
      </c>
      <c r="D35" s="307">
        <v>7678</v>
      </c>
      <c r="E35" s="311">
        <f t="shared" si="6"/>
        <v>0.8999739515498828</v>
      </c>
      <c r="F35" s="56">
        <v>6910</v>
      </c>
      <c r="G35" s="368">
        <v>2.0268594503061093</v>
      </c>
      <c r="H35" s="58">
        <f>F35*G35</f>
        <v>14005.598801615215</v>
      </c>
      <c r="I35" s="1">
        <v>2002087.94</v>
      </c>
      <c r="J35" s="287">
        <f t="shared" ref="J35" si="7">-PMT( 0.46%,G35,I35)/(F35*1000)</f>
        <v>0.14394507550193836</v>
      </c>
      <c r="K35" s="61" t="s">
        <v>82</v>
      </c>
      <c r="L35" s="61" t="s">
        <v>82</v>
      </c>
      <c r="M35" s="61" t="s">
        <v>82</v>
      </c>
      <c r="N35" s="61" t="s">
        <v>82</v>
      </c>
      <c r="O35" s="61" t="s">
        <v>82</v>
      </c>
      <c r="P35" s="61" t="s">
        <v>82</v>
      </c>
      <c r="Q35" s="61" t="s">
        <v>82</v>
      </c>
      <c r="R35" s="1">
        <v>0</v>
      </c>
      <c r="S35" s="1">
        <v>0</v>
      </c>
      <c r="T35" s="1">
        <v>0</v>
      </c>
      <c r="U35" s="151" t="s">
        <v>82</v>
      </c>
      <c r="V35" s="188" t="s">
        <v>82</v>
      </c>
      <c r="W35" s="207" t="s">
        <v>82</v>
      </c>
    </row>
    <row r="36" spans="2:23" x14ac:dyDescent="0.35">
      <c r="B36" s="304" t="s">
        <v>285</v>
      </c>
      <c r="C36" s="291" t="s">
        <v>137</v>
      </c>
      <c r="D36" s="307">
        <v>41.85</v>
      </c>
      <c r="E36" s="311">
        <f t="shared" si="6"/>
        <v>1</v>
      </c>
      <c r="F36" s="56">
        <v>41.85</v>
      </c>
      <c r="G36" s="61" t="s">
        <v>82</v>
      </c>
      <c r="H36" s="61" t="s">
        <v>82</v>
      </c>
      <c r="I36" s="1">
        <v>433876</v>
      </c>
      <c r="J36" s="61" t="s">
        <v>82</v>
      </c>
      <c r="K36" s="61" t="s">
        <v>82</v>
      </c>
      <c r="L36" s="61" t="s">
        <v>82</v>
      </c>
      <c r="M36" s="61" t="s">
        <v>82</v>
      </c>
      <c r="N36" s="61" t="s">
        <v>82</v>
      </c>
      <c r="O36" s="61" t="s">
        <v>82</v>
      </c>
      <c r="P36" s="61" t="s">
        <v>82</v>
      </c>
      <c r="Q36" s="61" t="s">
        <v>82</v>
      </c>
      <c r="R36" s="1">
        <v>0</v>
      </c>
      <c r="S36" s="1">
        <v>0</v>
      </c>
      <c r="T36" s="1">
        <v>0</v>
      </c>
      <c r="U36" s="151" t="s">
        <v>82</v>
      </c>
      <c r="V36" s="120">
        <v>1</v>
      </c>
      <c r="W36" s="115" t="s">
        <v>235</v>
      </c>
    </row>
    <row r="37" spans="2:23" x14ac:dyDescent="0.35">
      <c r="B37" s="303" t="s">
        <v>248</v>
      </c>
      <c r="C37" s="291" t="s">
        <v>137</v>
      </c>
      <c r="D37" s="307">
        <v>10.56</v>
      </c>
      <c r="E37" s="311">
        <f t="shared" si="6"/>
        <v>0.80018939393939381</v>
      </c>
      <c r="F37" s="56">
        <v>8.4499999999999993</v>
      </c>
      <c r="G37" s="61" t="s">
        <v>82</v>
      </c>
      <c r="H37" s="61" t="s">
        <v>82</v>
      </c>
      <c r="I37" s="1">
        <v>2099</v>
      </c>
      <c r="J37" s="61" t="s">
        <v>82</v>
      </c>
      <c r="K37" s="61" t="s">
        <v>82</v>
      </c>
      <c r="L37" s="61" t="s">
        <v>82</v>
      </c>
      <c r="M37" s="61" t="s">
        <v>82</v>
      </c>
      <c r="N37" s="61" t="s">
        <v>82</v>
      </c>
      <c r="O37" s="61" t="s">
        <v>82</v>
      </c>
      <c r="P37" s="61" t="s">
        <v>82</v>
      </c>
      <c r="Q37" s="61" t="s">
        <v>82</v>
      </c>
      <c r="R37" s="1">
        <v>0</v>
      </c>
      <c r="S37" s="1">
        <v>0</v>
      </c>
      <c r="T37" s="1">
        <v>0</v>
      </c>
      <c r="U37" s="151" t="s">
        <v>82</v>
      </c>
      <c r="V37" s="120">
        <v>2</v>
      </c>
      <c r="W37" s="115" t="s">
        <v>235</v>
      </c>
    </row>
    <row r="38" spans="2:23" x14ac:dyDescent="0.35">
      <c r="B38" s="303" t="s">
        <v>246</v>
      </c>
      <c r="C38" s="291" t="s">
        <v>137</v>
      </c>
      <c r="D38" s="307">
        <v>813</v>
      </c>
      <c r="E38" s="311">
        <f t="shared" si="6"/>
        <v>0.95079950799507995</v>
      </c>
      <c r="F38" s="56">
        <v>773</v>
      </c>
      <c r="G38" s="61" t="s">
        <v>82</v>
      </c>
      <c r="H38" s="61" t="s">
        <v>82</v>
      </c>
      <c r="I38" s="1">
        <v>208379.12</v>
      </c>
      <c r="J38" s="61" t="s">
        <v>82</v>
      </c>
      <c r="K38" s="61" t="s">
        <v>82</v>
      </c>
      <c r="L38" s="61" t="s">
        <v>82</v>
      </c>
      <c r="M38" s="61" t="s">
        <v>82</v>
      </c>
      <c r="N38" s="61" t="s">
        <v>82</v>
      </c>
      <c r="O38" s="61" t="s">
        <v>82</v>
      </c>
      <c r="P38" s="61" t="s">
        <v>82</v>
      </c>
      <c r="Q38" s="61" t="s">
        <v>82</v>
      </c>
      <c r="R38" s="1">
        <v>0</v>
      </c>
      <c r="S38" s="1">
        <v>0</v>
      </c>
      <c r="T38" s="1">
        <v>0</v>
      </c>
      <c r="U38" s="151" t="s">
        <v>82</v>
      </c>
      <c r="V38" s="120">
        <v>85</v>
      </c>
      <c r="W38" s="115" t="s">
        <v>235</v>
      </c>
    </row>
    <row r="39" spans="2:23" x14ac:dyDescent="0.35">
      <c r="B39" s="265" t="s">
        <v>247</v>
      </c>
      <c r="C39" s="186" t="s">
        <v>137</v>
      </c>
      <c r="D39" s="305">
        <v>191</v>
      </c>
      <c r="E39" s="306">
        <f t="shared" ref="E39" si="8">F39/D39</f>
        <v>0.94764397905759157</v>
      </c>
      <c r="F39" s="56">
        <v>181</v>
      </c>
      <c r="G39" s="61" t="s">
        <v>82</v>
      </c>
      <c r="H39" s="61" t="s">
        <v>82</v>
      </c>
      <c r="I39" s="1">
        <v>0</v>
      </c>
      <c r="J39" s="61" t="s">
        <v>82</v>
      </c>
      <c r="K39" s="61" t="s">
        <v>82</v>
      </c>
      <c r="L39" s="61" t="s">
        <v>82</v>
      </c>
      <c r="M39" s="61" t="s">
        <v>82</v>
      </c>
      <c r="N39" s="61" t="s">
        <v>82</v>
      </c>
      <c r="O39" s="61" t="s">
        <v>82</v>
      </c>
      <c r="P39" s="61" t="s">
        <v>82</v>
      </c>
      <c r="Q39" s="61" t="s">
        <v>82</v>
      </c>
      <c r="R39" s="1">
        <v>0</v>
      </c>
      <c r="S39" s="1">
        <v>0</v>
      </c>
      <c r="T39" s="1">
        <v>0</v>
      </c>
      <c r="U39" s="151" t="s">
        <v>82</v>
      </c>
      <c r="V39" s="120">
        <v>9</v>
      </c>
      <c r="W39" s="115" t="s">
        <v>235</v>
      </c>
    </row>
    <row r="40" spans="2:23" ht="14.5" customHeight="1" x14ac:dyDescent="0.35">
      <c r="B40" s="288" t="s">
        <v>299</v>
      </c>
      <c r="C40" s="53" t="s">
        <v>295</v>
      </c>
      <c r="D40" s="117">
        <v>26509.210999999999</v>
      </c>
      <c r="E40" s="283">
        <f>F40/D40</f>
        <v>0.73334875941800004</v>
      </c>
      <c r="F40" s="117">
        <v>19440.496999999999</v>
      </c>
      <c r="G40" s="61" t="s">
        <v>82</v>
      </c>
      <c r="H40" s="61" t="s">
        <v>82</v>
      </c>
      <c r="I40" s="61" t="s">
        <v>82</v>
      </c>
      <c r="J40" s="61" t="s">
        <v>82</v>
      </c>
      <c r="K40" s="61" t="s">
        <v>82</v>
      </c>
      <c r="L40" s="61" t="s">
        <v>82</v>
      </c>
      <c r="M40" s="61" t="s">
        <v>82</v>
      </c>
      <c r="N40" s="61" t="s">
        <v>82</v>
      </c>
      <c r="O40" s="61" t="s">
        <v>82</v>
      </c>
      <c r="P40" s="61" t="s">
        <v>82</v>
      </c>
      <c r="Q40" s="61" t="s">
        <v>82</v>
      </c>
      <c r="R40" s="293" t="s">
        <v>82</v>
      </c>
      <c r="S40" s="293" t="s">
        <v>82</v>
      </c>
      <c r="T40" s="293" t="s">
        <v>82</v>
      </c>
      <c r="U40" s="293" t="s">
        <v>82</v>
      </c>
      <c r="V40" s="293" t="s">
        <v>82</v>
      </c>
      <c r="W40" s="293" t="s">
        <v>82</v>
      </c>
    </row>
    <row r="41" spans="2:23" x14ac:dyDescent="0.35">
      <c r="B41" s="288" t="s">
        <v>300</v>
      </c>
      <c r="C41" s="53" t="s">
        <v>295</v>
      </c>
      <c r="D41" s="117">
        <v>6016.6610000000001</v>
      </c>
      <c r="E41" s="283">
        <f t="shared" ref="E41:E43" si="9">F41/D41</f>
        <v>0.96947858621251892</v>
      </c>
      <c r="F41" s="117">
        <f>5833.024</f>
        <v>5833.0240000000003</v>
      </c>
      <c r="G41" s="61" t="s">
        <v>82</v>
      </c>
      <c r="H41" s="61" t="s">
        <v>82</v>
      </c>
      <c r="I41" s="61" t="s">
        <v>82</v>
      </c>
      <c r="J41" s="61" t="s">
        <v>82</v>
      </c>
      <c r="K41" s="61" t="s">
        <v>82</v>
      </c>
      <c r="L41" s="61" t="s">
        <v>82</v>
      </c>
      <c r="M41" s="61" t="s">
        <v>82</v>
      </c>
      <c r="N41" s="61" t="s">
        <v>82</v>
      </c>
      <c r="O41" s="61" t="s">
        <v>82</v>
      </c>
      <c r="P41" s="61" t="s">
        <v>82</v>
      </c>
      <c r="Q41" s="61" t="s">
        <v>82</v>
      </c>
      <c r="R41" s="293" t="s">
        <v>82</v>
      </c>
      <c r="S41" s="293" t="s">
        <v>82</v>
      </c>
      <c r="T41" s="293" t="s">
        <v>82</v>
      </c>
      <c r="U41" s="293" t="s">
        <v>82</v>
      </c>
      <c r="V41" s="293" t="s">
        <v>82</v>
      </c>
      <c r="W41" s="293" t="s">
        <v>82</v>
      </c>
    </row>
    <row r="42" spans="2:23" ht="14.5" customHeight="1" x14ac:dyDescent="0.35">
      <c r="B42" s="2" t="s">
        <v>332</v>
      </c>
      <c r="C42" s="53" t="s">
        <v>295</v>
      </c>
      <c r="D42" s="117">
        <v>0</v>
      </c>
      <c r="E42" s="336" t="s">
        <v>82</v>
      </c>
      <c r="F42" s="117">
        <v>909.48</v>
      </c>
      <c r="G42" s="61" t="s">
        <v>82</v>
      </c>
      <c r="H42" s="61" t="s">
        <v>82</v>
      </c>
      <c r="I42" s="61" t="s">
        <v>82</v>
      </c>
      <c r="J42" s="61" t="s">
        <v>82</v>
      </c>
      <c r="K42" s="61" t="s">
        <v>82</v>
      </c>
      <c r="L42" s="61" t="s">
        <v>82</v>
      </c>
      <c r="M42" s="61" t="s">
        <v>82</v>
      </c>
      <c r="N42" s="61" t="s">
        <v>82</v>
      </c>
      <c r="O42" s="61" t="s">
        <v>82</v>
      </c>
      <c r="P42" s="61" t="s">
        <v>82</v>
      </c>
      <c r="Q42" s="61" t="s">
        <v>82</v>
      </c>
      <c r="R42" s="293" t="s">
        <v>82</v>
      </c>
      <c r="S42" s="293" t="s">
        <v>82</v>
      </c>
      <c r="T42" s="293" t="s">
        <v>82</v>
      </c>
      <c r="U42" s="293" t="s">
        <v>82</v>
      </c>
      <c r="V42" s="293" t="s">
        <v>82</v>
      </c>
      <c r="W42" s="293" t="s">
        <v>82</v>
      </c>
    </row>
    <row r="43" spans="2:23" ht="14.5" customHeight="1" x14ac:dyDescent="0.35">
      <c r="B43" s="2" t="s">
        <v>318</v>
      </c>
      <c r="C43" s="53" t="s">
        <v>295</v>
      </c>
      <c r="D43" s="117">
        <v>141.75200000000001</v>
      </c>
      <c r="E43" s="283">
        <f t="shared" si="9"/>
        <v>0.95832863028387594</v>
      </c>
      <c r="F43" s="117">
        <v>135.845</v>
      </c>
      <c r="G43" s="61" t="s">
        <v>82</v>
      </c>
      <c r="H43" s="61" t="s">
        <v>82</v>
      </c>
      <c r="I43" s="61" t="s">
        <v>82</v>
      </c>
      <c r="J43" s="61" t="s">
        <v>82</v>
      </c>
      <c r="K43" s="61" t="s">
        <v>82</v>
      </c>
      <c r="L43" s="61" t="s">
        <v>82</v>
      </c>
      <c r="M43" s="61" t="s">
        <v>82</v>
      </c>
      <c r="N43" s="61" t="s">
        <v>82</v>
      </c>
      <c r="O43" s="61" t="s">
        <v>82</v>
      </c>
      <c r="P43" s="61" t="s">
        <v>82</v>
      </c>
      <c r="Q43" s="61" t="s">
        <v>82</v>
      </c>
      <c r="R43" s="293" t="s">
        <v>82</v>
      </c>
      <c r="S43" s="293" t="s">
        <v>82</v>
      </c>
      <c r="T43" s="293" t="s">
        <v>82</v>
      </c>
      <c r="U43" s="293" t="s">
        <v>82</v>
      </c>
      <c r="V43" s="293" t="s">
        <v>82</v>
      </c>
      <c r="W43" s="293" t="s">
        <v>82</v>
      </c>
    </row>
    <row r="44" spans="2:23" ht="14.5" customHeight="1" x14ac:dyDescent="0.35">
      <c r="B44" s="2" t="s">
        <v>310</v>
      </c>
      <c r="C44" s="53" t="s">
        <v>295</v>
      </c>
      <c r="D44" s="327" t="s">
        <v>82</v>
      </c>
      <c r="E44" s="53" t="s">
        <v>82</v>
      </c>
      <c r="F44" s="117">
        <v>15.797000000000001</v>
      </c>
      <c r="G44" s="61" t="s">
        <v>82</v>
      </c>
      <c r="H44" s="61" t="s">
        <v>82</v>
      </c>
      <c r="I44" s="61" t="s">
        <v>82</v>
      </c>
      <c r="J44" s="61" t="s">
        <v>82</v>
      </c>
      <c r="K44" s="61" t="s">
        <v>82</v>
      </c>
      <c r="L44" s="61" t="s">
        <v>82</v>
      </c>
      <c r="M44" s="61" t="s">
        <v>82</v>
      </c>
      <c r="N44" s="61" t="s">
        <v>82</v>
      </c>
      <c r="O44" s="61" t="s">
        <v>82</v>
      </c>
      <c r="P44" s="61" t="s">
        <v>82</v>
      </c>
      <c r="Q44" s="61" t="s">
        <v>82</v>
      </c>
      <c r="R44" s="293" t="s">
        <v>82</v>
      </c>
      <c r="S44" s="293" t="s">
        <v>82</v>
      </c>
      <c r="T44" s="293" t="s">
        <v>82</v>
      </c>
      <c r="U44" s="293" t="s">
        <v>82</v>
      </c>
      <c r="V44" s="293" t="s">
        <v>82</v>
      </c>
      <c r="W44" s="293" t="s">
        <v>82</v>
      </c>
    </row>
    <row r="45" spans="2:23" x14ac:dyDescent="0.35">
      <c r="B45" s="4" t="s">
        <v>7</v>
      </c>
      <c r="C45" s="4"/>
      <c r="D45" s="65">
        <f>SUM(D22:D44)</f>
        <v>924652.03399999999</v>
      </c>
      <c r="E45" s="69">
        <f>F45/D45</f>
        <v>0.75427178803999673</v>
      </c>
      <c r="F45" s="65">
        <f>SUM(F22:F44)</f>
        <v>697438.94299999985</v>
      </c>
      <c r="G45" s="238">
        <f>H45/F45</f>
        <v>9.813307696510094</v>
      </c>
      <c r="H45" s="65">
        <f>SUM(H22:H44)</f>
        <v>6844182.9471877636</v>
      </c>
      <c r="I45" s="67">
        <f>SUM(I22:I44)</f>
        <v>108453561.31999998</v>
      </c>
      <c r="J45" s="248">
        <f t="shared" ref="J45" si="10">-PMT( 0.46%,G45,I45)/(F45*1000)</f>
        <v>1.6242851935403601E-2</v>
      </c>
      <c r="K45" s="68" t="s">
        <v>82</v>
      </c>
      <c r="L45" s="68" t="s">
        <v>82</v>
      </c>
      <c r="M45" s="68" t="s">
        <v>82</v>
      </c>
      <c r="N45" s="68" t="s">
        <v>82</v>
      </c>
      <c r="O45" s="68" t="s">
        <v>82</v>
      </c>
      <c r="P45" s="68" t="s">
        <v>82</v>
      </c>
      <c r="Q45" s="68" t="s">
        <v>82</v>
      </c>
      <c r="R45" s="72">
        <f>SUM(R22:R44)</f>
        <v>359553896</v>
      </c>
      <c r="S45" s="72">
        <f>SUM(S22:S44)</f>
        <v>144026516</v>
      </c>
      <c r="T45" s="72">
        <f>SUM(T22:T44)</f>
        <v>215527380</v>
      </c>
      <c r="U45" s="73">
        <f t="shared" ref="U45" si="11">R45/S45</f>
        <v>2.4964423634325779</v>
      </c>
      <c r="V45" s="74">
        <f>SUM(V22:V44)</f>
        <v>1658218</v>
      </c>
      <c r="W45" s="68" t="s">
        <v>82</v>
      </c>
    </row>
    <row r="46" spans="2:23" hidden="1" x14ac:dyDescent="0.35">
      <c r="B46" s="31" t="s">
        <v>14</v>
      </c>
      <c r="C46" s="31"/>
      <c r="D46" s="28"/>
      <c r="E46" s="28"/>
      <c r="F46" s="29"/>
      <c r="G46" s="29"/>
      <c r="H46" s="29"/>
      <c r="I46" s="29"/>
      <c r="J46" s="29"/>
      <c r="K46" s="28"/>
      <c r="L46" s="28"/>
      <c r="M46" s="29"/>
      <c r="N46" s="29"/>
      <c r="O46" s="29"/>
      <c r="P46" s="28"/>
      <c r="Q46" s="28"/>
      <c r="R46" s="29"/>
      <c r="S46" s="29"/>
      <c r="T46" s="28"/>
      <c r="U46" s="28"/>
      <c r="V46" s="29"/>
      <c r="W46" s="29"/>
    </row>
    <row r="47" spans="2:23" hidden="1" x14ac:dyDescent="0.35">
      <c r="B47" s="31" t="s">
        <v>15</v>
      </c>
      <c r="C47" s="31"/>
      <c r="D47" s="28"/>
      <c r="E47" s="28"/>
      <c r="F47" s="29"/>
      <c r="G47" s="29"/>
      <c r="H47" s="29"/>
      <c r="I47" s="29"/>
      <c r="J47" s="29"/>
      <c r="K47" s="28"/>
      <c r="L47" s="28"/>
      <c r="M47" s="29"/>
      <c r="N47" s="29"/>
      <c r="O47" s="29"/>
      <c r="P47" s="28"/>
      <c r="Q47" s="28"/>
      <c r="R47" s="29"/>
      <c r="S47" s="29"/>
      <c r="T47" s="28"/>
      <c r="U47" s="28"/>
      <c r="V47" s="29"/>
      <c r="W47" s="29"/>
    </row>
    <row r="48" spans="2:23" ht="15.65" customHeight="1" x14ac:dyDescent="0.35">
      <c r="B48" s="409" t="s">
        <v>1</v>
      </c>
      <c r="C48" s="410"/>
      <c r="D48" s="410"/>
      <c r="E48" s="410"/>
      <c r="F48" s="410"/>
      <c r="G48" s="410"/>
      <c r="H48" s="410"/>
      <c r="I48" s="410"/>
      <c r="J48" s="410"/>
      <c r="K48" s="410"/>
      <c r="L48" s="410"/>
      <c r="M48" s="410"/>
      <c r="N48" s="410"/>
      <c r="O48" s="410"/>
      <c r="P48" s="410"/>
      <c r="Q48" s="410"/>
      <c r="R48" s="410"/>
      <c r="S48" s="410"/>
      <c r="T48" s="410"/>
      <c r="U48" s="410"/>
      <c r="V48" s="410"/>
      <c r="W48" s="411"/>
    </row>
    <row r="49" spans="2:23" x14ac:dyDescent="0.35">
      <c r="B49" s="2" t="s">
        <v>88</v>
      </c>
      <c r="C49" s="53" t="s">
        <v>81</v>
      </c>
      <c r="D49" s="120">
        <v>26185</v>
      </c>
      <c r="E49" s="63">
        <f t="shared" ref="E49:E61" si="12">F49/D49</f>
        <v>0.54309719304945581</v>
      </c>
      <c r="F49" s="83">
        <v>14221</v>
      </c>
      <c r="G49" s="84">
        <v>7.9805995799121634</v>
      </c>
      <c r="H49" s="58">
        <f t="shared" ref="H49:H58" si="13">F49*G49</f>
        <v>113492.10662593087</v>
      </c>
      <c r="I49" s="86">
        <v>6065961.8399999999</v>
      </c>
      <c r="J49" s="287">
        <f t="shared" ref="J49:J56" si="14">-PMT( 0.46%,G49,I49)/(F49*1000)</f>
        <v>5.4558204652857205E-2</v>
      </c>
      <c r="K49" s="61" t="s">
        <v>82</v>
      </c>
      <c r="L49" s="61" t="s">
        <v>82</v>
      </c>
      <c r="M49" s="61" t="s">
        <v>82</v>
      </c>
      <c r="N49" s="61" t="s">
        <v>82</v>
      </c>
      <c r="O49" s="61" t="s">
        <v>82</v>
      </c>
      <c r="P49" s="61" t="s">
        <v>82</v>
      </c>
      <c r="Q49" s="61" t="s">
        <v>82</v>
      </c>
      <c r="R49" s="78">
        <v>6265094</v>
      </c>
      <c r="S49" s="78">
        <v>5829844</v>
      </c>
      <c r="T49" s="125">
        <f t="shared" ref="T49:T55" si="15">R49-S49</f>
        <v>435250</v>
      </c>
      <c r="U49" s="63">
        <f t="shared" ref="U49:U55" si="16">R49/S49</f>
        <v>1.07465894456181</v>
      </c>
      <c r="V49" s="83">
        <v>31801</v>
      </c>
      <c r="W49" s="115" t="s">
        <v>141</v>
      </c>
    </row>
    <row r="50" spans="2:23" x14ac:dyDescent="0.35">
      <c r="B50" s="2" t="s">
        <v>151</v>
      </c>
      <c r="C50" s="53" t="s">
        <v>81</v>
      </c>
      <c r="D50" s="189">
        <v>5580</v>
      </c>
      <c r="E50" s="63">
        <f t="shared" si="12"/>
        <v>0.79677419354838708</v>
      </c>
      <c r="F50" s="193">
        <v>4446</v>
      </c>
      <c r="G50" s="84">
        <v>10.320250896057347</v>
      </c>
      <c r="H50" s="58">
        <f t="shared" si="13"/>
        <v>45883.835483870964</v>
      </c>
      <c r="I50" s="190">
        <v>4440178.25</v>
      </c>
      <c r="J50" s="287">
        <f t="shared" si="14"/>
        <v>9.9307509778769953E-2</v>
      </c>
      <c r="K50" s="61" t="s">
        <v>82</v>
      </c>
      <c r="L50" s="61" t="s">
        <v>82</v>
      </c>
      <c r="M50" s="61" t="s">
        <v>82</v>
      </c>
      <c r="N50" s="61" t="s">
        <v>82</v>
      </c>
      <c r="O50" s="61" t="s">
        <v>82</v>
      </c>
      <c r="P50" s="61" t="s">
        <v>82</v>
      </c>
      <c r="Q50" s="61" t="s">
        <v>82</v>
      </c>
      <c r="R50" s="78">
        <v>4515752</v>
      </c>
      <c r="S50" s="78">
        <v>4292468</v>
      </c>
      <c r="T50" s="125">
        <f t="shared" si="15"/>
        <v>223284</v>
      </c>
      <c r="U50" s="63">
        <f t="shared" si="16"/>
        <v>1.0520176271552868</v>
      </c>
      <c r="V50" s="156">
        <v>40740</v>
      </c>
      <c r="W50" s="201" t="s">
        <v>313</v>
      </c>
    </row>
    <row r="51" spans="2:23" ht="15.65" customHeight="1" x14ac:dyDescent="0.35">
      <c r="B51" s="2" t="s">
        <v>250</v>
      </c>
      <c r="C51" s="53" t="s">
        <v>81</v>
      </c>
      <c r="D51" s="168">
        <v>3268</v>
      </c>
      <c r="E51" s="63">
        <f t="shared" si="12"/>
        <v>0.95563035495716031</v>
      </c>
      <c r="F51" s="180">
        <v>3123</v>
      </c>
      <c r="G51" s="84">
        <v>6.6012965374966441</v>
      </c>
      <c r="H51" s="58">
        <f t="shared" si="13"/>
        <v>20615.849086602018</v>
      </c>
      <c r="I51" s="134">
        <v>1413486.6</v>
      </c>
      <c r="J51" s="287">
        <f t="shared" si="14"/>
        <v>6.976692694313591E-2</v>
      </c>
      <c r="K51" s="61" t="s">
        <v>82</v>
      </c>
      <c r="L51" s="61" t="s">
        <v>82</v>
      </c>
      <c r="M51" s="61" t="s">
        <v>82</v>
      </c>
      <c r="N51" s="61" t="s">
        <v>82</v>
      </c>
      <c r="O51" s="61" t="s">
        <v>82</v>
      </c>
      <c r="P51" s="61" t="s">
        <v>82</v>
      </c>
      <c r="Q51" s="61" t="s">
        <v>82</v>
      </c>
      <c r="R51" s="78">
        <v>1527545</v>
      </c>
      <c r="S51" s="78">
        <v>507046</v>
      </c>
      <c r="T51" s="125">
        <f t="shared" si="15"/>
        <v>1020499</v>
      </c>
      <c r="U51" s="63">
        <f t="shared" si="16"/>
        <v>3.0126359344122622</v>
      </c>
      <c r="V51" s="139">
        <v>12702</v>
      </c>
      <c r="W51" s="202" t="s">
        <v>312</v>
      </c>
    </row>
    <row r="52" spans="2:23" x14ac:dyDescent="0.35">
      <c r="B52" s="2" t="s">
        <v>143</v>
      </c>
      <c r="C52" s="53" t="s">
        <v>81</v>
      </c>
      <c r="D52" s="120">
        <v>8875</v>
      </c>
      <c r="E52" s="63">
        <f t="shared" si="12"/>
        <v>0.82433802816901414</v>
      </c>
      <c r="F52" s="83">
        <v>7316</v>
      </c>
      <c r="G52" s="84">
        <v>6.8823621958486987</v>
      </c>
      <c r="H52" s="58">
        <f t="shared" si="13"/>
        <v>50351.36182482908</v>
      </c>
      <c r="I52" s="136">
        <v>4976059.3899999997</v>
      </c>
      <c r="J52" s="287">
        <f t="shared" si="14"/>
        <v>0.10062644278841418</v>
      </c>
      <c r="K52" s="61" t="s">
        <v>82</v>
      </c>
      <c r="L52" s="61" t="s">
        <v>82</v>
      </c>
      <c r="M52" s="61" t="s">
        <v>82</v>
      </c>
      <c r="N52" s="61" t="s">
        <v>82</v>
      </c>
      <c r="O52" s="61" t="s">
        <v>82</v>
      </c>
      <c r="P52" s="61" t="s">
        <v>82</v>
      </c>
      <c r="Q52" s="61" t="s">
        <v>82</v>
      </c>
      <c r="R52" s="149">
        <v>2669545</v>
      </c>
      <c r="S52" s="149">
        <v>5992438</v>
      </c>
      <c r="T52" s="125">
        <f t="shared" si="15"/>
        <v>-3322893</v>
      </c>
      <c r="U52" s="63">
        <f t="shared" si="16"/>
        <v>0.44548562705196115</v>
      </c>
      <c r="V52" s="142">
        <v>17127</v>
      </c>
      <c r="W52" s="203" t="s">
        <v>193</v>
      </c>
    </row>
    <row r="53" spans="2:23" x14ac:dyDescent="0.35">
      <c r="B53" s="2" t="s">
        <v>253</v>
      </c>
      <c r="C53" s="53" t="s">
        <v>81</v>
      </c>
      <c r="D53" s="120">
        <v>18770</v>
      </c>
      <c r="E53" s="63">
        <f t="shared" si="12"/>
        <v>0.99856153436334572</v>
      </c>
      <c r="F53" s="56">
        <v>18743</v>
      </c>
      <c r="G53" s="84">
        <v>19.826503173066584</v>
      </c>
      <c r="H53" s="58">
        <f t="shared" si="13"/>
        <v>371608.14897278696</v>
      </c>
      <c r="I53" s="136">
        <f>7447803.22+1521835.85</f>
        <v>8969639.0700000003</v>
      </c>
      <c r="J53" s="287">
        <f t="shared" si="14"/>
        <v>2.5310208614225185E-2</v>
      </c>
      <c r="K53" s="61" t="s">
        <v>82</v>
      </c>
      <c r="L53" s="61" t="s">
        <v>82</v>
      </c>
      <c r="M53" s="61" t="s">
        <v>82</v>
      </c>
      <c r="N53" s="61" t="s">
        <v>82</v>
      </c>
      <c r="O53" s="61" t="s">
        <v>82</v>
      </c>
      <c r="P53" s="61" t="s">
        <v>82</v>
      </c>
      <c r="Q53" s="61" t="s">
        <v>82</v>
      </c>
      <c r="R53" s="149">
        <v>17769578</v>
      </c>
      <c r="S53" s="149">
        <v>13395266</v>
      </c>
      <c r="T53" s="125">
        <f t="shared" si="15"/>
        <v>4374312</v>
      </c>
      <c r="U53" s="63">
        <f t="shared" si="16"/>
        <v>1.3265565611015115</v>
      </c>
      <c r="V53" s="120">
        <v>14134</v>
      </c>
      <c r="W53" s="115" t="s">
        <v>235</v>
      </c>
    </row>
    <row r="54" spans="2:23" x14ac:dyDescent="0.35">
      <c r="B54" s="2" t="s">
        <v>126</v>
      </c>
      <c r="C54" s="53" t="s">
        <v>81</v>
      </c>
      <c r="D54" s="120">
        <v>1734</v>
      </c>
      <c r="E54" s="63">
        <f t="shared" si="12"/>
        <v>0.98039215686274506</v>
      </c>
      <c r="F54" s="56">
        <v>1700</v>
      </c>
      <c r="G54" s="84">
        <v>7.1720299884659751</v>
      </c>
      <c r="H54" s="58">
        <f t="shared" si="13"/>
        <v>12192.450980392157</v>
      </c>
      <c r="I54" s="87">
        <v>236837.02</v>
      </c>
      <c r="J54" s="287">
        <f t="shared" si="14"/>
        <v>1.9791717513217462E-2</v>
      </c>
      <c r="K54" s="61" t="s">
        <v>82</v>
      </c>
      <c r="L54" s="61" t="s">
        <v>82</v>
      </c>
      <c r="M54" s="61" t="s">
        <v>82</v>
      </c>
      <c r="N54" s="61" t="s">
        <v>82</v>
      </c>
      <c r="O54" s="61" t="s">
        <v>82</v>
      </c>
      <c r="P54" s="61" t="s">
        <v>82</v>
      </c>
      <c r="Q54" s="61" t="s">
        <v>82</v>
      </c>
      <c r="R54" s="153">
        <v>3260214</v>
      </c>
      <c r="S54" s="153">
        <v>1071403</v>
      </c>
      <c r="T54" s="125">
        <f t="shared" si="15"/>
        <v>2188811</v>
      </c>
      <c r="U54" s="63">
        <f t="shared" si="16"/>
        <v>3.0429390248113921</v>
      </c>
      <c r="V54" s="120">
        <v>13474</v>
      </c>
      <c r="W54" s="199" t="s">
        <v>238</v>
      </c>
    </row>
    <row r="55" spans="2:23" x14ac:dyDescent="0.35">
      <c r="B55" s="2" t="s">
        <v>127</v>
      </c>
      <c r="C55" s="53" t="s">
        <v>81</v>
      </c>
      <c r="D55" s="120">
        <v>547.45100000000002</v>
      </c>
      <c r="E55" s="63">
        <f t="shared" si="12"/>
        <v>1</v>
      </c>
      <c r="F55" s="56">
        <v>547.45100000000002</v>
      </c>
      <c r="G55" s="84">
        <v>20</v>
      </c>
      <c r="H55" s="58">
        <f t="shared" si="13"/>
        <v>10949.02</v>
      </c>
      <c r="I55" s="87">
        <v>272459.19999999995</v>
      </c>
      <c r="J55" s="287">
        <f t="shared" si="14"/>
        <v>2.6103724992054485E-2</v>
      </c>
      <c r="K55" s="61" t="s">
        <v>82</v>
      </c>
      <c r="L55" s="61" t="s">
        <v>82</v>
      </c>
      <c r="M55" s="61" t="s">
        <v>82</v>
      </c>
      <c r="N55" s="61" t="s">
        <v>82</v>
      </c>
      <c r="O55" s="61" t="s">
        <v>82</v>
      </c>
      <c r="P55" s="61" t="s">
        <v>82</v>
      </c>
      <c r="Q55" s="61" t="s">
        <v>82</v>
      </c>
      <c r="R55" s="3">
        <v>1054440</v>
      </c>
      <c r="S55" s="3">
        <v>1592268</v>
      </c>
      <c r="T55" s="125">
        <f t="shared" si="15"/>
        <v>-537828</v>
      </c>
      <c r="U55" s="266">
        <f t="shared" si="16"/>
        <v>0.66222520329492274</v>
      </c>
      <c r="V55" s="56">
        <v>749</v>
      </c>
      <c r="W55" s="115" t="s">
        <v>235</v>
      </c>
    </row>
    <row r="56" spans="2:23" x14ac:dyDescent="0.35">
      <c r="B56" s="224" t="s">
        <v>243</v>
      </c>
      <c r="C56" s="191" t="s">
        <v>137</v>
      </c>
      <c r="D56" s="189">
        <v>381167</v>
      </c>
      <c r="E56" s="166">
        <f t="shared" si="12"/>
        <v>0.66861506898551026</v>
      </c>
      <c r="F56" s="193">
        <v>254854</v>
      </c>
      <c r="G56" s="336">
        <v>6.632022889361683</v>
      </c>
      <c r="H56" s="58">
        <f t="shared" si="13"/>
        <v>1690197.5614453824</v>
      </c>
      <c r="I56" s="60">
        <v>34967703.039999999</v>
      </c>
      <c r="J56" s="287">
        <f t="shared" si="14"/>
        <v>2.1053253779418146E-2</v>
      </c>
      <c r="K56" s="61" t="s">
        <v>82</v>
      </c>
      <c r="L56" s="61" t="s">
        <v>82</v>
      </c>
      <c r="M56" s="61" t="s">
        <v>82</v>
      </c>
      <c r="N56" s="61" t="s">
        <v>82</v>
      </c>
      <c r="O56" s="61" t="s">
        <v>82</v>
      </c>
      <c r="P56" s="61" t="s">
        <v>82</v>
      </c>
      <c r="Q56" s="61" t="s">
        <v>82</v>
      </c>
      <c r="R56" s="61" t="s">
        <v>82</v>
      </c>
      <c r="S56" s="61" t="s">
        <v>82</v>
      </c>
      <c r="T56" s="61" t="s">
        <v>82</v>
      </c>
      <c r="U56" s="191" t="s">
        <v>82</v>
      </c>
      <c r="V56" s="61" t="s">
        <v>82</v>
      </c>
      <c r="W56" s="204" t="s">
        <v>82</v>
      </c>
    </row>
    <row r="57" spans="2:23" ht="14.5" customHeight="1" x14ac:dyDescent="0.35">
      <c r="B57" s="224" t="s">
        <v>244</v>
      </c>
      <c r="C57" s="131" t="s">
        <v>137</v>
      </c>
      <c r="D57" s="168">
        <v>7842</v>
      </c>
      <c r="E57" s="166">
        <f t="shared" si="12"/>
        <v>0.53991328742667688</v>
      </c>
      <c r="F57" s="180">
        <v>4234</v>
      </c>
      <c r="G57" s="57">
        <v>7.6451979249911002</v>
      </c>
      <c r="H57" s="58">
        <f t="shared" si="13"/>
        <v>32369.768014412319</v>
      </c>
      <c r="I57" s="61" t="s">
        <v>82</v>
      </c>
      <c r="J57" s="61" t="s">
        <v>82</v>
      </c>
      <c r="K57" s="61" t="s">
        <v>82</v>
      </c>
      <c r="L57" s="61" t="s">
        <v>82</v>
      </c>
      <c r="M57" s="61" t="s">
        <v>82</v>
      </c>
      <c r="N57" s="61" t="s">
        <v>82</v>
      </c>
      <c r="O57" s="61" t="s">
        <v>82</v>
      </c>
      <c r="P57" s="61" t="s">
        <v>82</v>
      </c>
      <c r="Q57" s="61" t="s">
        <v>82</v>
      </c>
      <c r="R57" s="61" t="s">
        <v>82</v>
      </c>
      <c r="S57" s="61" t="s">
        <v>82</v>
      </c>
      <c r="T57" s="61" t="s">
        <v>82</v>
      </c>
      <c r="U57" s="191" t="s">
        <v>82</v>
      </c>
      <c r="V57" s="56">
        <v>12982661</v>
      </c>
      <c r="W57" s="115" t="s">
        <v>141</v>
      </c>
    </row>
    <row r="58" spans="2:23" ht="14.5" customHeight="1" x14ac:dyDescent="0.35">
      <c r="B58" s="224" t="s">
        <v>245</v>
      </c>
      <c r="C58" s="143" t="s">
        <v>81</v>
      </c>
      <c r="D58" s="168">
        <v>87810</v>
      </c>
      <c r="E58" s="63">
        <f>F58/D58</f>
        <v>0.61806172417720073</v>
      </c>
      <c r="F58" s="173">
        <v>54272</v>
      </c>
      <c r="G58" s="84">
        <v>5.0365621647007917</v>
      </c>
      <c r="H58" s="58">
        <f t="shared" si="13"/>
        <v>273344.30180264136</v>
      </c>
      <c r="I58" s="61" t="s">
        <v>82</v>
      </c>
      <c r="J58" s="61" t="s">
        <v>82</v>
      </c>
      <c r="K58" s="61" t="s">
        <v>82</v>
      </c>
      <c r="L58" s="61" t="s">
        <v>82</v>
      </c>
      <c r="M58" s="61" t="s">
        <v>82</v>
      </c>
      <c r="N58" s="61" t="s">
        <v>82</v>
      </c>
      <c r="O58" s="61" t="s">
        <v>82</v>
      </c>
      <c r="P58" s="61" t="s">
        <v>82</v>
      </c>
      <c r="Q58" s="61" t="s">
        <v>82</v>
      </c>
      <c r="R58" s="78">
        <v>51479382</v>
      </c>
      <c r="S58" s="78">
        <v>0</v>
      </c>
      <c r="T58" s="125">
        <f>R58-S58</f>
        <v>51479382</v>
      </c>
      <c r="U58" s="266" t="str">
        <f>IF(S58=0,"N/A",R58/S58)</f>
        <v>N/A</v>
      </c>
      <c r="V58" s="56" t="s">
        <v>82</v>
      </c>
      <c r="W58" s="115" t="s">
        <v>141</v>
      </c>
    </row>
    <row r="59" spans="2:23" x14ac:dyDescent="0.35">
      <c r="B59" s="224" t="s">
        <v>114</v>
      </c>
      <c r="C59" s="131" t="s">
        <v>137</v>
      </c>
      <c r="D59" s="120">
        <v>253921</v>
      </c>
      <c r="E59" s="166">
        <f t="shared" si="12"/>
        <v>1</v>
      </c>
      <c r="F59" s="56">
        <v>253921</v>
      </c>
      <c r="G59" s="61" t="s">
        <v>82</v>
      </c>
      <c r="H59" s="61" t="s">
        <v>82</v>
      </c>
      <c r="I59" s="60">
        <v>8839099.2599999998</v>
      </c>
      <c r="J59" s="61" t="s">
        <v>82</v>
      </c>
      <c r="K59" s="61" t="s">
        <v>82</v>
      </c>
      <c r="L59" s="61" t="s">
        <v>82</v>
      </c>
      <c r="M59" s="61" t="s">
        <v>82</v>
      </c>
      <c r="N59" s="61" t="s">
        <v>82</v>
      </c>
      <c r="O59" s="61" t="s">
        <v>82</v>
      </c>
      <c r="P59" s="61" t="s">
        <v>82</v>
      </c>
      <c r="Q59" s="61" t="s">
        <v>82</v>
      </c>
      <c r="R59" s="61" t="s">
        <v>82</v>
      </c>
      <c r="S59" s="61" t="s">
        <v>82</v>
      </c>
      <c r="T59" s="61" t="s">
        <v>82</v>
      </c>
      <c r="U59" s="191" t="s">
        <v>82</v>
      </c>
      <c r="V59" s="120">
        <v>1500000</v>
      </c>
      <c r="W59" s="115" t="s">
        <v>141</v>
      </c>
    </row>
    <row r="60" spans="2:23" x14ac:dyDescent="0.35">
      <c r="B60" s="224" t="s">
        <v>153</v>
      </c>
      <c r="C60" s="131" t="s">
        <v>137</v>
      </c>
      <c r="D60" s="120">
        <v>1332</v>
      </c>
      <c r="E60" s="166">
        <f t="shared" si="12"/>
        <v>0.93618618618618621</v>
      </c>
      <c r="F60" s="56">
        <v>1247</v>
      </c>
      <c r="G60" s="61" t="s">
        <v>82</v>
      </c>
      <c r="H60" s="61" t="s">
        <v>82</v>
      </c>
      <c r="I60" s="60">
        <v>696080.6</v>
      </c>
      <c r="J60" s="61" t="s">
        <v>82</v>
      </c>
      <c r="K60" s="61" t="s">
        <v>82</v>
      </c>
      <c r="L60" s="61" t="s">
        <v>82</v>
      </c>
      <c r="M60" s="61" t="s">
        <v>82</v>
      </c>
      <c r="N60" s="61" t="s">
        <v>82</v>
      </c>
      <c r="O60" s="61" t="s">
        <v>82</v>
      </c>
      <c r="P60" s="61" t="s">
        <v>82</v>
      </c>
      <c r="Q60" s="61" t="s">
        <v>82</v>
      </c>
      <c r="R60" s="61" t="s">
        <v>82</v>
      </c>
      <c r="S60" s="61" t="s">
        <v>82</v>
      </c>
      <c r="T60" s="61" t="s">
        <v>82</v>
      </c>
      <c r="U60" s="191" t="s">
        <v>82</v>
      </c>
      <c r="V60" s="192">
        <v>7612</v>
      </c>
      <c r="W60" s="206" t="s">
        <v>238</v>
      </c>
    </row>
    <row r="61" spans="2:23" x14ac:dyDescent="0.35">
      <c r="B61" s="224" t="s">
        <v>254</v>
      </c>
      <c r="C61" s="131" t="s">
        <v>137</v>
      </c>
      <c r="D61" s="120">
        <v>2169</v>
      </c>
      <c r="E61" s="166">
        <f t="shared" si="12"/>
        <v>1</v>
      </c>
      <c r="F61" s="56">
        <v>2169</v>
      </c>
      <c r="G61" s="61" t="s">
        <v>82</v>
      </c>
      <c r="H61" s="61" t="s">
        <v>82</v>
      </c>
      <c r="I61" s="60">
        <v>150000</v>
      </c>
      <c r="J61" s="61" t="s">
        <v>82</v>
      </c>
      <c r="K61" s="61" t="s">
        <v>82</v>
      </c>
      <c r="L61" s="61" t="s">
        <v>82</v>
      </c>
      <c r="M61" s="61" t="s">
        <v>82</v>
      </c>
      <c r="N61" s="61" t="s">
        <v>82</v>
      </c>
      <c r="O61" s="61" t="s">
        <v>82</v>
      </c>
      <c r="P61" s="61" t="s">
        <v>82</v>
      </c>
      <c r="Q61" s="61" t="s">
        <v>82</v>
      </c>
      <c r="R61" s="61" t="s">
        <v>82</v>
      </c>
      <c r="S61" s="61" t="s">
        <v>82</v>
      </c>
      <c r="T61" s="61" t="s">
        <v>82</v>
      </c>
      <c r="U61" s="191" t="s">
        <v>82</v>
      </c>
      <c r="V61" s="168">
        <v>9486</v>
      </c>
      <c r="W61" s="203" t="s">
        <v>193</v>
      </c>
    </row>
    <row r="62" spans="2:23" ht="14.5" customHeight="1" x14ac:dyDescent="0.35">
      <c r="B62" s="224" t="s">
        <v>286</v>
      </c>
      <c r="C62" s="131" t="s">
        <v>137</v>
      </c>
      <c r="D62" s="168">
        <v>1991</v>
      </c>
      <c r="E62" s="166">
        <f t="shared" ref="E62" si="17">F62/D62</f>
        <v>0.89603214465092917</v>
      </c>
      <c r="F62" s="180">
        <v>1784</v>
      </c>
      <c r="G62" s="61" t="s">
        <v>82</v>
      </c>
      <c r="H62" s="61" t="s">
        <v>82</v>
      </c>
      <c r="I62" s="60">
        <v>683155</v>
      </c>
      <c r="J62" s="61" t="s">
        <v>82</v>
      </c>
      <c r="K62" s="61" t="s">
        <v>82</v>
      </c>
      <c r="L62" s="61" t="s">
        <v>82</v>
      </c>
      <c r="M62" s="61" t="s">
        <v>82</v>
      </c>
      <c r="N62" s="61" t="s">
        <v>82</v>
      </c>
      <c r="O62" s="61" t="s">
        <v>82</v>
      </c>
      <c r="P62" s="61" t="s">
        <v>82</v>
      </c>
      <c r="Q62" s="61" t="s">
        <v>82</v>
      </c>
      <c r="R62" s="61" t="s">
        <v>82</v>
      </c>
      <c r="S62" s="61" t="s">
        <v>82</v>
      </c>
      <c r="T62" s="61" t="s">
        <v>82</v>
      </c>
      <c r="U62" s="191" t="s">
        <v>82</v>
      </c>
      <c r="V62" s="120">
        <v>3409</v>
      </c>
      <c r="W62" s="202" t="s">
        <v>312</v>
      </c>
    </row>
    <row r="63" spans="2:23" x14ac:dyDescent="0.35">
      <c r="B63" s="4" t="s">
        <v>8</v>
      </c>
      <c r="C63" s="4"/>
      <c r="D63" s="65">
        <f>SUM(D49:D62)</f>
        <v>801191.451</v>
      </c>
      <c r="E63" s="69">
        <f>F63/D63</f>
        <v>0.77706452087442457</v>
      </c>
      <c r="F63" s="65">
        <f>SUM(F49:F62)</f>
        <v>622577.451</v>
      </c>
      <c r="G63" s="238">
        <f>H63/F63</f>
        <v>4.209925046316604</v>
      </c>
      <c r="H63" s="71">
        <f>SUM(H49:H62)</f>
        <v>2621004.404236848</v>
      </c>
      <c r="I63" s="67">
        <f>SUM(I49:I62)</f>
        <v>71710659.269999996</v>
      </c>
      <c r="J63" s="248">
        <f t="shared" ref="J63" si="18">-PMT( 0.46%,G63,I63)/(F63*1000)</f>
        <v>2.7688646931204097E-2</v>
      </c>
      <c r="K63" s="68" t="s">
        <v>82</v>
      </c>
      <c r="L63" s="68" t="s">
        <v>82</v>
      </c>
      <c r="M63" s="68" t="s">
        <v>82</v>
      </c>
      <c r="N63" s="68" t="s">
        <v>82</v>
      </c>
      <c r="O63" s="68" t="s">
        <v>82</v>
      </c>
      <c r="P63" s="68" t="s">
        <v>82</v>
      </c>
      <c r="Q63" s="68" t="s">
        <v>82</v>
      </c>
      <c r="R63" s="72">
        <f>SUM(R49:R62)</f>
        <v>88541550</v>
      </c>
      <c r="S63" s="72">
        <f>SUM(S49:S62)</f>
        <v>32680733</v>
      </c>
      <c r="T63" s="72">
        <f>SUM(T49:T62)</f>
        <v>55860817</v>
      </c>
      <c r="U63" s="73">
        <f t="shared" ref="U63" si="19">R63/S63</f>
        <v>2.7092889868779872</v>
      </c>
      <c r="V63" s="74">
        <f>SUM(V49:V62)</f>
        <v>14633895</v>
      </c>
      <c r="W63" s="68" t="s">
        <v>82</v>
      </c>
    </row>
    <row r="64" spans="2:23" ht="15.65" customHeight="1" x14ac:dyDescent="0.35">
      <c r="B64" s="425" t="s">
        <v>9</v>
      </c>
      <c r="C64" s="426"/>
      <c r="D64" s="426"/>
      <c r="E64" s="426"/>
      <c r="F64" s="426"/>
      <c r="G64" s="426"/>
      <c r="H64" s="426"/>
      <c r="I64" s="426"/>
      <c r="J64" s="426"/>
      <c r="K64" s="426"/>
      <c r="L64" s="426"/>
      <c r="M64" s="426"/>
      <c r="N64" s="426"/>
      <c r="O64" s="426"/>
      <c r="P64" s="426"/>
      <c r="Q64" s="426"/>
      <c r="R64" s="426"/>
      <c r="S64" s="426"/>
      <c r="T64" s="426"/>
      <c r="U64" s="426"/>
      <c r="V64" s="426"/>
      <c r="W64" s="427"/>
    </row>
    <row r="65" spans="2:23" x14ac:dyDescent="0.35">
      <c r="B65" s="288" t="s">
        <v>303</v>
      </c>
      <c r="C65" s="53" t="s">
        <v>295</v>
      </c>
      <c r="D65" s="117">
        <v>918.81</v>
      </c>
      <c r="E65" s="284">
        <f t="shared" ref="E65:E66" si="20">F65/D65</f>
        <v>1</v>
      </c>
      <c r="F65" s="117">
        <v>918.81</v>
      </c>
      <c r="G65" s="61" t="s">
        <v>82</v>
      </c>
      <c r="H65" s="61" t="s">
        <v>82</v>
      </c>
      <c r="I65" s="61" t="s">
        <v>82</v>
      </c>
      <c r="J65" s="61" t="s">
        <v>82</v>
      </c>
      <c r="K65" s="61" t="s">
        <v>82</v>
      </c>
      <c r="L65" s="61" t="s">
        <v>82</v>
      </c>
      <c r="M65" s="61" t="s">
        <v>82</v>
      </c>
      <c r="N65" s="61" t="s">
        <v>82</v>
      </c>
      <c r="O65" s="61" t="s">
        <v>82</v>
      </c>
      <c r="P65" s="61" t="s">
        <v>82</v>
      </c>
      <c r="Q65" s="61" t="s">
        <v>82</v>
      </c>
      <c r="R65" s="293" t="s">
        <v>82</v>
      </c>
      <c r="S65" s="293" t="s">
        <v>82</v>
      </c>
      <c r="T65" s="293" t="s">
        <v>82</v>
      </c>
      <c r="U65" s="293" t="s">
        <v>82</v>
      </c>
      <c r="V65" s="293" t="s">
        <v>82</v>
      </c>
      <c r="W65" s="293" t="s">
        <v>82</v>
      </c>
    </row>
    <row r="66" spans="2:23" x14ac:dyDescent="0.35">
      <c r="B66" s="288" t="s">
        <v>301</v>
      </c>
      <c r="C66" s="53" t="s">
        <v>295</v>
      </c>
      <c r="D66" s="117">
        <v>3087.35</v>
      </c>
      <c r="E66" s="284">
        <f t="shared" si="20"/>
        <v>1</v>
      </c>
      <c r="F66" s="117">
        <v>3087.35</v>
      </c>
      <c r="G66" s="61" t="s">
        <v>82</v>
      </c>
      <c r="H66" s="61" t="s">
        <v>82</v>
      </c>
      <c r="I66" s="61" t="s">
        <v>82</v>
      </c>
      <c r="J66" s="61" t="s">
        <v>82</v>
      </c>
      <c r="K66" s="61" t="s">
        <v>82</v>
      </c>
      <c r="L66" s="61" t="s">
        <v>82</v>
      </c>
      <c r="M66" s="61" t="s">
        <v>82</v>
      </c>
      <c r="N66" s="61" t="s">
        <v>82</v>
      </c>
      <c r="O66" s="61" t="s">
        <v>82</v>
      </c>
      <c r="P66" s="61" t="s">
        <v>82</v>
      </c>
      <c r="Q66" s="61" t="s">
        <v>82</v>
      </c>
      <c r="R66" s="293" t="s">
        <v>82</v>
      </c>
      <c r="S66" s="293" t="s">
        <v>82</v>
      </c>
      <c r="T66" s="293" t="s">
        <v>82</v>
      </c>
      <c r="U66" s="293" t="s">
        <v>82</v>
      </c>
      <c r="V66" s="293" t="s">
        <v>82</v>
      </c>
      <c r="W66" s="293" t="s">
        <v>82</v>
      </c>
    </row>
    <row r="67" spans="2:23" hidden="1" x14ac:dyDescent="0.35">
      <c r="B67" s="2" t="s">
        <v>0</v>
      </c>
      <c r="C67" s="2"/>
      <c r="D67" s="2"/>
      <c r="E67" s="2"/>
      <c r="F67" s="3"/>
      <c r="G67" s="3"/>
      <c r="H67" s="3"/>
      <c r="I67" s="3"/>
      <c r="J67" s="60" t="e">
        <f t="shared" ref="J67:J76" si="21">-PMT( 0.46%,G67,I67)/F67*1000</f>
        <v>#NUM!</v>
      </c>
      <c r="K67" s="61" t="s">
        <v>82</v>
      </c>
      <c r="L67" s="61" t="s">
        <v>82</v>
      </c>
      <c r="M67" s="61" t="s">
        <v>82</v>
      </c>
      <c r="N67" s="61" t="s">
        <v>82</v>
      </c>
      <c r="O67" s="61" t="s">
        <v>82</v>
      </c>
      <c r="P67" s="61" t="s">
        <v>82</v>
      </c>
      <c r="Q67" s="61" t="s">
        <v>82</v>
      </c>
      <c r="R67" s="3"/>
      <c r="S67" s="3"/>
      <c r="T67" s="2"/>
      <c r="U67" s="55" t="e">
        <f t="shared" ref="U67:U70" si="22">R67/S67</f>
        <v>#DIV/0!</v>
      </c>
      <c r="V67" s="3"/>
      <c r="W67" s="3"/>
    </row>
    <row r="68" spans="2:23" hidden="1" x14ac:dyDescent="0.35">
      <c r="B68" s="2" t="s">
        <v>0</v>
      </c>
      <c r="C68" s="2"/>
      <c r="D68" s="2"/>
      <c r="E68" s="2"/>
      <c r="F68" s="3"/>
      <c r="G68" s="3"/>
      <c r="H68" s="3"/>
      <c r="I68" s="3"/>
      <c r="J68" s="60" t="e">
        <f t="shared" si="21"/>
        <v>#NUM!</v>
      </c>
      <c r="K68" s="61" t="s">
        <v>82</v>
      </c>
      <c r="L68" s="61" t="s">
        <v>82</v>
      </c>
      <c r="M68" s="61" t="s">
        <v>82</v>
      </c>
      <c r="N68" s="61" t="s">
        <v>82</v>
      </c>
      <c r="O68" s="61" t="s">
        <v>82</v>
      </c>
      <c r="P68" s="61" t="s">
        <v>82</v>
      </c>
      <c r="Q68" s="61" t="s">
        <v>82</v>
      </c>
      <c r="R68" s="3"/>
      <c r="S68" s="3"/>
      <c r="T68" s="2"/>
      <c r="U68" s="55" t="e">
        <f t="shared" si="22"/>
        <v>#DIV/0!</v>
      </c>
      <c r="V68" s="3"/>
      <c r="W68" s="3"/>
    </row>
    <row r="69" spans="2:23" hidden="1" x14ac:dyDescent="0.35">
      <c r="B69" s="2" t="s">
        <v>0</v>
      </c>
      <c r="C69" s="2"/>
      <c r="D69" s="2"/>
      <c r="E69" s="2"/>
      <c r="F69" s="3"/>
      <c r="G69" s="3"/>
      <c r="H69" s="3"/>
      <c r="I69" s="3"/>
      <c r="J69" s="60" t="e">
        <f t="shared" si="21"/>
        <v>#NUM!</v>
      </c>
      <c r="K69" s="61" t="s">
        <v>82</v>
      </c>
      <c r="L69" s="61" t="s">
        <v>82</v>
      </c>
      <c r="M69" s="61" t="s">
        <v>82</v>
      </c>
      <c r="N69" s="61" t="s">
        <v>82</v>
      </c>
      <c r="O69" s="61" t="s">
        <v>82</v>
      </c>
      <c r="P69" s="61" t="s">
        <v>82</v>
      </c>
      <c r="Q69" s="61" t="s">
        <v>82</v>
      </c>
      <c r="R69" s="3"/>
      <c r="S69" s="3"/>
      <c r="T69" s="2"/>
      <c r="U69" s="55" t="e">
        <f t="shared" si="22"/>
        <v>#DIV/0!</v>
      </c>
      <c r="V69" s="3"/>
      <c r="W69" s="3"/>
    </row>
    <row r="70" spans="2:23" ht="15.75" customHeight="1" x14ac:dyDescent="0.35">
      <c r="B70" s="4" t="s">
        <v>10</v>
      </c>
      <c r="C70" s="4"/>
      <c r="D70" s="65">
        <f>SUM(D65:D69)</f>
        <v>4006.16</v>
      </c>
      <c r="E70" s="69">
        <f>F70/D70</f>
        <v>1</v>
      </c>
      <c r="F70" s="65">
        <f>SUM(F65:F69)</f>
        <v>4006.16</v>
      </c>
      <c r="G70" s="68" t="s">
        <v>82</v>
      </c>
      <c r="H70" s="68" t="s">
        <v>82</v>
      </c>
      <c r="I70" s="68" t="s">
        <v>82</v>
      </c>
      <c r="J70" s="68" t="s">
        <v>82</v>
      </c>
      <c r="K70" s="68" t="s">
        <v>82</v>
      </c>
      <c r="L70" s="68" t="s">
        <v>82</v>
      </c>
      <c r="M70" s="68" t="s">
        <v>82</v>
      </c>
      <c r="N70" s="68" t="s">
        <v>82</v>
      </c>
      <c r="O70" s="68" t="s">
        <v>82</v>
      </c>
      <c r="P70" s="68" t="s">
        <v>82</v>
      </c>
      <c r="Q70" s="68" t="s">
        <v>82</v>
      </c>
      <c r="R70" s="72">
        <f>SUM(R65:R69)</f>
        <v>0</v>
      </c>
      <c r="S70" s="72">
        <f>SUM(S65:S69)</f>
        <v>0</v>
      </c>
      <c r="T70" s="72">
        <f>SUM(T65:T69)</f>
        <v>0</v>
      </c>
      <c r="U70" s="73" t="e">
        <f t="shared" si="22"/>
        <v>#DIV/0!</v>
      </c>
      <c r="V70" s="74">
        <f>SUM(V65:V69)</f>
        <v>0</v>
      </c>
      <c r="W70" s="68" t="s">
        <v>82</v>
      </c>
    </row>
    <row r="71" spans="2:23" ht="15.65" hidden="1" customHeight="1" x14ac:dyDescent="0.35">
      <c r="B71" s="409" t="s">
        <v>11</v>
      </c>
      <c r="C71" s="410"/>
      <c r="D71" s="410"/>
      <c r="E71" s="410"/>
      <c r="F71" s="410"/>
      <c r="G71" s="410"/>
      <c r="H71" s="410"/>
      <c r="I71" s="410"/>
      <c r="J71" s="410"/>
      <c r="K71" s="410"/>
      <c r="L71" s="410"/>
      <c r="M71" s="410"/>
      <c r="N71" s="410"/>
      <c r="O71" s="410"/>
      <c r="P71" s="410"/>
      <c r="Q71" s="410"/>
      <c r="R71" s="410"/>
      <c r="S71" s="410"/>
      <c r="T71" s="410"/>
      <c r="U71" s="410"/>
      <c r="V71" s="410"/>
      <c r="W71" s="410"/>
    </row>
    <row r="72" spans="2:23" hidden="1" x14ac:dyDescent="0.35">
      <c r="B72" s="2" t="s">
        <v>0</v>
      </c>
      <c r="C72" s="2"/>
      <c r="D72" s="2"/>
      <c r="E72" s="2"/>
      <c r="F72" s="3"/>
      <c r="G72" s="3"/>
      <c r="H72" s="3"/>
      <c r="I72" s="3"/>
      <c r="J72" s="60" t="e">
        <f t="shared" si="21"/>
        <v>#NUM!</v>
      </c>
      <c r="K72" s="61" t="s">
        <v>82</v>
      </c>
      <c r="L72" s="61" t="s">
        <v>82</v>
      </c>
      <c r="M72" s="61" t="s">
        <v>82</v>
      </c>
      <c r="N72" s="61" t="s">
        <v>82</v>
      </c>
      <c r="O72" s="61" t="s">
        <v>82</v>
      </c>
      <c r="P72" s="61" t="s">
        <v>82</v>
      </c>
      <c r="Q72" s="61" t="s">
        <v>82</v>
      </c>
      <c r="R72" s="3"/>
      <c r="S72" s="3"/>
      <c r="T72" s="2"/>
      <c r="U72" s="55" t="e">
        <f>R72/S72</f>
        <v>#DIV/0!</v>
      </c>
      <c r="V72" s="3"/>
      <c r="W72" s="3"/>
    </row>
    <row r="73" spans="2:23" hidden="1" x14ac:dyDescent="0.35">
      <c r="B73" s="2" t="s">
        <v>0</v>
      </c>
      <c r="C73" s="2"/>
      <c r="D73" s="2"/>
      <c r="E73" s="2"/>
      <c r="F73" s="3"/>
      <c r="G73" s="3"/>
      <c r="H73" s="3"/>
      <c r="I73" s="3"/>
      <c r="J73" s="60" t="e">
        <f t="shared" si="21"/>
        <v>#NUM!</v>
      </c>
      <c r="K73" s="61" t="s">
        <v>82</v>
      </c>
      <c r="L73" s="61" t="s">
        <v>82</v>
      </c>
      <c r="M73" s="61" t="s">
        <v>82</v>
      </c>
      <c r="N73" s="61" t="s">
        <v>82</v>
      </c>
      <c r="O73" s="61" t="s">
        <v>82</v>
      </c>
      <c r="P73" s="61" t="s">
        <v>82</v>
      </c>
      <c r="Q73" s="61" t="s">
        <v>82</v>
      </c>
      <c r="R73" s="3"/>
      <c r="S73" s="3"/>
      <c r="T73" s="2"/>
      <c r="U73" s="55" t="e">
        <f t="shared" ref="U73:U77" si="23">R73/S73</f>
        <v>#DIV/0!</v>
      </c>
      <c r="V73" s="3"/>
      <c r="W73" s="3"/>
    </row>
    <row r="74" spans="2:23" hidden="1" x14ac:dyDescent="0.35">
      <c r="B74" s="2" t="s">
        <v>0</v>
      </c>
      <c r="C74" s="2"/>
      <c r="D74" s="18"/>
      <c r="E74" s="18"/>
      <c r="F74" s="19"/>
      <c r="G74" s="19"/>
      <c r="H74" s="19"/>
      <c r="I74" s="19"/>
      <c r="J74" s="60" t="e">
        <f t="shared" si="21"/>
        <v>#NUM!</v>
      </c>
      <c r="K74" s="61" t="s">
        <v>82</v>
      </c>
      <c r="L74" s="61" t="s">
        <v>82</v>
      </c>
      <c r="M74" s="61" t="s">
        <v>82</v>
      </c>
      <c r="N74" s="61" t="s">
        <v>82</v>
      </c>
      <c r="O74" s="61" t="s">
        <v>82</v>
      </c>
      <c r="P74" s="61" t="s">
        <v>82</v>
      </c>
      <c r="Q74" s="61" t="s">
        <v>82</v>
      </c>
      <c r="R74" s="19"/>
      <c r="S74" s="19"/>
      <c r="T74" s="18"/>
      <c r="U74" s="55" t="e">
        <f t="shared" si="23"/>
        <v>#DIV/0!</v>
      </c>
      <c r="V74" s="19"/>
      <c r="W74" s="19"/>
    </row>
    <row r="75" spans="2:23" hidden="1" x14ac:dyDescent="0.35">
      <c r="B75" s="2" t="s">
        <v>0</v>
      </c>
      <c r="C75" s="2"/>
      <c r="D75" s="18"/>
      <c r="E75" s="18"/>
      <c r="F75" s="19"/>
      <c r="G75" s="19"/>
      <c r="H75" s="19"/>
      <c r="I75" s="19"/>
      <c r="J75" s="60" t="e">
        <f t="shared" si="21"/>
        <v>#NUM!</v>
      </c>
      <c r="K75" s="61" t="s">
        <v>82</v>
      </c>
      <c r="L75" s="61" t="s">
        <v>82</v>
      </c>
      <c r="M75" s="61" t="s">
        <v>82</v>
      </c>
      <c r="N75" s="61" t="s">
        <v>82</v>
      </c>
      <c r="O75" s="61" t="s">
        <v>82</v>
      </c>
      <c r="P75" s="61" t="s">
        <v>82</v>
      </c>
      <c r="Q75" s="61" t="s">
        <v>82</v>
      </c>
      <c r="R75" s="19"/>
      <c r="S75" s="19"/>
      <c r="T75" s="18"/>
      <c r="U75" s="55" t="e">
        <f t="shared" si="23"/>
        <v>#DIV/0!</v>
      </c>
      <c r="V75" s="19"/>
      <c r="W75" s="19"/>
    </row>
    <row r="76" spans="2:23" hidden="1" x14ac:dyDescent="0.35">
      <c r="B76" s="2" t="s">
        <v>0</v>
      </c>
      <c r="C76" s="2"/>
      <c r="D76" s="18"/>
      <c r="E76" s="18"/>
      <c r="F76" s="19"/>
      <c r="G76" s="19"/>
      <c r="H76" s="19"/>
      <c r="I76" s="19"/>
      <c r="J76" s="60" t="e">
        <f t="shared" si="21"/>
        <v>#NUM!</v>
      </c>
      <c r="K76" s="61" t="s">
        <v>82</v>
      </c>
      <c r="L76" s="61" t="s">
        <v>82</v>
      </c>
      <c r="M76" s="61" t="s">
        <v>82</v>
      </c>
      <c r="N76" s="61" t="s">
        <v>82</v>
      </c>
      <c r="O76" s="61" t="s">
        <v>82</v>
      </c>
      <c r="P76" s="61" t="s">
        <v>82</v>
      </c>
      <c r="Q76" s="61" t="s">
        <v>82</v>
      </c>
      <c r="R76" s="19"/>
      <c r="S76" s="19"/>
      <c r="T76" s="18"/>
      <c r="U76" s="55" t="e">
        <f t="shared" si="23"/>
        <v>#DIV/0!</v>
      </c>
      <c r="V76" s="19"/>
      <c r="W76" s="19"/>
    </row>
    <row r="77" spans="2:23" ht="35.15" hidden="1" customHeight="1" x14ac:dyDescent="0.35">
      <c r="B77" s="24" t="s">
        <v>12</v>
      </c>
      <c r="C77" s="24"/>
      <c r="D77" s="65">
        <f>SUM(D72:D76)</f>
        <v>0</v>
      </c>
      <c r="E77" s="69" t="e">
        <f>F77/D77</f>
        <v>#DIV/0!</v>
      </c>
      <c r="F77" s="65">
        <f>SUM(F72:F76)</f>
        <v>0</v>
      </c>
      <c r="G77" s="70" t="e">
        <f>H77/F77</f>
        <v>#DIV/0!</v>
      </c>
      <c r="H77" s="65">
        <f>SUM(H72:H76)</f>
        <v>0</v>
      </c>
      <c r="I77" s="67">
        <f>SUM(I72:I76)</f>
        <v>0</v>
      </c>
      <c r="J77" s="88" t="e">
        <f>-PMT( 0.46%,G77,I77)/F77*1000</f>
        <v>#DIV/0!</v>
      </c>
      <c r="K77" s="68" t="s">
        <v>82</v>
      </c>
      <c r="L77" s="68" t="s">
        <v>82</v>
      </c>
      <c r="M77" s="68" t="s">
        <v>82</v>
      </c>
      <c r="N77" s="68" t="s">
        <v>82</v>
      </c>
      <c r="O77" s="68" t="s">
        <v>82</v>
      </c>
      <c r="P77" s="68" t="s">
        <v>82</v>
      </c>
      <c r="Q77" s="68" t="s">
        <v>82</v>
      </c>
      <c r="R77" s="72">
        <f>SUM(R72:R76)</f>
        <v>0</v>
      </c>
      <c r="S77" s="72">
        <f>SUM(S72:S76)</f>
        <v>0</v>
      </c>
      <c r="T77" s="72">
        <f>SUM(T72:T76)</f>
        <v>0</v>
      </c>
      <c r="U77" s="73" t="e">
        <f t="shared" si="23"/>
        <v>#DIV/0!</v>
      </c>
      <c r="V77" s="74">
        <f>SUM(V72:V76)</f>
        <v>0</v>
      </c>
      <c r="W77" s="68" t="s">
        <v>82</v>
      </c>
    </row>
    <row r="78" spans="2:23" x14ac:dyDescent="0.35">
      <c r="B78" s="409" t="s">
        <v>16</v>
      </c>
      <c r="C78" s="410"/>
      <c r="D78" s="410"/>
      <c r="E78" s="410"/>
      <c r="F78" s="410"/>
      <c r="G78" s="410"/>
      <c r="H78" s="410"/>
      <c r="I78" s="410"/>
      <c r="J78" s="410"/>
      <c r="K78" s="410"/>
      <c r="L78" s="410"/>
      <c r="M78" s="410"/>
      <c r="N78" s="410"/>
      <c r="O78" s="410"/>
      <c r="P78" s="410"/>
      <c r="Q78" s="410"/>
      <c r="R78" s="410"/>
      <c r="S78" s="410"/>
      <c r="T78" s="410"/>
      <c r="U78" s="410"/>
      <c r="V78" s="410"/>
      <c r="W78" s="411"/>
    </row>
    <row r="79" spans="2:23" x14ac:dyDescent="0.35">
      <c r="B79" s="224" t="s">
        <v>252</v>
      </c>
      <c r="C79" s="53" t="s">
        <v>81</v>
      </c>
      <c r="D79" s="120">
        <v>0</v>
      </c>
      <c r="E79" s="63" t="s">
        <v>82</v>
      </c>
      <c r="F79" s="120">
        <v>0</v>
      </c>
      <c r="G79" s="268">
        <v>1</v>
      </c>
      <c r="H79" s="56">
        <f t="shared" ref="H79:H80" si="24">F79*G79</f>
        <v>0</v>
      </c>
      <c r="I79" s="61" t="s">
        <v>82</v>
      </c>
      <c r="J79" s="61" t="s">
        <v>82</v>
      </c>
      <c r="K79" s="61" t="s">
        <v>82</v>
      </c>
      <c r="L79" s="61" t="s">
        <v>82</v>
      </c>
      <c r="M79" s="61" t="s">
        <v>82</v>
      </c>
      <c r="N79" s="61" t="s">
        <v>82</v>
      </c>
      <c r="O79" s="61" t="s">
        <v>82</v>
      </c>
      <c r="P79" s="61" t="s">
        <v>82</v>
      </c>
      <c r="Q79" s="61" t="s">
        <v>82</v>
      </c>
      <c r="R79" s="75">
        <v>281</v>
      </c>
      <c r="S79" s="75">
        <v>71474</v>
      </c>
      <c r="T79" s="75">
        <f>R79-S79</f>
        <v>-71193</v>
      </c>
      <c r="U79" s="63">
        <f>IF(S79=0,"N/A",R79/S79)</f>
        <v>3.9314995662758489E-3</v>
      </c>
      <c r="V79" s="120">
        <v>6015</v>
      </c>
      <c r="W79" s="120" t="s">
        <v>193</v>
      </c>
    </row>
    <row r="80" spans="2:23" x14ac:dyDescent="0.35">
      <c r="B80" s="2" t="s">
        <v>220</v>
      </c>
      <c r="C80" s="53" t="s">
        <v>81</v>
      </c>
      <c r="D80" s="120">
        <v>59217</v>
      </c>
      <c r="E80" s="63">
        <f>F80/D80</f>
        <v>1</v>
      </c>
      <c r="F80" s="120">
        <v>59217</v>
      </c>
      <c r="G80" s="268">
        <v>1</v>
      </c>
      <c r="H80" s="58">
        <f t="shared" si="24"/>
        <v>59217</v>
      </c>
      <c r="I80" s="61" t="s">
        <v>82</v>
      </c>
      <c r="J80" s="61" t="s">
        <v>82</v>
      </c>
      <c r="K80" s="61" t="s">
        <v>82</v>
      </c>
      <c r="L80" s="61" t="s">
        <v>82</v>
      </c>
      <c r="M80" s="61" t="s">
        <v>82</v>
      </c>
      <c r="N80" s="61" t="s">
        <v>82</v>
      </c>
      <c r="O80" s="61" t="s">
        <v>82</v>
      </c>
      <c r="P80" s="61" t="s">
        <v>82</v>
      </c>
      <c r="Q80" s="61" t="s">
        <v>82</v>
      </c>
      <c r="R80" s="75">
        <v>2148837</v>
      </c>
      <c r="S80" s="75">
        <v>525000</v>
      </c>
      <c r="T80" s="75">
        <f>R80-S80</f>
        <v>1623837</v>
      </c>
      <c r="U80" s="63">
        <f>R80/S80</f>
        <v>4.0930228571428575</v>
      </c>
      <c r="V80" s="120">
        <v>1374</v>
      </c>
      <c r="W80" s="120" t="s">
        <v>193</v>
      </c>
    </row>
    <row r="81" spans="2:23" ht="16.149999999999999" customHeight="1" x14ac:dyDescent="0.35">
      <c r="B81" s="32" t="s">
        <v>150</v>
      </c>
      <c r="C81" s="53" t="s">
        <v>81</v>
      </c>
      <c r="D81" s="120">
        <v>108.1</v>
      </c>
      <c r="E81" s="63">
        <f>F81/D81</f>
        <v>0.94912118408880664</v>
      </c>
      <c r="F81" s="120">
        <v>102.6</v>
      </c>
      <c r="G81" s="61" t="s">
        <v>82</v>
      </c>
      <c r="H81" s="61" t="s">
        <v>82</v>
      </c>
      <c r="I81" s="61" t="s">
        <v>82</v>
      </c>
      <c r="J81" s="61" t="s">
        <v>82</v>
      </c>
      <c r="K81" s="61" t="s">
        <v>82</v>
      </c>
      <c r="L81" s="61" t="s">
        <v>82</v>
      </c>
      <c r="M81" s="61" t="s">
        <v>82</v>
      </c>
      <c r="N81" s="61" t="s">
        <v>82</v>
      </c>
      <c r="O81" s="61" t="s">
        <v>82</v>
      </c>
      <c r="P81" s="61" t="s">
        <v>82</v>
      </c>
      <c r="Q81" s="61" t="s">
        <v>82</v>
      </c>
      <c r="R81" s="61" t="s">
        <v>82</v>
      </c>
      <c r="S81" s="61" t="s">
        <v>82</v>
      </c>
      <c r="T81" s="61" t="s">
        <v>82</v>
      </c>
      <c r="U81" s="61" t="s">
        <v>82</v>
      </c>
      <c r="V81" s="120">
        <v>1</v>
      </c>
      <c r="W81" s="120" t="s">
        <v>193</v>
      </c>
    </row>
    <row r="82" spans="2:23" ht="31.5" customHeight="1" x14ac:dyDescent="0.35">
      <c r="B82" s="24" t="s">
        <v>17</v>
      </c>
      <c r="C82" s="24"/>
      <c r="D82" s="65">
        <f>SUM(D79:D81)</f>
        <v>59325.1</v>
      </c>
      <c r="E82" s="238">
        <f>F82/D82</f>
        <v>0.9999072905060421</v>
      </c>
      <c r="F82" s="65">
        <f>SUM(F79:F81)</f>
        <v>59319.6</v>
      </c>
      <c r="G82" s="118">
        <f>H82/F82</f>
        <v>0.99827038617927299</v>
      </c>
      <c r="H82" s="65">
        <f>SUM(H79:H81)</f>
        <v>59217</v>
      </c>
      <c r="I82" s="67">
        <f>SUM(I79:I81)</f>
        <v>0</v>
      </c>
      <c r="J82" s="248">
        <f t="shared" ref="J82" si="25">-PMT( 0.46%,G82,I82)/(F82*1000)</f>
        <v>0</v>
      </c>
      <c r="K82" s="68" t="s">
        <v>82</v>
      </c>
      <c r="L82" s="68" t="s">
        <v>82</v>
      </c>
      <c r="M82" s="68" t="s">
        <v>82</v>
      </c>
      <c r="N82" s="68" t="s">
        <v>82</v>
      </c>
      <c r="O82" s="68" t="s">
        <v>82</v>
      </c>
      <c r="P82" s="68" t="s">
        <v>82</v>
      </c>
      <c r="Q82" s="68" t="s">
        <v>82</v>
      </c>
      <c r="R82" s="72">
        <f>SUM(R79:R81)</f>
        <v>2149118</v>
      </c>
      <c r="S82" s="72">
        <f>SUM(S79:S81)</f>
        <v>596474</v>
      </c>
      <c r="T82" s="72">
        <f>SUM(T79:T81)</f>
        <v>1552644</v>
      </c>
      <c r="U82" s="73">
        <f t="shared" ref="U82" si="26">R82/S82</f>
        <v>3.6030371818386047</v>
      </c>
      <c r="V82" s="74">
        <f>SUM(V79:V81)</f>
        <v>7390</v>
      </c>
      <c r="W82" s="68" t="s">
        <v>82</v>
      </c>
    </row>
    <row r="83" spans="2:23" ht="40.5" customHeight="1" x14ac:dyDescent="0.35">
      <c r="B83" s="37" t="s">
        <v>32</v>
      </c>
      <c r="C83" s="37"/>
      <c r="D83" s="89" t="s">
        <v>82</v>
      </c>
      <c r="E83" s="89" t="s">
        <v>82</v>
      </c>
      <c r="F83" s="89" t="s">
        <v>82</v>
      </c>
      <c r="G83" s="89" t="s">
        <v>82</v>
      </c>
      <c r="H83" s="89" t="s">
        <v>82</v>
      </c>
      <c r="I83" s="38">
        <f>13573995.5+1709251+3670970</f>
        <v>18954216.5</v>
      </c>
      <c r="J83" s="89" t="s">
        <v>82</v>
      </c>
      <c r="K83" s="89" t="s">
        <v>82</v>
      </c>
      <c r="L83" s="89" t="s">
        <v>82</v>
      </c>
      <c r="M83" s="89" t="s">
        <v>82</v>
      </c>
      <c r="N83" s="89" t="s">
        <v>82</v>
      </c>
      <c r="O83" s="89" t="s">
        <v>82</v>
      </c>
      <c r="P83" s="89" t="s">
        <v>82</v>
      </c>
      <c r="Q83" s="89" t="s">
        <v>82</v>
      </c>
      <c r="R83" s="89" t="s">
        <v>82</v>
      </c>
      <c r="S83" s="89" t="s">
        <v>82</v>
      </c>
      <c r="T83" s="89" t="s">
        <v>82</v>
      </c>
      <c r="U83" s="89" t="s">
        <v>82</v>
      </c>
      <c r="V83" s="89" t="s">
        <v>82</v>
      </c>
      <c r="W83" s="89" t="s">
        <v>82</v>
      </c>
    </row>
    <row r="84" spans="2:23" ht="31.5" customHeight="1" x14ac:dyDescent="0.35">
      <c r="B84" s="30" t="s">
        <v>94</v>
      </c>
      <c r="C84" s="30"/>
      <c r="D84" s="79">
        <f>SUM(D45,D63,D70,D77,D82,D83)</f>
        <v>1789174.7449999999</v>
      </c>
      <c r="E84" s="80">
        <f>F84/D84</f>
        <v>0.77317330678060736</v>
      </c>
      <c r="F84" s="79">
        <f>SUM(F45,F63,F70,F77,F82,F83)</f>
        <v>1383342.1539999999</v>
      </c>
      <c r="G84" s="80">
        <f>H84/F84</f>
        <v>6.8850676774970978</v>
      </c>
      <c r="H84" s="79">
        <f>SUM(H45,H63,H70,H77,H82,H83)</f>
        <v>9524404.3514246121</v>
      </c>
      <c r="I84" s="81">
        <f>SUM(I45,I63,I70,I77,I82,I83)</f>
        <v>199118437.08999997</v>
      </c>
      <c r="J84" s="249">
        <f t="shared" ref="J84" si="27">-PMT( 0.46%,G84,I84)/(F84*1000)</f>
        <v>2.1286983253581117E-2</v>
      </c>
      <c r="K84" s="82" t="s">
        <v>82</v>
      </c>
      <c r="L84" s="82" t="s">
        <v>82</v>
      </c>
      <c r="M84" s="82" t="s">
        <v>82</v>
      </c>
      <c r="N84" s="82" t="s">
        <v>82</v>
      </c>
      <c r="O84" s="82" t="s">
        <v>82</v>
      </c>
      <c r="P84" s="82" t="s">
        <v>82</v>
      </c>
      <c r="Q84" s="82" t="s">
        <v>82</v>
      </c>
      <c r="R84" s="81">
        <f>SUM(R45,R63,R70,R77,R82,R83)</f>
        <v>450244564</v>
      </c>
      <c r="S84" s="81">
        <v>176495918</v>
      </c>
      <c r="T84" s="81">
        <f>SUM(T45,T63,T70,T77,T82,T83)</f>
        <v>272940841</v>
      </c>
      <c r="U84" s="80">
        <f>R84/S84</f>
        <v>2.5510197012035145</v>
      </c>
      <c r="V84" s="128">
        <f>SUM(V45,V63,V70,V77,V82,V83)</f>
        <v>16299503</v>
      </c>
      <c r="W84" s="82" t="s">
        <v>82</v>
      </c>
    </row>
    <row r="85" spans="2:23" s="22" customFormat="1" ht="18" customHeight="1" x14ac:dyDescent="0.35">
      <c r="B85" s="26"/>
      <c r="C85" s="26"/>
      <c r="D85" s="11"/>
      <c r="E85" s="11"/>
      <c r="F85" s="12"/>
      <c r="G85" s="12"/>
      <c r="H85" s="12"/>
      <c r="I85" s="12"/>
      <c r="J85" s="12"/>
      <c r="K85" s="12"/>
      <c r="L85" s="12"/>
    </row>
    <row r="86" spans="2:23" x14ac:dyDescent="0.35">
      <c r="B86" s="344" t="s">
        <v>3</v>
      </c>
      <c r="C86" s="383"/>
      <c r="D86" s="383"/>
      <c r="E86" s="383"/>
      <c r="F86" s="383"/>
      <c r="G86" s="383"/>
      <c r="H86" s="383"/>
      <c r="I86" s="383"/>
      <c r="J86" s="383"/>
      <c r="K86" s="383"/>
      <c r="L86" s="383"/>
      <c r="M86" s="42"/>
    </row>
    <row r="87" spans="2:23" x14ac:dyDescent="0.35">
      <c r="B87" s="383" t="s">
        <v>308</v>
      </c>
      <c r="C87" s="383"/>
      <c r="D87" s="383"/>
      <c r="E87" s="383"/>
      <c r="F87" s="383"/>
      <c r="G87" s="383"/>
      <c r="H87" s="383"/>
      <c r="I87" s="383"/>
      <c r="J87" s="383"/>
      <c r="K87" s="383"/>
      <c r="L87" s="383"/>
      <c r="M87" s="42"/>
    </row>
    <row r="88" spans="2:23" ht="28.15" customHeight="1" x14ac:dyDescent="0.35">
      <c r="B88" s="431" t="s">
        <v>365</v>
      </c>
      <c r="C88" s="431"/>
      <c r="D88" s="431"/>
      <c r="E88" s="431"/>
      <c r="F88" s="431"/>
      <c r="G88" s="431"/>
      <c r="H88" s="431"/>
      <c r="I88" s="431"/>
      <c r="J88" s="431"/>
      <c r="K88" s="431"/>
      <c r="L88" s="383"/>
      <c r="M88" s="42"/>
    </row>
    <row r="89" spans="2:23" x14ac:dyDescent="0.35">
      <c r="B89" s="383" t="s">
        <v>370</v>
      </c>
    </row>
    <row r="91" spans="2:23" x14ac:dyDescent="0.35">
      <c r="B91" s="45" t="s">
        <v>48</v>
      </c>
    </row>
    <row r="92" spans="2:23" x14ac:dyDescent="0.35">
      <c r="B92" s="7" t="s">
        <v>154</v>
      </c>
    </row>
    <row r="93" spans="2:23" x14ac:dyDescent="0.35">
      <c r="B93" s="7" t="s">
        <v>145</v>
      </c>
    </row>
    <row r="94" spans="2:23" x14ac:dyDescent="0.35">
      <c r="B94" s="7" t="s">
        <v>155</v>
      </c>
    </row>
    <row r="95" spans="2:23" x14ac:dyDescent="0.35">
      <c r="B95" s="342" t="s">
        <v>307</v>
      </c>
    </row>
    <row r="96" spans="2:23" x14ac:dyDescent="0.35">
      <c r="B96" s="342" t="s">
        <v>361</v>
      </c>
    </row>
  </sheetData>
  <mergeCells count="9">
    <mergeCell ref="B88:K88"/>
    <mergeCell ref="B71:W71"/>
    <mergeCell ref="B78:W78"/>
    <mergeCell ref="B5:L6"/>
    <mergeCell ref="B8:L15"/>
    <mergeCell ref="B19:W19"/>
    <mergeCell ref="B21:W21"/>
    <mergeCell ref="B48:W48"/>
    <mergeCell ref="B64:W64"/>
  </mergeCells>
  <printOptions horizontalCentered="1" headings="1"/>
  <pageMargins left="0.5" right="0.5" top="1.25" bottom="1" header="0.5" footer="0.5"/>
  <pageSetup scale="27" orientation="landscape" r:id="rId1"/>
  <headerFooter scaleWithDoc="0">
    <oddHeader>&amp;R&amp;"Arial,Bold"ICC Dkt. No. 17-0312
2019 Statewide Annual Report Template
Tab: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FFB8-957D-4566-833D-688EB5E7B19E}">
  <sheetPr>
    <pageSetUpPr fitToPage="1"/>
  </sheetPr>
  <dimension ref="B1:W128"/>
  <sheetViews>
    <sheetView topLeftCell="A73" zoomScale="90" zoomScaleNormal="90" workbookViewId="0">
      <selection activeCell="B83" sqref="B83:G83"/>
    </sheetView>
  </sheetViews>
  <sheetFormatPr defaultRowHeight="14.5" x14ac:dyDescent="0.35"/>
  <cols>
    <col min="1" max="1" width="2.1796875" customWidth="1"/>
    <col min="2" max="2" width="54.26953125" customWidth="1"/>
    <col min="3" max="3" width="22.1796875" bestFit="1" customWidth="1"/>
    <col min="4" max="4" width="17.26953125" customWidth="1"/>
    <col min="5" max="5" width="15.26953125" customWidth="1"/>
    <col min="6" max="6" width="16" customWidth="1"/>
    <col min="7" max="7" width="15" customWidth="1"/>
    <col min="8" max="8" width="12.453125" customWidth="1"/>
    <col min="9" max="9" width="23.453125" customWidth="1"/>
    <col min="10" max="10" width="15.453125" customWidth="1"/>
    <col min="11" max="11" width="17" customWidth="1"/>
    <col min="12" max="12" width="14.453125" customWidth="1"/>
    <col min="13" max="13" width="15" customWidth="1"/>
    <col min="14" max="14" width="14" customWidth="1"/>
    <col min="15" max="15" width="12" customWidth="1"/>
    <col min="16" max="16" width="14.26953125" customWidth="1"/>
    <col min="17" max="17" width="17" customWidth="1"/>
    <col min="18" max="18" width="17.7265625" customWidth="1"/>
    <col min="19" max="19" width="17.26953125" customWidth="1"/>
    <col min="20" max="20" width="15.7265625" customWidth="1"/>
    <col min="21" max="22" width="14.26953125" customWidth="1"/>
    <col min="23" max="23" width="23" bestFit="1" customWidth="1"/>
  </cols>
  <sheetData>
    <row r="1" spans="2:12" x14ac:dyDescent="0.35">
      <c r="B1" s="6" t="s">
        <v>27</v>
      </c>
      <c r="C1" s="6"/>
      <c r="D1" s="6"/>
      <c r="E1" s="6"/>
    </row>
    <row r="2" spans="2:12" x14ac:dyDescent="0.35">
      <c r="B2" s="6" t="s">
        <v>380</v>
      </c>
      <c r="C2" s="6"/>
      <c r="D2" s="6"/>
      <c r="E2" s="6"/>
    </row>
    <row r="3" spans="2:12" x14ac:dyDescent="0.35">
      <c r="B3" s="6" t="s">
        <v>392</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ht="12" customHeight="1"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163.5" customHeight="1" x14ac:dyDescent="0.35">
      <c r="B15" s="419"/>
      <c r="C15" s="420"/>
      <c r="D15" s="420"/>
      <c r="E15" s="420"/>
      <c r="F15" s="420"/>
      <c r="G15" s="420"/>
      <c r="H15" s="420"/>
      <c r="I15" s="420"/>
      <c r="J15" s="420"/>
      <c r="K15" s="420"/>
      <c r="L15" s="421"/>
    </row>
    <row r="16" spans="2:12" ht="17.649999999999999"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2" customHeight="1" x14ac:dyDescent="0.35">
      <c r="B18" s="21"/>
      <c r="C18" s="21"/>
      <c r="D18" s="21"/>
      <c r="E18" s="21"/>
      <c r="F18" s="21"/>
      <c r="G18" s="21"/>
      <c r="H18" s="21"/>
      <c r="I18" s="21"/>
      <c r="J18" s="21"/>
      <c r="K18" s="21"/>
      <c r="L18" s="21"/>
    </row>
    <row r="19" spans="2:23" ht="20.149999999999999" customHeight="1" x14ac:dyDescent="0.35">
      <c r="B19" s="430" t="s">
        <v>211</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148</v>
      </c>
      <c r="C22" s="53" t="s">
        <v>81</v>
      </c>
      <c r="D22" s="168">
        <v>14149.164000000001</v>
      </c>
      <c r="E22" s="63">
        <f>F22/D22</f>
        <v>0.90000002827022141</v>
      </c>
      <c r="F22" s="168">
        <v>12734.248</v>
      </c>
      <c r="G22" s="57">
        <f>H22/F22</f>
        <v>3.7116096928057707</v>
      </c>
      <c r="H22" s="58">
        <v>47264.558307392501</v>
      </c>
      <c r="I22" s="227">
        <v>1824775.41</v>
      </c>
      <c r="J22" s="287">
        <f>-PMT( 0.46%,G22,I22)/(F22*1000)</f>
        <v>3.90269377050231E-2</v>
      </c>
      <c r="K22" s="61" t="s">
        <v>82</v>
      </c>
      <c r="L22" s="61" t="s">
        <v>82</v>
      </c>
      <c r="M22" s="61" t="s">
        <v>82</v>
      </c>
      <c r="N22" s="61" t="s">
        <v>82</v>
      </c>
      <c r="O22" s="61" t="s">
        <v>82</v>
      </c>
      <c r="P22" s="61" t="s">
        <v>82</v>
      </c>
      <c r="Q22" s="61" t="s">
        <v>82</v>
      </c>
      <c r="R22" s="75">
        <v>4304735.8657071106</v>
      </c>
      <c r="S22" s="75">
        <v>2931197.2982160863</v>
      </c>
      <c r="T22" s="75">
        <f>R22-S22</f>
        <v>1373538.5674910243</v>
      </c>
      <c r="U22" s="63">
        <f>R22/S22</f>
        <v>1.4685930108924956</v>
      </c>
      <c r="V22" s="56">
        <v>3623</v>
      </c>
      <c r="W22" s="115" t="s">
        <v>141</v>
      </c>
    </row>
    <row r="23" spans="2:23" x14ac:dyDescent="0.35">
      <c r="B23" s="2" t="s">
        <v>86</v>
      </c>
      <c r="C23" s="53" t="s">
        <v>81</v>
      </c>
      <c r="D23" s="172">
        <v>64299.56</v>
      </c>
      <c r="E23" s="63">
        <f t="shared" ref="E23:E68" si="0">F23/D23</f>
        <v>0.76999999688955889</v>
      </c>
      <c r="F23" s="172">
        <v>49510.661</v>
      </c>
      <c r="G23" s="57">
        <f t="shared" ref="G23:G68" si="1">H23/F23</f>
        <v>17</v>
      </c>
      <c r="H23" s="177">
        <v>841681.23699999996</v>
      </c>
      <c r="I23" s="228">
        <f>8812185.38+5085684</f>
        <v>13897869.380000001</v>
      </c>
      <c r="J23" s="287">
        <f t="shared" ref="J23:J84" si="2">-PMT( 0.46%,G23,I23)/(F23*1000)</f>
        <v>1.7203997819421436E-2</v>
      </c>
      <c r="K23" s="61" t="s">
        <v>82</v>
      </c>
      <c r="L23" s="61" t="s">
        <v>82</v>
      </c>
      <c r="M23" s="61" t="s">
        <v>82</v>
      </c>
      <c r="N23" s="61" t="s">
        <v>82</v>
      </c>
      <c r="O23" s="61" t="s">
        <v>82</v>
      </c>
      <c r="P23" s="61" t="s">
        <v>82</v>
      </c>
      <c r="Q23" s="61" t="s">
        <v>82</v>
      </c>
      <c r="R23" s="75">
        <v>39179321.857889526</v>
      </c>
      <c r="S23" s="75">
        <v>31126034.744000003</v>
      </c>
      <c r="T23" s="75">
        <f t="shared" ref="T23:T69" si="3">R23-S23</f>
        <v>8053287.1138895229</v>
      </c>
      <c r="U23" s="63">
        <f t="shared" ref="U23:U69" si="4">R23/S23</f>
        <v>1.2587315467622135</v>
      </c>
      <c r="V23" s="56">
        <v>99</v>
      </c>
      <c r="W23" s="115" t="s">
        <v>235</v>
      </c>
    </row>
    <row r="24" spans="2:23" x14ac:dyDescent="0.35">
      <c r="B24" s="2" t="s">
        <v>162</v>
      </c>
      <c r="C24" s="53" t="s">
        <v>81</v>
      </c>
      <c r="D24" s="56">
        <v>41746.338000000003</v>
      </c>
      <c r="E24" s="63">
        <f t="shared" si="0"/>
        <v>0.57999999904183208</v>
      </c>
      <c r="F24" s="56">
        <v>24212.876</v>
      </c>
      <c r="G24" s="57">
        <f t="shared" si="1"/>
        <v>12.843833335732029</v>
      </c>
      <c r="H24" s="58">
        <v>310986.14392274601</v>
      </c>
      <c r="I24" s="227">
        <v>4864340.13</v>
      </c>
      <c r="J24" s="287">
        <f t="shared" si="2"/>
        <v>1.614421696222499E-2</v>
      </c>
      <c r="K24" s="61" t="s">
        <v>82</v>
      </c>
      <c r="L24" s="61" t="s">
        <v>82</v>
      </c>
      <c r="M24" s="61" t="s">
        <v>82</v>
      </c>
      <c r="N24" s="61" t="s">
        <v>82</v>
      </c>
      <c r="O24" s="61" t="s">
        <v>82</v>
      </c>
      <c r="P24" s="61" t="s">
        <v>82</v>
      </c>
      <c r="Q24" s="61" t="s">
        <v>82</v>
      </c>
      <c r="R24" s="75">
        <v>14335161.153544011</v>
      </c>
      <c r="S24" s="75">
        <v>9298063.2418614924</v>
      </c>
      <c r="T24" s="75">
        <f t="shared" si="3"/>
        <v>5037097.9116825182</v>
      </c>
      <c r="U24" s="63">
        <f t="shared" si="4"/>
        <v>1.5417362498681049</v>
      </c>
      <c r="V24" s="56">
        <v>123</v>
      </c>
      <c r="W24" s="115" t="s">
        <v>235</v>
      </c>
    </row>
    <row r="25" spans="2:23" x14ac:dyDescent="0.35">
      <c r="B25" s="2" t="s">
        <v>218</v>
      </c>
      <c r="C25" s="53" t="s">
        <v>81</v>
      </c>
      <c r="D25" s="56">
        <v>47111.832999999999</v>
      </c>
      <c r="E25" s="63">
        <f t="shared" si="0"/>
        <v>0.63999999745286928</v>
      </c>
      <c r="F25" s="56">
        <v>30151.573</v>
      </c>
      <c r="G25" s="57">
        <f t="shared" si="1"/>
        <v>14.662052364693743</v>
      </c>
      <c r="H25" s="58">
        <v>442083.94220388599</v>
      </c>
      <c r="I25" s="227">
        <v>3427000.95</v>
      </c>
      <c r="J25" s="287">
        <f t="shared" si="2"/>
        <v>8.0340869442457122E-3</v>
      </c>
      <c r="K25" s="61" t="s">
        <v>82</v>
      </c>
      <c r="L25" s="61" t="s">
        <v>82</v>
      </c>
      <c r="M25" s="61" t="s">
        <v>82</v>
      </c>
      <c r="N25" s="61" t="s">
        <v>82</v>
      </c>
      <c r="O25" s="61" t="s">
        <v>82</v>
      </c>
      <c r="P25" s="61" t="s">
        <v>82</v>
      </c>
      <c r="Q25" s="61" t="s">
        <v>82</v>
      </c>
      <c r="R25" s="75">
        <v>17805293.890398212</v>
      </c>
      <c r="S25" s="75">
        <v>13273208.223127063</v>
      </c>
      <c r="T25" s="75">
        <f t="shared" si="3"/>
        <v>4532085.6672711484</v>
      </c>
      <c r="U25" s="63">
        <f t="shared" si="4"/>
        <v>1.341446136539507</v>
      </c>
      <c r="V25" s="56">
        <v>19</v>
      </c>
      <c r="W25" s="115" t="s">
        <v>235</v>
      </c>
    </row>
    <row r="26" spans="2:23" x14ac:dyDescent="0.35">
      <c r="B26" s="224" t="s">
        <v>164</v>
      </c>
      <c r="C26" s="53" t="s">
        <v>81</v>
      </c>
      <c r="D26" s="175">
        <v>32523.735000000001</v>
      </c>
      <c r="E26" s="63">
        <f t="shared" si="0"/>
        <v>0.8</v>
      </c>
      <c r="F26" s="175">
        <v>26018.988000000001</v>
      </c>
      <c r="G26" s="57">
        <f t="shared" si="1"/>
        <v>8.3905937950048628</v>
      </c>
      <c r="H26" s="58">
        <v>218314.759265106</v>
      </c>
      <c r="I26" s="75">
        <f>6144704.28+268676</f>
        <v>6413380.2800000003</v>
      </c>
      <c r="J26" s="287">
        <f t="shared" si="2"/>
        <v>3.0014836736186861E-2</v>
      </c>
      <c r="K26" s="61" t="s">
        <v>82</v>
      </c>
      <c r="L26" s="61" t="s">
        <v>82</v>
      </c>
      <c r="M26" s="61" t="s">
        <v>82</v>
      </c>
      <c r="N26" s="61" t="s">
        <v>82</v>
      </c>
      <c r="O26" s="61" t="s">
        <v>82</v>
      </c>
      <c r="P26" s="61" t="s">
        <v>82</v>
      </c>
      <c r="Q26" s="61" t="s">
        <v>82</v>
      </c>
      <c r="R26" s="75">
        <v>10983930.143482432</v>
      </c>
      <c r="S26" s="75">
        <v>5231818.2162046554</v>
      </c>
      <c r="T26" s="75">
        <f t="shared" si="3"/>
        <v>5752111.9272777764</v>
      </c>
      <c r="U26" s="63">
        <f t="shared" si="4"/>
        <v>2.0994479719233365</v>
      </c>
      <c r="V26" s="56">
        <v>231</v>
      </c>
      <c r="W26" s="115" t="s">
        <v>235</v>
      </c>
    </row>
    <row r="27" spans="2:23" x14ac:dyDescent="0.35">
      <c r="B27" s="2" t="s">
        <v>165</v>
      </c>
      <c r="C27" s="53" t="s">
        <v>81</v>
      </c>
      <c r="D27" s="180">
        <v>220478.56099999999</v>
      </c>
      <c r="E27" s="63">
        <f t="shared" si="0"/>
        <v>0.77923518831384242</v>
      </c>
      <c r="F27" s="180">
        <v>171804.65299999999</v>
      </c>
      <c r="G27" s="57">
        <f t="shared" si="1"/>
        <v>10.265870265695831</v>
      </c>
      <c r="H27" s="58">
        <v>1763724.2787408901</v>
      </c>
      <c r="I27" s="75">
        <v>12256983.219999999</v>
      </c>
      <c r="J27" s="287">
        <f t="shared" si="2"/>
        <v>7.1308373479217419E-3</v>
      </c>
      <c r="K27" s="61" t="s">
        <v>82</v>
      </c>
      <c r="L27" s="61" t="s">
        <v>82</v>
      </c>
      <c r="M27" s="61" t="s">
        <v>82</v>
      </c>
      <c r="N27" s="61" t="s">
        <v>82</v>
      </c>
      <c r="O27" s="61" t="s">
        <v>82</v>
      </c>
      <c r="P27" s="61" t="s">
        <v>82</v>
      </c>
      <c r="Q27" s="61" t="s">
        <v>82</v>
      </c>
      <c r="R27" s="75">
        <v>73050459.797033012</v>
      </c>
      <c r="S27" s="75">
        <v>20811795.027032651</v>
      </c>
      <c r="T27" s="75">
        <f t="shared" si="3"/>
        <v>52238664.770000361</v>
      </c>
      <c r="U27" s="63">
        <f t="shared" si="4"/>
        <v>3.5100508967221247</v>
      </c>
      <c r="V27" s="180">
        <v>2053383</v>
      </c>
      <c r="W27" s="115" t="s">
        <v>236</v>
      </c>
    </row>
    <row r="28" spans="2:23" x14ac:dyDescent="0.35">
      <c r="B28" s="2" t="s">
        <v>234</v>
      </c>
      <c r="C28" s="53" t="s">
        <v>81</v>
      </c>
      <c r="D28" s="180">
        <v>15997.751</v>
      </c>
      <c r="E28" s="63">
        <f t="shared" si="0"/>
        <v>0.68805784013015336</v>
      </c>
      <c r="F28" s="180">
        <v>11007.378000000001</v>
      </c>
      <c r="G28" s="57">
        <f t="shared" si="1"/>
        <v>9</v>
      </c>
      <c r="H28" s="58">
        <v>99066.402000000002</v>
      </c>
      <c r="I28" s="1">
        <v>0</v>
      </c>
      <c r="J28" s="61" t="s">
        <v>82</v>
      </c>
      <c r="K28" s="61" t="s">
        <v>82</v>
      </c>
      <c r="L28" s="61" t="s">
        <v>82</v>
      </c>
      <c r="M28" s="61" t="s">
        <v>82</v>
      </c>
      <c r="N28" s="61" t="s">
        <v>82</v>
      </c>
      <c r="O28" s="61" t="s">
        <v>82</v>
      </c>
      <c r="P28" s="61" t="s">
        <v>82</v>
      </c>
      <c r="Q28" s="61" t="s">
        <v>82</v>
      </c>
      <c r="R28" s="75">
        <v>2027084.866113882</v>
      </c>
      <c r="S28" s="75">
        <v>0</v>
      </c>
      <c r="T28" s="75">
        <f t="shared" si="3"/>
        <v>2027084.866113882</v>
      </c>
      <c r="U28" s="63" t="s">
        <v>82</v>
      </c>
      <c r="V28" s="180">
        <v>69010.357069999998</v>
      </c>
      <c r="W28" s="115" t="s">
        <v>236</v>
      </c>
    </row>
    <row r="29" spans="2:23" x14ac:dyDescent="0.35">
      <c r="B29" s="2" t="s">
        <v>156</v>
      </c>
      <c r="C29" s="53" t="s">
        <v>81</v>
      </c>
      <c r="D29" s="56">
        <v>4128.3940000000002</v>
      </c>
      <c r="E29" s="63">
        <f t="shared" si="0"/>
        <v>0.94999992733251715</v>
      </c>
      <c r="F29" s="56">
        <v>3921.9740000000002</v>
      </c>
      <c r="G29" s="57">
        <f t="shared" si="1"/>
        <v>11.52815913403615</v>
      </c>
      <c r="H29" s="58">
        <v>45213.140391552297</v>
      </c>
      <c r="I29" s="75">
        <f>1076411.57+1301333+889754</f>
        <v>3267498.5700000003</v>
      </c>
      <c r="J29" s="287">
        <f t="shared" si="2"/>
        <v>7.4367958679578572E-2</v>
      </c>
      <c r="K29" s="61" t="s">
        <v>82</v>
      </c>
      <c r="L29" s="61" t="s">
        <v>82</v>
      </c>
      <c r="M29" s="61" t="s">
        <v>82</v>
      </c>
      <c r="N29" s="61" t="s">
        <v>82</v>
      </c>
      <c r="O29" s="61" t="s">
        <v>82</v>
      </c>
      <c r="P29" s="61" t="s">
        <v>82</v>
      </c>
      <c r="Q29" s="61" t="s">
        <v>82</v>
      </c>
      <c r="R29" s="75">
        <v>1381878.744131604</v>
      </c>
      <c r="S29" s="75">
        <v>1893926.054991567</v>
      </c>
      <c r="T29" s="75">
        <f t="shared" si="3"/>
        <v>-512047.31085996307</v>
      </c>
      <c r="U29" s="63">
        <f t="shared" si="4"/>
        <v>0.72963711570975609</v>
      </c>
      <c r="V29" s="180">
        <v>235</v>
      </c>
      <c r="W29" s="115" t="s">
        <v>141</v>
      </c>
    </row>
    <row r="30" spans="2:23" x14ac:dyDescent="0.35">
      <c r="B30" s="2" t="s">
        <v>352</v>
      </c>
      <c r="C30" s="53" t="s">
        <v>81</v>
      </c>
      <c r="D30" s="83">
        <v>35156.156000000003</v>
      </c>
      <c r="E30" s="63">
        <f t="shared" si="0"/>
        <v>0.95000002275561635</v>
      </c>
      <c r="F30" s="83">
        <v>33398.349000000002</v>
      </c>
      <c r="G30" s="57">
        <f t="shared" si="1"/>
        <v>5.444077873078097</v>
      </c>
      <c r="H30" s="58">
        <v>181823.21278823999</v>
      </c>
      <c r="I30" s="75">
        <v>8242643.3000000007</v>
      </c>
      <c r="J30" s="287">
        <f t="shared" si="2"/>
        <v>4.6007469528230364E-2</v>
      </c>
      <c r="K30" s="61" t="s">
        <v>82</v>
      </c>
      <c r="L30" s="61" t="s">
        <v>82</v>
      </c>
      <c r="M30" s="61" t="s">
        <v>82</v>
      </c>
      <c r="N30" s="61" t="s">
        <v>82</v>
      </c>
      <c r="O30" s="61" t="s">
        <v>82</v>
      </c>
      <c r="P30" s="61" t="s">
        <v>82</v>
      </c>
      <c r="Q30" s="61" t="s">
        <v>82</v>
      </c>
      <c r="R30" s="75">
        <v>8057523.695144102</v>
      </c>
      <c r="S30" s="75">
        <v>7990070.5862580948</v>
      </c>
      <c r="T30" s="75">
        <f t="shared" si="3"/>
        <v>67453.10888600722</v>
      </c>
      <c r="U30" s="63">
        <f t="shared" si="4"/>
        <v>1.0084421167695337</v>
      </c>
      <c r="V30" s="56">
        <v>124</v>
      </c>
      <c r="W30" s="115" t="s">
        <v>235</v>
      </c>
    </row>
    <row r="31" spans="2:23" x14ac:dyDescent="0.35">
      <c r="B31" s="2" t="s">
        <v>171</v>
      </c>
      <c r="C31" s="53" t="s">
        <v>81</v>
      </c>
      <c r="D31" s="56">
        <v>380839.22899999999</v>
      </c>
      <c r="E31" s="63">
        <f t="shared" si="0"/>
        <v>0.69795955027521595</v>
      </c>
      <c r="F31" s="56">
        <v>265810.37699999998</v>
      </c>
      <c r="G31" s="57">
        <f t="shared" si="1"/>
        <v>11.841850506206724</v>
      </c>
      <c r="H31" s="58">
        <v>3147686.7474324498</v>
      </c>
      <c r="I31" s="75">
        <v>51802794.350000001</v>
      </c>
      <c r="J31" s="287">
        <f t="shared" si="2"/>
        <v>1.6947538760267673E-2</v>
      </c>
      <c r="K31" s="61" t="s">
        <v>82</v>
      </c>
      <c r="L31" s="61" t="s">
        <v>82</v>
      </c>
      <c r="M31" s="61" t="s">
        <v>82</v>
      </c>
      <c r="N31" s="61" t="s">
        <v>82</v>
      </c>
      <c r="O31" s="61" t="s">
        <v>82</v>
      </c>
      <c r="P31" s="61" t="s">
        <v>82</v>
      </c>
      <c r="Q31" s="61" t="s">
        <v>82</v>
      </c>
      <c r="R31" s="75">
        <v>140199123.93110031</v>
      </c>
      <c r="S31" s="75">
        <v>96593541.029056787</v>
      </c>
      <c r="T31" s="75">
        <f t="shared" si="3"/>
        <v>43605582.902043521</v>
      </c>
      <c r="U31" s="63">
        <f t="shared" si="4"/>
        <v>1.4514337339483838</v>
      </c>
      <c r="V31" s="56">
        <v>7671</v>
      </c>
      <c r="W31" s="115" t="s">
        <v>141</v>
      </c>
    </row>
    <row r="32" spans="2:23" x14ac:dyDescent="0.35">
      <c r="B32" s="261" t="s">
        <v>149</v>
      </c>
      <c r="C32" s="53" t="s">
        <v>81</v>
      </c>
      <c r="D32" s="56">
        <v>15977.95</v>
      </c>
      <c r="E32" s="63">
        <f t="shared" si="0"/>
        <v>1</v>
      </c>
      <c r="F32" s="56">
        <v>15977.95</v>
      </c>
      <c r="G32" s="57">
        <f t="shared" si="1"/>
        <v>5</v>
      </c>
      <c r="H32" s="58">
        <v>79889.75</v>
      </c>
      <c r="I32" s="227">
        <v>529026.29</v>
      </c>
      <c r="J32" s="287">
        <f t="shared" si="2"/>
        <v>6.7136170742152111E-3</v>
      </c>
      <c r="K32" s="61" t="s">
        <v>82</v>
      </c>
      <c r="L32" s="61" t="s">
        <v>82</v>
      </c>
      <c r="M32" s="61" t="s">
        <v>82</v>
      </c>
      <c r="N32" s="61" t="s">
        <v>82</v>
      </c>
      <c r="O32" s="61" t="s">
        <v>82</v>
      </c>
      <c r="P32" s="61" t="s">
        <v>82</v>
      </c>
      <c r="Q32" s="61" t="s">
        <v>82</v>
      </c>
      <c r="R32" s="75">
        <v>2553359.157678681</v>
      </c>
      <c r="S32" s="75">
        <v>529026.29</v>
      </c>
      <c r="T32" s="75">
        <f t="shared" si="3"/>
        <v>2024332.8676786809</v>
      </c>
      <c r="U32" s="63">
        <f t="shared" si="4"/>
        <v>4.8265260270499617</v>
      </c>
      <c r="V32" s="56">
        <v>21</v>
      </c>
      <c r="W32" s="115" t="s">
        <v>193</v>
      </c>
    </row>
    <row r="33" spans="2:23" x14ac:dyDescent="0.35">
      <c r="B33" s="261" t="s">
        <v>214</v>
      </c>
      <c r="C33" s="289" t="s">
        <v>81</v>
      </c>
      <c r="D33" s="61" t="s">
        <v>82</v>
      </c>
      <c r="E33" s="61" t="s">
        <v>82</v>
      </c>
      <c r="F33" s="61" t="s">
        <v>82</v>
      </c>
      <c r="G33" s="61" t="s">
        <v>82</v>
      </c>
      <c r="H33" s="61" t="s">
        <v>82</v>
      </c>
      <c r="I33" s="75">
        <f>1051815.54+1186028</f>
        <v>2237843.54</v>
      </c>
      <c r="J33" s="61" t="s">
        <v>82</v>
      </c>
      <c r="K33" s="61" t="s">
        <v>82</v>
      </c>
      <c r="L33" s="61" t="s">
        <v>82</v>
      </c>
      <c r="M33" s="61" t="s">
        <v>82</v>
      </c>
      <c r="N33" s="61" t="s">
        <v>82</v>
      </c>
      <c r="O33" s="61" t="s">
        <v>82</v>
      </c>
      <c r="P33" s="61" t="s">
        <v>82</v>
      </c>
      <c r="Q33" s="61" t="s">
        <v>82</v>
      </c>
      <c r="R33" s="316" t="s">
        <v>82</v>
      </c>
      <c r="S33" s="316" t="s">
        <v>82</v>
      </c>
      <c r="T33" s="316" t="s">
        <v>82</v>
      </c>
      <c r="U33" s="316" t="s">
        <v>82</v>
      </c>
      <c r="V33" s="290">
        <v>9</v>
      </c>
      <c r="W33" s="115" t="s">
        <v>141</v>
      </c>
    </row>
    <row r="34" spans="2:23" x14ac:dyDescent="0.35">
      <c r="B34" s="261" t="s">
        <v>337</v>
      </c>
      <c r="C34" s="131" t="s">
        <v>333</v>
      </c>
      <c r="D34" s="56">
        <v>12954.934999999999</v>
      </c>
      <c r="E34" s="63">
        <f t="shared" si="0"/>
        <v>1</v>
      </c>
      <c r="F34" s="56">
        <v>12954.934999999999</v>
      </c>
      <c r="G34" s="57">
        <f t="shared" si="1"/>
        <v>11.619800139437597</v>
      </c>
      <c r="H34" s="58">
        <v>150533.75551940501</v>
      </c>
      <c r="I34" s="75">
        <v>2172196</v>
      </c>
      <c r="J34" s="287">
        <f t="shared" si="2"/>
        <v>1.4852199029840637E-2</v>
      </c>
      <c r="K34" s="61" t="s">
        <v>82</v>
      </c>
      <c r="L34" s="61" t="s">
        <v>82</v>
      </c>
      <c r="M34" s="61" t="s">
        <v>82</v>
      </c>
      <c r="N34" s="61" t="s">
        <v>82</v>
      </c>
      <c r="O34" s="61" t="s">
        <v>82</v>
      </c>
      <c r="P34" s="61" t="s">
        <v>82</v>
      </c>
      <c r="Q34" s="61" t="s">
        <v>82</v>
      </c>
      <c r="R34" s="75">
        <v>7464888.7848155824</v>
      </c>
      <c r="S34" s="75">
        <v>5988827.3899999997</v>
      </c>
      <c r="T34" s="75">
        <f t="shared" si="3"/>
        <v>1476061.3948155828</v>
      </c>
      <c r="U34" s="63">
        <f t="shared" si="4"/>
        <v>1.246469183145982</v>
      </c>
      <c r="V34" s="56">
        <v>14303</v>
      </c>
      <c r="W34" s="115" t="s">
        <v>236</v>
      </c>
    </row>
    <row r="35" spans="2:23" x14ac:dyDescent="0.35">
      <c r="B35" s="288" t="s">
        <v>335</v>
      </c>
      <c r="C35" s="131" t="s">
        <v>333</v>
      </c>
      <c r="D35" s="56">
        <v>16650.521000000001</v>
      </c>
      <c r="E35" s="63">
        <f t="shared" si="0"/>
        <v>0.65000002102036325</v>
      </c>
      <c r="F35" s="56">
        <v>10822.839</v>
      </c>
      <c r="G35" s="57">
        <f t="shared" si="1"/>
        <v>12.462023910429787</v>
      </c>
      <c r="H35" s="58">
        <v>134874.47839673201</v>
      </c>
      <c r="I35" s="75">
        <v>7131439</v>
      </c>
      <c r="J35" s="287">
        <f t="shared" si="2"/>
        <v>5.4526128157003438E-2</v>
      </c>
      <c r="K35" s="61" t="s">
        <v>82</v>
      </c>
      <c r="L35" s="61" t="s">
        <v>82</v>
      </c>
      <c r="M35" s="61" t="s">
        <v>82</v>
      </c>
      <c r="N35" s="61" t="s">
        <v>82</v>
      </c>
      <c r="O35" s="61" t="s">
        <v>82</v>
      </c>
      <c r="P35" s="61" t="s">
        <v>82</v>
      </c>
      <c r="Q35" s="61" t="s">
        <v>82</v>
      </c>
      <c r="R35" s="75">
        <v>4013189.7426974261</v>
      </c>
      <c r="S35" s="75">
        <v>6748716.935180299</v>
      </c>
      <c r="T35" s="75">
        <f t="shared" si="3"/>
        <v>-2735527.1924828729</v>
      </c>
      <c r="U35" s="63">
        <f t="shared" si="4"/>
        <v>0.59465966364319145</v>
      </c>
      <c r="V35" s="56">
        <v>701</v>
      </c>
      <c r="W35" s="115" t="s">
        <v>235</v>
      </c>
    </row>
    <row r="36" spans="2:23" x14ac:dyDescent="0.35">
      <c r="B36" s="288" t="s">
        <v>339</v>
      </c>
      <c r="C36" s="53" t="s">
        <v>295</v>
      </c>
      <c r="D36" s="117">
        <v>70002.774000000005</v>
      </c>
      <c r="E36" s="283">
        <f>F36/D36</f>
        <v>0.64999999857148516</v>
      </c>
      <c r="F36" s="117">
        <v>45501.803</v>
      </c>
      <c r="G36" s="61" t="s">
        <v>82</v>
      </c>
      <c r="H36" s="61" t="s">
        <v>82</v>
      </c>
      <c r="I36" s="61" t="s">
        <v>82</v>
      </c>
      <c r="J36" s="61" t="s">
        <v>82</v>
      </c>
      <c r="K36" s="61" t="s">
        <v>82</v>
      </c>
      <c r="L36" s="61" t="s">
        <v>82</v>
      </c>
      <c r="M36" s="61" t="s">
        <v>82</v>
      </c>
      <c r="N36" s="61" t="s">
        <v>82</v>
      </c>
      <c r="O36" s="61" t="s">
        <v>82</v>
      </c>
      <c r="P36" s="61" t="s">
        <v>82</v>
      </c>
      <c r="Q36" s="61" t="s">
        <v>82</v>
      </c>
      <c r="R36" s="367" t="s">
        <v>82</v>
      </c>
      <c r="S36" s="367" t="s">
        <v>82</v>
      </c>
      <c r="T36" s="367" t="s">
        <v>82</v>
      </c>
      <c r="U36" s="367" t="s">
        <v>82</v>
      </c>
      <c r="V36" s="367" t="s">
        <v>82</v>
      </c>
      <c r="W36" s="367" t="s">
        <v>82</v>
      </c>
    </row>
    <row r="37" spans="2:23" x14ac:dyDescent="0.35">
      <c r="B37" s="261" t="s">
        <v>338</v>
      </c>
      <c r="C37" s="131" t="s">
        <v>333</v>
      </c>
      <c r="D37" s="56">
        <v>447.09300000000002</v>
      </c>
      <c r="E37" s="63">
        <f>F37/D37</f>
        <v>0.82999957503248756</v>
      </c>
      <c r="F37" s="56">
        <v>371.08699999999999</v>
      </c>
      <c r="G37" s="57">
        <f>H37/F37</f>
        <v>13.249938771136904</v>
      </c>
      <c r="H37" s="58">
        <v>4916.8800287648801</v>
      </c>
      <c r="I37" s="275" t="s">
        <v>294</v>
      </c>
      <c r="J37" s="61" t="s">
        <v>82</v>
      </c>
      <c r="K37" s="61" t="s">
        <v>82</v>
      </c>
      <c r="L37" s="61" t="s">
        <v>82</v>
      </c>
      <c r="M37" s="61" t="s">
        <v>82</v>
      </c>
      <c r="N37" s="61" t="s">
        <v>82</v>
      </c>
      <c r="O37" s="61" t="s">
        <v>82</v>
      </c>
      <c r="P37" s="61" t="s">
        <v>82</v>
      </c>
      <c r="Q37" s="61" t="s">
        <v>82</v>
      </c>
      <c r="R37" s="75">
        <v>173716.44137447889</v>
      </c>
      <c r="S37" s="75">
        <v>361018.31708963867</v>
      </c>
      <c r="T37" s="75">
        <f>R37-S37</f>
        <v>-187301.87571515978</v>
      </c>
      <c r="U37" s="63">
        <f>R37/S37</f>
        <v>0.48118456363904144</v>
      </c>
      <c r="V37" s="56">
        <v>8</v>
      </c>
      <c r="W37" s="115" t="s">
        <v>235</v>
      </c>
    </row>
    <row r="38" spans="2:23" x14ac:dyDescent="0.35">
      <c r="B38" s="288" t="s">
        <v>340</v>
      </c>
      <c r="C38" s="53" t="s">
        <v>295</v>
      </c>
      <c r="D38" s="117">
        <v>10570.147999999999</v>
      </c>
      <c r="E38" s="283">
        <f t="shared" ref="E38:E54" si="5">F38/D38</f>
        <v>0.83000001513696886</v>
      </c>
      <c r="F38" s="117">
        <v>8773.223</v>
      </c>
      <c r="G38" s="61" t="s">
        <v>82</v>
      </c>
      <c r="H38" s="61" t="s">
        <v>82</v>
      </c>
      <c r="I38" s="61" t="s">
        <v>82</v>
      </c>
      <c r="J38" s="61" t="s">
        <v>82</v>
      </c>
      <c r="K38" s="61" t="s">
        <v>82</v>
      </c>
      <c r="L38" s="61" t="s">
        <v>82</v>
      </c>
      <c r="M38" s="61" t="s">
        <v>82</v>
      </c>
      <c r="N38" s="61" t="s">
        <v>82</v>
      </c>
      <c r="O38" s="61" t="s">
        <v>82</v>
      </c>
      <c r="P38" s="61" t="s">
        <v>82</v>
      </c>
      <c r="Q38" s="61" t="s">
        <v>82</v>
      </c>
      <c r="R38" s="367" t="s">
        <v>82</v>
      </c>
      <c r="S38" s="367" t="s">
        <v>82</v>
      </c>
      <c r="T38" s="367" t="s">
        <v>82</v>
      </c>
      <c r="U38" s="367" t="s">
        <v>82</v>
      </c>
      <c r="V38" s="367" t="s">
        <v>82</v>
      </c>
      <c r="W38" s="367" t="s">
        <v>82</v>
      </c>
    </row>
    <row r="39" spans="2:23" ht="14.5" customHeight="1" x14ac:dyDescent="0.35">
      <c r="B39" s="261" t="s">
        <v>349</v>
      </c>
      <c r="C39" s="131" t="s">
        <v>333</v>
      </c>
      <c r="D39" s="56">
        <v>2451</v>
      </c>
      <c r="E39" s="63">
        <f>F39/D39</f>
        <v>0.77</v>
      </c>
      <c r="F39" s="56">
        <v>1887.27</v>
      </c>
      <c r="G39" s="57">
        <f>H39/F39</f>
        <v>17</v>
      </c>
      <c r="H39" s="58">
        <v>32083.59</v>
      </c>
      <c r="I39" s="75">
        <v>439700</v>
      </c>
      <c r="J39" s="287">
        <f>-PMT( 0.46%,G39,I39)/(F39*1000)</f>
        <v>1.4279148391952859E-2</v>
      </c>
      <c r="K39" s="61" t="s">
        <v>82</v>
      </c>
      <c r="L39" s="61" t="s">
        <v>82</v>
      </c>
      <c r="M39" s="61" t="s">
        <v>82</v>
      </c>
      <c r="N39" s="61" t="s">
        <v>82</v>
      </c>
      <c r="O39" s="61" t="s">
        <v>82</v>
      </c>
      <c r="P39" s="61" t="s">
        <v>82</v>
      </c>
      <c r="Q39" s="61" t="s">
        <v>82</v>
      </c>
      <c r="R39" s="75">
        <v>872519.34925666044</v>
      </c>
      <c r="S39" s="75">
        <v>1340194.75</v>
      </c>
      <c r="T39" s="75">
        <f>R39-S39</f>
        <v>-467675.40074333956</v>
      </c>
      <c r="U39" s="63">
        <f>R39/S39</f>
        <v>0.65103922340888176</v>
      </c>
      <c r="V39" s="56">
        <v>9</v>
      </c>
      <c r="W39" s="115" t="s">
        <v>235</v>
      </c>
    </row>
    <row r="40" spans="2:23" ht="14.5" customHeight="1" x14ac:dyDescent="0.35">
      <c r="B40" s="2" t="s">
        <v>341</v>
      </c>
      <c r="C40" s="53" t="s">
        <v>295</v>
      </c>
      <c r="D40" s="117">
        <v>4610.1030000000001</v>
      </c>
      <c r="E40" s="283">
        <f t="shared" si="5"/>
        <v>0.5300000889351062</v>
      </c>
      <c r="F40" s="117">
        <v>2443.355</v>
      </c>
      <c r="G40" s="61" t="s">
        <v>82</v>
      </c>
      <c r="H40" s="61" t="s">
        <v>82</v>
      </c>
      <c r="I40" s="61" t="s">
        <v>82</v>
      </c>
      <c r="J40" s="61" t="s">
        <v>82</v>
      </c>
      <c r="K40" s="61" t="s">
        <v>82</v>
      </c>
      <c r="L40" s="61" t="s">
        <v>82</v>
      </c>
      <c r="M40" s="61" t="s">
        <v>82</v>
      </c>
      <c r="N40" s="61" t="s">
        <v>82</v>
      </c>
      <c r="O40" s="61" t="s">
        <v>82</v>
      </c>
      <c r="P40" s="61" t="s">
        <v>82</v>
      </c>
      <c r="Q40" s="61" t="s">
        <v>82</v>
      </c>
      <c r="R40" s="367" t="s">
        <v>82</v>
      </c>
      <c r="S40" s="367" t="s">
        <v>82</v>
      </c>
      <c r="T40" s="367" t="s">
        <v>82</v>
      </c>
      <c r="U40" s="367" t="s">
        <v>82</v>
      </c>
      <c r="V40" s="367" t="s">
        <v>82</v>
      </c>
      <c r="W40" s="367" t="s">
        <v>82</v>
      </c>
    </row>
    <row r="41" spans="2:23" x14ac:dyDescent="0.35">
      <c r="B41" s="261" t="s">
        <v>353</v>
      </c>
      <c r="C41" s="131" t="s">
        <v>333</v>
      </c>
      <c r="D41" s="56">
        <v>200.53899999999999</v>
      </c>
      <c r="E41" s="63">
        <f>F41/D41</f>
        <v>0.9499997506719392</v>
      </c>
      <c r="F41" s="56">
        <v>190.512</v>
      </c>
      <c r="G41" s="57">
        <f>H41/F41</f>
        <v>7</v>
      </c>
      <c r="H41" s="58">
        <v>1333.5840000000001</v>
      </c>
      <c r="I41" s="75">
        <v>2123280</v>
      </c>
      <c r="J41" s="287">
        <f>-PMT( 0.46%,G41,I41)/(F41*1000)</f>
        <v>1.621590879308785</v>
      </c>
      <c r="K41" s="61" t="s">
        <v>82</v>
      </c>
      <c r="L41" s="61" t="s">
        <v>82</v>
      </c>
      <c r="M41" s="61" t="s">
        <v>82</v>
      </c>
      <c r="N41" s="61" t="s">
        <v>82</v>
      </c>
      <c r="O41" s="61" t="s">
        <v>82</v>
      </c>
      <c r="P41" s="61" t="s">
        <v>82</v>
      </c>
      <c r="Q41" s="61" t="s">
        <v>82</v>
      </c>
      <c r="R41" s="75">
        <v>50923.098372606197</v>
      </c>
      <c r="S41" s="75">
        <v>626241.12439886632</v>
      </c>
      <c r="T41" s="75">
        <f>R41-S41</f>
        <v>-575318.02602626011</v>
      </c>
      <c r="U41" s="63">
        <f>R41/S41</f>
        <v>8.1315481191829533E-2</v>
      </c>
      <c r="V41" s="56">
        <v>4</v>
      </c>
      <c r="W41" s="115" t="s">
        <v>235</v>
      </c>
    </row>
    <row r="42" spans="2:23" ht="14.5" customHeight="1" x14ac:dyDescent="0.35">
      <c r="B42" s="2" t="s">
        <v>342</v>
      </c>
      <c r="C42" s="53" t="s">
        <v>295</v>
      </c>
      <c r="D42" s="117">
        <v>6116.0730000000003</v>
      </c>
      <c r="E42" s="283">
        <f t="shared" si="5"/>
        <v>0.98000007521165955</v>
      </c>
      <c r="F42" s="117">
        <v>5993.7520000000004</v>
      </c>
      <c r="G42" s="61" t="s">
        <v>82</v>
      </c>
      <c r="H42" s="61" t="s">
        <v>82</v>
      </c>
      <c r="I42" s="61" t="s">
        <v>82</v>
      </c>
      <c r="J42" s="61" t="s">
        <v>82</v>
      </c>
      <c r="K42" s="61" t="s">
        <v>82</v>
      </c>
      <c r="L42" s="61" t="s">
        <v>82</v>
      </c>
      <c r="M42" s="61" t="s">
        <v>82</v>
      </c>
      <c r="N42" s="61" t="s">
        <v>82</v>
      </c>
      <c r="O42" s="61" t="s">
        <v>82</v>
      </c>
      <c r="P42" s="61" t="s">
        <v>82</v>
      </c>
      <c r="Q42" s="61" t="s">
        <v>82</v>
      </c>
      <c r="R42" s="367" t="s">
        <v>82</v>
      </c>
      <c r="S42" s="367" t="s">
        <v>82</v>
      </c>
      <c r="T42" s="367" t="s">
        <v>82</v>
      </c>
      <c r="U42" s="367" t="s">
        <v>82</v>
      </c>
      <c r="V42" s="367" t="s">
        <v>82</v>
      </c>
      <c r="W42" s="367" t="s">
        <v>82</v>
      </c>
    </row>
    <row r="43" spans="2:23" x14ac:dyDescent="0.35">
      <c r="B43" s="261" t="s">
        <v>336</v>
      </c>
      <c r="C43" s="131" t="s">
        <v>333</v>
      </c>
      <c r="D43" s="56">
        <v>1836.5039999999999</v>
      </c>
      <c r="E43" s="63">
        <f>F43/D43</f>
        <v>0.95999954260921838</v>
      </c>
      <c r="F43" s="56">
        <v>1763.0429999999999</v>
      </c>
      <c r="G43" s="57">
        <f>H43/F43</f>
        <v>10.958428369646969</v>
      </c>
      <c r="H43" s="58">
        <v>19320.180428107498</v>
      </c>
      <c r="I43" s="75">
        <v>533838</v>
      </c>
      <c r="J43" s="287">
        <f>-PMT( 0.46%,G43,I43)/(F43*1000)</f>
        <v>2.8396873780903695E-2</v>
      </c>
      <c r="K43" s="61" t="s">
        <v>82</v>
      </c>
      <c r="L43" s="61" t="s">
        <v>82</v>
      </c>
      <c r="M43" s="61" t="s">
        <v>82</v>
      </c>
      <c r="N43" s="61" t="s">
        <v>82</v>
      </c>
      <c r="O43" s="61" t="s">
        <v>82</v>
      </c>
      <c r="P43" s="61" t="s">
        <v>82</v>
      </c>
      <c r="Q43" s="61" t="s">
        <v>82</v>
      </c>
      <c r="R43" s="75">
        <v>1247442.3789665108</v>
      </c>
      <c r="S43" s="75">
        <v>559920.28399999999</v>
      </c>
      <c r="T43" s="75">
        <f>R43-S43</f>
        <v>687522.09496651078</v>
      </c>
      <c r="U43" s="63">
        <f>R43/S43</f>
        <v>2.2278928172684505</v>
      </c>
      <c r="V43" s="56">
        <v>7960</v>
      </c>
      <c r="W43" s="115" t="s">
        <v>141</v>
      </c>
    </row>
    <row r="44" spans="2:23" ht="14.5" customHeight="1" x14ac:dyDescent="0.35">
      <c r="B44" s="2" t="s">
        <v>292</v>
      </c>
      <c r="C44" s="53" t="s">
        <v>295</v>
      </c>
      <c r="D44" s="117">
        <v>3799.415</v>
      </c>
      <c r="E44" s="283">
        <f t="shared" si="5"/>
        <v>0.95999989472063463</v>
      </c>
      <c r="F44" s="117">
        <v>3647.4380000000001</v>
      </c>
      <c r="G44" s="61" t="s">
        <v>82</v>
      </c>
      <c r="H44" s="61" t="s">
        <v>82</v>
      </c>
      <c r="I44" s="61" t="s">
        <v>82</v>
      </c>
      <c r="J44" s="61" t="s">
        <v>82</v>
      </c>
      <c r="K44" s="61" t="s">
        <v>82</v>
      </c>
      <c r="L44" s="61" t="s">
        <v>82</v>
      </c>
      <c r="M44" s="61" t="s">
        <v>82</v>
      </c>
      <c r="N44" s="61" t="s">
        <v>82</v>
      </c>
      <c r="O44" s="61" t="s">
        <v>82</v>
      </c>
      <c r="P44" s="61" t="s">
        <v>82</v>
      </c>
      <c r="Q44" s="61" t="s">
        <v>82</v>
      </c>
      <c r="R44" s="367" t="s">
        <v>82</v>
      </c>
      <c r="S44" s="367" t="s">
        <v>82</v>
      </c>
      <c r="T44" s="367" t="s">
        <v>82</v>
      </c>
      <c r="U44" s="367" t="s">
        <v>82</v>
      </c>
      <c r="V44" s="367" t="s">
        <v>82</v>
      </c>
      <c r="W44" s="367" t="s">
        <v>82</v>
      </c>
    </row>
    <row r="45" spans="2:23" x14ac:dyDescent="0.35">
      <c r="B45" s="261" t="s">
        <v>334</v>
      </c>
      <c r="C45" s="131" t="s">
        <v>333</v>
      </c>
      <c r="D45" s="56">
        <v>4787.6970000000001</v>
      </c>
      <c r="E45" s="63">
        <f>F45/D45</f>
        <v>0.96000018380444696</v>
      </c>
      <c r="F45" s="56">
        <v>4596.1899999999996</v>
      </c>
      <c r="G45" s="57">
        <f>H45/F45</f>
        <v>15.000000000000002</v>
      </c>
      <c r="H45" s="58">
        <v>68942.850000000006</v>
      </c>
      <c r="I45" s="75">
        <v>2066878</v>
      </c>
      <c r="J45" s="287">
        <f>-PMT( 0.46%,G45,I45)/(F45*1000)</f>
        <v>3.1094646697667483E-2</v>
      </c>
      <c r="K45" s="61" t="s">
        <v>82</v>
      </c>
      <c r="L45" s="61" t="s">
        <v>82</v>
      </c>
      <c r="M45" s="61" t="s">
        <v>82</v>
      </c>
      <c r="N45" s="61" t="s">
        <v>82</v>
      </c>
      <c r="O45" s="61" t="s">
        <v>82</v>
      </c>
      <c r="P45" s="61" t="s">
        <v>82</v>
      </c>
      <c r="Q45" s="61" t="s">
        <v>82</v>
      </c>
      <c r="R45" s="75">
        <v>1030066.9691426638</v>
      </c>
      <c r="S45" s="75">
        <v>603037.91718832334</v>
      </c>
      <c r="T45" s="75">
        <f>R45-S45</f>
        <v>427029.05195434042</v>
      </c>
      <c r="U45" s="63">
        <f>R45/S45</f>
        <v>1.7081296876743211</v>
      </c>
      <c r="V45" s="56">
        <v>47</v>
      </c>
      <c r="W45" s="115" t="s">
        <v>235</v>
      </c>
    </row>
    <row r="46" spans="2:23" ht="14.5" customHeight="1" x14ac:dyDescent="0.35">
      <c r="B46" s="2" t="s">
        <v>233</v>
      </c>
      <c r="C46" s="53" t="s">
        <v>295</v>
      </c>
      <c r="D46" s="117">
        <v>5875.7830000000004</v>
      </c>
      <c r="E46" s="283">
        <f t="shared" si="5"/>
        <v>0.95999988427074312</v>
      </c>
      <c r="F46" s="117">
        <v>5640.7510000000002</v>
      </c>
      <c r="G46" s="61" t="s">
        <v>82</v>
      </c>
      <c r="H46" s="61" t="s">
        <v>82</v>
      </c>
      <c r="I46" s="61" t="s">
        <v>82</v>
      </c>
      <c r="J46" s="61" t="s">
        <v>82</v>
      </c>
      <c r="K46" s="61" t="s">
        <v>82</v>
      </c>
      <c r="L46" s="61" t="s">
        <v>82</v>
      </c>
      <c r="M46" s="61" t="s">
        <v>82</v>
      </c>
      <c r="N46" s="61" t="s">
        <v>82</v>
      </c>
      <c r="O46" s="61" t="s">
        <v>82</v>
      </c>
      <c r="P46" s="61" t="s">
        <v>82</v>
      </c>
      <c r="Q46" s="61" t="s">
        <v>82</v>
      </c>
      <c r="R46" s="367" t="s">
        <v>82</v>
      </c>
      <c r="S46" s="367" t="s">
        <v>82</v>
      </c>
      <c r="T46" s="367" t="s">
        <v>82</v>
      </c>
      <c r="U46" s="367" t="s">
        <v>82</v>
      </c>
      <c r="V46" s="367" t="s">
        <v>82</v>
      </c>
      <c r="W46" s="367" t="s">
        <v>82</v>
      </c>
    </row>
    <row r="47" spans="2:23" x14ac:dyDescent="0.35">
      <c r="B47" s="261" t="s">
        <v>351</v>
      </c>
      <c r="C47" s="131" t="s">
        <v>333</v>
      </c>
      <c r="D47" s="56">
        <v>435.05900000000003</v>
      </c>
      <c r="E47" s="63">
        <f>F47/D47</f>
        <v>1</v>
      </c>
      <c r="F47" s="56">
        <v>435.05900000000003</v>
      </c>
      <c r="G47" s="57">
        <f>H47/F47</f>
        <v>11.699201606430798</v>
      </c>
      <c r="H47" s="58">
        <v>5089.8429516921769</v>
      </c>
      <c r="I47" s="75">
        <v>795813</v>
      </c>
      <c r="J47" s="287">
        <f>-PMT( 0.46%,G47,I47)/(F47*1000)</f>
        <v>0.16095731513588293</v>
      </c>
      <c r="K47" s="61" t="s">
        <v>82</v>
      </c>
      <c r="L47" s="61" t="s">
        <v>82</v>
      </c>
      <c r="M47" s="61" t="s">
        <v>82</v>
      </c>
      <c r="N47" s="61" t="s">
        <v>82</v>
      </c>
      <c r="O47" s="61" t="s">
        <v>82</v>
      </c>
      <c r="P47" s="61" t="s">
        <v>82</v>
      </c>
      <c r="Q47" s="61" t="s">
        <v>82</v>
      </c>
      <c r="R47" s="75">
        <v>230719.56875599275</v>
      </c>
      <c r="S47" s="75">
        <v>795812.94</v>
      </c>
      <c r="T47" s="75">
        <f>R47-S47</f>
        <v>-565093.37124400726</v>
      </c>
      <c r="U47" s="63">
        <f>R47/S47</f>
        <v>0.28991683492353459</v>
      </c>
      <c r="V47" s="56">
        <v>2414</v>
      </c>
      <c r="W47" s="115" t="s">
        <v>141</v>
      </c>
    </row>
    <row r="48" spans="2:23" ht="14.5" customHeight="1" x14ac:dyDescent="0.35">
      <c r="B48" s="288" t="s">
        <v>350</v>
      </c>
      <c r="C48" s="53" t="s">
        <v>295</v>
      </c>
      <c r="D48" s="117">
        <v>2563.8649999999998</v>
      </c>
      <c r="E48" s="283">
        <f t="shared" si="5"/>
        <v>1</v>
      </c>
      <c r="F48" s="117">
        <v>2563.8649999999998</v>
      </c>
      <c r="G48" s="61" t="s">
        <v>82</v>
      </c>
      <c r="H48" s="61" t="s">
        <v>82</v>
      </c>
      <c r="I48" s="61" t="s">
        <v>82</v>
      </c>
      <c r="J48" s="61" t="s">
        <v>82</v>
      </c>
      <c r="K48" s="61" t="s">
        <v>82</v>
      </c>
      <c r="L48" s="61" t="s">
        <v>82</v>
      </c>
      <c r="M48" s="61" t="s">
        <v>82</v>
      </c>
      <c r="N48" s="61" t="s">
        <v>82</v>
      </c>
      <c r="O48" s="61" t="s">
        <v>82</v>
      </c>
      <c r="P48" s="61" t="s">
        <v>82</v>
      </c>
      <c r="Q48" s="61" t="s">
        <v>82</v>
      </c>
      <c r="R48" s="367" t="s">
        <v>82</v>
      </c>
      <c r="S48" s="367" t="s">
        <v>82</v>
      </c>
      <c r="T48" s="367" t="s">
        <v>82</v>
      </c>
      <c r="U48" s="367" t="s">
        <v>82</v>
      </c>
      <c r="V48" s="367" t="s">
        <v>82</v>
      </c>
      <c r="W48" s="367" t="s">
        <v>82</v>
      </c>
    </row>
    <row r="49" spans="2:23" ht="14.5" customHeight="1" x14ac:dyDescent="0.35">
      <c r="B49" s="2" t="s">
        <v>343</v>
      </c>
      <c r="C49" s="53" t="s">
        <v>295</v>
      </c>
      <c r="D49" s="117">
        <v>15347.233</v>
      </c>
      <c r="E49" s="283">
        <f>F49/D49</f>
        <v>0.83000003974657843</v>
      </c>
      <c r="F49" s="117">
        <v>12738.204</v>
      </c>
      <c r="G49" s="61" t="s">
        <v>82</v>
      </c>
      <c r="H49" s="61" t="s">
        <v>82</v>
      </c>
      <c r="I49" s="61" t="s">
        <v>82</v>
      </c>
      <c r="J49" s="61" t="s">
        <v>82</v>
      </c>
      <c r="K49" s="61" t="s">
        <v>82</v>
      </c>
      <c r="L49" s="61" t="s">
        <v>82</v>
      </c>
      <c r="M49" s="61" t="s">
        <v>82</v>
      </c>
      <c r="N49" s="61" t="s">
        <v>82</v>
      </c>
      <c r="O49" s="61" t="s">
        <v>82</v>
      </c>
      <c r="P49" s="61" t="s">
        <v>82</v>
      </c>
      <c r="Q49" s="61" t="s">
        <v>82</v>
      </c>
      <c r="R49" s="367" t="s">
        <v>82</v>
      </c>
      <c r="S49" s="367" t="s">
        <v>82</v>
      </c>
      <c r="T49" s="367" t="s">
        <v>82</v>
      </c>
      <c r="U49" s="367" t="s">
        <v>82</v>
      </c>
      <c r="V49" s="367" t="s">
        <v>82</v>
      </c>
      <c r="W49" s="367" t="s">
        <v>82</v>
      </c>
    </row>
    <row r="50" spans="2:23" ht="14.5" customHeight="1" x14ac:dyDescent="0.35">
      <c r="B50" s="2" t="s">
        <v>344</v>
      </c>
      <c r="C50" s="53" t="s">
        <v>295</v>
      </c>
      <c r="D50" s="117">
        <v>7411.009</v>
      </c>
      <c r="E50" s="283">
        <f>F50/D50</f>
        <v>0.6500000202401589</v>
      </c>
      <c r="F50" s="117">
        <v>4817.1559999999999</v>
      </c>
      <c r="G50" s="61" t="s">
        <v>82</v>
      </c>
      <c r="H50" s="61" t="s">
        <v>82</v>
      </c>
      <c r="I50" s="61" t="s">
        <v>82</v>
      </c>
      <c r="J50" s="61" t="s">
        <v>82</v>
      </c>
      <c r="K50" s="61" t="s">
        <v>82</v>
      </c>
      <c r="L50" s="61" t="s">
        <v>82</v>
      </c>
      <c r="M50" s="61" t="s">
        <v>82</v>
      </c>
      <c r="N50" s="61" t="s">
        <v>82</v>
      </c>
      <c r="O50" s="61" t="s">
        <v>82</v>
      </c>
      <c r="P50" s="61" t="s">
        <v>82</v>
      </c>
      <c r="Q50" s="61" t="s">
        <v>82</v>
      </c>
      <c r="R50" s="367" t="s">
        <v>82</v>
      </c>
      <c r="S50" s="367" t="s">
        <v>82</v>
      </c>
      <c r="T50" s="367" t="s">
        <v>82</v>
      </c>
      <c r="U50" s="367" t="s">
        <v>82</v>
      </c>
      <c r="V50" s="367" t="s">
        <v>82</v>
      </c>
      <c r="W50" s="367" t="s">
        <v>82</v>
      </c>
    </row>
    <row r="51" spans="2:23" ht="14.5" customHeight="1" x14ac:dyDescent="0.35">
      <c r="B51" s="2" t="s">
        <v>345</v>
      </c>
      <c r="C51" s="53" t="s">
        <v>295</v>
      </c>
      <c r="D51" s="117">
        <v>28034.634999999998</v>
      </c>
      <c r="E51" s="283">
        <f>F51/D51</f>
        <v>0.82999999821649184</v>
      </c>
      <c r="F51" s="117">
        <v>23268.746999999999</v>
      </c>
      <c r="G51" s="61" t="s">
        <v>82</v>
      </c>
      <c r="H51" s="61" t="s">
        <v>82</v>
      </c>
      <c r="I51" s="61" t="s">
        <v>82</v>
      </c>
      <c r="J51" s="61" t="s">
        <v>82</v>
      </c>
      <c r="K51" s="61" t="s">
        <v>82</v>
      </c>
      <c r="L51" s="61" t="s">
        <v>82</v>
      </c>
      <c r="M51" s="61" t="s">
        <v>82</v>
      </c>
      <c r="N51" s="61" t="s">
        <v>82</v>
      </c>
      <c r="O51" s="61" t="s">
        <v>82</v>
      </c>
      <c r="P51" s="61" t="s">
        <v>82</v>
      </c>
      <c r="Q51" s="61" t="s">
        <v>82</v>
      </c>
      <c r="R51" s="367" t="s">
        <v>82</v>
      </c>
      <c r="S51" s="367" t="s">
        <v>82</v>
      </c>
      <c r="T51" s="367" t="s">
        <v>82</v>
      </c>
      <c r="U51" s="367" t="s">
        <v>82</v>
      </c>
      <c r="V51" s="367" t="s">
        <v>82</v>
      </c>
      <c r="W51" s="367" t="s">
        <v>82</v>
      </c>
    </row>
    <row r="52" spans="2:23" ht="14.5" customHeight="1" x14ac:dyDescent="0.35">
      <c r="B52" s="2" t="s">
        <v>346</v>
      </c>
      <c r="C52" s="53" t="s">
        <v>295</v>
      </c>
      <c r="D52" s="117">
        <v>55137.349000000002</v>
      </c>
      <c r="E52" s="283">
        <f>F52/D52</f>
        <v>0.7999999963726947</v>
      </c>
      <c r="F52" s="117">
        <v>44109.879000000001</v>
      </c>
      <c r="G52" s="61" t="s">
        <v>82</v>
      </c>
      <c r="H52" s="61" t="s">
        <v>82</v>
      </c>
      <c r="I52" s="61" t="s">
        <v>82</v>
      </c>
      <c r="J52" s="61" t="s">
        <v>82</v>
      </c>
      <c r="K52" s="61" t="s">
        <v>82</v>
      </c>
      <c r="L52" s="61" t="s">
        <v>82</v>
      </c>
      <c r="M52" s="61" t="s">
        <v>82</v>
      </c>
      <c r="N52" s="61" t="s">
        <v>82</v>
      </c>
      <c r="O52" s="61" t="s">
        <v>82</v>
      </c>
      <c r="P52" s="61" t="s">
        <v>82</v>
      </c>
      <c r="Q52" s="61" t="s">
        <v>82</v>
      </c>
      <c r="R52" s="367" t="s">
        <v>82</v>
      </c>
      <c r="S52" s="367" t="s">
        <v>82</v>
      </c>
      <c r="T52" s="367" t="s">
        <v>82</v>
      </c>
      <c r="U52" s="367" t="s">
        <v>82</v>
      </c>
      <c r="V52" s="367" t="s">
        <v>82</v>
      </c>
      <c r="W52" s="367" t="s">
        <v>82</v>
      </c>
    </row>
    <row r="53" spans="2:23" ht="14.5" customHeight="1" x14ac:dyDescent="0.35">
      <c r="B53" s="288" t="s">
        <v>347</v>
      </c>
      <c r="C53" s="53" t="s">
        <v>295</v>
      </c>
      <c r="D53" s="117">
        <v>908.52599999999995</v>
      </c>
      <c r="E53" s="283">
        <f t="shared" si="5"/>
        <v>1</v>
      </c>
      <c r="F53" s="117">
        <v>908.52599999999995</v>
      </c>
      <c r="G53" s="61" t="s">
        <v>82</v>
      </c>
      <c r="H53" s="61" t="s">
        <v>82</v>
      </c>
      <c r="I53" s="61" t="s">
        <v>82</v>
      </c>
      <c r="J53" s="61" t="s">
        <v>82</v>
      </c>
      <c r="K53" s="61" t="s">
        <v>82</v>
      </c>
      <c r="L53" s="61" t="s">
        <v>82</v>
      </c>
      <c r="M53" s="61" t="s">
        <v>82</v>
      </c>
      <c r="N53" s="61" t="s">
        <v>82</v>
      </c>
      <c r="O53" s="61" t="s">
        <v>82</v>
      </c>
      <c r="P53" s="61" t="s">
        <v>82</v>
      </c>
      <c r="Q53" s="61" t="s">
        <v>82</v>
      </c>
      <c r="R53" s="367" t="s">
        <v>82</v>
      </c>
      <c r="S53" s="367" t="s">
        <v>82</v>
      </c>
      <c r="T53" s="367" t="s">
        <v>82</v>
      </c>
      <c r="U53" s="367" t="s">
        <v>82</v>
      </c>
      <c r="V53" s="367" t="s">
        <v>82</v>
      </c>
      <c r="W53" s="367" t="s">
        <v>82</v>
      </c>
    </row>
    <row r="54" spans="2:23" ht="14.5" customHeight="1" x14ac:dyDescent="0.35">
      <c r="B54" s="2" t="s">
        <v>348</v>
      </c>
      <c r="C54" s="53" t="s">
        <v>295</v>
      </c>
      <c r="D54" s="117">
        <v>2895.2040000000002</v>
      </c>
      <c r="E54" s="283">
        <f t="shared" si="5"/>
        <v>1</v>
      </c>
      <c r="F54" s="117">
        <v>2895.2040000000002</v>
      </c>
      <c r="G54" s="61" t="s">
        <v>82</v>
      </c>
      <c r="H54" s="61" t="s">
        <v>82</v>
      </c>
      <c r="I54" s="61" t="s">
        <v>82</v>
      </c>
      <c r="J54" s="61" t="s">
        <v>82</v>
      </c>
      <c r="K54" s="61" t="s">
        <v>82</v>
      </c>
      <c r="L54" s="61" t="s">
        <v>82</v>
      </c>
      <c r="M54" s="61" t="s">
        <v>82</v>
      </c>
      <c r="N54" s="61" t="s">
        <v>82</v>
      </c>
      <c r="O54" s="61" t="s">
        <v>82</v>
      </c>
      <c r="P54" s="61" t="s">
        <v>82</v>
      </c>
      <c r="Q54" s="61" t="s">
        <v>82</v>
      </c>
      <c r="R54" s="367" t="s">
        <v>82</v>
      </c>
      <c r="S54" s="367" t="s">
        <v>82</v>
      </c>
      <c r="T54" s="367" t="s">
        <v>82</v>
      </c>
      <c r="U54" s="367" t="s">
        <v>82</v>
      </c>
      <c r="V54" s="367" t="s">
        <v>82</v>
      </c>
      <c r="W54" s="367" t="s">
        <v>82</v>
      </c>
    </row>
    <row r="55" spans="2:23" x14ac:dyDescent="0.35">
      <c r="B55" s="2" t="s">
        <v>290</v>
      </c>
      <c r="C55" s="186" t="s">
        <v>137</v>
      </c>
      <c r="D55" s="108">
        <v>700.07299999999998</v>
      </c>
      <c r="E55" s="63">
        <f t="shared" si="0"/>
        <v>0.90000042852673945</v>
      </c>
      <c r="F55" s="108">
        <v>630.06600000000003</v>
      </c>
      <c r="G55" s="57">
        <f t="shared" si="1"/>
        <v>10.262859730342408</v>
      </c>
      <c r="H55" s="58">
        <v>6466.2789788579194</v>
      </c>
      <c r="I55" s="75">
        <f>73322.6+13200</f>
        <v>86522.6</v>
      </c>
      <c r="J55" s="287">
        <f t="shared" si="2"/>
        <v>1.3729659895603553E-2</v>
      </c>
      <c r="K55" s="61" t="s">
        <v>82</v>
      </c>
      <c r="L55" s="61" t="s">
        <v>82</v>
      </c>
      <c r="M55" s="61" t="s">
        <v>82</v>
      </c>
      <c r="N55" s="61" t="s">
        <v>82</v>
      </c>
      <c r="O55" s="61" t="s">
        <v>82</v>
      </c>
      <c r="P55" s="61" t="s">
        <v>82</v>
      </c>
      <c r="Q55" s="61" t="s">
        <v>82</v>
      </c>
      <c r="R55" s="367" t="s">
        <v>82</v>
      </c>
      <c r="S55" s="367" t="s">
        <v>82</v>
      </c>
      <c r="T55" s="367" t="s">
        <v>82</v>
      </c>
      <c r="U55" s="367" t="s">
        <v>82</v>
      </c>
      <c r="V55" s="56">
        <v>564</v>
      </c>
      <c r="W55" s="115" t="s">
        <v>141</v>
      </c>
    </row>
    <row r="56" spans="2:23" x14ac:dyDescent="0.35">
      <c r="B56" s="265" t="s">
        <v>249</v>
      </c>
      <c r="C56" s="186" t="s">
        <v>137</v>
      </c>
      <c r="D56" s="56">
        <v>11705.775</v>
      </c>
      <c r="E56" s="63">
        <f t="shared" si="0"/>
        <v>0.90000004271395961</v>
      </c>
      <c r="F56" s="108">
        <v>10535.198</v>
      </c>
      <c r="G56" s="57">
        <f t="shared" si="1"/>
        <v>3.7116096928057738</v>
      </c>
      <c r="H56" s="160">
        <v>39102.543012428003</v>
      </c>
      <c r="I56" s="75">
        <f>1872835.77+1706310</f>
        <v>3579145.77</v>
      </c>
      <c r="J56" s="287">
        <f t="shared" si="2"/>
        <v>9.2526267492355485E-2</v>
      </c>
      <c r="K56" s="61" t="s">
        <v>82</v>
      </c>
      <c r="L56" s="61" t="s">
        <v>82</v>
      </c>
      <c r="M56" s="61" t="s">
        <v>82</v>
      </c>
      <c r="N56" s="61" t="s">
        <v>82</v>
      </c>
      <c r="O56" s="61" t="s">
        <v>82</v>
      </c>
      <c r="P56" s="61" t="s">
        <v>82</v>
      </c>
      <c r="Q56" s="61" t="s">
        <v>82</v>
      </c>
      <c r="R56" s="367" t="s">
        <v>82</v>
      </c>
      <c r="S56" s="367" t="s">
        <v>82</v>
      </c>
      <c r="T56" s="367" t="s">
        <v>82</v>
      </c>
      <c r="U56" s="367" t="s">
        <v>82</v>
      </c>
      <c r="V56" s="56">
        <v>3623</v>
      </c>
      <c r="W56" s="115" t="s">
        <v>141</v>
      </c>
    </row>
    <row r="57" spans="2:23" x14ac:dyDescent="0.35">
      <c r="B57" s="2" t="s">
        <v>289</v>
      </c>
      <c r="C57" s="186" t="s">
        <v>137</v>
      </c>
      <c r="D57" s="56">
        <v>8993.491</v>
      </c>
      <c r="E57" s="63">
        <f t="shared" si="0"/>
        <v>0.90000001111915273</v>
      </c>
      <c r="F57" s="56">
        <v>8094.1419999999998</v>
      </c>
      <c r="G57" s="57">
        <f t="shared" si="1"/>
        <v>10.909842607012431</v>
      </c>
      <c r="H57" s="160">
        <v>88305.815258808812</v>
      </c>
      <c r="I57" s="75">
        <f>673371.97+2246190</f>
        <v>2919561.9699999997</v>
      </c>
      <c r="J57" s="287">
        <f t="shared" si="2"/>
        <v>3.3974463137668831E-2</v>
      </c>
      <c r="K57" s="61" t="s">
        <v>82</v>
      </c>
      <c r="L57" s="61" t="s">
        <v>82</v>
      </c>
      <c r="M57" s="61" t="s">
        <v>82</v>
      </c>
      <c r="N57" s="61" t="s">
        <v>82</v>
      </c>
      <c r="O57" s="61" t="s">
        <v>82</v>
      </c>
      <c r="P57" s="61" t="s">
        <v>82</v>
      </c>
      <c r="Q57" s="61" t="s">
        <v>82</v>
      </c>
      <c r="R57" s="367" t="s">
        <v>82</v>
      </c>
      <c r="S57" s="367" t="s">
        <v>82</v>
      </c>
      <c r="T57" s="367" t="s">
        <v>82</v>
      </c>
      <c r="U57" s="367" t="s">
        <v>82</v>
      </c>
      <c r="V57" s="56">
        <v>20700</v>
      </c>
      <c r="W57" s="115" t="s">
        <v>141</v>
      </c>
    </row>
    <row r="58" spans="2:23" x14ac:dyDescent="0.35">
      <c r="B58" s="265" t="s">
        <v>246</v>
      </c>
      <c r="C58" s="186" t="s">
        <v>137</v>
      </c>
      <c r="D58" s="120">
        <v>1352.2070000000001</v>
      </c>
      <c r="E58" s="63">
        <f t="shared" si="0"/>
        <v>0.94999951930436677</v>
      </c>
      <c r="F58" s="120">
        <v>1284.596</v>
      </c>
      <c r="G58" s="57">
        <f t="shared" si="1"/>
        <v>4.2250420909284632</v>
      </c>
      <c r="H58" s="160">
        <v>5427.4721698383401</v>
      </c>
      <c r="I58" s="75">
        <f>134012.89+238751</f>
        <v>372763.89</v>
      </c>
      <c r="J58" s="287">
        <f t="shared" si="2"/>
        <v>6.950835584717531E-2</v>
      </c>
      <c r="K58" s="61" t="s">
        <v>82</v>
      </c>
      <c r="L58" s="61" t="s">
        <v>82</v>
      </c>
      <c r="M58" s="61" t="s">
        <v>82</v>
      </c>
      <c r="N58" s="61" t="s">
        <v>82</v>
      </c>
      <c r="O58" s="61" t="s">
        <v>82</v>
      </c>
      <c r="P58" s="61" t="s">
        <v>82</v>
      </c>
      <c r="Q58" s="61" t="s">
        <v>82</v>
      </c>
      <c r="R58" s="367" t="s">
        <v>82</v>
      </c>
      <c r="S58" s="367" t="s">
        <v>82</v>
      </c>
      <c r="T58" s="367" t="s">
        <v>82</v>
      </c>
      <c r="U58" s="367" t="s">
        <v>82</v>
      </c>
      <c r="V58" s="56">
        <v>1895</v>
      </c>
      <c r="W58" s="115" t="s">
        <v>141</v>
      </c>
    </row>
    <row r="59" spans="2:23" x14ac:dyDescent="0.35">
      <c r="B59" s="262" t="s">
        <v>229</v>
      </c>
      <c r="C59" s="186" t="s">
        <v>137</v>
      </c>
      <c r="D59" s="168">
        <v>1285.9100000000001</v>
      </c>
      <c r="E59" s="63">
        <f t="shared" si="0"/>
        <v>0.94999961117029963</v>
      </c>
      <c r="F59" s="185">
        <v>1221.614</v>
      </c>
      <c r="G59" s="57">
        <f t="shared" si="1"/>
        <v>10.733071443290516</v>
      </c>
      <c r="H59" s="160">
        <v>13111.6703381239</v>
      </c>
      <c r="I59" s="75">
        <f>170855.09+390569</f>
        <v>561424.09</v>
      </c>
      <c r="J59" s="287">
        <f t="shared" si="2"/>
        <v>4.3982764377165418E-2</v>
      </c>
      <c r="K59" s="61" t="s">
        <v>82</v>
      </c>
      <c r="L59" s="61" t="s">
        <v>82</v>
      </c>
      <c r="M59" s="61" t="s">
        <v>82</v>
      </c>
      <c r="N59" s="61" t="s">
        <v>82</v>
      </c>
      <c r="O59" s="61" t="s">
        <v>82</v>
      </c>
      <c r="P59" s="61" t="s">
        <v>82</v>
      </c>
      <c r="Q59" s="61" t="s">
        <v>82</v>
      </c>
      <c r="R59" s="367" t="s">
        <v>82</v>
      </c>
      <c r="S59" s="367" t="s">
        <v>82</v>
      </c>
      <c r="T59" s="367" t="s">
        <v>82</v>
      </c>
      <c r="U59" s="367" t="s">
        <v>82</v>
      </c>
      <c r="V59" s="180">
        <v>2603</v>
      </c>
      <c r="W59" s="115" t="s">
        <v>141</v>
      </c>
    </row>
    <row r="60" spans="2:23" x14ac:dyDescent="0.35">
      <c r="B60" s="263" t="s">
        <v>287</v>
      </c>
      <c r="C60" s="186" t="s">
        <v>137</v>
      </c>
      <c r="D60" s="168">
        <v>2020.6220000000001</v>
      </c>
      <c r="E60" s="63">
        <f t="shared" si="0"/>
        <v>1</v>
      </c>
      <c r="F60" s="168">
        <v>2020.6220000000001</v>
      </c>
      <c r="G60" s="57">
        <f t="shared" si="1"/>
        <v>5</v>
      </c>
      <c r="H60" s="160">
        <v>10103.11</v>
      </c>
      <c r="I60" s="75">
        <f>116127.3+742838</f>
        <v>858965.3</v>
      </c>
      <c r="J60" s="287">
        <f t="shared" si="2"/>
        <v>8.6196754154685085E-2</v>
      </c>
      <c r="K60" s="61" t="s">
        <v>82</v>
      </c>
      <c r="L60" s="61" t="s">
        <v>82</v>
      </c>
      <c r="M60" s="61" t="s">
        <v>82</v>
      </c>
      <c r="N60" s="61" t="s">
        <v>82</v>
      </c>
      <c r="O60" s="61" t="s">
        <v>82</v>
      </c>
      <c r="P60" s="61" t="s">
        <v>82</v>
      </c>
      <c r="Q60" s="61" t="s">
        <v>82</v>
      </c>
      <c r="R60" s="367" t="s">
        <v>82</v>
      </c>
      <c r="S60" s="367" t="s">
        <v>82</v>
      </c>
      <c r="T60" s="367" t="s">
        <v>82</v>
      </c>
      <c r="U60" s="367" t="s">
        <v>82</v>
      </c>
      <c r="V60" s="61">
        <v>79</v>
      </c>
      <c r="W60" s="204" t="s">
        <v>241</v>
      </c>
    </row>
    <row r="61" spans="2:23" x14ac:dyDescent="0.35">
      <c r="B61" s="263" t="s">
        <v>140</v>
      </c>
      <c r="C61" s="186" t="s">
        <v>137</v>
      </c>
      <c r="D61" s="168">
        <v>4497.1989999999996</v>
      </c>
      <c r="E61" s="63">
        <f t="shared" si="0"/>
        <v>1</v>
      </c>
      <c r="F61" s="168">
        <v>4497.1989999999996</v>
      </c>
      <c r="G61" s="57">
        <f t="shared" si="1"/>
        <v>11.742096270328155</v>
      </c>
      <c r="H61" s="160">
        <v>52806.543604823499</v>
      </c>
      <c r="I61" s="75">
        <f>360032.76+834035</f>
        <v>1194067.76</v>
      </c>
      <c r="J61" s="287">
        <f t="shared" si="2"/>
        <v>2.3280251487695539E-2</v>
      </c>
      <c r="K61" s="61" t="s">
        <v>82</v>
      </c>
      <c r="L61" s="61" t="s">
        <v>82</v>
      </c>
      <c r="M61" s="61" t="s">
        <v>82</v>
      </c>
      <c r="N61" s="61" t="s">
        <v>82</v>
      </c>
      <c r="O61" s="61" t="s">
        <v>82</v>
      </c>
      <c r="P61" s="61" t="s">
        <v>82</v>
      </c>
      <c r="Q61" s="61" t="s">
        <v>82</v>
      </c>
      <c r="R61" s="367" t="s">
        <v>82</v>
      </c>
      <c r="S61" s="367" t="s">
        <v>82</v>
      </c>
      <c r="T61" s="367" t="s">
        <v>82</v>
      </c>
      <c r="U61" s="367" t="s">
        <v>82</v>
      </c>
      <c r="V61" s="56">
        <v>6536</v>
      </c>
      <c r="W61" s="115" t="s">
        <v>236</v>
      </c>
    </row>
    <row r="62" spans="2:23" x14ac:dyDescent="0.35">
      <c r="B62" s="265" t="s">
        <v>248</v>
      </c>
      <c r="C62" s="186" t="s">
        <v>137</v>
      </c>
      <c r="D62" s="168">
        <v>828.28200000000004</v>
      </c>
      <c r="E62" s="63">
        <f t="shared" si="0"/>
        <v>0.89000002414636559</v>
      </c>
      <c r="F62" s="168">
        <v>737.17100000000005</v>
      </c>
      <c r="G62" s="57">
        <f t="shared" si="1"/>
        <v>10</v>
      </c>
      <c r="H62" s="160">
        <v>7371.71</v>
      </c>
      <c r="I62" s="75">
        <v>162178</v>
      </c>
      <c r="J62" s="287">
        <f t="shared" si="2"/>
        <v>2.2560484459474131E-2</v>
      </c>
      <c r="K62" s="61" t="s">
        <v>82</v>
      </c>
      <c r="L62" s="61" t="s">
        <v>82</v>
      </c>
      <c r="M62" s="61" t="s">
        <v>82</v>
      </c>
      <c r="N62" s="61" t="s">
        <v>82</v>
      </c>
      <c r="O62" s="61" t="s">
        <v>82</v>
      </c>
      <c r="P62" s="61" t="s">
        <v>82</v>
      </c>
      <c r="Q62" s="61" t="s">
        <v>82</v>
      </c>
      <c r="R62" s="367" t="s">
        <v>82</v>
      </c>
      <c r="S62" s="367" t="s">
        <v>82</v>
      </c>
      <c r="T62" s="367" t="s">
        <v>82</v>
      </c>
      <c r="U62" s="367" t="s">
        <v>82</v>
      </c>
      <c r="V62" s="56">
        <v>177</v>
      </c>
      <c r="W62" s="115" t="s">
        <v>141</v>
      </c>
    </row>
    <row r="63" spans="2:23" x14ac:dyDescent="0.35">
      <c r="B63" s="265" t="s">
        <v>247</v>
      </c>
      <c r="C63" s="186" t="s">
        <v>137</v>
      </c>
      <c r="D63" s="168">
        <v>801.221</v>
      </c>
      <c r="E63" s="63">
        <f t="shared" si="0"/>
        <v>0.95000006240475465</v>
      </c>
      <c r="F63" s="168">
        <v>761.16</v>
      </c>
      <c r="G63" s="57">
        <f t="shared" si="1"/>
        <v>14.761827425124942</v>
      </c>
      <c r="H63" s="160">
        <v>11236.1125629081</v>
      </c>
      <c r="I63" s="75">
        <f>105802.39+16758</f>
        <v>122560.39</v>
      </c>
      <c r="J63" s="287">
        <f t="shared" si="2"/>
        <v>1.1307312929941599E-2</v>
      </c>
      <c r="K63" s="61" t="s">
        <v>82</v>
      </c>
      <c r="L63" s="61" t="s">
        <v>82</v>
      </c>
      <c r="M63" s="61" t="s">
        <v>82</v>
      </c>
      <c r="N63" s="61" t="s">
        <v>82</v>
      </c>
      <c r="O63" s="61" t="s">
        <v>82</v>
      </c>
      <c r="P63" s="61" t="s">
        <v>82</v>
      </c>
      <c r="Q63" s="61" t="s">
        <v>82</v>
      </c>
      <c r="R63" s="367" t="s">
        <v>82</v>
      </c>
      <c r="S63" s="367" t="s">
        <v>82</v>
      </c>
      <c r="T63" s="367" t="s">
        <v>82</v>
      </c>
      <c r="U63" s="367" t="s">
        <v>82</v>
      </c>
      <c r="V63" s="56">
        <v>4362</v>
      </c>
      <c r="W63" s="115" t="s">
        <v>236</v>
      </c>
    </row>
    <row r="64" spans="2:23" ht="14.5" customHeight="1" x14ac:dyDescent="0.35">
      <c r="B64" s="263" t="s">
        <v>285</v>
      </c>
      <c r="C64" s="186" t="s">
        <v>137</v>
      </c>
      <c r="D64" s="168">
        <v>1112.0419999999999</v>
      </c>
      <c r="E64" s="63">
        <f t="shared" si="0"/>
        <v>0.76999969425615233</v>
      </c>
      <c r="F64" s="168">
        <v>856.27200000000005</v>
      </c>
      <c r="G64" s="57">
        <f t="shared" si="1"/>
        <v>17.400000000000002</v>
      </c>
      <c r="H64" s="160">
        <v>14899.132800000001</v>
      </c>
      <c r="I64" s="75">
        <f>8171.75-25462</f>
        <v>-17290.25</v>
      </c>
      <c r="J64" s="287">
        <f t="shared" si="2"/>
        <v>-1.2102148326042679E-3</v>
      </c>
      <c r="K64" s="61" t="s">
        <v>82</v>
      </c>
      <c r="L64" s="61" t="s">
        <v>82</v>
      </c>
      <c r="M64" s="61" t="s">
        <v>82</v>
      </c>
      <c r="N64" s="61" t="s">
        <v>82</v>
      </c>
      <c r="O64" s="61" t="s">
        <v>82</v>
      </c>
      <c r="P64" s="61" t="s">
        <v>82</v>
      </c>
      <c r="Q64" s="61" t="s">
        <v>82</v>
      </c>
      <c r="R64" s="367" t="s">
        <v>82</v>
      </c>
      <c r="S64" s="367" t="s">
        <v>82</v>
      </c>
      <c r="T64" s="367" t="s">
        <v>82</v>
      </c>
      <c r="U64" s="367" t="s">
        <v>82</v>
      </c>
      <c r="V64" s="56">
        <v>11</v>
      </c>
      <c r="W64" s="115" t="s">
        <v>241</v>
      </c>
    </row>
    <row r="65" spans="2:23" x14ac:dyDescent="0.35">
      <c r="B65" s="263" t="s">
        <v>288</v>
      </c>
      <c r="C65" s="186" t="s">
        <v>137</v>
      </c>
      <c r="D65" s="168">
        <v>3612.4</v>
      </c>
      <c r="E65" s="63">
        <f t="shared" si="0"/>
        <v>0.89999999999999991</v>
      </c>
      <c r="F65" s="168">
        <v>3251.16</v>
      </c>
      <c r="G65" s="57">
        <f t="shared" si="1"/>
        <v>7.1154857900055992</v>
      </c>
      <c r="H65" s="160">
        <v>23133.582781034602</v>
      </c>
      <c r="I65" s="75">
        <f>567103.31+318213</f>
        <v>885316.31</v>
      </c>
      <c r="J65" s="287">
        <f t="shared" si="2"/>
        <v>3.898741465693676E-2</v>
      </c>
      <c r="K65" s="61" t="s">
        <v>82</v>
      </c>
      <c r="L65" s="61" t="s">
        <v>82</v>
      </c>
      <c r="M65" s="61" t="s">
        <v>82</v>
      </c>
      <c r="N65" s="61" t="s">
        <v>82</v>
      </c>
      <c r="O65" s="61" t="s">
        <v>82</v>
      </c>
      <c r="P65" s="61" t="s">
        <v>82</v>
      </c>
      <c r="Q65" s="61" t="s">
        <v>82</v>
      </c>
      <c r="R65" s="367" t="s">
        <v>82</v>
      </c>
      <c r="S65" s="367" t="s">
        <v>82</v>
      </c>
      <c r="T65" s="367" t="s">
        <v>82</v>
      </c>
      <c r="U65" s="367" t="s">
        <v>82</v>
      </c>
      <c r="V65" s="56">
        <v>45706</v>
      </c>
      <c r="W65" s="115" t="s">
        <v>238</v>
      </c>
    </row>
    <row r="66" spans="2:23" x14ac:dyDescent="0.35">
      <c r="B66" s="263" t="s">
        <v>230</v>
      </c>
      <c r="C66" s="186" t="s">
        <v>137</v>
      </c>
      <c r="D66" s="168">
        <v>2230.33</v>
      </c>
      <c r="E66" s="63">
        <f t="shared" si="0"/>
        <v>0.94999977581792838</v>
      </c>
      <c r="F66" s="168">
        <v>2118.8130000000001</v>
      </c>
      <c r="G66" s="57">
        <f t="shared" si="1"/>
        <v>6.5413496764280286</v>
      </c>
      <c r="H66" s="160">
        <v>13859.8967319615</v>
      </c>
      <c r="I66" s="75">
        <f>66366.48+398692</f>
        <v>465058.48</v>
      </c>
      <c r="J66" s="287">
        <f t="shared" si="2"/>
        <v>3.4138721757903917E-2</v>
      </c>
      <c r="K66" s="61" t="s">
        <v>82</v>
      </c>
      <c r="L66" s="61" t="s">
        <v>82</v>
      </c>
      <c r="M66" s="61" t="s">
        <v>82</v>
      </c>
      <c r="N66" s="61" t="s">
        <v>82</v>
      </c>
      <c r="O66" s="61" t="s">
        <v>82</v>
      </c>
      <c r="P66" s="61" t="s">
        <v>82</v>
      </c>
      <c r="Q66" s="61" t="s">
        <v>82</v>
      </c>
      <c r="R66" s="367" t="s">
        <v>82</v>
      </c>
      <c r="S66" s="367" t="s">
        <v>82</v>
      </c>
      <c r="T66" s="367" t="s">
        <v>82</v>
      </c>
      <c r="U66" s="367" t="s">
        <v>82</v>
      </c>
      <c r="V66" s="56">
        <v>287</v>
      </c>
      <c r="W66" s="115" t="s">
        <v>235</v>
      </c>
    </row>
    <row r="67" spans="2:23" x14ac:dyDescent="0.35">
      <c r="B67" s="263" t="s">
        <v>291</v>
      </c>
      <c r="C67" s="186" t="s">
        <v>137</v>
      </c>
      <c r="D67" s="168">
        <v>18328.806</v>
      </c>
      <c r="E67" s="63">
        <f t="shared" si="0"/>
        <v>0.90000003273535656</v>
      </c>
      <c r="F67" s="168">
        <v>16495.925999999999</v>
      </c>
      <c r="G67" s="57">
        <f t="shared" si="1"/>
        <v>10.182553983076852</v>
      </c>
      <c r="H67" s="160">
        <v>167970.65699584101</v>
      </c>
      <c r="I67" s="75">
        <f>1342943.36+2985760</f>
        <v>4328703.3600000003</v>
      </c>
      <c r="J67" s="287">
        <f t="shared" si="2"/>
        <v>2.643806426557184E-2</v>
      </c>
      <c r="K67" s="61" t="s">
        <v>82</v>
      </c>
      <c r="L67" s="61" t="s">
        <v>82</v>
      </c>
      <c r="M67" s="61" t="s">
        <v>82</v>
      </c>
      <c r="N67" s="61" t="s">
        <v>82</v>
      </c>
      <c r="O67" s="61" t="s">
        <v>82</v>
      </c>
      <c r="P67" s="61" t="s">
        <v>82</v>
      </c>
      <c r="Q67" s="61" t="s">
        <v>82</v>
      </c>
      <c r="R67" s="367" t="s">
        <v>82</v>
      </c>
      <c r="S67" s="367" t="s">
        <v>82</v>
      </c>
      <c r="T67" s="367" t="s">
        <v>82</v>
      </c>
      <c r="U67" s="367" t="s">
        <v>82</v>
      </c>
      <c r="V67" s="56">
        <v>61975</v>
      </c>
      <c r="W67" s="115" t="s">
        <v>141</v>
      </c>
    </row>
    <row r="68" spans="2:23" x14ac:dyDescent="0.35">
      <c r="B68" s="2" t="s">
        <v>121</v>
      </c>
      <c r="C68" s="186" t="s">
        <v>137</v>
      </c>
      <c r="D68" s="168">
        <v>281829.21100000001</v>
      </c>
      <c r="E68" s="63">
        <f t="shared" si="0"/>
        <v>0.90999999996451741</v>
      </c>
      <c r="F68" s="168">
        <v>256464.58199999999</v>
      </c>
      <c r="G68" s="57">
        <f t="shared" si="1"/>
        <v>14.496767851020341</v>
      </c>
      <c r="H68" s="160">
        <v>3717907.5072629699</v>
      </c>
      <c r="I68" s="75">
        <f>43966613.57+23474465</f>
        <v>67441078.569999993</v>
      </c>
      <c r="J68" s="287">
        <f t="shared" si="2"/>
        <v>1.8792739129162538E-2</v>
      </c>
      <c r="K68" s="61" t="s">
        <v>82</v>
      </c>
      <c r="L68" s="61" t="s">
        <v>82</v>
      </c>
      <c r="M68" s="61" t="s">
        <v>82</v>
      </c>
      <c r="N68" s="61" t="s">
        <v>82</v>
      </c>
      <c r="O68" s="61" t="s">
        <v>82</v>
      </c>
      <c r="P68" s="61" t="s">
        <v>82</v>
      </c>
      <c r="Q68" s="61" t="s">
        <v>82</v>
      </c>
      <c r="R68" s="1">
        <v>131123598.00695898</v>
      </c>
      <c r="S68" s="1">
        <v>67787552.972747982</v>
      </c>
      <c r="T68" s="75">
        <f t="shared" si="3"/>
        <v>63336045.034210995</v>
      </c>
      <c r="U68" s="63">
        <f t="shared" si="4"/>
        <v>1.9343314850098425</v>
      </c>
      <c r="V68" s="180">
        <v>9808</v>
      </c>
      <c r="W68" s="115" t="s">
        <v>235</v>
      </c>
    </row>
    <row r="69" spans="2:23" x14ac:dyDescent="0.35">
      <c r="B69" s="4" t="s">
        <v>7</v>
      </c>
      <c r="C69" s="4"/>
      <c r="D69" s="65">
        <f>SUM(D22:D68)</f>
        <v>1464741.7049999996</v>
      </c>
      <c r="E69" s="69">
        <f>F69/D69</f>
        <v>0.78501238960762709</v>
      </c>
      <c r="F69" s="65">
        <f>SUM(F22:F68)</f>
        <v>1149840.3859999997</v>
      </c>
      <c r="G69" s="118">
        <f>H69/F69</f>
        <v>10.233186718034238</v>
      </c>
      <c r="H69" s="65">
        <f>SUM(H22:H68)</f>
        <v>11766531.365874559</v>
      </c>
      <c r="I69" s="67">
        <f>SUM(I22:I68)</f>
        <v>206987355.66</v>
      </c>
      <c r="J69" s="248">
        <f t="shared" si="2"/>
        <v>1.8048897351351383E-2</v>
      </c>
      <c r="K69" s="68" t="s">
        <v>82</v>
      </c>
      <c r="L69" s="68" t="s">
        <v>82</v>
      </c>
      <c r="M69" s="68" t="s">
        <v>82</v>
      </c>
      <c r="N69" s="68" t="s">
        <v>82</v>
      </c>
      <c r="O69" s="68" t="s">
        <v>82</v>
      </c>
      <c r="P69" s="68" t="s">
        <v>82</v>
      </c>
      <c r="Q69" s="68" t="s">
        <v>82</v>
      </c>
      <c r="R69" s="72">
        <f>SUM(R22:R68)</f>
        <v>460084937.44256371</v>
      </c>
      <c r="S69" s="72">
        <f>SUM(S22:S68)</f>
        <v>274490003.34135354</v>
      </c>
      <c r="T69" s="72">
        <f t="shared" si="3"/>
        <v>185594934.10121018</v>
      </c>
      <c r="U69" s="73">
        <f t="shared" si="4"/>
        <v>1.6761446021420525</v>
      </c>
      <c r="V69" s="74">
        <f>SUM(V22:V68)</f>
        <v>2318320.3570699999</v>
      </c>
      <c r="W69" s="68" t="s">
        <v>82</v>
      </c>
    </row>
    <row r="70" spans="2:23" x14ac:dyDescent="0.35">
      <c r="B70" s="31" t="s">
        <v>14</v>
      </c>
      <c r="C70" s="31"/>
      <c r="D70" s="255">
        <f>SUM(D22:D32,D55:D68)</f>
        <v>1211706.2400000002</v>
      </c>
      <c r="E70" s="259">
        <f t="shared" ref="E70:E71" si="6">F70/D70</f>
        <v>0.78692138120869937</v>
      </c>
      <c r="F70" s="255">
        <f>SUM(F22:F32,F55:F68)</f>
        <v>953517.54799999995</v>
      </c>
      <c r="G70" s="256">
        <f t="shared" ref="G70:G71" si="7">H70/F70</f>
        <v>11.902703026656683</v>
      </c>
      <c r="H70" s="257">
        <f>SUM(H22:H32,H55:H68)</f>
        <v>11349436.204549858</v>
      </c>
      <c r="I70" s="29">
        <f>SUM(I22:I32,I55:I68)</f>
        <v>189486368.12</v>
      </c>
      <c r="J70" s="322">
        <f t="shared" si="2"/>
        <v>1.7195259414843591E-2</v>
      </c>
      <c r="K70" s="28"/>
      <c r="L70" s="28"/>
      <c r="M70" s="29"/>
      <c r="N70" s="29"/>
      <c r="O70" s="29"/>
      <c r="P70" s="28"/>
      <c r="Q70" s="28"/>
      <c r="R70" s="29"/>
      <c r="S70" s="29"/>
      <c r="T70" s="28"/>
      <c r="U70" s="28"/>
      <c r="V70" s="29"/>
      <c r="W70" s="29"/>
    </row>
    <row r="71" spans="2:23" x14ac:dyDescent="0.35">
      <c r="B71" s="31" t="s">
        <v>15</v>
      </c>
      <c r="C71" s="31"/>
      <c r="D71" s="255">
        <f>SUM(D34:D35)</f>
        <v>29605.455999999998</v>
      </c>
      <c r="E71" s="259">
        <f t="shared" si="6"/>
        <v>0.80315513464815402</v>
      </c>
      <c r="F71" s="255">
        <f>SUM(F34:F35)</f>
        <v>23777.773999999998</v>
      </c>
      <c r="G71" s="256">
        <f t="shared" si="7"/>
        <v>12.003151931553267</v>
      </c>
      <c r="H71" s="257">
        <f>SUM(H34:H35)</f>
        <v>285408.23391613702</v>
      </c>
      <c r="I71" s="29">
        <f>SUM(I34:I35)</f>
        <v>9303635</v>
      </c>
      <c r="J71" s="322">
        <f t="shared" si="2"/>
        <v>3.3580751033595146E-2</v>
      </c>
      <c r="K71" s="28"/>
      <c r="L71" s="28"/>
      <c r="M71" s="29"/>
      <c r="N71" s="29"/>
      <c r="O71" s="29"/>
      <c r="P71" s="28"/>
      <c r="Q71" s="28"/>
      <c r="R71" s="29"/>
      <c r="S71" s="29"/>
      <c r="T71" s="28"/>
      <c r="U71" s="28"/>
      <c r="V71" s="29"/>
      <c r="W71" s="29"/>
    </row>
    <row r="72" spans="2:23" ht="15.65" customHeight="1" x14ac:dyDescent="0.35">
      <c r="B72" s="409" t="s">
        <v>1</v>
      </c>
      <c r="C72" s="410"/>
      <c r="D72" s="410"/>
      <c r="E72" s="410"/>
      <c r="F72" s="410"/>
      <c r="G72" s="410"/>
      <c r="H72" s="410"/>
      <c r="I72" s="410"/>
      <c r="J72" s="410"/>
      <c r="K72" s="410"/>
      <c r="L72" s="410"/>
      <c r="M72" s="410"/>
      <c r="N72" s="410"/>
      <c r="O72" s="410"/>
      <c r="P72" s="410"/>
      <c r="Q72" s="410"/>
      <c r="R72" s="410"/>
      <c r="S72" s="410"/>
      <c r="T72" s="410"/>
      <c r="U72" s="410"/>
      <c r="V72" s="410"/>
      <c r="W72" s="411"/>
    </row>
    <row r="73" spans="2:23" x14ac:dyDescent="0.35">
      <c r="B73" s="2" t="s">
        <v>151</v>
      </c>
      <c r="C73" s="53" t="s">
        <v>81</v>
      </c>
      <c r="D73" s="180">
        <v>44175.292999999998</v>
      </c>
      <c r="E73" s="63">
        <f t="shared" ref="E73:E88" si="8">F73/D73</f>
        <v>0.92229833087920887</v>
      </c>
      <c r="F73" s="173">
        <v>40742.798999999999</v>
      </c>
      <c r="G73" s="57">
        <f t="shared" ref="G73:G89" si="9">H73/F73</f>
        <v>9.889165809010521</v>
      </c>
      <c r="H73" s="85">
        <v>402912.29483418801</v>
      </c>
      <c r="I73" s="78">
        <f>10851151.03+10343578</f>
        <v>21194729.030000001</v>
      </c>
      <c r="J73" s="287">
        <f t="shared" si="2"/>
        <v>5.393025276070032E-2</v>
      </c>
      <c r="K73" s="61" t="s">
        <v>82</v>
      </c>
      <c r="L73" s="61" t="s">
        <v>82</v>
      </c>
      <c r="M73" s="61" t="s">
        <v>82</v>
      </c>
      <c r="N73" s="61" t="s">
        <v>82</v>
      </c>
      <c r="O73" s="61" t="s">
        <v>82</v>
      </c>
      <c r="P73" s="61" t="s">
        <v>82</v>
      </c>
      <c r="Q73" s="61" t="s">
        <v>82</v>
      </c>
      <c r="R73" s="78">
        <v>28054125.054552656</v>
      </c>
      <c r="S73" s="78">
        <v>27557577.45001382</v>
      </c>
      <c r="T73" s="75">
        <f t="shared" ref="T73:T101" si="10">R73-S73</f>
        <v>496547.60453883559</v>
      </c>
      <c r="U73" s="63">
        <f t="shared" ref="U73:U84" si="11">R73/S73</f>
        <v>1.0180185506305666</v>
      </c>
      <c r="V73" s="108">
        <v>228774</v>
      </c>
      <c r="W73" s="199" t="s">
        <v>237</v>
      </c>
    </row>
    <row r="74" spans="2:23" x14ac:dyDescent="0.35">
      <c r="B74" s="2" t="s">
        <v>221</v>
      </c>
      <c r="C74" s="53" t="s">
        <v>81</v>
      </c>
      <c r="D74" s="56">
        <v>4376.5829999999996</v>
      </c>
      <c r="E74" s="63">
        <f t="shared" si="8"/>
        <v>1</v>
      </c>
      <c r="F74" s="173">
        <v>4376.5829999999996</v>
      </c>
      <c r="G74" s="57">
        <f t="shared" si="9"/>
        <v>9.0738267011675333</v>
      </c>
      <c r="H74" s="85">
        <v>39712.355685275899</v>
      </c>
      <c r="I74" s="78">
        <f>592919.37+378023</f>
        <v>970942.37</v>
      </c>
      <c r="J74" s="287">
        <f t="shared" si="2"/>
        <v>2.5019362953689634E-2</v>
      </c>
      <c r="K74" s="61" t="s">
        <v>82</v>
      </c>
      <c r="L74" s="61" t="s">
        <v>82</v>
      </c>
      <c r="M74" s="61" t="s">
        <v>82</v>
      </c>
      <c r="N74" s="61" t="s">
        <v>82</v>
      </c>
      <c r="O74" s="61" t="s">
        <v>82</v>
      </c>
      <c r="P74" s="61" t="s">
        <v>82</v>
      </c>
      <c r="Q74" s="61" t="s">
        <v>82</v>
      </c>
      <c r="R74" s="78">
        <v>8840971.2942896932</v>
      </c>
      <c r="S74" s="78">
        <v>971816.30999999982</v>
      </c>
      <c r="T74" s="75">
        <f t="shared" si="10"/>
        <v>7869154.9842896936</v>
      </c>
      <c r="U74" s="63">
        <f t="shared" si="11"/>
        <v>9.0973687139390513</v>
      </c>
      <c r="V74" s="117">
        <v>376758</v>
      </c>
      <c r="W74" s="200" t="s">
        <v>238</v>
      </c>
    </row>
    <row r="75" spans="2:23" x14ac:dyDescent="0.35">
      <c r="B75" s="2" t="s">
        <v>222</v>
      </c>
      <c r="C75" s="53" t="s">
        <v>81</v>
      </c>
      <c r="D75" s="193">
        <v>66334.293999999994</v>
      </c>
      <c r="E75" s="63">
        <f t="shared" si="8"/>
        <v>0.51761413183955807</v>
      </c>
      <c r="F75" s="173">
        <v>34335.567999999999</v>
      </c>
      <c r="G75" s="57">
        <f t="shared" si="9"/>
        <v>7.9598056725850004</v>
      </c>
      <c r="H75" s="85">
        <v>273304.44893782801</v>
      </c>
      <c r="I75" s="148">
        <f>8226040.37+5257241</f>
        <v>13483281.370000001</v>
      </c>
      <c r="J75" s="287">
        <f t="shared" si="2"/>
        <v>5.0356362775863292E-2</v>
      </c>
      <c r="K75" s="61" t="s">
        <v>82</v>
      </c>
      <c r="L75" s="61" t="s">
        <v>82</v>
      </c>
      <c r="M75" s="61" t="s">
        <v>82</v>
      </c>
      <c r="N75" s="61" t="s">
        <v>82</v>
      </c>
      <c r="O75" s="61" t="s">
        <v>82</v>
      </c>
      <c r="P75" s="61" t="s">
        <v>82</v>
      </c>
      <c r="Q75" s="61" t="s">
        <v>82</v>
      </c>
      <c r="R75" s="78">
        <v>13116546.240526062</v>
      </c>
      <c r="S75" s="78">
        <v>11204062.365110261</v>
      </c>
      <c r="T75" s="75">
        <f t="shared" si="10"/>
        <v>1912483.8754158001</v>
      </c>
      <c r="U75" s="63">
        <f t="shared" si="11"/>
        <v>1.1706955756843449</v>
      </c>
      <c r="V75" s="196">
        <v>81633</v>
      </c>
      <c r="W75" s="201" t="s">
        <v>237</v>
      </c>
    </row>
    <row r="76" spans="2:23" ht="15.65" customHeight="1" x14ac:dyDescent="0.35">
      <c r="B76" s="2" t="s">
        <v>226</v>
      </c>
      <c r="C76" s="53" t="s">
        <v>81</v>
      </c>
      <c r="D76" s="180">
        <v>19606.812999999998</v>
      </c>
      <c r="E76" s="63">
        <f t="shared" si="8"/>
        <v>0.99051243055156402</v>
      </c>
      <c r="F76" s="173">
        <v>19420.792000000001</v>
      </c>
      <c r="G76" s="57">
        <f t="shared" si="9"/>
        <v>18.648909896779234</v>
      </c>
      <c r="H76" s="85">
        <v>362176.60013209097</v>
      </c>
      <c r="I76" s="145">
        <f>5434473.34+4037927</f>
        <v>9472400.3399999999</v>
      </c>
      <c r="J76" s="287">
        <f t="shared" si="2"/>
        <v>2.7352015640967807E-2</v>
      </c>
      <c r="K76" s="61" t="s">
        <v>82</v>
      </c>
      <c r="L76" s="61" t="s">
        <v>82</v>
      </c>
      <c r="M76" s="61" t="s">
        <v>82</v>
      </c>
      <c r="N76" s="61" t="s">
        <v>82</v>
      </c>
      <c r="O76" s="61" t="s">
        <v>82</v>
      </c>
      <c r="P76" s="61" t="s">
        <v>82</v>
      </c>
      <c r="Q76" s="61" t="s">
        <v>82</v>
      </c>
      <c r="R76" s="78">
        <v>21755795.376294527</v>
      </c>
      <c r="S76" s="78">
        <v>30423573.706584059</v>
      </c>
      <c r="T76" s="75">
        <f t="shared" si="10"/>
        <v>-8667778.3302895315</v>
      </c>
      <c r="U76" s="63">
        <f t="shared" si="11"/>
        <v>0.71509664137800777</v>
      </c>
      <c r="V76" s="155">
        <v>32825</v>
      </c>
      <c r="W76" s="202" t="s">
        <v>235</v>
      </c>
    </row>
    <row r="77" spans="2:23" ht="14.5" customHeight="1" x14ac:dyDescent="0.35">
      <c r="B77" s="2" t="s">
        <v>225</v>
      </c>
      <c r="C77" s="53" t="s">
        <v>81</v>
      </c>
      <c r="D77" s="56">
        <v>1410.4559999999999</v>
      </c>
      <c r="E77" s="63">
        <f t="shared" si="8"/>
        <v>1.0099996029652822</v>
      </c>
      <c r="F77" s="173">
        <v>1424.56</v>
      </c>
      <c r="G77" s="57">
        <f t="shared" si="9"/>
        <v>18.387425768687596</v>
      </c>
      <c r="H77" s="85">
        <v>26193.9912530416</v>
      </c>
      <c r="I77" s="300" t="s">
        <v>284</v>
      </c>
      <c r="J77" s="60" t="s">
        <v>82</v>
      </c>
      <c r="K77" s="61" t="s">
        <v>82</v>
      </c>
      <c r="L77" s="61" t="s">
        <v>82</v>
      </c>
      <c r="M77" s="61" t="s">
        <v>82</v>
      </c>
      <c r="N77" s="61" t="s">
        <v>82</v>
      </c>
      <c r="O77" s="61" t="s">
        <v>82</v>
      </c>
      <c r="P77" s="61" t="s">
        <v>82</v>
      </c>
      <c r="Q77" s="61" t="s">
        <v>82</v>
      </c>
      <c r="R77" s="149">
        <v>1792827.9178878965</v>
      </c>
      <c r="S77" s="149">
        <v>1266054.4803132606</v>
      </c>
      <c r="T77" s="75">
        <f t="shared" si="10"/>
        <v>526773.43757463596</v>
      </c>
      <c r="U77" s="63">
        <f t="shared" si="11"/>
        <v>1.4160748575719238</v>
      </c>
      <c r="V77" s="196">
        <v>5863</v>
      </c>
      <c r="W77" s="203" t="s">
        <v>235</v>
      </c>
    </row>
    <row r="78" spans="2:23" x14ac:dyDescent="0.35">
      <c r="B78" s="2" t="s">
        <v>223</v>
      </c>
      <c r="C78" s="53" t="s">
        <v>81</v>
      </c>
      <c r="D78" s="56">
        <v>30688.042000000001</v>
      </c>
      <c r="E78" s="63">
        <f t="shared" si="8"/>
        <v>0.82192526326704052</v>
      </c>
      <c r="F78" s="173">
        <v>25223.276999999998</v>
      </c>
      <c r="G78" s="57">
        <f t="shared" si="9"/>
        <v>9.9219184535380958</v>
      </c>
      <c r="H78" s="85">
        <v>250263.297525003</v>
      </c>
      <c r="I78" s="146">
        <f>7648677.17+5194845</f>
        <v>12843522.17</v>
      </c>
      <c r="J78" s="287">
        <f t="shared" si="2"/>
        <v>5.2618017112646194E-2</v>
      </c>
      <c r="K78" s="61" t="s">
        <v>82</v>
      </c>
      <c r="L78" s="61" t="s">
        <v>82</v>
      </c>
      <c r="M78" s="61" t="s">
        <v>82</v>
      </c>
      <c r="N78" s="61" t="s">
        <v>82</v>
      </c>
      <c r="O78" s="61" t="s">
        <v>82</v>
      </c>
      <c r="P78" s="61" t="s">
        <v>82</v>
      </c>
      <c r="Q78" s="61" t="s">
        <v>82</v>
      </c>
      <c r="R78" s="149">
        <v>9994603.8740698211</v>
      </c>
      <c r="S78" s="149">
        <v>12231952.46861697</v>
      </c>
      <c r="T78" s="75">
        <f t="shared" si="10"/>
        <v>-2237348.5945471488</v>
      </c>
      <c r="U78" s="63">
        <f t="shared" si="11"/>
        <v>0.81708982271739328</v>
      </c>
      <c r="V78" s="197">
        <v>664112</v>
      </c>
      <c r="W78" s="199" t="s">
        <v>141</v>
      </c>
    </row>
    <row r="79" spans="2:23" x14ac:dyDescent="0.35">
      <c r="B79" s="2" t="s">
        <v>224</v>
      </c>
      <c r="C79" s="53" t="s">
        <v>81</v>
      </c>
      <c r="D79" s="56">
        <v>5665.3270000000002</v>
      </c>
      <c r="E79" s="63">
        <f t="shared" si="8"/>
        <v>0.96931633425572783</v>
      </c>
      <c r="F79" s="173">
        <v>5491.4939999999997</v>
      </c>
      <c r="G79" s="57">
        <f t="shared" si="9"/>
        <v>7.9955101939348747</v>
      </c>
      <c r="H79" s="85">
        <v>43907.296256932197</v>
      </c>
      <c r="I79" s="3">
        <f>2048593.36+1107819</f>
        <v>3156412.3600000003</v>
      </c>
      <c r="J79" s="287">
        <f t="shared" si="2"/>
        <v>7.3383405737329918E-2</v>
      </c>
      <c r="K79" s="61" t="s">
        <v>82</v>
      </c>
      <c r="L79" s="61" t="s">
        <v>82</v>
      </c>
      <c r="M79" s="61" t="s">
        <v>82</v>
      </c>
      <c r="N79" s="61" t="s">
        <v>82</v>
      </c>
      <c r="O79" s="61" t="s">
        <v>82</v>
      </c>
      <c r="P79" s="61" t="s">
        <v>82</v>
      </c>
      <c r="Q79" s="61" t="s">
        <v>82</v>
      </c>
      <c r="R79" s="153">
        <v>2179964.2957432582</v>
      </c>
      <c r="S79" s="153">
        <v>1551107.8034082158</v>
      </c>
      <c r="T79" s="75">
        <f t="shared" si="10"/>
        <v>628856.49233504245</v>
      </c>
      <c r="U79" s="63">
        <f t="shared" si="11"/>
        <v>1.405424104600125</v>
      </c>
      <c r="V79" s="197">
        <v>164740</v>
      </c>
      <c r="W79" s="199" t="s">
        <v>141</v>
      </c>
    </row>
    <row r="80" spans="2:23" x14ac:dyDescent="0.35">
      <c r="B80" s="2" t="s">
        <v>127</v>
      </c>
      <c r="C80" s="53" t="s">
        <v>81</v>
      </c>
      <c r="D80" s="56">
        <v>1450.191</v>
      </c>
      <c r="E80" s="63">
        <f t="shared" si="8"/>
        <v>0.64999989656534896</v>
      </c>
      <c r="F80" s="173">
        <v>942.62400000000002</v>
      </c>
      <c r="G80" s="57">
        <f t="shared" si="9"/>
        <v>18</v>
      </c>
      <c r="H80" s="85">
        <v>16967.232</v>
      </c>
      <c r="I80" s="3">
        <f>334655.94+228288</f>
        <v>562943.93999999994</v>
      </c>
      <c r="J80" s="287">
        <f t="shared" si="2"/>
        <v>3.4647044784264232E-2</v>
      </c>
      <c r="K80" s="61" t="s">
        <v>82</v>
      </c>
      <c r="L80" s="61" t="s">
        <v>82</v>
      </c>
      <c r="M80" s="61" t="s">
        <v>82</v>
      </c>
      <c r="N80" s="61" t="s">
        <v>82</v>
      </c>
      <c r="O80" s="61" t="s">
        <v>82</v>
      </c>
      <c r="P80" s="61" t="s">
        <v>82</v>
      </c>
      <c r="Q80" s="61" t="s">
        <v>82</v>
      </c>
      <c r="R80" s="3">
        <v>1392682.1731526847</v>
      </c>
      <c r="S80" s="3">
        <v>1407960.6130000004</v>
      </c>
      <c r="T80" s="75">
        <f t="shared" si="10"/>
        <v>-15278.439847315662</v>
      </c>
      <c r="U80" s="63">
        <f t="shared" si="11"/>
        <v>0.98914853177976247</v>
      </c>
      <c r="V80" s="108">
        <v>1209</v>
      </c>
      <c r="W80" s="199" t="s">
        <v>239</v>
      </c>
    </row>
    <row r="81" spans="2:23" x14ac:dyDescent="0.35">
      <c r="B81" s="224" t="s">
        <v>232</v>
      </c>
      <c r="C81" s="186" t="s">
        <v>137</v>
      </c>
      <c r="D81" s="193">
        <v>21383.364000000001</v>
      </c>
      <c r="E81" s="63">
        <f t="shared" si="8"/>
        <v>1</v>
      </c>
      <c r="F81" s="173">
        <v>21383.364000000001</v>
      </c>
      <c r="G81" s="57">
        <f t="shared" si="9"/>
        <v>4.7697360674650158</v>
      </c>
      <c r="H81" s="56">
        <v>101993.002514533</v>
      </c>
      <c r="I81" s="1">
        <f>1329902.71+908060</f>
        <v>2237962.71</v>
      </c>
      <c r="J81" s="287">
        <f t="shared" si="2"/>
        <v>2.2234338965597168E-2</v>
      </c>
      <c r="K81" s="61" t="s">
        <v>82</v>
      </c>
      <c r="L81" s="61" t="s">
        <v>82</v>
      </c>
      <c r="M81" s="61" t="s">
        <v>82</v>
      </c>
      <c r="N81" s="61" t="s">
        <v>82</v>
      </c>
      <c r="O81" s="61" t="s">
        <v>82</v>
      </c>
      <c r="P81" s="61" t="s">
        <v>82</v>
      </c>
      <c r="Q81" s="61" t="s">
        <v>82</v>
      </c>
      <c r="R81" s="367" t="s">
        <v>82</v>
      </c>
      <c r="S81" s="367" t="s">
        <v>82</v>
      </c>
      <c r="T81" s="367" t="s">
        <v>82</v>
      </c>
      <c r="U81" s="367" t="s">
        <v>82</v>
      </c>
      <c r="V81" s="260">
        <v>1329057</v>
      </c>
      <c r="W81" s="204" t="s">
        <v>236</v>
      </c>
    </row>
    <row r="82" spans="2:23" x14ac:dyDescent="0.35">
      <c r="B82" s="224" t="s">
        <v>286</v>
      </c>
      <c r="C82" s="186" t="s">
        <v>137</v>
      </c>
      <c r="D82" s="180">
        <v>1305.0360000000001</v>
      </c>
      <c r="E82" s="63">
        <f t="shared" si="8"/>
        <v>0.86346353663806985</v>
      </c>
      <c r="F82" s="173">
        <v>1126.8510000000001</v>
      </c>
      <c r="G82" s="57">
        <f t="shared" si="9"/>
        <v>4.0384849692881835</v>
      </c>
      <c r="H82" s="56">
        <v>4550.7708261273592</v>
      </c>
      <c r="I82" s="1">
        <v>432355.44</v>
      </c>
      <c r="J82" s="287">
        <f t="shared" si="2"/>
        <v>9.6110628115301119E-2</v>
      </c>
      <c r="K82" s="61" t="s">
        <v>82</v>
      </c>
      <c r="L82" s="61" t="s">
        <v>82</v>
      </c>
      <c r="M82" s="61" t="s">
        <v>82</v>
      </c>
      <c r="N82" s="61" t="s">
        <v>82</v>
      </c>
      <c r="O82" s="61" t="s">
        <v>82</v>
      </c>
      <c r="P82" s="61" t="s">
        <v>82</v>
      </c>
      <c r="Q82" s="61" t="s">
        <v>82</v>
      </c>
      <c r="R82" s="367" t="s">
        <v>82</v>
      </c>
      <c r="S82" s="367" t="s">
        <v>82</v>
      </c>
      <c r="T82" s="367" t="s">
        <v>82</v>
      </c>
      <c r="U82" s="367" t="s">
        <v>82</v>
      </c>
      <c r="V82" s="108">
        <v>17716</v>
      </c>
      <c r="W82" s="115" t="s">
        <v>141</v>
      </c>
    </row>
    <row r="83" spans="2:23" x14ac:dyDescent="0.35">
      <c r="B83" s="224" t="s">
        <v>187</v>
      </c>
      <c r="C83" s="186" t="s">
        <v>137</v>
      </c>
      <c r="D83" s="63" t="s">
        <v>82</v>
      </c>
      <c r="E83" s="63" t="s">
        <v>82</v>
      </c>
      <c r="F83" s="173">
        <v>442029.13099999999</v>
      </c>
      <c r="G83" s="57">
        <f t="shared" si="9"/>
        <v>1</v>
      </c>
      <c r="H83" s="56">
        <v>442029.13099999999</v>
      </c>
      <c r="I83" s="1">
        <f>8208144.16+3196917</f>
        <v>11405061.16</v>
      </c>
      <c r="J83" s="287">
        <f t="shared" si="2"/>
        <v>2.5920292663552977E-2</v>
      </c>
      <c r="K83" s="61" t="s">
        <v>82</v>
      </c>
      <c r="L83" s="61" t="s">
        <v>82</v>
      </c>
      <c r="M83" s="61" t="s">
        <v>82</v>
      </c>
      <c r="N83" s="61" t="s">
        <v>82</v>
      </c>
      <c r="O83" s="61" t="s">
        <v>82</v>
      </c>
      <c r="P83" s="61" t="s">
        <v>82</v>
      </c>
      <c r="Q83" s="61" t="s">
        <v>82</v>
      </c>
      <c r="R83" s="1">
        <v>15852511.28326053</v>
      </c>
      <c r="S83" s="1">
        <v>10969244.08</v>
      </c>
      <c r="T83" s="75">
        <f t="shared" si="10"/>
        <v>4883267.2032605298</v>
      </c>
      <c r="U83" s="63">
        <f t="shared" si="11"/>
        <v>1.4451780968356873</v>
      </c>
      <c r="V83" s="108">
        <v>1995.2</v>
      </c>
      <c r="W83" s="205" t="s">
        <v>193</v>
      </c>
    </row>
    <row r="84" spans="2:23" x14ac:dyDescent="0.35">
      <c r="B84" s="224" t="s">
        <v>243</v>
      </c>
      <c r="C84" s="186" t="s">
        <v>137</v>
      </c>
      <c r="D84" s="56">
        <v>745030.46699999995</v>
      </c>
      <c r="E84" s="63">
        <f t="shared" si="8"/>
        <v>0.59474704810964463</v>
      </c>
      <c r="F84" s="173">
        <v>443104.67099999997</v>
      </c>
      <c r="G84" s="57">
        <f t="shared" si="9"/>
        <v>8.9474292940348175</v>
      </c>
      <c r="H84" s="56">
        <v>3964647.71362906</v>
      </c>
      <c r="I84" s="1">
        <f>31878441.76+22280436</f>
        <v>54158877.760000005</v>
      </c>
      <c r="J84" s="287">
        <f t="shared" si="2"/>
        <v>1.3974890038037225E-2</v>
      </c>
      <c r="K84" s="61" t="s">
        <v>82</v>
      </c>
      <c r="L84" s="61" t="s">
        <v>82</v>
      </c>
      <c r="M84" s="61" t="s">
        <v>82</v>
      </c>
      <c r="N84" s="61" t="s">
        <v>82</v>
      </c>
      <c r="O84" s="61" t="s">
        <v>82</v>
      </c>
      <c r="P84" s="61" t="s">
        <v>82</v>
      </c>
      <c r="Q84" s="61" t="s">
        <v>82</v>
      </c>
      <c r="R84" s="1">
        <v>210614170.31278324</v>
      </c>
      <c r="S84" s="1">
        <v>150455954.87980747</v>
      </c>
      <c r="T84" s="75">
        <f t="shared" si="10"/>
        <v>60158215.432975769</v>
      </c>
      <c r="U84" s="63">
        <f t="shared" si="11"/>
        <v>1.3998393781158975</v>
      </c>
      <c r="V84" s="108">
        <v>20060412</v>
      </c>
      <c r="W84" s="115" t="s">
        <v>236</v>
      </c>
    </row>
    <row r="85" spans="2:23" x14ac:dyDescent="0.35">
      <c r="B85" s="224" t="s">
        <v>244</v>
      </c>
      <c r="C85" s="186" t="s">
        <v>137</v>
      </c>
      <c r="D85" s="56">
        <v>34429.116000000002</v>
      </c>
      <c r="E85" s="63">
        <f t="shared" si="8"/>
        <v>0.60342011104787008</v>
      </c>
      <c r="F85" s="173">
        <v>20775.221000000001</v>
      </c>
      <c r="G85" s="57">
        <f t="shared" si="9"/>
        <v>4.2380809823149699</v>
      </c>
      <c r="H85" s="56">
        <v>88047.069023490592</v>
      </c>
      <c r="I85" s="1">
        <v>0</v>
      </c>
      <c r="J85" s="60" t="s">
        <v>82</v>
      </c>
      <c r="K85" s="61" t="s">
        <v>82</v>
      </c>
      <c r="L85" s="61" t="s">
        <v>82</v>
      </c>
      <c r="M85" s="61" t="s">
        <v>82</v>
      </c>
      <c r="N85" s="61" t="s">
        <v>82</v>
      </c>
      <c r="O85" s="61" t="s">
        <v>82</v>
      </c>
      <c r="P85" s="61" t="s">
        <v>82</v>
      </c>
      <c r="Q85" s="61" t="s">
        <v>82</v>
      </c>
      <c r="R85" s="1">
        <v>4063520.2234800532</v>
      </c>
      <c r="S85" s="1">
        <v>0</v>
      </c>
      <c r="T85" s="75">
        <f t="shared" si="10"/>
        <v>4063520.2234800532</v>
      </c>
      <c r="U85" s="63" t="s">
        <v>82</v>
      </c>
      <c r="V85" s="108">
        <v>1055558</v>
      </c>
      <c r="W85" s="206" t="s">
        <v>236</v>
      </c>
    </row>
    <row r="86" spans="2:23" ht="14.5" customHeight="1" x14ac:dyDescent="0.35">
      <c r="B86" s="224" t="s">
        <v>245</v>
      </c>
      <c r="C86" s="53" t="s">
        <v>81</v>
      </c>
      <c r="D86" s="56">
        <v>41574.845999999998</v>
      </c>
      <c r="E86" s="63">
        <f t="shared" si="8"/>
        <v>0.62767087579831327</v>
      </c>
      <c r="F86" s="173">
        <v>26095.32</v>
      </c>
      <c r="G86" s="57">
        <f t="shared" si="9"/>
        <v>4.2380809823149903</v>
      </c>
      <c r="H86" s="56">
        <v>110594.079419424</v>
      </c>
      <c r="I86" s="1">
        <v>0</v>
      </c>
      <c r="J86" s="60" t="s">
        <v>82</v>
      </c>
      <c r="K86" s="61" t="s">
        <v>82</v>
      </c>
      <c r="L86" s="61" t="s">
        <v>82</v>
      </c>
      <c r="M86" s="61" t="s">
        <v>82</v>
      </c>
      <c r="N86" s="61" t="s">
        <v>82</v>
      </c>
      <c r="O86" s="61" t="s">
        <v>82</v>
      </c>
      <c r="P86" s="61" t="s">
        <v>82</v>
      </c>
      <c r="Q86" s="61" t="s">
        <v>82</v>
      </c>
      <c r="R86" s="1">
        <v>4287484.6135254214</v>
      </c>
      <c r="S86" s="1">
        <v>0</v>
      </c>
      <c r="T86" s="75">
        <f t="shared" si="10"/>
        <v>4287484.6135254214</v>
      </c>
      <c r="U86" s="63" t="s">
        <v>82</v>
      </c>
      <c r="V86" s="108">
        <v>1317793</v>
      </c>
      <c r="W86" s="206" t="s">
        <v>236</v>
      </c>
    </row>
    <row r="87" spans="2:23" x14ac:dyDescent="0.35">
      <c r="B87" s="224" t="s">
        <v>231</v>
      </c>
      <c r="C87" s="186" t="s">
        <v>137</v>
      </c>
      <c r="D87" s="56">
        <v>5581.491</v>
      </c>
      <c r="E87" s="63">
        <f t="shared" si="8"/>
        <v>1</v>
      </c>
      <c r="F87" s="173">
        <v>5581.491</v>
      </c>
      <c r="G87" s="57">
        <f t="shared" si="9"/>
        <v>6.9678407079446867</v>
      </c>
      <c r="H87" s="56">
        <v>38890.940200826895</v>
      </c>
      <c r="I87" s="1">
        <f>1438651.84+738468</f>
        <v>2177119.84</v>
      </c>
      <c r="J87" s="287">
        <f t="shared" ref="J87:J92" si="12">-PMT( 0.46%,G87,I87)/(F87*1000)</f>
        <v>5.7010705454127529E-2</v>
      </c>
      <c r="K87" s="61" t="s">
        <v>82</v>
      </c>
      <c r="L87" s="61" t="s">
        <v>82</v>
      </c>
      <c r="M87" s="61" t="s">
        <v>82</v>
      </c>
      <c r="N87" s="61" t="s">
        <v>82</v>
      </c>
      <c r="O87" s="61" t="s">
        <v>82</v>
      </c>
      <c r="P87" s="61" t="s">
        <v>82</v>
      </c>
      <c r="Q87" s="61" t="s">
        <v>82</v>
      </c>
      <c r="R87" s="367" t="s">
        <v>82</v>
      </c>
      <c r="S87" s="367" t="s">
        <v>82</v>
      </c>
      <c r="T87" s="367" t="s">
        <v>82</v>
      </c>
      <c r="U87" s="367" t="s">
        <v>82</v>
      </c>
      <c r="V87" s="108">
        <v>183179</v>
      </c>
      <c r="W87" s="206" t="s">
        <v>238</v>
      </c>
    </row>
    <row r="88" spans="2:23" x14ac:dyDescent="0.35">
      <c r="B88" s="224" t="s">
        <v>153</v>
      </c>
      <c r="C88" s="186" t="s">
        <v>137</v>
      </c>
      <c r="D88" s="180">
        <v>2232.2829999999999</v>
      </c>
      <c r="E88" s="63">
        <f t="shared" si="8"/>
        <v>1</v>
      </c>
      <c r="F88" s="173">
        <v>2232.2829999999999</v>
      </c>
      <c r="G88" s="57">
        <f t="shared" si="9"/>
        <v>5.8792518690506537</v>
      </c>
      <c r="H88" s="56">
        <v>13124.154</v>
      </c>
      <c r="I88" s="1">
        <f>776594.36+235168</f>
        <v>1011762.36</v>
      </c>
      <c r="J88" s="287">
        <f t="shared" si="12"/>
        <v>7.8315942659275523E-2</v>
      </c>
      <c r="K88" s="61" t="s">
        <v>82</v>
      </c>
      <c r="L88" s="61" t="s">
        <v>82</v>
      </c>
      <c r="M88" s="61" t="s">
        <v>82</v>
      </c>
      <c r="N88" s="61" t="s">
        <v>82</v>
      </c>
      <c r="O88" s="61" t="s">
        <v>82</v>
      </c>
      <c r="P88" s="61" t="s">
        <v>82</v>
      </c>
      <c r="Q88" s="61" t="s">
        <v>82</v>
      </c>
      <c r="R88" s="367" t="s">
        <v>82</v>
      </c>
      <c r="S88" s="367" t="s">
        <v>82</v>
      </c>
      <c r="T88" s="367" t="s">
        <v>82</v>
      </c>
      <c r="U88" s="367" t="s">
        <v>82</v>
      </c>
      <c r="V88" s="108">
        <v>55530</v>
      </c>
      <c r="W88" s="207" t="s">
        <v>141</v>
      </c>
    </row>
    <row r="89" spans="2:23" x14ac:dyDescent="0.35">
      <c r="B89" s="317" t="s">
        <v>305</v>
      </c>
      <c r="C89" s="186" t="s">
        <v>137</v>
      </c>
      <c r="D89" s="63" t="s">
        <v>82</v>
      </c>
      <c r="E89" s="63" t="s">
        <v>82</v>
      </c>
      <c r="F89" s="318">
        <v>2190.9659999999999</v>
      </c>
      <c r="G89" s="57">
        <f t="shared" si="9"/>
        <v>1</v>
      </c>
      <c r="H89" s="318">
        <v>2190.9659999999999</v>
      </c>
      <c r="I89" s="319">
        <v>0</v>
      </c>
      <c r="J89" s="287">
        <f t="shared" si="12"/>
        <v>0</v>
      </c>
      <c r="K89" s="61" t="s">
        <v>82</v>
      </c>
      <c r="L89" s="61" t="s">
        <v>82</v>
      </c>
      <c r="M89" s="61" t="s">
        <v>82</v>
      </c>
      <c r="N89" s="61" t="s">
        <v>82</v>
      </c>
      <c r="O89" s="61" t="s">
        <v>82</v>
      </c>
      <c r="P89" s="61" t="s">
        <v>82</v>
      </c>
      <c r="Q89" s="61" t="s">
        <v>82</v>
      </c>
      <c r="R89" s="367" t="s">
        <v>82</v>
      </c>
      <c r="S89" s="367" t="s">
        <v>82</v>
      </c>
      <c r="T89" s="367" t="s">
        <v>82</v>
      </c>
      <c r="U89" s="367" t="s">
        <v>82</v>
      </c>
      <c r="V89" s="290">
        <v>8329</v>
      </c>
      <c r="W89" s="60" t="s">
        <v>193</v>
      </c>
    </row>
    <row r="90" spans="2:23" x14ac:dyDescent="0.35">
      <c r="B90" s="224" t="s">
        <v>160</v>
      </c>
      <c r="C90" s="186" t="s">
        <v>137</v>
      </c>
      <c r="D90" s="63" t="s">
        <v>82</v>
      </c>
      <c r="E90" s="63" t="s">
        <v>82</v>
      </c>
      <c r="F90" s="173">
        <v>530</v>
      </c>
      <c r="G90" s="57">
        <f t="shared" ref="G90" si="13">H90/F90</f>
        <v>1</v>
      </c>
      <c r="H90" s="56">
        <v>530</v>
      </c>
      <c r="I90" s="1">
        <v>60000</v>
      </c>
      <c r="J90" s="287">
        <f t="shared" ref="J90" si="14">-PMT( 0.46%,G90,I90)/(F90*1000)</f>
        <v>0.11372830188679246</v>
      </c>
      <c r="K90" s="61" t="s">
        <v>82</v>
      </c>
      <c r="L90" s="61" t="s">
        <v>82</v>
      </c>
      <c r="M90" s="61" t="s">
        <v>82</v>
      </c>
      <c r="N90" s="61" t="s">
        <v>82</v>
      </c>
      <c r="O90" s="61" t="s">
        <v>82</v>
      </c>
      <c r="P90" s="61" t="s">
        <v>82</v>
      </c>
      <c r="Q90" s="61" t="s">
        <v>82</v>
      </c>
      <c r="R90" s="367" t="s">
        <v>82</v>
      </c>
      <c r="S90" s="367" t="s">
        <v>82</v>
      </c>
      <c r="T90" s="367" t="s">
        <v>82</v>
      </c>
      <c r="U90" s="367" t="s">
        <v>82</v>
      </c>
      <c r="V90" s="108">
        <v>0</v>
      </c>
      <c r="W90" s="205" t="s">
        <v>242</v>
      </c>
    </row>
    <row r="91" spans="2:23" ht="14.5" customHeight="1" x14ac:dyDescent="0.35">
      <c r="B91" s="2" t="s">
        <v>330</v>
      </c>
      <c r="C91" s="53" t="s">
        <v>295</v>
      </c>
      <c r="D91" s="117">
        <v>458.76100000000002</v>
      </c>
      <c r="E91" s="283">
        <f>F91/D91</f>
        <v>0.83999947685178111</v>
      </c>
      <c r="F91" s="117">
        <v>385.35899999999998</v>
      </c>
      <c r="G91" s="61" t="s">
        <v>82</v>
      </c>
      <c r="H91" s="61" t="s">
        <v>82</v>
      </c>
      <c r="I91" s="61" t="s">
        <v>82</v>
      </c>
      <c r="J91" s="61" t="s">
        <v>82</v>
      </c>
      <c r="K91" s="61" t="s">
        <v>82</v>
      </c>
      <c r="L91" s="61" t="s">
        <v>82</v>
      </c>
      <c r="M91" s="61" t="s">
        <v>82</v>
      </c>
      <c r="N91" s="61" t="s">
        <v>82</v>
      </c>
      <c r="O91" s="61" t="s">
        <v>82</v>
      </c>
      <c r="P91" s="61" t="s">
        <v>82</v>
      </c>
      <c r="Q91" s="61" t="s">
        <v>82</v>
      </c>
      <c r="R91" s="367" t="s">
        <v>82</v>
      </c>
      <c r="S91" s="367" t="s">
        <v>82</v>
      </c>
      <c r="T91" s="367" t="s">
        <v>82</v>
      </c>
      <c r="U91" s="367" t="s">
        <v>82</v>
      </c>
      <c r="V91" s="367" t="s">
        <v>82</v>
      </c>
      <c r="W91" s="367" t="s">
        <v>82</v>
      </c>
    </row>
    <row r="92" spans="2:23" x14ac:dyDescent="0.35">
      <c r="B92" s="4" t="s">
        <v>8</v>
      </c>
      <c r="C92" s="4"/>
      <c r="D92" s="65">
        <f>SUM(D73:D91)</f>
        <v>1025702.3630000001</v>
      </c>
      <c r="E92" s="69">
        <f>F92/D92</f>
        <v>1.069893561315701</v>
      </c>
      <c r="F92" s="65">
        <f>SUM(F73:F91)</f>
        <v>1097392.3540000001</v>
      </c>
      <c r="G92" s="118">
        <f>H92/F92</f>
        <v>5.6333865647088528</v>
      </c>
      <c r="H92" s="71">
        <f>SUM(H73:H91)</f>
        <v>6182035.3432378219</v>
      </c>
      <c r="I92" s="67">
        <f>SUM(I73:I91)</f>
        <v>133167370.85000001</v>
      </c>
      <c r="J92" s="248">
        <f t="shared" si="12"/>
        <v>2.1870835470746617E-2</v>
      </c>
      <c r="K92" s="68" t="s">
        <v>82</v>
      </c>
      <c r="L92" s="68" t="s">
        <v>82</v>
      </c>
      <c r="M92" s="68" t="s">
        <v>82</v>
      </c>
      <c r="N92" s="68" t="s">
        <v>82</v>
      </c>
      <c r="O92" s="68" t="s">
        <v>82</v>
      </c>
      <c r="P92" s="68" t="s">
        <v>82</v>
      </c>
      <c r="Q92" s="68" t="s">
        <v>82</v>
      </c>
      <c r="R92" s="72">
        <f>SUM(R73:R91)</f>
        <v>321945202.65956587</v>
      </c>
      <c r="S92" s="72">
        <f>SUM(S73:S91)</f>
        <v>248039304.15685406</v>
      </c>
      <c r="T92" s="72">
        <f t="shared" si="10"/>
        <v>73905898.502711803</v>
      </c>
      <c r="U92" s="73">
        <f t="shared" ref="U92" si="15">R92/S92</f>
        <v>1.2979604331415777</v>
      </c>
      <c r="V92" s="198">
        <f>SUM(V73:V91)</f>
        <v>25585483.199999999</v>
      </c>
      <c r="W92" s="68" t="s">
        <v>82</v>
      </c>
    </row>
    <row r="93" spans="2:23" ht="15.65" customHeight="1" x14ac:dyDescent="0.35">
      <c r="B93" s="425" t="s">
        <v>9</v>
      </c>
      <c r="C93" s="426"/>
      <c r="D93" s="426"/>
      <c r="E93" s="426"/>
      <c r="F93" s="426"/>
      <c r="G93" s="426"/>
      <c r="H93" s="426"/>
      <c r="I93" s="426"/>
      <c r="J93" s="426"/>
      <c r="K93" s="426"/>
      <c r="L93" s="426"/>
      <c r="M93" s="426"/>
      <c r="N93" s="426"/>
      <c r="O93" s="426"/>
      <c r="P93" s="426"/>
      <c r="Q93" s="426"/>
      <c r="R93" s="426"/>
      <c r="S93" s="426"/>
      <c r="T93" s="426"/>
      <c r="U93" s="426"/>
      <c r="V93" s="426"/>
      <c r="W93" s="427"/>
    </row>
    <row r="94" spans="2:23" x14ac:dyDescent="0.35">
      <c r="B94" s="2" t="s">
        <v>354</v>
      </c>
      <c r="C94" s="131" t="s">
        <v>333</v>
      </c>
      <c r="D94" s="109">
        <v>39.79</v>
      </c>
      <c r="E94" s="63">
        <f t="shared" ref="E94:E98" si="16">F94/D94</f>
        <v>1</v>
      </c>
      <c r="F94" s="117">
        <v>39.79</v>
      </c>
      <c r="G94" s="57">
        <f t="shared" ref="G94:G98" si="17">H94/F94</f>
        <v>14.223037813114527</v>
      </c>
      <c r="H94" s="117">
        <v>565.93467458382702</v>
      </c>
      <c r="I94" s="3">
        <v>1702357</v>
      </c>
      <c r="J94" s="287">
        <f t="shared" ref="J94" si="18">-PMT( 0.46%,G94,I94)/(F94*1000)</f>
        <v>3.1144308794075153</v>
      </c>
      <c r="K94" s="61" t="s">
        <v>82</v>
      </c>
      <c r="L94" s="61" t="s">
        <v>82</v>
      </c>
      <c r="M94" s="61" t="s">
        <v>82</v>
      </c>
      <c r="N94" s="61" t="s">
        <v>82</v>
      </c>
      <c r="O94" s="61" t="s">
        <v>82</v>
      </c>
      <c r="P94" s="61" t="s">
        <v>82</v>
      </c>
      <c r="Q94" s="61" t="s">
        <v>82</v>
      </c>
      <c r="R94" s="3">
        <v>34645.93429367007</v>
      </c>
      <c r="S94" s="3">
        <v>379505.38777047378</v>
      </c>
      <c r="T94" s="77">
        <f t="shared" si="10"/>
        <v>-344859.45347680373</v>
      </c>
      <c r="U94" s="55">
        <f>R94/S94</f>
        <v>9.1292338422937103E-2</v>
      </c>
      <c r="V94" s="117">
        <v>28588.25</v>
      </c>
      <c r="W94" s="199" t="s">
        <v>141</v>
      </c>
    </row>
    <row r="95" spans="2:23" ht="14.5" customHeight="1" x14ac:dyDescent="0.35">
      <c r="B95" s="2" t="s">
        <v>357</v>
      </c>
      <c r="C95" s="53" t="s">
        <v>295</v>
      </c>
      <c r="D95" s="117">
        <v>1609.739</v>
      </c>
      <c r="E95" s="283">
        <f>F95/D95</f>
        <v>1</v>
      </c>
      <c r="F95" s="117">
        <v>1609.739</v>
      </c>
      <c r="G95" s="61" t="s">
        <v>82</v>
      </c>
      <c r="H95" s="61" t="s">
        <v>82</v>
      </c>
      <c r="I95" s="61" t="s">
        <v>82</v>
      </c>
      <c r="J95" s="61" t="s">
        <v>82</v>
      </c>
      <c r="K95" s="61" t="s">
        <v>82</v>
      </c>
      <c r="L95" s="61" t="s">
        <v>82</v>
      </c>
      <c r="M95" s="61" t="s">
        <v>82</v>
      </c>
      <c r="N95" s="61" t="s">
        <v>82</v>
      </c>
      <c r="O95" s="61" t="s">
        <v>82</v>
      </c>
      <c r="P95" s="61" t="s">
        <v>82</v>
      </c>
      <c r="Q95" s="61" t="s">
        <v>82</v>
      </c>
      <c r="R95" s="367" t="s">
        <v>82</v>
      </c>
      <c r="S95" s="367" t="s">
        <v>82</v>
      </c>
      <c r="T95" s="367" t="s">
        <v>82</v>
      </c>
      <c r="U95" s="367" t="s">
        <v>82</v>
      </c>
      <c r="V95" s="367" t="s">
        <v>82</v>
      </c>
      <c r="W95" s="367" t="s">
        <v>82</v>
      </c>
    </row>
    <row r="96" spans="2:23" ht="14.5" customHeight="1" x14ac:dyDescent="0.35">
      <c r="B96" s="2" t="s">
        <v>358</v>
      </c>
      <c r="C96" s="131" t="s">
        <v>333</v>
      </c>
      <c r="D96" s="109">
        <v>801.87199999999996</v>
      </c>
      <c r="E96" s="63">
        <f t="shared" si="16"/>
        <v>1</v>
      </c>
      <c r="F96" s="117">
        <v>801.87199999999996</v>
      </c>
      <c r="G96" s="57">
        <f t="shared" si="17"/>
        <v>13.126365312642291</v>
      </c>
      <c r="H96" s="117">
        <v>10525.664805979099</v>
      </c>
      <c r="I96" s="294" t="s">
        <v>293</v>
      </c>
      <c r="J96" s="60" t="s">
        <v>82</v>
      </c>
      <c r="K96" s="61" t="s">
        <v>82</v>
      </c>
      <c r="L96" s="61" t="s">
        <v>82</v>
      </c>
      <c r="M96" s="61" t="s">
        <v>82</v>
      </c>
      <c r="N96" s="61" t="s">
        <v>82</v>
      </c>
      <c r="O96" s="61" t="s">
        <v>82</v>
      </c>
      <c r="P96" s="61" t="s">
        <v>82</v>
      </c>
      <c r="Q96" s="61" t="s">
        <v>82</v>
      </c>
      <c r="R96" s="3">
        <v>546833.4666683065</v>
      </c>
      <c r="S96" s="3">
        <v>474955.87731429446</v>
      </c>
      <c r="T96" s="77">
        <f t="shared" si="10"/>
        <v>71877.589354012045</v>
      </c>
      <c r="U96" s="55">
        <f t="shared" ref="U96:U101" si="19">R96/S96</f>
        <v>1.1513352982606597</v>
      </c>
      <c r="V96" s="117">
        <v>410097</v>
      </c>
      <c r="W96" s="199" t="s">
        <v>141</v>
      </c>
    </row>
    <row r="97" spans="2:23" ht="14.5" customHeight="1" x14ac:dyDescent="0.35">
      <c r="B97" s="2" t="s">
        <v>359</v>
      </c>
      <c r="C97" s="53" t="s">
        <v>295</v>
      </c>
      <c r="D97" s="117">
        <v>1912.722</v>
      </c>
      <c r="E97" s="283">
        <f>F97/D97</f>
        <v>1</v>
      </c>
      <c r="F97" s="117">
        <v>1912.722</v>
      </c>
      <c r="G97" s="61" t="s">
        <v>82</v>
      </c>
      <c r="H97" s="61" t="s">
        <v>82</v>
      </c>
      <c r="I97" s="61" t="s">
        <v>82</v>
      </c>
      <c r="J97" s="61" t="s">
        <v>82</v>
      </c>
      <c r="K97" s="61" t="s">
        <v>82</v>
      </c>
      <c r="L97" s="61" t="s">
        <v>82</v>
      </c>
      <c r="M97" s="61" t="s">
        <v>82</v>
      </c>
      <c r="N97" s="61" t="s">
        <v>82</v>
      </c>
      <c r="O97" s="61" t="s">
        <v>82</v>
      </c>
      <c r="P97" s="61" t="s">
        <v>82</v>
      </c>
      <c r="Q97" s="61" t="s">
        <v>82</v>
      </c>
      <c r="R97" s="367" t="s">
        <v>82</v>
      </c>
      <c r="S97" s="367" t="s">
        <v>82</v>
      </c>
      <c r="T97" s="367" t="s">
        <v>82</v>
      </c>
      <c r="U97" s="367" t="s">
        <v>82</v>
      </c>
      <c r="V97" s="367" t="s">
        <v>82</v>
      </c>
      <c r="W97" s="367" t="s">
        <v>82</v>
      </c>
    </row>
    <row r="98" spans="2:23" ht="14.5" customHeight="1" x14ac:dyDescent="0.35">
      <c r="B98" s="2" t="s">
        <v>355</v>
      </c>
      <c r="C98" s="131" t="s">
        <v>333</v>
      </c>
      <c r="D98" s="109">
        <v>1005.938</v>
      </c>
      <c r="E98" s="63">
        <f t="shared" si="16"/>
        <v>1</v>
      </c>
      <c r="F98" s="117">
        <v>1005.938</v>
      </c>
      <c r="G98" s="57">
        <f t="shared" si="17"/>
        <v>11.91240792245009</v>
      </c>
      <c r="H98" s="117">
        <v>11983.143800693599</v>
      </c>
      <c r="I98" s="3">
        <v>1270089</v>
      </c>
      <c r="J98" s="287">
        <f t="shared" ref="J98:J101" si="20">-PMT( 0.46%,G98,I98)/(F98*1000)</f>
        <v>0.10916364182750313</v>
      </c>
      <c r="K98" s="61" t="s">
        <v>82</v>
      </c>
      <c r="L98" s="61" t="s">
        <v>82</v>
      </c>
      <c r="M98" s="61" t="s">
        <v>82</v>
      </c>
      <c r="N98" s="61" t="s">
        <v>82</v>
      </c>
      <c r="O98" s="61" t="s">
        <v>82</v>
      </c>
      <c r="P98" s="61" t="s">
        <v>82</v>
      </c>
      <c r="Q98" s="61" t="s">
        <v>82</v>
      </c>
      <c r="R98" s="3">
        <v>486806.5434153438</v>
      </c>
      <c r="S98" s="3">
        <v>917352.72449733899</v>
      </c>
      <c r="T98" s="77">
        <f t="shared" si="10"/>
        <v>-430546.18108199519</v>
      </c>
      <c r="U98" s="55"/>
      <c r="V98" s="117">
        <v>10952</v>
      </c>
      <c r="W98" s="199" t="s">
        <v>141</v>
      </c>
    </row>
    <row r="99" spans="2:23" ht="14.5" customHeight="1" x14ac:dyDescent="0.35">
      <c r="B99" s="2" t="s">
        <v>356</v>
      </c>
      <c r="C99" s="131" t="s">
        <v>333</v>
      </c>
      <c r="D99" s="109">
        <v>613.60400000000004</v>
      </c>
      <c r="E99" s="63">
        <f t="shared" ref="E99" si="21">F99/D99</f>
        <v>1</v>
      </c>
      <c r="F99" s="117">
        <v>613.60400000000004</v>
      </c>
      <c r="G99" s="57">
        <f t="shared" ref="G99" si="22">H99/F99</f>
        <v>16.05336114007731</v>
      </c>
      <c r="H99" s="117">
        <v>9850.4066089959997</v>
      </c>
      <c r="I99" s="3">
        <f>10404.81+2221183</f>
        <v>2231587.81</v>
      </c>
      <c r="J99" s="287">
        <f t="shared" ref="J99" si="23">-PMT( 0.46%,G99,I99)/(F99*1000)</f>
        <v>0.23553591499149315</v>
      </c>
      <c r="K99" s="61" t="s">
        <v>82</v>
      </c>
      <c r="L99" s="61" t="s">
        <v>82</v>
      </c>
      <c r="M99" s="61" t="s">
        <v>82</v>
      </c>
      <c r="N99" s="61" t="s">
        <v>82</v>
      </c>
      <c r="O99" s="61" t="s">
        <v>82</v>
      </c>
      <c r="P99" s="61" t="s">
        <v>82</v>
      </c>
      <c r="Q99" s="61" t="s">
        <v>82</v>
      </c>
      <c r="R99" s="3">
        <v>450740.46091792808</v>
      </c>
      <c r="S99" s="3">
        <v>488751.41563173075</v>
      </c>
      <c r="T99" s="77">
        <f t="shared" ref="T99" si="24">R99-S99</f>
        <v>-38010.954713802668</v>
      </c>
      <c r="U99" s="55">
        <f t="shared" ref="U99" si="25">R99/S99</f>
        <v>0.92222845090960603</v>
      </c>
      <c r="V99" s="117">
        <v>178452</v>
      </c>
      <c r="W99" s="199" t="s">
        <v>141</v>
      </c>
    </row>
    <row r="100" spans="2:23" ht="14.5" customHeight="1" x14ac:dyDescent="0.35">
      <c r="B100" s="2" t="s">
        <v>360</v>
      </c>
      <c r="C100" s="53" t="s">
        <v>295</v>
      </c>
      <c r="D100" s="117">
        <v>4731.3670000000002</v>
      </c>
      <c r="E100" s="283">
        <f>F100/D100</f>
        <v>1</v>
      </c>
      <c r="F100" s="117">
        <v>4731.3670000000002</v>
      </c>
      <c r="G100" s="61" t="s">
        <v>82</v>
      </c>
      <c r="H100" s="61" t="s">
        <v>82</v>
      </c>
      <c r="I100" s="61" t="s">
        <v>82</v>
      </c>
      <c r="J100" s="61" t="s">
        <v>82</v>
      </c>
      <c r="K100" s="61" t="s">
        <v>82</v>
      </c>
      <c r="L100" s="61" t="s">
        <v>82</v>
      </c>
      <c r="M100" s="61" t="s">
        <v>82</v>
      </c>
      <c r="N100" s="61" t="s">
        <v>82</v>
      </c>
      <c r="O100" s="61" t="s">
        <v>82</v>
      </c>
      <c r="P100" s="61" t="s">
        <v>82</v>
      </c>
      <c r="Q100" s="61" t="s">
        <v>82</v>
      </c>
      <c r="R100" s="367" t="s">
        <v>82</v>
      </c>
      <c r="S100" s="367" t="s">
        <v>82</v>
      </c>
      <c r="T100" s="367" t="s">
        <v>82</v>
      </c>
      <c r="U100" s="367" t="s">
        <v>82</v>
      </c>
      <c r="V100" s="367" t="s">
        <v>82</v>
      </c>
      <c r="W100" s="367" t="s">
        <v>82</v>
      </c>
    </row>
    <row r="101" spans="2:23" ht="15.75" customHeight="1" x14ac:dyDescent="0.35">
      <c r="B101" s="4" t="s">
        <v>10</v>
      </c>
      <c r="C101" s="4"/>
      <c r="D101" s="71">
        <f>SUM(D94:D100)</f>
        <v>10715.031999999999</v>
      </c>
      <c r="E101" s="69">
        <f>F101/D101</f>
        <v>1</v>
      </c>
      <c r="F101" s="71">
        <f>SUM(F94:F100)</f>
        <v>10715.031999999999</v>
      </c>
      <c r="G101" s="118">
        <f>H101/F101</f>
        <v>3.0727999589970914</v>
      </c>
      <c r="H101" s="65">
        <f>SUM(H94:H100)</f>
        <v>32925.14989025252</v>
      </c>
      <c r="I101" s="67">
        <f>SUM(I94:I100)</f>
        <v>5204033.8100000005</v>
      </c>
      <c r="J101" s="248">
        <f t="shared" si="20"/>
        <v>0.15953942782488592</v>
      </c>
      <c r="K101" s="68" t="s">
        <v>82</v>
      </c>
      <c r="L101" s="68" t="s">
        <v>82</v>
      </c>
      <c r="M101" s="68" t="s">
        <v>82</v>
      </c>
      <c r="N101" s="68" t="s">
        <v>82</v>
      </c>
      <c r="O101" s="68" t="s">
        <v>82</v>
      </c>
      <c r="P101" s="68" t="s">
        <v>82</v>
      </c>
      <c r="Q101" s="68" t="s">
        <v>82</v>
      </c>
      <c r="R101" s="72">
        <f>SUM(R94:R100)</f>
        <v>1519026.4052952484</v>
      </c>
      <c r="S101" s="72">
        <f>SUM(S94:S100)</f>
        <v>2260565.405213838</v>
      </c>
      <c r="T101" s="72">
        <f t="shared" si="10"/>
        <v>-741538.9999185896</v>
      </c>
      <c r="U101" s="73">
        <f t="shared" si="19"/>
        <v>0.67196746521543627</v>
      </c>
      <c r="V101" s="74">
        <f>SUM(V94:V100)</f>
        <v>628089.25</v>
      </c>
      <c r="W101" s="68" t="s">
        <v>82</v>
      </c>
    </row>
    <row r="102" spans="2:23" ht="15.65" hidden="1" customHeight="1" x14ac:dyDescent="0.35">
      <c r="B102" s="409" t="s">
        <v>11</v>
      </c>
      <c r="C102" s="410"/>
      <c r="D102" s="410"/>
      <c r="E102" s="410"/>
      <c r="F102" s="410"/>
      <c r="G102" s="410"/>
      <c r="H102" s="410"/>
      <c r="I102" s="410"/>
      <c r="J102" s="410"/>
      <c r="K102" s="410"/>
      <c r="L102" s="410"/>
      <c r="M102" s="410"/>
      <c r="N102" s="410"/>
      <c r="O102" s="410"/>
      <c r="P102" s="410"/>
      <c r="Q102" s="410"/>
      <c r="R102" s="410"/>
      <c r="S102" s="410"/>
      <c r="T102" s="410"/>
      <c r="U102" s="410"/>
      <c r="V102" s="410"/>
      <c r="W102" s="410"/>
    </row>
    <row r="103" spans="2:23" hidden="1" x14ac:dyDescent="0.35">
      <c r="B103" s="2" t="s">
        <v>0</v>
      </c>
      <c r="C103" s="2"/>
      <c r="D103" s="2"/>
      <c r="E103" s="2"/>
      <c r="F103" s="3"/>
      <c r="G103" s="3"/>
      <c r="H103" s="3"/>
      <c r="I103" s="3"/>
      <c r="J103" s="60" t="e">
        <f t="shared" ref="J103:J107" si="26">-PMT( 0.46%,G103,I103)/F103*1000</f>
        <v>#NUM!</v>
      </c>
      <c r="K103" s="61" t="s">
        <v>82</v>
      </c>
      <c r="L103" s="61" t="s">
        <v>82</v>
      </c>
      <c r="M103" s="61" t="s">
        <v>82</v>
      </c>
      <c r="N103" s="61" t="s">
        <v>82</v>
      </c>
      <c r="O103" s="61" t="s">
        <v>82</v>
      </c>
      <c r="P103" s="61" t="s">
        <v>82</v>
      </c>
      <c r="Q103" s="61" t="s">
        <v>82</v>
      </c>
      <c r="R103" s="3"/>
      <c r="S103" s="3"/>
      <c r="T103" s="2"/>
      <c r="U103" s="55" t="e">
        <f>R103/S103</f>
        <v>#DIV/0!</v>
      </c>
      <c r="V103" s="3"/>
      <c r="W103" s="3"/>
    </row>
    <row r="104" spans="2:23" hidden="1" x14ac:dyDescent="0.35">
      <c r="B104" s="2" t="s">
        <v>0</v>
      </c>
      <c r="C104" s="2"/>
      <c r="D104" s="2"/>
      <c r="E104" s="2"/>
      <c r="F104" s="3"/>
      <c r="G104" s="3"/>
      <c r="H104" s="3"/>
      <c r="I104" s="3"/>
      <c r="J104" s="60" t="e">
        <f t="shared" si="26"/>
        <v>#NUM!</v>
      </c>
      <c r="K104" s="61" t="s">
        <v>82</v>
      </c>
      <c r="L104" s="61" t="s">
        <v>82</v>
      </c>
      <c r="M104" s="61" t="s">
        <v>82</v>
      </c>
      <c r="N104" s="61" t="s">
        <v>82</v>
      </c>
      <c r="O104" s="61" t="s">
        <v>82</v>
      </c>
      <c r="P104" s="61" t="s">
        <v>82</v>
      </c>
      <c r="Q104" s="61" t="s">
        <v>82</v>
      </c>
      <c r="R104" s="3"/>
      <c r="S104" s="3"/>
      <c r="T104" s="2"/>
      <c r="U104" s="55" t="e">
        <f t="shared" ref="U104:U108" si="27">R104/S104</f>
        <v>#DIV/0!</v>
      </c>
      <c r="V104" s="3"/>
      <c r="W104" s="3"/>
    </row>
    <row r="105" spans="2:23" hidden="1" x14ac:dyDescent="0.35">
      <c r="B105" s="2" t="s">
        <v>0</v>
      </c>
      <c r="C105" s="2"/>
      <c r="D105" s="18"/>
      <c r="E105" s="18"/>
      <c r="F105" s="19"/>
      <c r="G105" s="19"/>
      <c r="H105" s="19"/>
      <c r="I105" s="19"/>
      <c r="J105" s="60" t="e">
        <f t="shared" si="26"/>
        <v>#NUM!</v>
      </c>
      <c r="K105" s="61" t="s">
        <v>82</v>
      </c>
      <c r="L105" s="61" t="s">
        <v>82</v>
      </c>
      <c r="M105" s="61" t="s">
        <v>82</v>
      </c>
      <c r="N105" s="61" t="s">
        <v>82</v>
      </c>
      <c r="O105" s="61" t="s">
        <v>82</v>
      </c>
      <c r="P105" s="61" t="s">
        <v>82</v>
      </c>
      <c r="Q105" s="61" t="s">
        <v>82</v>
      </c>
      <c r="R105" s="19"/>
      <c r="S105" s="19"/>
      <c r="T105" s="18"/>
      <c r="U105" s="55" t="e">
        <f t="shared" si="27"/>
        <v>#DIV/0!</v>
      </c>
      <c r="V105" s="19"/>
      <c r="W105" s="19"/>
    </row>
    <row r="106" spans="2:23" hidden="1" x14ac:dyDescent="0.35">
      <c r="B106" s="2" t="s">
        <v>0</v>
      </c>
      <c r="C106" s="2"/>
      <c r="D106" s="18"/>
      <c r="E106" s="18"/>
      <c r="F106" s="19"/>
      <c r="G106" s="19"/>
      <c r="H106" s="19"/>
      <c r="I106" s="19"/>
      <c r="J106" s="60" t="e">
        <f t="shared" si="26"/>
        <v>#NUM!</v>
      </c>
      <c r="K106" s="61" t="s">
        <v>82</v>
      </c>
      <c r="L106" s="61" t="s">
        <v>82</v>
      </c>
      <c r="M106" s="61" t="s">
        <v>82</v>
      </c>
      <c r="N106" s="61" t="s">
        <v>82</v>
      </c>
      <c r="O106" s="61" t="s">
        <v>82</v>
      </c>
      <c r="P106" s="61" t="s">
        <v>82</v>
      </c>
      <c r="Q106" s="61" t="s">
        <v>82</v>
      </c>
      <c r="R106" s="19"/>
      <c r="S106" s="19"/>
      <c r="T106" s="18"/>
      <c r="U106" s="55" t="e">
        <f t="shared" si="27"/>
        <v>#DIV/0!</v>
      </c>
      <c r="V106" s="19"/>
      <c r="W106" s="19"/>
    </row>
    <row r="107" spans="2:23" hidden="1" x14ac:dyDescent="0.35">
      <c r="B107" s="2" t="s">
        <v>0</v>
      </c>
      <c r="C107" s="2"/>
      <c r="D107" s="18"/>
      <c r="E107" s="18"/>
      <c r="F107" s="19"/>
      <c r="G107" s="19"/>
      <c r="H107" s="19"/>
      <c r="I107" s="19"/>
      <c r="J107" s="60" t="e">
        <f t="shared" si="26"/>
        <v>#NUM!</v>
      </c>
      <c r="K107" s="61" t="s">
        <v>82</v>
      </c>
      <c r="L107" s="61" t="s">
        <v>82</v>
      </c>
      <c r="M107" s="61" t="s">
        <v>82</v>
      </c>
      <c r="N107" s="61" t="s">
        <v>82</v>
      </c>
      <c r="O107" s="61" t="s">
        <v>82</v>
      </c>
      <c r="P107" s="61" t="s">
        <v>82</v>
      </c>
      <c r="Q107" s="61" t="s">
        <v>82</v>
      </c>
      <c r="R107" s="19"/>
      <c r="S107" s="19"/>
      <c r="T107" s="18"/>
      <c r="U107" s="55" t="e">
        <f t="shared" si="27"/>
        <v>#DIV/0!</v>
      </c>
      <c r="V107" s="19"/>
      <c r="W107" s="19"/>
    </row>
    <row r="108" spans="2:23" ht="35.15" hidden="1" customHeight="1" x14ac:dyDescent="0.35">
      <c r="B108" s="24" t="s">
        <v>12</v>
      </c>
      <c r="C108" s="24"/>
      <c r="D108" s="65">
        <f>SUM(D103:D107)</f>
        <v>0</v>
      </c>
      <c r="E108" s="69" t="e">
        <f>F108/D108</f>
        <v>#DIV/0!</v>
      </c>
      <c r="F108" s="65">
        <f>SUM(F103:F107)</f>
        <v>0</v>
      </c>
      <c r="G108" s="70" t="e">
        <f>H108/F108</f>
        <v>#DIV/0!</v>
      </c>
      <c r="H108" s="65">
        <f>SUM(H103:H107)</f>
        <v>0</v>
      </c>
      <c r="I108" s="67">
        <f>SUM(I103:I107)</f>
        <v>0</v>
      </c>
      <c r="J108" s="88" t="e">
        <f>-PMT( 0.46%,G108,I108)/F108*1000</f>
        <v>#DIV/0!</v>
      </c>
      <c r="K108" s="68" t="s">
        <v>82</v>
      </c>
      <c r="L108" s="68" t="s">
        <v>82</v>
      </c>
      <c r="M108" s="68" t="s">
        <v>82</v>
      </c>
      <c r="N108" s="68" t="s">
        <v>82</v>
      </c>
      <c r="O108" s="68" t="s">
        <v>82</v>
      </c>
      <c r="P108" s="68" t="s">
        <v>82</v>
      </c>
      <c r="Q108" s="68" t="s">
        <v>82</v>
      </c>
      <c r="R108" s="72">
        <f>SUM(R103:R107)</f>
        <v>0</v>
      </c>
      <c r="S108" s="72">
        <f>SUM(S103:S107)</f>
        <v>0</v>
      </c>
      <c r="T108" s="72">
        <f>SUM(T103:T107)</f>
        <v>0</v>
      </c>
      <c r="U108" s="73" t="e">
        <f t="shared" si="27"/>
        <v>#DIV/0!</v>
      </c>
      <c r="V108" s="74">
        <f>SUM(V103:V107)</f>
        <v>0</v>
      </c>
      <c r="W108" s="68" t="s">
        <v>82</v>
      </c>
    </row>
    <row r="109" spans="2:23" x14ac:dyDescent="0.35">
      <c r="B109" s="409" t="s">
        <v>16</v>
      </c>
      <c r="C109" s="410"/>
      <c r="D109" s="410"/>
      <c r="E109" s="410"/>
      <c r="F109" s="410"/>
      <c r="G109" s="410"/>
      <c r="H109" s="410"/>
      <c r="I109" s="410"/>
      <c r="J109" s="410"/>
      <c r="K109" s="410"/>
      <c r="L109" s="410"/>
      <c r="M109" s="410"/>
      <c r="N109" s="410"/>
      <c r="O109" s="410"/>
      <c r="P109" s="410"/>
      <c r="Q109" s="410"/>
      <c r="R109" s="410"/>
      <c r="S109" s="410"/>
      <c r="T109" s="410"/>
      <c r="U109" s="410"/>
      <c r="V109" s="410"/>
      <c r="W109" s="411"/>
    </row>
    <row r="110" spans="2:23" ht="16.149999999999999" customHeight="1" x14ac:dyDescent="0.35">
      <c r="B110" s="32" t="s">
        <v>220</v>
      </c>
      <c r="C110" s="53" t="s">
        <v>81</v>
      </c>
      <c r="D110" s="63" t="s">
        <v>82</v>
      </c>
      <c r="E110" s="63" t="s">
        <v>82</v>
      </c>
      <c r="F110" s="108">
        <v>276461.85499999998</v>
      </c>
      <c r="G110" s="57">
        <f t="shared" ref="G110:G113" si="28">H110/F110</f>
        <v>1</v>
      </c>
      <c r="H110" s="108">
        <v>276461.85499999998</v>
      </c>
      <c r="I110" s="312">
        <v>847322.5</v>
      </c>
      <c r="J110" s="287">
        <f t="shared" ref="J110" si="29">-PMT( 0.46%,G110,I110)/(F110*1000)</f>
        <v>3.0789787744859051E-3</v>
      </c>
      <c r="K110" s="61" t="s">
        <v>82</v>
      </c>
      <c r="L110" s="61" t="s">
        <v>82</v>
      </c>
      <c r="M110" s="61" t="s">
        <v>82</v>
      </c>
      <c r="N110" s="61" t="s">
        <v>82</v>
      </c>
      <c r="O110" s="61" t="s">
        <v>82</v>
      </c>
      <c r="P110" s="61" t="s">
        <v>82</v>
      </c>
      <c r="Q110" s="61" t="s">
        <v>82</v>
      </c>
      <c r="R110" s="316" t="s">
        <v>82</v>
      </c>
      <c r="S110" s="316" t="s">
        <v>82</v>
      </c>
      <c r="T110" s="316" t="s">
        <v>82</v>
      </c>
      <c r="U110" s="316" t="s">
        <v>82</v>
      </c>
      <c r="V110" s="108">
        <v>2666</v>
      </c>
      <c r="W110" s="115" t="s">
        <v>193</v>
      </c>
    </row>
    <row r="111" spans="2:23" ht="16.149999999999999" customHeight="1" x14ac:dyDescent="0.35">
      <c r="B111" s="32" t="s">
        <v>219</v>
      </c>
      <c r="C111" s="53" t="s">
        <v>81</v>
      </c>
      <c r="D111" s="254">
        <v>4621.8339999999998</v>
      </c>
      <c r="E111" s="63">
        <f t="shared" ref="E111" si="30">F111/D111</f>
        <v>0.94999993509070213</v>
      </c>
      <c r="F111" s="108">
        <v>4390.7420000000002</v>
      </c>
      <c r="G111" s="57">
        <f t="shared" si="28"/>
        <v>11.602296298742742</v>
      </c>
      <c r="H111" s="108">
        <v>50942.689655334303</v>
      </c>
      <c r="I111" s="61" t="s">
        <v>82</v>
      </c>
      <c r="J111" s="61" t="s">
        <v>82</v>
      </c>
      <c r="K111" s="61" t="s">
        <v>82</v>
      </c>
      <c r="L111" s="61" t="s">
        <v>82</v>
      </c>
      <c r="M111" s="61" t="s">
        <v>82</v>
      </c>
      <c r="N111" s="61" t="s">
        <v>82</v>
      </c>
      <c r="O111" s="61" t="s">
        <v>82</v>
      </c>
      <c r="P111" s="61" t="s">
        <v>82</v>
      </c>
      <c r="Q111" s="61" t="s">
        <v>82</v>
      </c>
      <c r="R111" s="316" t="s">
        <v>82</v>
      </c>
      <c r="S111" s="316" t="s">
        <v>82</v>
      </c>
      <c r="T111" s="316" t="s">
        <v>82</v>
      </c>
      <c r="U111" s="316" t="s">
        <v>82</v>
      </c>
      <c r="V111" s="108">
        <v>35183</v>
      </c>
      <c r="W111" s="115" t="s">
        <v>141</v>
      </c>
    </row>
    <row r="112" spans="2:23" ht="16.149999999999999" customHeight="1" x14ac:dyDescent="0.35">
      <c r="B112" s="32" t="s">
        <v>227</v>
      </c>
      <c r="C112" s="53" t="s">
        <v>81</v>
      </c>
      <c r="D112" s="63" t="s">
        <v>82</v>
      </c>
      <c r="E112" s="63" t="s">
        <v>82</v>
      </c>
      <c r="F112" s="108">
        <v>99.585999999999999</v>
      </c>
      <c r="G112" s="57">
        <f t="shared" si="28"/>
        <v>1</v>
      </c>
      <c r="H112" s="108">
        <v>99.585999999999999</v>
      </c>
      <c r="I112" s="61" t="s">
        <v>82</v>
      </c>
      <c r="J112" s="61" t="s">
        <v>82</v>
      </c>
      <c r="K112" s="61" t="s">
        <v>82</v>
      </c>
      <c r="L112" s="61" t="s">
        <v>82</v>
      </c>
      <c r="M112" s="61" t="s">
        <v>82</v>
      </c>
      <c r="N112" s="61" t="s">
        <v>82</v>
      </c>
      <c r="O112" s="61" t="s">
        <v>82</v>
      </c>
      <c r="P112" s="61" t="s">
        <v>82</v>
      </c>
      <c r="Q112" s="61" t="s">
        <v>82</v>
      </c>
      <c r="R112" s="316" t="s">
        <v>82</v>
      </c>
      <c r="S112" s="316" t="s">
        <v>82</v>
      </c>
      <c r="T112" s="316" t="s">
        <v>82</v>
      </c>
      <c r="U112" s="316" t="s">
        <v>82</v>
      </c>
      <c r="V112" s="108">
        <v>1218</v>
      </c>
      <c r="W112" s="115" t="s">
        <v>193</v>
      </c>
    </row>
    <row r="113" spans="2:23" ht="16.149999999999999" customHeight="1" x14ac:dyDescent="0.35">
      <c r="B113" s="32" t="s">
        <v>228</v>
      </c>
      <c r="C113" s="53" t="s">
        <v>81</v>
      </c>
      <c r="D113" s="63" t="s">
        <v>82</v>
      </c>
      <c r="E113" s="63" t="s">
        <v>82</v>
      </c>
      <c r="F113" s="108">
        <v>3521.5</v>
      </c>
      <c r="G113" s="57">
        <f t="shared" si="28"/>
        <v>1.0000868947891524</v>
      </c>
      <c r="H113" s="108">
        <v>3521.806</v>
      </c>
      <c r="I113" s="61" t="s">
        <v>82</v>
      </c>
      <c r="J113" s="61" t="s">
        <v>82</v>
      </c>
      <c r="K113" s="61" t="s">
        <v>82</v>
      </c>
      <c r="L113" s="61" t="s">
        <v>82</v>
      </c>
      <c r="M113" s="61" t="s">
        <v>82</v>
      </c>
      <c r="N113" s="61" t="s">
        <v>82</v>
      </c>
      <c r="O113" s="61" t="s">
        <v>82</v>
      </c>
      <c r="P113" s="61" t="s">
        <v>82</v>
      </c>
      <c r="Q113" s="61" t="s">
        <v>82</v>
      </c>
      <c r="R113" s="316" t="s">
        <v>82</v>
      </c>
      <c r="S113" s="316" t="s">
        <v>82</v>
      </c>
      <c r="T113" s="316" t="s">
        <v>82</v>
      </c>
      <c r="U113" s="316" t="s">
        <v>82</v>
      </c>
      <c r="V113" s="108">
        <v>56166</v>
      </c>
      <c r="W113" s="115" t="s">
        <v>240</v>
      </c>
    </row>
    <row r="114" spans="2:23" ht="31.5" customHeight="1" x14ac:dyDescent="0.35">
      <c r="B114" s="24" t="s">
        <v>17</v>
      </c>
      <c r="C114" s="24"/>
      <c r="D114" s="65">
        <f>SUM(D110:D113)</f>
        <v>4621.8339999999998</v>
      </c>
      <c r="E114" s="258" t="s">
        <v>82</v>
      </c>
      <c r="F114" s="65">
        <f>SUM(F110:F113)</f>
        <v>284473.68300000002</v>
      </c>
      <c r="G114" s="118">
        <f>H114/F114</f>
        <v>1.1636434455532192</v>
      </c>
      <c r="H114" s="65">
        <f>SUM(H110:H113)</f>
        <v>331025.93665533426</v>
      </c>
      <c r="I114" s="67">
        <f>1472975+1646695+I110</f>
        <v>3966992.5</v>
      </c>
      <c r="J114" s="248">
        <f t="shared" ref="J114" si="31">-PMT( 0.46%,G114,I114)/(F114*1000)</f>
        <v>1.204357662477311E-2</v>
      </c>
      <c r="K114" s="68" t="s">
        <v>82</v>
      </c>
      <c r="L114" s="68" t="s">
        <v>82</v>
      </c>
      <c r="M114" s="68" t="s">
        <v>82</v>
      </c>
      <c r="N114" s="68" t="s">
        <v>82</v>
      </c>
      <c r="O114" s="68" t="s">
        <v>82</v>
      </c>
      <c r="P114" s="68" t="s">
        <v>82</v>
      </c>
      <c r="Q114" s="68" t="s">
        <v>82</v>
      </c>
      <c r="R114" s="73" t="s">
        <v>82</v>
      </c>
      <c r="S114" s="73" t="s">
        <v>82</v>
      </c>
      <c r="T114" s="73" t="s">
        <v>82</v>
      </c>
      <c r="U114" s="73" t="s">
        <v>82</v>
      </c>
      <c r="V114" s="74">
        <f>SUM(V110:V113)</f>
        <v>95233</v>
      </c>
      <c r="W114" s="218" t="s">
        <v>82</v>
      </c>
    </row>
    <row r="115" spans="2:23" ht="40.5" customHeight="1" x14ac:dyDescent="0.35">
      <c r="B115" s="37" t="s">
        <v>32</v>
      </c>
      <c r="C115" s="37"/>
      <c r="D115" s="89" t="s">
        <v>82</v>
      </c>
      <c r="E115" s="89" t="s">
        <v>82</v>
      </c>
      <c r="F115" s="89" t="s">
        <v>82</v>
      </c>
      <c r="G115" s="89" t="s">
        <v>82</v>
      </c>
      <c r="H115" s="89" t="s">
        <v>82</v>
      </c>
      <c r="I115" s="38">
        <v>90478489.120000005</v>
      </c>
      <c r="J115" s="89" t="s">
        <v>82</v>
      </c>
      <c r="K115" s="89" t="s">
        <v>82</v>
      </c>
      <c r="L115" s="89" t="s">
        <v>82</v>
      </c>
      <c r="M115" s="89" t="s">
        <v>82</v>
      </c>
      <c r="N115" s="89" t="s">
        <v>82</v>
      </c>
      <c r="O115" s="89" t="s">
        <v>82</v>
      </c>
      <c r="P115" s="89" t="s">
        <v>82</v>
      </c>
      <c r="Q115" s="89" t="s">
        <v>82</v>
      </c>
      <c r="R115" s="89" t="s">
        <v>82</v>
      </c>
      <c r="S115" s="89" t="s">
        <v>82</v>
      </c>
      <c r="T115" s="89" t="s">
        <v>82</v>
      </c>
      <c r="U115" s="89" t="s">
        <v>82</v>
      </c>
      <c r="V115" s="89" t="s">
        <v>82</v>
      </c>
      <c r="W115" s="89" t="s">
        <v>82</v>
      </c>
    </row>
    <row r="116" spans="2:23" ht="31.5" customHeight="1" x14ac:dyDescent="0.35">
      <c r="B116" s="30" t="s">
        <v>94</v>
      </c>
      <c r="C116" s="30"/>
      <c r="D116" s="79">
        <f>SUM(D69,D92,D101,D108,D114,D115)</f>
        <v>2505780.9339999999</v>
      </c>
      <c r="E116" s="80">
        <v>0.72057537656989201</v>
      </c>
      <c r="F116" s="79">
        <f>SUM(F69,F92,F101,F108,F114,F115)</f>
        <v>2542421.4550000001</v>
      </c>
      <c r="G116" s="80">
        <f>H116/F116</f>
        <v>7.2027860525028355</v>
      </c>
      <c r="H116" s="79">
        <f>SUM(H69,H92,H101,H108,H114,H115)</f>
        <v>18312517.795657966</v>
      </c>
      <c r="I116" s="81">
        <f>SUM(I69,I92,I101,I108,I114,I115)</f>
        <v>439804241.94</v>
      </c>
      <c r="J116" s="249">
        <f t="shared" ref="J116" si="32">-PMT( 0.46%,G116,I116)/(F116*1000)</f>
        <v>2.4471847104662676E-2</v>
      </c>
      <c r="K116" s="82" t="s">
        <v>82</v>
      </c>
      <c r="L116" s="82" t="s">
        <v>82</v>
      </c>
      <c r="M116" s="82" t="s">
        <v>82</v>
      </c>
      <c r="N116" s="82" t="s">
        <v>82</v>
      </c>
      <c r="O116" s="82" t="s">
        <v>82</v>
      </c>
      <c r="P116" s="82" t="s">
        <v>82</v>
      </c>
      <c r="Q116" s="82" t="s">
        <v>82</v>
      </c>
      <c r="R116" s="81">
        <f>SUM(R69,R92,R101,R108,R114,R115)</f>
        <v>783549166.50742483</v>
      </c>
      <c r="S116" s="81">
        <f>SUM(S69,S92,S101,S108,S114,S115)</f>
        <v>524789872.9034214</v>
      </c>
      <c r="T116" s="81">
        <f t="shared" ref="T116" si="33">R116-S116</f>
        <v>258759293.60400343</v>
      </c>
      <c r="U116" s="80">
        <f t="shared" ref="U116" si="34">R116/S116</f>
        <v>1.493072193204505</v>
      </c>
      <c r="V116" s="128">
        <f>SUM(V69,V92,V101,V108,V114,V115)</f>
        <v>28627125.807069998</v>
      </c>
      <c r="W116" s="82" t="s">
        <v>82</v>
      </c>
    </row>
    <row r="117" spans="2:23" s="22" customFormat="1" ht="13.5" customHeight="1" x14ac:dyDescent="0.35">
      <c r="B117" s="26"/>
      <c r="C117" s="26"/>
      <c r="D117" s="11"/>
      <c r="E117" s="11"/>
      <c r="F117" s="12"/>
      <c r="G117" s="12"/>
      <c r="H117" s="12"/>
      <c r="I117" s="12"/>
      <c r="J117" s="12"/>
      <c r="K117" s="12"/>
      <c r="L117" s="12"/>
    </row>
    <row r="118" spans="2:23" x14ac:dyDescent="0.35">
      <c r="B118" s="344" t="s">
        <v>3</v>
      </c>
      <c r="C118" s="343"/>
      <c r="D118" s="343"/>
      <c r="E118" s="343"/>
      <c r="F118" s="343"/>
      <c r="G118" s="343"/>
      <c r="H118" s="343"/>
      <c r="I118" s="343"/>
      <c r="J118" s="343"/>
      <c r="K118" s="343"/>
      <c r="L118" s="343"/>
      <c r="M118" s="42"/>
    </row>
    <row r="119" spans="2:23" ht="28.9" customHeight="1" x14ac:dyDescent="0.35">
      <c r="B119" s="432" t="s">
        <v>371</v>
      </c>
      <c r="C119" s="432"/>
      <c r="D119" s="432"/>
      <c r="E119" s="432"/>
      <c r="F119" s="432"/>
      <c r="G119" s="432"/>
      <c r="H119" s="432"/>
      <c r="I119" s="432"/>
      <c r="J119" s="432"/>
      <c r="K119" s="343"/>
      <c r="L119" s="343"/>
      <c r="M119" s="42"/>
    </row>
    <row r="120" spans="2:23" x14ac:dyDescent="0.35">
      <c r="B120" s="343" t="s">
        <v>362</v>
      </c>
      <c r="C120" s="343"/>
      <c r="D120" s="343"/>
      <c r="E120" s="343"/>
      <c r="F120" s="343"/>
      <c r="G120" s="343"/>
      <c r="H120" s="343"/>
      <c r="I120" s="343"/>
      <c r="J120" s="343"/>
      <c r="K120" s="343"/>
      <c r="L120" s="343"/>
      <c r="M120" s="42"/>
    </row>
    <row r="121" spans="2:23" x14ac:dyDescent="0.35">
      <c r="B121" s="433" t="s">
        <v>370</v>
      </c>
      <c r="C121" s="433"/>
      <c r="D121" s="433"/>
      <c r="E121" s="433"/>
      <c r="F121" s="433"/>
      <c r="G121" s="433"/>
      <c r="H121" s="433"/>
      <c r="I121" s="433"/>
      <c r="J121" s="433"/>
      <c r="K121" s="343"/>
      <c r="L121" s="343"/>
      <c r="M121" s="42"/>
    </row>
    <row r="123" spans="2:23" x14ac:dyDescent="0.35">
      <c r="B123" s="45" t="s">
        <v>48</v>
      </c>
      <c r="H123" s="22"/>
      <c r="I123" s="302"/>
      <c r="R123" s="301"/>
    </row>
    <row r="124" spans="2:23" x14ac:dyDescent="0.35">
      <c r="B124" s="342" t="s">
        <v>181</v>
      </c>
      <c r="H124" s="22"/>
      <c r="I124" s="302"/>
    </row>
    <row r="125" spans="2:23" x14ac:dyDescent="0.35">
      <c r="B125" s="342" t="s">
        <v>145</v>
      </c>
      <c r="H125" s="22"/>
      <c r="I125" s="302"/>
    </row>
    <row r="126" spans="2:23" x14ac:dyDescent="0.35">
      <c r="B126" s="342" t="s">
        <v>364</v>
      </c>
      <c r="H126" s="22"/>
      <c r="I126" s="302"/>
    </row>
    <row r="127" spans="2:23" x14ac:dyDescent="0.35">
      <c r="B127" s="342" t="s">
        <v>307</v>
      </c>
      <c r="H127" s="22"/>
      <c r="I127" s="320"/>
    </row>
    <row r="128" spans="2:23" x14ac:dyDescent="0.35">
      <c r="B128" s="342" t="s">
        <v>361</v>
      </c>
      <c r="I128" s="301"/>
    </row>
  </sheetData>
  <mergeCells count="10">
    <mergeCell ref="B119:J119"/>
    <mergeCell ref="B121:J121"/>
    <mergeCell ref="B102:W102"/>
    <mergeCell ref="B109:W109"/>
    <mergeCell ref="B5:L6"/>
    <mergeCell ref="B8:L15"/>
    <mergeCell ref="B19:W19"/>
    <mergeCell ref="B21:W21"/>
    <mergeCell ref="B72:W72"/>
    <mergeCell ref="B93:W93"/>
  </mergeCells>
  <printOptions horizontalCentered="1" headings="1"/>
  <pageMargins left="0.5" right="0.5" top="1.25" bottom="1" header="0.5" footer="0.5"/>
  <pageSetup scale="21" orientation="landscape" r:id="rId1"/>
  <headerFooter scaleWithDoc="0">
    <oddHeader>&amp;R&amp;"Arial,Bold"ICC Dkt. No. 17-0312
2019 Statewide Annual Report Template
Tab:  &amp;A</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609AE-5388-4D1F-8141-FA903BF4E8FC}">
  <sheetPr>
    <pageSetUpPr fitToPage="1"/>
  </sheetPr>
  <dimension ref="B1:W94"/>
  <sheetViews>
    <sheetView topLeftCell="A57" zoomScale="90" zoomScaleNormal="90" workbookViewId="0">
      <selection activeCell="B83" sqref="B83:G83"/>
    </sheetView>
  </sheetViews>
  <sheetFormatPr defaultRowHeight="14.5" x14ac:dyDescent="0.35"/>
  <cols>
    <col min="1" max="1" width="2.7265625" customWidth="1"/>
    <col min="2" max="2" width="56.26953125" customWidth="1"/>
    <col min="3" max="3" width="20.7265625" customWidth="1"/>
    <col min="4" max="4" width="17.26953125" customWidth="1"/>
    <col min="5" max="5" width="15.26953125" customWidth="1"/>
    <col min="6" max="6" width="16" customWidth="1"/>
    <col min="7" max="7" width="15" customWidth="1"/>
    <col min="8" max="8" width="16.1796875" customWidth="1"/>
    <col min="9" max="9" width="17.453125" customWidth="1"/>
    <col min="10" max="10" width="15.453125" customWidth="1"/>
    <col min="11" max="11" width="17" customWidth="1"/>
    <col min="12" max="12" width="14.453125" customWidth="1"/>
    <col min="13" max="13" width="15" customWidth="1"/>
    <col min="14" max="14" width="14" customWidth="1"/>
    <col min="15" max="15" width="15.26953125" customWidth="1"/>
    <col min="16" max="16" width="14.26953125" customWidth="1"/>
    <col min="17" max="17" width="14.1796875" customWidth="1"/>
    <col min="18" max="18" width="18.81640625" customWidth="1"/>
    <col min="19" max="20" width="14.7265625" customWidth="1"/>
    <col min="21" max="22" width="14.26953125" customWidth="1"/>
    <col min="23" max="23" width="23" bestFit="1" customWidth="1"/>
  </cols>
  <sheetData>
    <row r="1" spans="2:12" x14ac:dyDescent="0.35">
      <c r="B1" s="6" t="s">
        <v>27</v>
      </c>
      <c r="C1" s="6"/>
      <c r="D1" s="6"/>
      <c r="E1" s="6"/>
    </row>
    <row r="2" spans="2:12" x14ac:dyDescent="0.35">
      <c r="B2" s="6" t="s">
        <v>381</v>
      </c>
      <c r="C2" s="6"/>
      <c r="D2" s="6"/>
      <c r="E2" s="6"/>
    </row>
    <row r="3" spans="2:12" x14ac:dyDescent="0.35">
      <c r="B3" s="6" t="s">
        <v>392</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161.25" customHeight="1" x14ac:dyDescent="0.35">
      <c r="B15" s="419"/>
      <c r="C15" s="420"/>
      <c r="D15" s="420"/>
      <c r="E15" s="420"/>
      <c r="F15" s="420"/>
      <c r="G15" s="420"/>
      <c r="H15" s="420"/>
      <c r="I15" s="420"/>
      <c r="J15" s="420"/>
      <c r="K15" s="420"/>
      <c r="L15" s="421"/>
    </row>
    <row r="16" spans="2:12" ht="17.649999999999999"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6.399999999999999" customHeight="1" x14ac:dyDescent="0.35">
      <c r="B18" s="21"/>
      <c r="C18" s="21"/>
      <c r="D18" s="21"/>
      <c r="E18" s="21"/>
      <c r="F18" s="21"/>
      <c r="G18" s="21"/>
      <c r="H18" s="21"/>
      <c r="I18" s="21"/>
      <c r="J18" s="21"/>
      <c r="K18" s="21"/>
      <c r="L18" s="21"/>
    </row>
    <row r="19" spans="2:23" ht="20.149999999999999" customHeight="1" x14ac:dyDescent="0.35">
      <c r="B19" s="430" t="s">
        <v>205</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161</v>
      </c>
      <c r="C22" s="53" t="s">
        <v>159</v>
      </c>
      <c r="D22" s="233">
        <v>24926.995235795599</v>
      </c>
      <c r="E22" s="57">
        <v>0.9</v>
      </c>
      <c r="F22" s="233">
        <v>22434.295712216001</v>
      </c>
      <c r="G22" s="111">
        <f>H22/F22</f>
        <v>3.8763417309331225</v>
      </c>
      <c r="H22" s="56">
        <v>86962.996673356902</v>
      </c>
      <c r="I22" s="75">
        <v>4216793.7787308823</v>
      </c>
      <c r="J22" s="287">
        <f>-PMT( 0.46%,G22,I22)/(F22*1000)</f>
        <v>4.9034552711074444E-2</v>
      </c>
      <c r="K22" s="56">
        <v>302813.74691280001</v>
      </c>
      <c r="L22" s="63">
        <v>0.9</v>
      </c>
      <c r="M22" s="56">
        <f>K22*L22</f>
        <v>272532.37222152</v>
      </c>
      <c r="N22" s="57">
        <f>O22/M22</f>
        <v>5.8209896908943497</v>
      </c>
      <c r="O22" s="56">
        <v>1586408.1291364494</v>
      </c>
      <c r="P22" s="61" t="s">
        <v>82</v>
      </c>
      <c r="Q22" s="61" t="s">
        <v>82</v>
      </c>
      <c r="R22" s="75">
        <v>6330322.125387881</v>
      </c>
      <c r="S22" s="75">
        <v>2206693.0723076174</v>
      </c>
      <c r="T22" s="75">
        <f>R22-S22</f>
        <v>4123629.0530802635</v>
      </c>
      <c r="U22" s="63">
        <f>R22/S22</f>
        <v>2.8686917110624894</v>
      </c>
      <c r="V22" s="241">
        <v>2322</v>
      </c>
      <c r="W22" s="60" t="s">
        <v>139</v>
      </c>
    </row>
    <row r="23" spans="2:23" x14ac:dyDescent="0.35">
      <c r="B23" s="2" t="s">
        <v>162</v>
      </c>
      <c r="C23" s="53" t="s">
        <v>159</v>
      </c>
      <c r="D23" s="233">
        <v>26472.7903288042</v>
      </c>
      <c r="E23" s="84">
        <v>0.57999999999999996</v>
      </c>
      <c r="F23" s="233">
        <v>15354.218390706401</v>
      </c>
      <c r="G23" s="111">
        <f t="shared" ref="G23:G36" si="0">H23/F23</f>
        <v>14.300710433557491</v>
      </c>
      <c r="H23" s="56">
        <v>219576.23113909533</v>
      </c>
      <c r="I23" s="286" t="s">
        <v>277</v>
      </c>
      <c r="J23" s="293" t="s">
        <v>82</v>
      </c>
      <c r="K23" s="56">
        <v>4162</v>
      </c>
      <c r="L23" s="63">
        <v>0.57999999999999996</v>
      </c>
      <c r="M23" s="56">
        <f>K23*L23</f>
        <v>2413.96</v>
      </c>
      <c r="N23" s="57">
        <f>O23/M23</f>
        <v>13</v>
      </c>
      <c r="O23" s="56">
        <v>31381.48</v>
      </c>
      <c r="P23" s="61" t="s">
        <v>82</v>
      </c>
      <c r="Q23" s="61" t="s">
        <v>82</v>
      </c>
      <c r="R23" s="75">
        <v>15319532.457727484</v>
      </c>
      <c r="S23" s="75">
        <v>13077340.033817923</v>
      </c>
      <c r="T23" s="75">
        <f t="shared" ref="T23:T39" si="1">R23-S23</f>
        <v>2242192.4239095617</v>
      </c>
      <c r="U23" s="63">
        <f t="shared" ref="U23:U39" si="2">R23/S23</f>
        <v>1.1714563067192003</v>
      </c>
      <c r="V23" s="233">
        <v>123</v>
      </c>
      <c r="W23" s="60" t="s">
        <v>139</v>
      </c>
    </row>
    <row r="24" spans="2:23" x14ac:dyDescent="0.35">
      <c r="B24" s="2" t="s">
        <v>119</v>
      </c>
      <c r="C24" s="53" t="s">
        <v>159</v>
      </c>
      <c r="D24" s="233">
        <v>25473.521937464899</v>
      </c>
      <c r="E24" s="84">
        <v>0.67999999999999905</v>
      </c>
      <c r="F24" s="233">
        <v>17321.994917476099</v>
      </c>
      <c r="G24" s="111">
        <f t="shared" si="0"/>
        <v>16.147875902275828</v>
      </c>
      <c r="H24" s="56">
        <v>279713.42430725665</v>
      </c>
      <c r="I24" s="286" t="s">
        <v>277</v>
      </c>
      <c r="J24" s="293" t="s">
        <v>82</v>
      </c>
      <c r="K24" s="56">
        <v>0</v>
      </c>
      <c r="L24" s="61" t="s">
        <v>82</v>
      </c>
      <c r="M24" s="56">
        <v>0</v>
      </c>
      <c r="N24" s="61" t="s">
        <v>82</v>
      </c>
      <c r="O24" s="56">
        <v>0</v>
      </c>
      <c r="P24" s="61" t="s">
        <v>82</v>
      </c>
      <c r="Q24" s="61" t="s">
        <v>82</v>
      </c>
      <c r="R24" s="75">
        <v>22434812.580729038</v>
      </c>
      <c r="S24" s="75">
        <v>9299325.426351184</v>
      </c>
      <c r="T24" s="75">
        <f t="shared" si="1"/>
        <v>13135487.154377853</v>
      </c>
      <c r="U24" s="63">
        <f t="shared" si="2"/>
        <v>2.4125204304772763</v>
      </c>
      <c r="V24" s="233">
        <v>32</v>
      </c>
      <c r="W24" s="60" t="s">
        <v>193</v>
      </c>
    </row>
    <row r="25" spans="2:23" ht="14.5" customHeight="1" x14ac:dyDescent="0.35">
      <c r="B25" s="2" t="s">
        <v>163</v>
      </c>
      <c r="C25" s="53" t="s">
        <v>159</v>
      </c>
      <c r="D25" s="233">
        <v>8148.6642065450105</v>
      </c>
      <c r="E25" s="84">
        <v>1</v>
      </c>
      <c r="F25" s="233">
        <v>8148.6642065450105</v>
      </c>
      <c r="G25" s="111">
        <f t="shared" si="0"/>
        <v>5.0010000000000003</v>
      </c>
      <c r="H25" s="56">
        <v>40751.469696931599</v>
      </c>
      <c r="I25" s="195">
        <v>3262825.8128851596</v>
      </c>
      <c r="J25" s="287">
        <f t="shared" ref="J25:J39" si="3">-PMT( 0.46%,G25,I25)/(F25*1000)</f>
        <v>8.1174940695939765E-2</v>
      </c>
      <c r="K25" s="56">
        <v>0</v>
      </c>
      <c r="L25" s="61" t="s">
        <v>82</v>
      </c>
      <c r="M25" s="56">
        <v>0</v>
      </c>
      <c r="N25" s="61" t="s">
        <v>82</v>
      </c>
      <c r="O25" s="56">
        <v>0</v>
      </c>
      <c r="P25" s="61" t="s">
        <v>82</v>
      </c>
      <c r="Q25" s="61" t="s">
        <v>82</v>
      </c>
      <c r="R25" s="75">
        <v>1464391.1878872297</v>
      </c>
      <c r="S25" s="75">
        <v>1592226.8244534677</v>
      </c>
      <c r="T25" s="75">
        <f t="shared" si="1"/>
        <v>-127835.63656623801</v>
      </c>
      <c r="U25" s="63">
        <f t="shared" si="2"/>
        <v>0.91971267246416499</v>
      </c>
      <c r="V25" s="233">
        <v>250</v>
      </c>
      <c r="W25" s="60" t="s">
        <v>139</v>
      </c>
    </row>
    <row r="26" spans="2:23" x14ac:dyDescent="0.35">
      <c r="B26" s="2" t="s">
        <v>164</v>
      </c>
      <c r="C26" s="53" t="s">
        <v>159</v>
      </c>
      <c r="D26" s="233">
        <v>22488.3990278903</v>
      </c>
      <c r="E26" s="84">
        <v>0.80000000000000104</v>
      </c>
      <c r="F26" s="233">
        <v>17990.719222312302</v>
      </c>
      <c r="G26" s="111">
        <f t="shared" si="0"/>
        <v>10.265302612134755</v>
      </c>
      <c r="H26" s="56">
        <v>184680.17702698542</v>
      </c>
      <c r="I26" s="75">
        <v>5190256.867224412</v>
      </c>
      <c r="J26" s="287">
        <f t="shared" si="3"/>
        <v>2.8837369385536223E-2</v>
      </c>
      <c r="K26" s="56">
        <v>0</v>
      </c>
      <c r="L26" s="61" t="s">
        <v>82</v>
      </c>
      <c r="M26" s="56">
        <v>0</v>
      </c>
      <c r="N26" s="61" t="s">
        <v>82</v>
      </c>
      <c r="O26" s="56">
        <v>0</v>
      </c>
      <c r="P26" s="61" t="s">
        <v>82</v>
      </c>
      <c r="Q26" s="61" t="s">
        <v>82</v>
      </c>
      <c r="R26" s="75">
        <v>10646578.816823503</v>
      </c>
      <c r="S26" s="75">
        <v>6466383.3814109452</v>
      </c>
      <c r="T26" s="75">
        <f t="shared" si="1"/>
        <v>4180195.4354125578</v>
      </c>
      <c r="U26" s="63">
        <f t="shared" si="2"/>
        <v>1.646450293595251</v>
      </c>
      <c r="V26" s="233">
        <v>109</v>
      </c>
      <c r="W26" s="60" t="s">
        <v>193</v>
      </c>
    </row>
    <row r="27" spans="2:23" x14ac:dyDescent="0.35">
      <c r="B27" s="224" t="s">
        <v>165</v>
      </c>
      <c r="C27" s="53" t="s">
        <v>159</v>
      </c>
      <c r="D27" s="233">
        <v>321683.59722047299</v>
      </c>
      <c r="E27" s="84">
        <v>0.78717830678811895</v>
      </c>
      <c r="F27" s="233">
        <v>253222.349381523</v>
      </c>
      <c r="G27" s="111">
        <f t="shared" si="0"/>
        <v>9.0984958948334178</v>
      </c>
      <c r="H27" s="56">
        <v>2303942.5063278605</v>
      </c>
      <c r="I27" s="75">
        <v>15540886.596109396</v>
      </c>
      <c r="J27" s="287">
        <f t="shared" si="3"/>
        <v>6.90298630819817E-3</v>
      </c>
      <c r="K27" s="56">
        <v>0</v>
      </c>
      <c r="L27" s="61" t="s">
        <v>82</v>
      </c>
      <c r="M27" s="56">
        <v>0</v>
      </c>
      <c r="N27" s="61" t="s">
        <v>82</v>
      </c>
      <c r="O27" s="56">
        <v>0</v>
      </c>
      <c r="P27" s="61" t="s">
        <v>82</v>
      </c>
      <c r="Q27" s="61" t="s">
        <v>82</v>
      </c>
      <c r="R27" s="75">
        <v>202076743.86317706</v>
      </c>
      <c r="S27" s="75">
        <v>42498704.033313788</v>
      </c>
      <c r="T27" s="75">
        <f t="shared" si="1"/>
        <v>159578039.82986328</v>
      </c>
      <c r="U27" s="63">
        <f t="shared" si="2"/>
        <v>4.7548919069337643</v>
      </c>
      <c r="V27" s="241">
        <v>2550123</v>
      </c>
      <c r="W27" s="60" t="s">
        <v>157</v>
      </c>
    </row>
    <row r="28" spans="2:23" ht="14.5" customHeight="1" x14ac:dyDescent="0.35">
      <c r="B28" s="2" t="s">
        <v>166</v>
      </c>
      <c r="C28" s="53" t="s">
        <v>159</v>
      </c>
      <c r="D28" s="233">
        <v>38341.388724800003</v>
      </c>
      <c r="E28" s="84">
        <v>0.6</v>
      </c>
      <c r="F28" s="233">
        <v>23221.586066196</v>
      </c>
      <c r="G28" s="111">
        <f t="shared" si="0"/>
        <v>16.665320066030993</v>
      </c>
      <c r="H28" s="56">
        <v>386995.16423404188</v>
      </c>
      <c r="I28" s="75">
        <v>7534214.9709058115</v>
      </c>
      <c r="J28" s="287">
        <f t="shared" si="3"/>
        <v>2.0268986098151545E-2</v>
      </c>
      <c r="K28" s="56">
        <v>43501.08</v>
      </c>
      <c r="L28" s="63">
        <v>0.77</v>
      </c>
      <c r="M28" s="56">
        <f>K28*L28</f>
        <v>33495.831600000005</v>
      </c>
      <c r="N28" s="57">
        <f>O28/M28</f>
        <v>17.399999999999995</v>
      </c>
      <c r="O28" s="56">
        <v>582827.46983999992</v>
      </c>
      <c r="P28" s="61" t="s">
        <v>82</v>
      </c>
      <c r="Q28" s="61" t="s">
        <v>82</v>
      </c>
      <c r="R28" s="75">
        <v>30163891.370411813</v>
      </c>
      <c r="S28" s="75">
        <v>14886459.580057543</v>
      </c>
      <c r="T28" s="75">
        <f t="shared" si="1"/>
        <v>15277431.79035427</v>
      </c>
      <c r="U28" s="63">
        <f t="shared" si="2"/>
        <v>2.0262636127948439</v>
      </c>
      <c r="V28" s="241">
        <v>75</v>
      </c>
      <c r="W28" s="60" t="s">
        <v>139</v>
      </c>
    </row>
    <row r="29" spans="2:23" x14ac:dyDescent="0.35">
      <c r="B29" s="2" t="s">
        <v>167</v>
      </c>
      <c r="C29" s="53" t="s">
        <v>159</v>
      </c>
      <c r="D29" s="233">
        <v>3607.35621043325</v>
      </c>
      <c r="E29" s="84">
        <v>0.91</v>
      </c>
      <c r="F29" s="233">
        <v>3282.69415149426</v>
      </c>
      <c r="G29" s="111">
        <f t="shared" si="0"/>
        <v>4.3252706194206647</v>
      </c>
      <c r="H29" s="56">
        <v>14198.540566002172</v>
      </c>
      <c r="I29" s="187">
        <v>3341026.709470192</v>
      </c>
      <c r="J29" s="287">
        <f t="shared" si="3"/>
        <v>0.2381971641165273</v>
      </c>
      <c r="K29" s="56">
        <v>57073.936779178403</v>
      </c>
      <c r="L29" s="63">
        <v>0.90999999999999703</v>
      </c>
      <c r="M29" s="56">
        <f>K29*L29</f>
        <v>51937.282469052174</v>
      </c>
      <c r="N29" s="57">
        <f>O29/M29</f>
        <v>4.1848241826033297</v>
      </c>
      <c r="O29" s="56">
        <v>217348.3956551895</v>
      </c>
      <c r="P29" s="61" t="s">
        <v>82</v>
      </c>
      <c r="Q29" s="61" t="s">
        <v>82</v>
      </c>
      <c r="R29" s="75">
        <v>706108.26471415139</v>
      </c>
      <c r="S29" s="75">
        <v>3353856.174483167</v>
      </c>
      <c r="T29" s="75">
        <f t="shared" si="1"/>
        <v>-2647747.9097690154</v>
      </c>
      <c r="U29" s="63">
        <f t="shared" si="2"/>
        <v>0.21053623887821113</v>
      </c>
      <c r="V29" s="241">
        <v>270</v>
      </c>
      <c r="W29" s="60" t="s">
        <v>157</v>
      </c>
    </row>
    <row r="30" spans="2:23" x14ac:dyDescent="0.35">
      <c r="B30" s="2" t="s">
        <v>168</v>
      </c>
      <c r="C30" s="53" t="s">
        <v>159</v>
      </c>
      <c r="D30" s="233">
        <v>2517.8964976930502</v>
      </c>
      <c r="E30" s="84">
        <v>1</v>
      </c>
      <c r="F30" s="233">
        <v>2517.8964976930502</v>
      </c>
      <c r="G30" s="111">
        <f t="shared" si="0"/>
        <v>9.1097644727521434</v>
      </c>
      <c r="H30" s="56">
        <v>22937.444060751197</v>
      </c>
      <c r="I30" s="59">
        <v>1724577.908972919</v>
      </c>
      <c r="J30" s="287">
        <f t="shared" si="3"/>
        <v>7.6945248413685594E-2</v>
      </c>
      <c r="K30" s="56">
        <v>2318.1918635941402</v>
      </c>
      <c r="L30" s="63">
        <v>1</v>
      </c>
      <c r="M30" s="56">
        <f>K30*L30</f>
        <v>2318.1918635941402</v>
      </c>
      <c r="N30" s="57">
        <f>O30/M30</f>
        <v>8.8320347770202563</v>
      </c>
      <c r="O30" s="56">
        <v>20474.351159068843</v>
      </c>
      <c r="P30" s="61" t="s">
        <v>82</v>
      </c>
      <c r="Q30" s="61" t="s">
        <v>82</v>
      </c>
      <c r="R30" s="75">
        <v>1336288.2867627621</v>
      </c>
      <c r="S30" s="75">
        <v>973835.87856815499</v>
      </c>
      <c r="T30" s="75">
        <f t="shared" si="1"/>
        <v>362452.40819460712</v>
      </c>
      <c r="U30" s="63">
        <f t="shared" si="2"/>
        <v>1.3721904441716875</v>
      </c>
      <c r="V30" s="241">
        <v>105</v>
      </c>
      <c r="W30" s="60" t="s">
        <v>139</v>
      </c>
    </row>
    <row r="31" spans="2:23" x14ac:dyDescent="0.35">
      <c r="B31" s="2" t="s">
        <v>169</v>
      </c>
      <c r="C31" s="53" t="s">
        <v>159</v>
      </c>
      <c r="D31" s="233">
        <v>8816.0144404990006</v>
      </c>
      <c r="E31" s="84">
        <v>0.91</v>
      </c>
      <c r="F31" s="233">
        <v>8022.5731408540905</v>
      </c>
      <c r="G31" s="111">
        <f t="shared" si="0"/>
        <v>8.9383008469838767</v>
      </c>
      <c r="H31" s="56">
        <v>71708.172299886224</v>
      </c>
      <c r="I31" s="275" t="s">
        <v>278</v>
      </c>
      <c r="J31" s="293" t="s">
        <v>82</v>
      </c>
      <c r="K31" s="56">
        <v>0</v>
      </c>
      <c r="L31" s="61" t="s">
        <v>82</v>
      </c>
      <c r="M31" s="56">
        <v>0</v>
      </c>
      <c r="N31" s="61" t="s">
        <v>82</v>
      </c>
      <c r="O31" s="56">
        <v>0</v>
      </c>
      <c r="P31" s="61" t="s">
        <v>82</v>
      </c>
      <c r="Q31" s="61" t="s">
        <v>82</v>
      </c>
      <c r="R31" s="75">
        <v>4256180.2998771016</v>
      </c>
      <c r="S31" s="75">
        <v>1707291.6808897459</v>
      </c>
      <c r="T31" s="75">
        <f t="shared" si="1"/>
        <v>2548888.6189873554</v>
      </c>
      <c r="U31" s="63">
        <f t="shared" si="2"/>
        <v>2.4929426808071926</v>
      </c>
      <c r="V31" s="241">
        <v>218</v>
      </c>
      <c r="W31" s="60" t="s">
        <v>139</v>
      </c>
    </row>
    <row r="32" spans="2:23" ht="14.5" customHeight="1" x14ac:dyDescent="0.35">
      <c r="B32" s="2" t="s">
        <v>170</v>
      </c>
      <c r="C32" s="53" t="s">
        <v>159</v>
      </c>
      <c r="D32" s="233">
        <v>36336.588918335496</v>
      </c>
      <c r="E32" s="84">
        <v>0.94999999999999796</v>
      </c>
      <c r="F32" s="233">
        <v>34519.759472418598</v>
      </c>
      <c r="G32" s="111">
        <f>H32/F32</f>
        <v>7.5010000000000039</v>
      </c>
      <c r="H32" s="56">
        <v>258932.71580261205</v>
      </c>
      <c r="I32" s="59">
        <v>8968812.2965186387</v>
      </c>
      <c r="J32" s="287">
        <f t="shared" si="3"/>
        <v>3.5318229956065678E-2</v>
      </c>
      <c r="K32" s="56">
        <v>97237.433261571598</v>
      </c>
      <c r="L32" s="63">
        <v>1.02</v>
      </c>
      <c r="M32" s="56">
        <f>K32*L32</f>
        <v>99182.181926803038</v>
      </c>
      <c r="N32" s="57">
        <f>O32/M32</f>
        <v>7.5</v>
      </c>
      <c r="O32" s="56">
        <v>743866.36445102282</v>
      </c>
      <c r="P32" s="61" t="s">
        <v>82</v>
      </c>
      <c r="Q32" s="61" t="s">
        <v>82</v>
      </c>
      <c r="R32" s="75">
        <v>12804936.742950544</v>
      </c>
      <c r="S32" s="75">
        <v>6355104.8979996135</v>
      </c>
      <c r="T32" s="75">
        <f t="shared" si="1"/>
        <v>6449831.8449509302</v>
      </c>
      <c r="U32" s="63">
        <f t="shared" si="2"/>
        <v>2.0149056464797512</v>
      </c>
      <c r="V32" s="241">
        <v>123</v>
      </c>
      <c r="W32" s="60" t="s">
        <v>139</v>
      </c>
    </row>
    <row r="33" spans="2:23" x14ac:dyDescent="0.35">
      <c r="B33" s="2" t="s">
        <v>158</v>
      </c>
      <c r="C33" s="53" t="s">
        <v>159</v>
      </c>
      <c r="D33" s="233">
        <v>2277.3357645879501</v>
      </c>
      <c r="E33" s="84">
        <v>0.9</v>
      </c>
      <c r="F33" s="233">
        <v>2049.6021881291599</v>
      </c>
      <c r="G33" s="111">
        <f t="shared" si="0"/>
        <v>10.210812719476126</v>
      </c>
      <c r="H33" s="56">
        <v>20928.104092415324</v>
      </c>
      <c r="I33" s="59">
        <v>874731.84044268448</v>
      </c>
      <c r="J33" s="287">
        <f t="shared" si="3"/>
        <v>4.2882316781242331E-2</v>
      </c>
      <c r="K33" s="56">
        <v>39521.079382796503</v>
      </c>
      <c r="L33" s="63">
        <v>0.90000000000000102</v>
      </c>
      <c r="M33" s="56">
        <f>K33*L33</f>
        <v>35568.971444516894</v>
      </c>
      <c r="N33" s="57">
        <f>O33/M33</f>
        <v>6.8976834364496504</v>
      </c>
      <c r="O33" s="56">
        <v>245343.50518439477</v>
      </c>
      <c r="P33" s="61" t="s">
        <v>82</v>
      </c>
      <c r="Q33" s="61" t="s">
        <v>82</v>
      </c>
      <c r="R33" s="75">
        <v>2314138.366613647</v>
      </c>
      <c r="S33" s="75">
        <v>878508.84306324727</v>
      </c>
      <c r="T33" s="75">
        <f t="shared" si="1"/>
        <v>1435629.5235503996</v>
      </c>
      <c r="U33" s="63">
        <f t="shared" si="2"/>
        <v>2.634166274917102</v>
      </c>
      <c r="V33" s="241">
        <v>4012</v>
      </c>
      <c r="W33" s="60" t="s">
        <v>129</v>
      </c>
    </row>
    <row r="34" spans="2:23" x14ac:dyDescent="0.35">
      <c r="B34" s="2" t="s">
        <v>121</v>
      </c>
      <c r="C34" s="53" t="s">
        <v>159</v>
      </c>
      <c r="D34" s="233">
        <v>220317.638453438</v>
      </c>
      <c r="E34" s="57">
        <v>0.91</v>
      </c>
      <c r="F34" s="233">
        <v>200489.05099262801</v>
      </c>
      <c r="G34" s="111">
        <f t="shared" si="0"/>
        <v>9.9310351950177047</v>
      </c>
      <c r="H34" s="56">
        <v>1991063.8216234879</v>
      </c>
      <c r="I34" s="59">
        <v>54307318.652064599</v>
      </c>
      <c r="J34" s="287">
        <f t="shared" si="3"/>
        <v>2.7965957731338528E-2</v>
      </c>
      <c r="K34" s="56">
        <v>367229.37725000002</v>
      </c>
      <c r="L34" s="63">
        <v>0.91</v>
      </c>
      <c r="M34" s="56">
        <f>K34*L34</f>
        <v>334178.7332975</v>
      </c>
      <c r="N34" s="57">
        <f>O34/M34</f>
        <v>12.059415387498101</v>
      </c>
      <c r="O34" s="56">
        <v>4030000.1585024954</v>
      </c>
      <c r="P34" s="61" t="s">
        <v>82</v>
      </c>
      <c r="Q34" s="61" t="s">
        <v>82</v>
      </c>
      <c r="R34" s="75">
        <v>147902286.18267593</v>
      </c>
      <c r="S34" s="75">
        <v>133503625.1115541</v>
      </c>
      <c r="T34" s="75">
        <f t="shared" si="1"/>
        <v>14398661.071121827</v>
      </c>
      <c r="U34" s="63">
        <f t="shared" si="2"/>
        <v>1.1078522104481467</v>
      </c>
      <c r="V34" s="241">
        <v>7709</v>
      </c>
      <c r="W34" s="60" t="s">
        <v>139</v>
      </c>
    </row>
    <row r="35" spans="2:23" x14ac:dyDescent="0.35">
      <c r="B35" s="2" t="s">
        <v>171</v>
      </c>
      <c r="C35" s="53" t="s">
        <v>159</v>
      </c>
      <c r="D35" s="233">
        <v>345367.12429074198</v>
      </c>
      <c r="E35" s="84">
        <v>0.70763212316402102</v>
      </c>
      <c r="F35" s="233">
        <v>243838.99258171799</v>
      </c>
      <c r="G35" s="111">
        <f t="shared" si="0"/>
        <v>8.7766334192967701</v>
      </c>
      <c r="H35" s="56">
        <v>2140085.4512203634</v>
      </c>
      <c r="I35" s="59">
        <v>50625160.00098481</v>
      </c>
      <c r="J35" s="287">
        <f t="shared" si="3"/>
        <v>2.4190763801761623E-2</v>
      </c>
      <c r="K35" s="56">
        <v>2547652.1005000002</v>
      </c>
      <c r="L35" s="63">
        <v>0.7</v>
      </c>
      <c r="M35" s="56">
        <f>K35*L35</f>
        <v>1783356.4703500001</v>
      </c>
      <c r="N35" s="57">
        <f>O35/M35</f>
        <v>14.8594092566918</v>
      </c>
      <c r="O35" s="56">
        <v>26499623.643500008</v>
      </c>
      <c r="P35" s="61" t="s">
        <v>82</v>
      </c>
      <c r="Q35" s="61" t="s">
        <v>82</v>
      </c>
      <c r="R35" s="1">
        <v>141090041.33457929</v>
      </c>
      <c r="S35" s="1">
        <v>84074873.593486577</v>
      </c>
      <c r="T35" s="75">
        <f t="shared" si="1"/>
        <v>57015167.741092712</v>
      </c>
      <c r="U35" s="63">
        <f t="shared" si="2"/>
        <v>1.6781475285561389</v>
      </c>
      <c r="V35" s="241">
        <v>3498</v>
      </c>
      <c r="W35" s="60" t="s">
        <v>139</v>
      </c>
    </row>
    <row r="36" spans="2:23" ht="14.5" customHeight="1" x14ac:dyDescent="0.35">
      <c r="B36" s="2" t="s">
        <v>172</v>
      </c>
      <c r="C36" s="53" t="s">
        <v>159</v>
      </c>
      <c r="D36" s="233">
        <v>14778.772000000001</v>
      </c>
      <c r="E36" s="84">
        <v>0.95</v>
      </c>
      <c r="F36" s="233">
        <v>14039.8334</v>
      </c>
      <c r="G36" s="111">
        <f t="shared" si="0"/>
        <v>5.0009999999999994</v>
      </c>
      <c r="H36" s="56">
        <v>70213.206833399992</v>
      </c>
      <c r="I36" s="59">
        <v>1452306.7198749047</v>
      </c>
      <c r="J36" s="287">
        <f>-PMT( 0.46%,G36,I36)/(F36*1000)</f>
        <v>2.0970602326877349E-2</v>
      </c>
      <c r="K36" s="56">
        <v>0</v>
      </c>
      <c r="L36" s="61" t="s">
        <v>82</v>
      </c>
      <c r="M36" s="56">
        <v>0</v>
      </c>
      <c r="N36" s="61" t="s">
        <v>82</v>
      </c>
      <c r="O36" s="56">
        <v>0</v>
      </c>
      <c r="P36" s="61" t="s">
        <v>82</v>
      </c>
      <c r="Q36" s="61" t="s">
        <v>82</v>
      </c>
      <c r="R36" s="1">
        <v>2523089.4032731345</v>
      </c>
      <c r="S36" s="1">
        <v>1458681.7032282152</v>
      </c>
      <c r="T36" s="75">
        <f t="shared" si="1"/>
        <v>1064407.7000449193</v>
      </c>
      <c r="U36" s="63">
        <f t="shared" si="2"/>
        <v>1.7297052521391567</v>
      </c>
      <c r="V36" s="241">
        <v>3</v>
      </c>
      <c r="W36" s="60" t="s">
        <v>207</v>
      </c>
    </row>
    <row r="37" spans="2:23" x14ac:dyDescent="0.35">
      <c r="B37" s="2" t="s">
        <v>173</v>
      </c>
      <c r="C37" s="53" t="s">
        <v>159</v>
      </c>
      <c r="D37" s="233">
        <v>86043.658066606702</v>
      </c>
      <c r="E37" s="84">
        <v>1</v>
      </c>
      <c r="F37" s="233">
        <v>86043.658066606702</v>
      </c>
      <c r="G37" s="111">
        <f>H37/F37</f>
        <v>11.740179272751828</v>
      </c>
      <c r="H37" s="56">
        <v>1010167.9709853217</v>
      </c>
      <c r="I37" s="227">
        <f>15668809.9796927+8959526.07</f>
        <v>24628336.049692698</v>
      </c>
      <c r="J37" s="287">
        <f t="shared" ref="J37" si="4">-PMT( 0.46%,G37,I37)/(F37*1000)</f>
        <v>2.5100710820859361E-2</v>
      </c>
      <c r="K37" s="56">
        <v>0</v>
      </c>
      <c r="L37" s="61" t="s">
        <v>82</v>
      </c>
      <c r="M37" s="56">
        <v>0</v>
      </c>
      <c r="N37" s="61" t="s">
        <v>82</v>
      </c>
      <c r="O37" s="56">
        <v>0</v>
      </c>
      <c r="P37" s="61" t="s">
        <v>82</v>
      </c>
      <c r="Q37" s="61" t="s">
        <v>82</v>
      </c>
      <c r="R37" s="1">
        <v>40432264.449727401</v>
      </c>
      <c r="S37" s="1">
        <v>44251636.993992768</v>
      </c>
      <c r="T37" s="75">
        <f t="shared" ref="T37" si="5">R37-S37</f>
        <v>-3819372.5442653671</v>
      </c>
      <c r="U37" s="63">
        <f t="shared" ref="U37" si="6">R37/S37</f>
        <v>0.91368968915694904</v>
      </c>
      <c r="V37" s="242">
        <v>114133</v>
      </c>
      <c r="W37" s="61" t="s">
        <v>157</v>
      </c>
    </row>
    <row r="38" spans="2:23" x14ac:dyDescent="0.35">
      <c r="B38" s="2" t="s">
        <v>279</v>
      </c>
      <c r="C38" s="53" t="s">
        <v>159</v>
      </c>
      <c r="D38" s="293" t="s">
        <v>82</v>
      </c>
      <c r="E38" s="293" t="s">
        <v>82</v>
      </c>
      <c r="F38" s="293" t="s">
        <v>82</v>
      </c>
      <c r="G38" s="293" t="s">
        <v>82</v>
      </c>
      <c r="H38" s="293" t="s">
        <v>82</v>
      </c>
      <c r="I38" s="59">
        <v>4608536.5961229363</v>
      </c>
      <c r="J38" s="293" t="s">
        <v>82</v>
      </c>
      <c r="K38" s="293" t="s">
        <v>82</v>
      </c>
      <c r="L38" s="293" t="s">
        <v>82</v>
      </c>
      <c r="M38" s="293" t="s">
        <v>82</v>
      </c>
      <c r="N38" s="293" t="s">
        <v>82</v>
      </c>
      <c r="O38" s="293" t="s">
        <v>82</v>
      </c>
      <c r="P38" s="293" t="s">
        <v>82</v>
      </c>
      <c r="Q38" s="293" t="s">
        <v>82</v>
      </c>
      <c r="R38" s="293" t="s">
        <v>82</v>
      </c>
      <c r="S38" s="293" t="s">
        <v>82</v>
      </c>
      <c r="T38" s="293" t="s">
        <v>82</v>
      </c>
      <c r="U38" s="293" t="s">
        <v>82</v>
      </c>
      <c r="V38" s="293" t="s">
        <v>82</v>
      </c>
      <c r="W38" s="293" t="s">
        <v>82</v>
      </c>
    </row>
    <row r="39" spans="2:23" x14ac:dyDescent="0.35">
      <c r="B39" s="4" t="s">
        <v>7</v>
      </c>
      <c r="C39" s="4"/>
      <c r="D39" s="71">
        <f>SUM(D22:D38)</f>
        <v>1187597.7413241086</v>
      </c>
      <c r="E39" s="237">
        <f>F39/D39</f>
        <v>0.80203747047087837</v>
      </c>
      <c r="F39" s="71">
        <f>SUM(F22:F38)</f>
        <v>952497.88838851661</v>
      </c>
      <c r="G39" s="238">
        <f>H39/F39</f>
        <v>9.5568268526982632</v>
      </c>
      <c r="H39" s="71">
        <f>SUM(H22:H38)</f>
        <v>9102857.3968897685</v>
      </c>
      <c r="I39" s="67">
        <f>SUM(I22:I38)</f>
        <v>186275784.80000007</v>
      </c>
      <c r="J39" s="248">
        <f t="shared" si="3"/>
        <v>2.0963559637078643E-2</v>
      </c>
      <c r="K39" s="74">
        <f>SUM(K22:K38)</f>
        <v>3461508.9459499409</v>
      </c>
      <c r="L39" s="73">
        <f>M39/K39</f>
        <v>0.75544626231071521</v>
      </c>
      <c r="M39" s="74">
        <f>SUM(M22:M38)</f>
        <v>2614983.9951729863</v>
      </c>
      <c r="N39" s="73">
        <f>O39/M39</f>
        <v>12.985652516463025</v>
      </c>
      <c r="O39" s="74">
        <f>SUM(O22:O38)</f>
        <v>33957273.497428626</v>
      </c>
      <c r="P39" s="68" t="s">
        <v>82</v>
      </c>
      <c r="Q39" s="68" t="s">
        <v>82</v>
      </c>
      <c r="R39" s="387">
        <v>641801605.73331797</v>
      </c>
      <c r="S39" s="387">
        <v>371212689.52594912</v>
      </c>
      <c r="T39" s="387">
        <f t="shared" si="1"/>
        <v>270588916.20736885</v>
      </c>
      <c r="U39" s="388">
        <f t="shared" si="2"/>
        <v>1.7289322909540614</v>
      </c>
      <c r="V39" s="389">
        <f>SUM(V22:V38)</f>
        <v>2683105</v>
      </c>
      <c r="W39" s="68" t="s">
        <v>82</v>
      </c>
    </row>
    <row r="40" spans="2:23" hidden="1" x14ac:dyDescent="0.35">
      <c r="B40" s="31" t="s">
        <v>14</v>
      </c>
      <c r="C40" s="31"/>
      <c r="D40" s="28"/>
      <c r="E40" s="28"/>
      <c r="F40" s="29"/>
      <c r="G40" s="29"/>
      <c r="H40" s="29"/>
      <c r="I40" s="29"/>
      <c r="J40" s="29"/>
      <c r="K40" s="28"/>
      <c r="L40" s="28"/>
      <c r="M40" s="29"/>
      <c r="N40" s="29"/>
      <c r="O40" s="29"/>
      <c r="P40" s="28"/>
      <c r="Q40" s="28"/>
      <c r="R40" s="29"/>
      <c r="S40" s="29"/>
      <c r="T40" s="28"/>
      <c r="U40" s="28"/>
      <c r="V40" s="29"/>
      <c r="W40" s="29"/>
    </row>
    <row r="41" spans="2:23" hidden="1" x14ac:dyDescent="0.35">
      <c r="B41" s="31" t="s">
        <v>15</v>
      </c>
      <c r="C41" s="31"/>
      <c r="D41" s="28"/>
      <c r="E41" s="28"/>
      <c r="F41" s="29"/>
      <c r="G41" s="29"/>
      <c r="H41" s="29"/>
      <c r="I41" s="29"/>
      <c r="J41" s="29"/>
      <c r="K41" s="28"/>
      <c r="L41" s="28"/>
      <c r="M41" s="29"/>
      <c r="N41" s="29"/>
      <c r="O41" s="29"/>
      <c r="P41" s="28"/>
      <c r="Q41" s="28"/>
      <c r="R41" s="29"/>
      <c r="S41" s="29"/>
      <c r="T41" s="28"/>
      <c r="U41" s="28"/>
      <c r="V41" s="29"/>
      <c r="W41" s="29"/>
    </row>
    <row r="42" spans="2:23" ht="15.65" customHeight="1" x14ac:dyDescent="0.35">
      <c r="B42" s="409" t="s">
        <v>1</v>
      </c>
      <c r="C42" s="410"/>
      <c r="D42" s="410"/>
      <c r="E42" s="410"/>
      <c r="F42" s="410"/>
      <c r="G42" s="410"/>
      <c r="H42" s="410"/>
      <c r="I42" s="410"/>
      <c r="J42" s="410"/>
      <c r="K42" s="410"/>
      <c r="L42" s="410"/>
      <c r="M42" s="410"/>
      <c r="N42" s="410"/>
      <c r="O42" s="410"/>
      <c r="P42" s="410"/>
      <c r="Q42" s="410"/>
      <c r="R42" s="410"/>
      <c r="S42" s="410"/>
      <c r="T42" s="410"/>
      <c r="U42" s="410"/>
      <c r="V42" s="410"/>
      <c r="W42" s="411"/>
    </row>
    <row r="43" spans="2:23" x14ac:dyDescent="0.35">
      <c r="B43" s="2" t="s">
        <v>151</v>
      </c>
      <c r="C43" s="53" t="s">
        <v>159</v>
      </c>
      <c r="D43" s="180">
        <v>52482.489093810502</v>
      </c>
      <c r="E43" s="151">
        <v>0.88879306803090796</v>
      </c>
      <c r="F43" s="180">
        <v>46615.714691242501</v>
      </c>
      <c r="G43" s="84">
        <v>9.5614500679744818</v>
      </c>
      <c r="H43" s="83">
        <v>327703.73954551964</v>
      </c>
      <c r="I43" s="86">
        <v>17756776.2485356</v>
      </c>
      <c r="J43" s="287">
        <f t="shared" ref="J43:J53" si="7">-PMT( 0.46%,G43,I43)/(F43*1000)</f>
        <v>4.0813040793438879E-2</v>
      </c>
      <c r="K43" s="56">
        <v>2121384.9277499998</v>
      </c>
      <c r="L43" s="63">
        <v>0.974606905472297</v>
      </c>
      <c r="M43" s="210">
        <f>K43*L43</f>
        <v>2067516.3997499996</v>
      </c>
      <c r="N43" s="57">
        <f>O43/M43</f>
        <v>10.143921222601181</v>
      </c>
      <c r="O43" s="233">
        <v>20972723.485500008</v>
      </c>
      <c r="P43" s="61" t="s">
        <v>82</v>
      </c>
      <c r="Q43" s="61" t="s">
        <v>82</v>
      </c>
      <c r="R43" s="78">
        <v>37506737.100589439</v>
      </c>
      <c r="S43" s="78">
        <v>19946196.585715204</v>
      </c>
      <c r="T43" s="75">
        <f t="shared" ref="T43:T54" si="8">R43-S43</f>
        <v>17560540.514874235</v>
      </c>
      <c r="U43" s="63">
        <f t="shared" ref="U43:U54" si="9">R43/S43</f>
        <v>1.8803954397727387</v>
      </c>
      <c r="V43" s="132">
        <v>218761</v>
      </c>
      <c r="W43" s="199" t="s">
        <v>194</v>
      </c>
    </row>
    <row r="44" spans="2:23" x14ac:dyDescent="0.35">
      <c r="B44" s="2" t="s">
        <v>182</v>
      </c>
      <c r="C44" s="53" t="s">
        <v>159</v>
      </c>
      <c r="D44" s="56">
        <v>6104.4529959473793</v>
      </c>
      <c r="E44" s="63">
        <v>1</v>
      </c>
      <c r="F44" s="173">
        <v>6104.4529959473793</v>
      </c>
      <c r="G44" s="84">
        <v>7.3315396655671208</v>
      </c>
      <c r="H44" s="83">
        <v>44761.143729374206</v>
      </c>
      <c r="I44" s="86">
        <v>1505367.7785978124</v>
      </c>
      <c r="J44" s="287">
        <f t="shared" si="7"/>
        <v>3.4283383027224862E-2</v>
      </c>
      <c r="K44" s="56">
        <v>175957.107136982</v>
      </c>
      <c r="L44" s="63">
        <v>1</v>
      </c>
      <c r="M44" s="210">
        <f t="shared" ref="M44:M54" si="10">K44*L44</f>
        <v>175957.107136982</v>
      </c>
      <c r="N44" s="57">
        <f t="shared" ref="N44:N55" si="11">O44/M44</f>
        <v>9.214950577737012</v>
      </c>
      <c r="O44" s="56">
        <v>1621436.0460688656</v>
      </c>
      <c r="P44" s="61" t="s">
        <v>82</v>
      </c>
      <c r="Q44" s="61" t="s">
        <v>82</v>
      </c>
      <c r="R44" s="78">
        <v>12363545.728702627</v>
      </c>
      <c r="S44" s="78">
        <v>1438284.6433001859</v>
      </c>
      <c r="T44" s="75">
        <f t="shared" si="8"/>
        <v>10925261.08540244</v>
      </c>
      <c r="U44" s="63">
        <f t="shared" si="9"/>
        <v>8.5960354136397594</v>
      </c>
      <c r="V44" s="62">
        <v>53041</v>
      </c>
      <c r="W44" s="200" t="s">
        <v>129</v>
      </c>
    </row>
    <row r="45" spans="2:23" x14ac:dyDescent="0.35">
      <c r="B45" s="2" t="s">
        <v>183</v>
      </c>
      <c r="C45" s="53" t="s">
        <v>159</v>
      </c>
      <c r="D45" s="193">
        <v>41903.899305400002</v>
      </c>
      <c r="E45" s="63">
        <v>0.51780339051940805</v>
      </c>
      <c r="F45" s="173">
        <v>21697.981136319999</v>
      </c>
      <c r="G45" s="84">
        <v>7.9670744818003305</v>
      </c>
      <c r="H45" s="83">
        <v>172891.12979889632</v>
      </c>
      <c r="I45" s="190">
        <v>9907298.0676830914</v>
      </c>
      <c r="J45" s="287">
        <f t="shared" si="7"/>
        <v>5.8499167000202239E-2</v>
      </c>
      <c r="K45" s="56">
        <v>0</v>
      </c>
      <c r="L45" s="55" t="s">
        <v>82</v>
      </c>
      <c r="M45" s="56">
        <v>0</v>
      </c>
      <c r="N45" s="55" t="s">
        <v>82</v>
      </c>
      <c r="O45" s="56">
        <v>0</v>
      </c>
      <c r="P45" s="61" t="s">
        <v>82</v>
      </c>
      <c r="Q45" s="61" t="s">
        <v>82</v>
      </c>
      <c r="R45" s="78">
        <v>10347270.45531055</v>
      </c>
      <c r="S45" s="78">
        <v>8657997.4524995629</v>
      </c>
      <c r="T45" s="75">
        <f t="shared" si="8"/>
        <v>1689273.0028109867</v>
      </c>
      <c r="U45" s="63">
        <f t="shared" si="9"/>
        <v>1.1951112843447758</v>
      </c>
      <c r="V45" s="62">
        <v>53155</v>
      </c>
      <c r="W45" s="200" t="s">
        <v>128</v>
      </c>
    </row>
    <row r="46" spans="2:23" ht="15.65" customHeight="1" x14ac:dyDescent="0.35">
      <c r="B46" s="2" t="s">
        <v>184</v>
      </c>
      <c r="C46" s="53" t="s">
        <v>159</v>
      </c>
      <c r="D46" s="180">
        <v>17135.263655450399</v>
      </c>
      <c r="E46" s="151">
        <v>0.70658634902156203</v>
      </c>
      <c r="F46" s="180">
        <v>11991.938603249801</v>
      </c>
      <c r="G46" s="84">
        <v>17.342634315775058</v>
      </c>
      <c r="H46" s="83">
        <v>160516.31818437358</v>
      </c>
      <c r="I46" s="134">
        <v>7388466.0016008513</v>
      </c>
      <c r="J46" s="287">
        <f t="shared" si="7"/>
        <v>3.7043805532701132E-2</v>
      </c>
      <c r="K46" s="56">
        <v>351791.15915298898</v>
      </c>
      <c r="L46" s="63">
        <v>0.87390991623867997</v>
      </c>
      <c r="M46" s="210">
        <f t="shared" si="10"/>
        <v>307433.78242889675</v>
      </c>
      <c r="N46" s="57">
        <f t="shared" si="11"/>
        <v>12.241403685398542</v>
      </c>
      <c r="O46" s="56">
        <v>3763421.0372411101</v>
      </c>
      <c r="P46" s="61" t="s">
        <v>82</v>
      </c>
      <c r="Q46" s="61" t="s">
        <v>82</v>
      </c>
      <c r="R46" s="78">
        <v>17875080.930148344</v>
      </c>
      <c r="S46" s="78">
        <v>6502138.9810370635</v>
      </c>
      <c r="T46" s="75">
        <f t="shared" si="8"/>
        <v>11372941.949111281</v>
      </c>
      <c r="U46" s="63">
        <f t="shared" si="9"/>
        <v>2.7491077908792017</v>
      </c>
      <c r="V46" s="62">
        <v>15529</v>
      </c>
      <c r="W46" s="240" t="s">
        <v>128</v>
      </c>
    </row>
    <row r="47" spans="2:23" x14ac:dyDescent="0.35">
      <c r="B47" s="2" t="s">
        <v>185</v>
      </c>
      <c r="C47" s="53" t="s">
        <v>159</v>
      </c>
      <c r="D47" s="56">
        <v>54.841905400000002</v>
      </c>
      <c r="E47" s="63">
        <v>0.8</v>
      </c>
      <c r="F47" s="173">
        <v>43.873524319999994</v>
      </c>
      <c r="G47" s="84">
        <v>7.0000000000000009</v>
      </c>
      <c r="H47" s="83">
        <v>307.15854376431997</v>
      </c>
      <c r="I47" s="136">
        <v>0</v>
      </c>
      <c r="J47" s="287">
        <f t="shared" si="7"/>
        <v>0</v>
      </c>
      <c r="K47" s="56">
        <v>0</v>
      </c>
      <c r="L47" s="55" t="s">
        <v>82</v>
      </c>
      <c r="M47" s="56">
        <v>0</v>
      </c>
      <c r="N47" s="55" t="s">
        <v>82</v>
      </c>
      <c r="O47" s="56">
        <v>0</v>
      </c>
      <c r="P47" s="61" t="s">
        <v>82</v>
      </c>
      <c r="Q47" s="61" t="s">
        <v>82</v>
      </c>
      <c r="R47" s="140" t="s">
        <v>82</v>
      </c>
      <c r="S47" s="140" t="s">
        <v>82</v>
      </c>
      <c r="T47" s="140" t="s">
        <v>82</v>
      </c>
      <c r="U47" s="140" t="s">
        <v>82</v>
      </c>
      <c r="V47" s="62">
        <v>3852</v>
      </c>
      <c r="W47" s="199" t="s">
        <v>157</v>
      </c>
    </row>
    <row r="48" spans="2:23" x14ac:dyDescent="0.35">
      <c r="B48" s="2" t="s">
        <v>186</v>
      </c>
      <c r="C48" s="53" t="s">
        <v>159</v>
      </c>
      <c r="D48" s="56">
        <v>29622.475413950102</v>
      </c>
      <c r="E48" s="63">
        <v>0.81525530771579102</v>
      </c>
      <c r="F48" s="173">
        <v>24149.880308903299</v>
      </c>
      <c r="G48" s="84">
        <v>8.5346372659857703</v>
      </c>
      <c r="H48" s="83">
        <v>206134.61833377098</v>
      </c>
      <c r="I48" s="136">
        <v>9499118.5276327711</v>
      </c>
      <c r="J48" s="287">
        <f t="shared" si="7"/>
        <v>4.7104019667990084E-2</v>
      </c>
      <c r="K48" s="56">
        <v>562.79999999999995</v>
      </c>
      <c r="L48" s="63">
        <v>1</v>
      </c>
      <c r="M48" s="210">
        <f t="shared" si="10"/>
        <v>562.79999999999995</v>
      </c>
      <c r="N48" s="57">
        <f t="shared" si="11"/>
        <v>10.000000000000002</v>
      </c>
      <c r="O48" s="56">
        <v>5628.0000000000009</v>
      </c>
      <c r="P48" s="61" t="s">
        <v>82</v>
      </c>
      <c r="Q48" s="61" t="s">
        <v>82</v>
      </c>
      <c r="R48" s="149">
        <v>16160003.580309693</v>
      </c>
      <c r="S48" s="149">
        <v>10322293.871593233</v>
      </c>
      <c r="T48" s="75">
        <f t="shared" si="8"/>
        <v>5837709.7087164596</v>
      </c>
      <c r="U48" s="63">
        <f t="shared" si="9"/>
        <v>1.5655438395124297</v>
      </c>
      <c r="V48" s="62">
        <v>18305</v>
      </c>
      <c r="W48" s="199" t="s">
        <v>139</v>
      </c>
    </row>
    <row r="49" spans="2:23" x14ac:dyDescent="0.35">
      <c r="B49" s="2" t="s">
        <v>187</v>
      </c>
      <c r="C49" s="53" t="s">
        <v>159</v>
      </c>
      <c r="D49" s="56">
        <v>0</v>
      </c>
      <c r="E49" s="63"/>
      <c r="F49" s="173">
        <v>279539.77215665602</v>
      </c>
      <c r="G49" s="84">
        <v>2.4758880172024025</v>
      </c>
      <c r="H49" s="83">
        <v>692388.71198631113</v>
      </c>
      <c r="I49" s="87">
        <v>5323405.6368482439</v>
      </c>
      <c r="J49" s="287">
        <f t="shared" si="7"/>
        <v>7.7531292594003997E-3</v>
      </c>
      <c r="K49" s="56">
        <v>0</v>
      </c>
      <c r="L49" s="55" t="s">
        <v>82</v>
      </c>
      <c r="M49" s="56">
        <v>0</v>
      </c>
      <c r="N49" s="55" t="s">
        <v>82</v>
      </c>
      <c r="O49" s="56">
        <v>0</v>
      </c>
      <c r="P49" s="61" t="s">
        <v>82</v>
      </c>
      <c r="Q49" s="61" t="s">
        <v>82</v>
      </c>
      <c r="R49" s="153">
        <v>24662817.419902023</v>
      </c>
      <c r="S49" s="153">
        <v>5323405.620000001</v>
      </c>
      <c r="T49" s="75">
        <f t="shared" si="8"/>
        <v>19339411.799902022</v>
      </c>
      <c r="U49" s="63">
        <f t="shared" si="9"/>
        <v>4.6329021645925259</v>
      </c>
      <c r="V49" s="62">
        <v>1832</v>
      </c>
      <c r="W49" s="199" t="s">
        <v>193</v>
      </c>
    </row>
    <row r="50" spans="2:23" x14ac:dyDescent="0.35">
      <c r="B50" s="2" t="s">
        <v>188</v>
      </c>
      <c r="C50" s="53" t="s">
        <v>159</v>
      </c>
      <c r="D50" s="56">
        <v>503823.72708830796</v>
      </c>
      <c r="E50" s="63">
        <v>0.59849107505559596</v>
      </c>
      <c r="F50" s="173">
        <v>301534.00406359899</v>
      </c>
      <c r="G50" s="84">
        <v>7.157022226364635</v>
      </c>
      <c r="H50" s="83">
        <v>2158387.1030919659</v>
      </c>
      <c r="I50" s="87">
        <v>30323453.653870136</v>
      </c>
      <c r="J50" s="287">
        <f t="shared" si="7"/>
        <v>1.4315945681726365E-2</v>
      </c>
      <c r="K50" s="56">
        <v>0</v>
      </c>
      <c r="L50" s="55" t="s">
        <v>82</v>
      </c>
      <c r="M50" s="56">
        <v>0</v>
      </c>
      <c r="N50" s="55" t="s">
        <v>82</v>
      </c>
      <c r="O50" s="56">
        <v>0</v>
      </c>
      <c r="P50" s="61" t="s">
        <v>82</v>
      </c>
      <c r="Q50" s="61" t="s">
        <v>82</v>
      </c>
      <c r="R50" s="3">
        <v>142400121.89780498</v>
      </c>
      <c r="S50" s="3">
        <v>27016165.611474242</v>
      </c>
      <c r="T50" s="75">
        <f t="shared" si="8"/>
        <v>115383956.28633073</v>
      </c>
      <c r="U50" s="63">
        <f t="shared" si="9"/>
        <v>5.2709227484645389</v>
      </c>
      <c r="V50" s="132">
        <v>11251649</v>
      </c>
      <c r="W50" s="199" t="s">
        <v>208</v>
      </c>
    </row>
    <row r="51" spans="2:23" x14ac:dyDescent="0.35">
      <c r="B51" s="224" t="s">
        <v>189</v>
      </c>
      <c r="C51" s="53" t="s">
        <v>159</v>
      </c>
      <c r="D51" s="193">
        <v>1483.1373058747699</v>
      </c>
      <c r="E51" s="166">
        <v>1</v>
      </c>
      <c r="F51" s="173">
        <v>1483.1373058747699</v>
      </c>
      <c r="G51" s="55">
        <v>6.7671746158138051</v>
      </c>
      <c r="H51" s="56">
        <v>10038.132265388094</v>
      </c>
      <c r="I51" s="60">
        <v>711919.11940787698</v>
      </c>
      <c r="J51" s="287">
        <f t="shared" si="7"/>
        <v>7.2204706327340606E-2</v>
      </c>
      <c r="K51" s="56">
        <v>0</v>
      </c>
      <c r="L51" s="55" t="s">
        <v>82</v>
      </c>
      <c r="M51" s="56">
        <v>0</v>
      </c>
      <c r="N51" s="55" t="s">
        <v>82</v>
      </c>
      <c r="O51" s="56">
        <v>0</v>
      </c>
      <c r="P51" s="61" t="s">
        <v>82</v>
      </c>
      <c r="Q51" s="61" t="s">
        <v>82</v>
      </c>
      <c r="R51" s="1">
        <v>911949.51691674558</v>
      </c>
      <c r="S51" s="1">
        <v>711919.18935083505</v>
      </c>
      <c r="T51" s="75">
        <f t="shared" si="8"/>
        <v>200030.32756591053</v>
      </c>
      <c r="U51" s="63">
        <f t="shared" si="9"/>
        <v>1.2809733612438634</v>
      </c>
      <c r="V51" s="62">
        <v>37840</v>
      </c>
      <c r="W51" s="199" t="s">
        <v>194</v>
      </c>
    </row>
    <row r="52" spans="2:23" x14ac:dyDescent="0.35">
      <c r="B52" s="224" t="s">
        <v>190</v>
      </c>
      <c r="C52" s="53" t="s">
        <v>159</v>
      </c>
      <c r="D52" s="180">
        <v>12396.3799780886</v>
      </c>
      <c r="E52" s="166">
        <v>0.94933338018237301</v>
      </c>
      <c r="F52" s="173">
        <v>11768.297306623901</v>
      </c>
      <c r="G52" s="57">
        <v>8.100087372565115</v>
      </c>
      <c r="H52" s="56">
        <v>95336.004707282947</v>
      </c>
      <c r="I52" s="60">
        <v>5338953.4770237766</v>
      </c>
      <c r="J52" s="287">
        <f t="shared" si="7"/>
        <v>5.7186985359978314E-2</v>
      </c>
      <c r="K52" s="56">
        <v>0</v>
      </c>
      <c r="L52" s="55" t="s">
        <v>82</v>
      </c>
      <c r="M52" s="56">
        <v>0</v>
      </c>
      <c r="N52" s="55" t="s">
        <v>82</v>
      </c>
      <c r="O52" s="56">
        <v>0</v>
      </c>
      <c r="P52" s="61" t="s">
        <v>82</v>
      </c>
      <c r="Q52" s="61" t="s">
        <v>82</v>
      </c>
      <c r="R52" s="1">
        <v>5885618.4281850848</v>
      </c>
      <c r="S52" s="1">
        <v>3810506.609994045</v>
      </c>
      <c r="T52" s="75">
        <f t="shared" si="8"/>
        <v>2075111.8181910398</v>
      </c>
      <c r="U52" s="63">
        <f t="shared" si="9"/>
        <v>1.5445763596757762</v>
      </c>
      <c r="V52" s="62">
        <v>15105</v>
      </c>
      <c r="W52" s="199" t="s">
        <v>157</v>
      </c>
    </row>
    <row r="53" spans="2:23" x14ac:dyDescent="0.35">
      <c r="B53" s="224" t="s">
        <v>191</v>
      </c>
      <c r="C53" s="53" t="s">
        <v>159</v>
      </c>
      <c r="D53" s="56">
        <v>357.71730825938801</v>
      </c>
      <c r="E53" s="166">
        <v>0.65</v>
      </c>
      <c r="F53" s="173">
        <v>232.51625036860199</v>
      </c>
      <c r="G53" s="57">
        <v>18.000000000000007</v>
      </c>
      <c r="H53" s="56">
        <v>4185.5250228852055</v>
      </c>
      <c r="I53" s="60">
        <v>391934.8187998854</v>
      </c>
      <c r="J53" s="287">
        <f t="shared" si="7"/>
        <v>9.7791268246533086E-2</v>
      </c>
      <c r="K53" s="56">
        <v>0</v>
      </c>
      <c r="L53" s="55" t="s">
        <v>82</v>
      </c>
      <c r="M53" s="56">
        <v>0</v>
      </c>
      <c r="N53" s="55" t="s">
        <v>82</v>
      </c>
      <c r="O53" s="56">
        <v>0</v>
      </c>
      <c r="P53" s="61" t="s">
        <v>82</v>
      </c>
      <c r="Q53" s="61" t="s">
        <v>82</v>
      </c>
      <c r="R53" s="1">
        <v>481626.74629077513</v>
      </c>
      <c r="S53" s="1">
        <v>484427.58759462129</v>
      </c>
      <c r="T53" s="75">
        <f t="shared" si="8"/>
        <v>-2800.8413038461586</v>
      </c>
      <c r="U53" s="63">
        <f t="shared" si="9"/>
        <v>0.99421824566649175</v>
      </c>
      <c r="V53" s="62">
        <v>695</v>
      </c>
      <c r="W53" s="199" t="s">
        <v>195</v>
      </c>
    </row>
    <row r="54" spans="2:23" x14ac:dyDescent="0.35">
      <c r="B54" s="224" t="s">
        <v>192</v>
      </c>
      <c r="C54" s="53" t="s">
        <v>159</v>
      </c>
      <c r="D54" s="56">
        <v>1688.1273743240799</v>
      </c>
      <c r="E54" s="166">
        <v>1.01</v>
      </c>
      <c r="F54" s="180">
        <v>1705.0086480673201</v>
      </c>
      <c r="G54" s="57">
        <v>18.087144455371639</v>
      </c>
      <c r="H54" s="56">
        <v>14411.489022115127</v>
      </c>
      <c r="I54" s="297" t="s">
        <v>283</v>
      </c>
      <c r="J54" s="293" t="s">
        <v>82</v>
      </c>
      <c r="K54" s="56">
        <v>46889.490755343897</v>
      </c>
      <c r="L54" s="63">
        <v>1.01</v>
      </c>
      <c r="M54" s="210">
        <f t="shared" si="10"/>
        <v>47358.385662897337</v>
      </c>
      <c r="N54" s="57">
        <f t="shared" si="11"/>
        <v>18.842101203477565</v>
      </c>
      <c r="O54" s="56">
        <v>892331.49549363262</v>
      </c>
      <c r="P54" s="61" t="s">
        <v>82</v>
      </c>
      <c r="Q54" s="61" t="s">
        <v>82</v>
      </c>
      <c r="R54" s="1">
        <v>1704233.8401289789</v>
      </c>
      <c r="S54" s="1">
        <v>715071.3668828262</v>
      </c>
      <c r="T54" s="75">
        <f t="shared" si="8"/>
        <v>989162.47324615275</v>
      </c>
      <c r="U54" s="63">
        <f t="shared" si="9"/>
        <v>2.3833059454724888</v>
      </c>
      <c r="V54" s="62">
        <v>3643</v>
      </c>
      <c r="W54" s="199" t="s">
        <v>194</v>
      </c>
    </row>
    <row r="55" spans="2:23" x14ac:dyDescent="0.35">
      <c r="B55" s="4" t="s">
        <v>8</v>
      </c>
      <c r="C55" s="4"/>
      <c r="D55" s="65">
        <f>SUM(D43:D54)</f>
        <v>667052.51142481307</v>
      </c>
      <c r="E55" s="69">
        <f>F55/D55</f>
        <v>1.0596865537337041</v>
      </c>
      <c r="F55" s="65">
        <f>SUM(F43:F54)</f>
        <v>706866.57699117251</v>
      </c>
      <c r="G55" s="118">
        <f>H55/F55</f>
        <v>5.4990025002698495</v>
      </c>
      <c r="H55" s="71">
        <f>SUM(H43:H54)</f>
        <v>3887061.0742316474</v>
      </c>
      <c r="I55" s="67">
        <f>SUM(I43:I54)</f>
        <v>88146693.330000058</v>
      </c>
      <c r="J55" s="248">
        <f t="shared" ref="J55" si="12">-PMT( 0.46%,G55,I55)/(F55*1000)</f>
        <v>2.3017085830759693E-2</v>
      </c>
      <c r="K55" s="231">
        <f>SUM(K43:K54)</f>
        <v>2696585.4847953143</v>
      </c>
      <c r="L55" s="73">
        <f>M55/K55</f>
        <v>0.96374785432624299</v>
      </c>
      <c r="M55" s="231">
        <f>SUM(M43:M54)</f>
        <v>2598828.4749787757</v>
      </c>
      <c r="N55" s="73">
        <f t="shared" si="11"/>
        <v>10.487625607737042</v>
      </c>
      <c r="O55" s="74">
        <f>SUM(O43:O54)</f>
        <v>27255540.064303614</v>
      </c>
      <c r="P55" s="68" t="s">
        <v>82</v>
      </c>
      <c r="Q55" s="68" t="s">
        <v>82</v>
      </c>
      <c r="R55" s="72">
        <f>SUM(R43:R54)</f>
        <v>270299005.6442892</v>
      </c>
      <c r="S55" s="72">
        <f>SUM(S43:S54)</f>
        <v>84928407.519441828</v>
      </c>
      <c r="T55" s="72">
        <f t="shared" ref="T55:T66" si="13">R55-S55</f>
        <v>185370598.12484735</v>
      </c>
      <c r="U55" s="73">
        <f t="shared" ref="U55" si="14">R55/S55</f>
        <v>3.1826689506972361</v>
      </c>
      <c r="V55" s="198">
        <f>SUM(V43:V54)</f>
        <v>11673407</v>
      </c>
      <c r="W55" s="218" t="s">
        <v>82</v>
      </c>
    </row>
    <row r="56" spans="2:23" ht="15.65" customHeight="1" x14ac:dyDescent="0.35">
      <c r="B56" s="425" t="s">
        <v>9</v>
      </c>
      <c r="C56" s="426"/>
      <c r="D56" s="426"/>
      <c r="E56" s="426"/>
      <c r="F56" s="426"/>
      <c r="G56" s="426"/>
      <c r="H56" s="426"/>
      <c r="I56" s="426"/>
      <c r="J56" s="426"/>
      <c r="K56" s="426"/>
      <c r="L56" s="426"/>
      <c r="M56" s="426"/>
      <c r="N56" s="426"/>
      <c r="O56" s="426"/>
      <c r="P56" s="426"/>
      <c r="Q56" s="426"/>
      <c r="R56" s="426"/>
      <c r="S56" s="426"/>
      <c r="T56" s="426"/>
      <c r="U56" s="426"/>
      <c r="V56" s="426"/>
      <c r="W56" s="427"/>
    </row>
    <row r="57" spans="2:23" ht="14.5" customHeight="1" x14ac:dyDescent="0.35">
      <c r="B57" s="2" t="s">
        <v>196</v>
      </c>
      <c r="C57" s="53" t="s">
        <v>159</v>
      </c>
      <c r="D57" s="298">
        <v>1935.08902181794</v>
      </c>
      <c r="E57" s="299">
        <v>1</v>
      </c>
      <c r="F57" s="108">
        <v>1935.08902181794</v>
      </c>
      <c r="G57" s="116">
        <v>11.458717118070457</v>
      </c>
      <c r="H57" s="117">
        <v>22175.572788317262</v>
      </c>
      <c r="I57" s="3">
        <v>1788155.6005956463</v>
      </c>
      <c r="J57" s="287">
        <f t="shared" ref="J57:J62" si="15">-PMT( 0.46%,G57,I57)/(F57*1000)</f>
        <v>8.2972636658748877E-2</v>
      </c>
      <c r="K57" s="56">
        <v>0</v>
      </c>
      <c r="L57" s="55" t="s">
        <v>82</v>
      </c>
      <c r="M57" s="56">
        <v>0</v>
      </c>
      <c r="N57" s="55" t="s">
        <v>82</v>
      </c>
      <c r="O57" s="56">
        <v>0</v>
      </c>
      <c r="P57" s="61" t="s">
        <v>82</v>
      </c>
      <c r="Q57" s="61" t="s">
        <v>82</v>
      </c>
      <c r="R57" s="3">
        <v>1632134.9561627707</v>
      </c>
      <c r="S57" s="3">
        <v>3067088.0119451564</v>
      </c>
      <c r="T57" s="75">
        <f t="shared" si="13"/>
        <v>-1434953.0557823856</v>
      </c>
      <c r="U57" s="55">
        <f>R57/S57</f>
        <v>0.53214480634602523</v>
      </c>
      <c r="V57" s="62">
        <v>18</v>
      </c>
      <c r="W57" s="199" t="s">
        <v>139</v>
      </c>
    </row>
    <row r="58" spans="2:23" ht="14.5" customHeight="1" x14ac:dyDescent="0.35">
      <c r="B58" s="2" t="s">
        <v>197</v>
      </c>
      <c r="C58" s="53" t="s">
        <v>159</v>
      </c>
      <c r="D58" s="298">
        <v>39753.101710610601</v>
      </c>
      <c r="E58" s="299">
        <v>1</v>
      </c>
      <c r="F58" s="108">
        <v>39753.101710610601</v>
      </c>
      <c r="G58" s="116">
        <v>5.0547785632896449</v>
      </c>
      <c r="H58" s="117">
        <v>200982.87945277797</v>
      </c>
      <c r="I58" s="3">
        <v>3799825.3125644582</v>
      </c>
      <c r="J58" s="287">
        <f t="shared" si="15"/>
        <v>1.9174110778651041E-2</v>
      </c>
      <c r="K58" s="56">
        <v>0</v>
      </c>
      <c r="L58" s="55" t="s">
        <v>82</v>
      </c>
      <c r="M58" s="56">
        <v>0</v>
      </c>
      <c r="N58" s="55" t="s">
        <v>82</v>
      </c>
      <c r="O58" s="56">
        <v>0</v>
      </c>
      <c r="P58" s="61" t="s">
        <v>82</v>
      </c>
      <c r="Q58" s="61" t="s">
        <v>82</v>
      </c>
      <c r="R58" s="3">
        <v>14989245.148735639</v>
      </c>
      <c r="S58" s="3">
        <v>3799825.3498208183</v>
      </c>
      <c r="T58" s="75">
        <f t="shared" si="13"/>
        <v>11189419.79891482</v>
      </c>
      <c r="U58" s="55">
        <f t="shared" ref="U58:U61" si="16">R58/S58</f>
        <v>3.9447194986060241</v>
      </c>
      <c r="V58" s="62">
        <v>1711320</v>
      </c>
      <c r="W58" s="199" t="s">
        <v>204</v>
      </c>
    </row>
    <row r="59" spans="2:23" ht="14.5" customHeight="1" x14ac:dyDescent="0.35">
      <c r="B59" s="2" t="s">
        <v>198</v>
      </c>
      <c r="C59" s="53" t="s">
        <v>159</v>
      </c>
      <c r="D59" s="298">
        <v>752.63973220735795</v>
      </c>
      <c r="E59" s="299">
        <v>1</v>
      </c>
      <c r="F59" s="108">
        <v>752.63973220735795</v>
      </c>
      <c r="G59" s="116">
        <v>10.130344429659155</v>
      </c>
      <c r="H59" s="117">
        <v>6364.252465668872</v>
      </c>
      <c r="I59" s="3">
        <v>4303983.9960433338</v>
      </c>
      <c r="J59" s="287">
        <f t="shared" si="15"/>
        <v>0.57904580213475521</v>
      </c>
      <c r="K59" s="56">
        <v>0</v>
      </c>
      <c r="L59" s="55" t="s">
        <v>82</v>
      </c>
      <c r="M59" s="56">
        <v>0</v>
      </c>
      <c r="N59" s="55" t="s">
        <v>82</v>
      </c>
      <c r="O59" s="56">
        <v>0</v>
      </c>
      <c r="P59" s="61" t="s">
        <v>82</v>
      </c>
      <c r="Q59" s="61" t="s">
        <v>82</v>
      </c>
      <c r="R59" s="3">
        <v>24989898.912339278</v>
      </c>
      <c r="S59" s="3">
        <v>3829290.6682250146</v>
      </c>
      <c r="T59" s="75">
        <f t="shared" si="13"/>
        <v>21160608.244114265</v>
      </c>
      <c r="U59" s="55">
        <f t="shared" si="16"/>
        <v>6.5259864234654215</v>
      </c>
      <c r="V59" s="62">
        <v>1141533</v>
      </c>
      <c r="W59" s="115" t="s">
        <v>208</v>
      </c>
    </row>
    <row r="60" spans="2:23" ht="14.5" customHeight="1" x14ac:dyDescent="0.35">
      <c r="B60" s="2" t="s">
        <v>199</v>
      </c>
      <c r="C60" s="53" t="s">
        <v>159</v>
      </c>
      <c r="D60" s="298">
        <v>16651.237342861099</v>
      </c>
      <c r="E60" s="299">
        <v>1</v>
      </c>
      <c r="F60" s="108">
        <v>16651.237342861099</v>
      </c>
      <c r="G60" s="116">
        <v>10.287813200794025</v>
      </c>
      <c r="H60" s="117">
        <v>39264.970414889336</v>
      </c>
      <c r="I60" s="294" t="s">
        <v>280</v>
      </c>
      <c r="J60" s="293" t="s">
        <v>82</v>
      </c>
      <c r="K60" s="54">
        <v>4246.51</v>
      </c>
      <c r="L60" s="63">
        <f>M60/K60</f>
        <v>1</v>
      </c>
      <c r="M60" s="54">
        <v>4246.51</v>
      </c>
      <c r="N60" s="57">
        <f t="shared" ref="N60:N63" si="17">O60/M60</f>
        <v>20.042187584628302</v>
      </c>
      <c r="O60" s="56">
        <v>85109.349999999933</v>
      </c>
      <c r="P60" s="61" t="s">
        <v>82</v>
      </c>
      <c r="Q60" s="61" t="s">
        <v>82</v>
      </c>
      <c r="R60" s="3">
        <v>458221.53177497885</v>
      </c>
      <c r="S60" s="3">
        <v>1762783.1942769999</v>
      </c>
      <c r="T60" s="75">
        <f t="shared" si="13"/>
        <v>-1304561.6625020211</v>
      </c>
      <c r="U60" s="55">
        <f t="shared" si="16"/>
        <v>0.25994208094485322</v>
      </c>
      <c r="V60" s="117">
        <v>143</v>
      </c>
      <c r="W60" s="199" t="s">
        <v>139</v>
      </c>
    </row>
    <row r="61" spans="2:23" ht="14.5" customHeight="1" x14ac:dyDescent="0.35">
      <c r="B61" s="2" t="s">
        <v>200</v>
      </c>
      <c r="C61" s="53" t="s">
        <v>159</v>
      </c>
      <c r="D61" s="298">
        <v>46515.814769636403</v>
      </c>
      <c r="E61" s="299">
        <v>1</v>
      </c>
      <c r="F61" s="108">
        <v>46515.814769636403</v>
      </c>
      <c r="G61" s="116">
        <v>7.2935201617663621</v>
      </c>
      <c r="H61" s="117">
        <v>339310.54867810226</v>
      </c>
      <c r="I61" s="3">
        <v>8107179.9346137568</v>
      </c>
      <c r="J61" s="287">
        <f t="shared" si="15"/>
        <v>2.4354393086045794E-2</v>
      </c>
      <c r="K61" s="54">
        <v>437903.76816296199</v>
      </c>
      <c r="L61" s="63">
        <f>M61/K61</f>
        <v>1</v>
      </c>
      <c r="M61" s="54">
        <v>437903.76816296199</v>
      </c>
      <c r="N61" s="57">
        <f t="shared" si="17"/>
        <v>14.705281833091901</v>
      </c>
      <c r="O61" s="56">
        <v>6439498.3266092921</v>
      </c>
      <c r="P61" s="61" t="s">
        <v>82</v>
      </c>
      <c r="Q61" s="61" t="s">
        <v>82</v>
      </c>
      <c r="R61" s="3">
        <v>5429154.2336722938</v>
      </c>
      <c r="S61" s="3">
        <v>7157465.0515520526</v>
      </c>
      <c r="T61" s="75">
        <f t="shared" si="13"/>
        <v>-1728310.8178797588</v>
      </c>
      <c r="U61" s="55">
        <f t="shared" si="16"/>
        <v>0.75853031688852113</v>
      </c>
      <c r="V61" s="117">
        <v>4094</v>
      </c>
      <c r="W61" s="199" t="s">
        <v>193</v>
      </c>
    </row>
    <row r="62" spans="2:23" ht="14.5" customHeight="1" x14ac:dyDescent="0.35">
      <c r="B62" s="2" t="s">
        <v>201</v>
      </c>
      <c r="C62" s="53" t="s">
        <v>159</v>
      </c>
      <c r="D62" s="298">
        <v>8838.81823958729</v>
      </c>
      <c r="E62" s="299">
        <v>1</v>
      </c>
      <c r="F62" s="108">
        <v>8838.81823958729</v>
      </c>
      <c r="G62" s="116">
        <v>15.488004214490081</v>
      </c>
      <c r="H62" s="117">
        <v>31614.243207762011</v>
      </c>
      <c r="I62" s="3">
        <v>11237047.301165968</v>
      </c>
      <c r="J62" s="287">
        <f t="shared" si="15"/>
        <v>8.5232108533251874E-2</v>
      </c>
      <c r="K62" s="54">
        <v>231925.68047004301</v>
      </c>
      <c r="L62" s="63">
        <v>1</v>
      </c>
      <c r="M62" s="56">
        <f>K62*L62</f>
        <v>231925.68047004301</v>
      </c>
      <c r="N62" s="57">
        <f t="shared" si="17"/>
        <v>19.932584466301201</v>
      </c>
      <c r="O62" s="56">
        <v>4622878.2158735152</v>
      </c>
      <c r="P62" s="61" t="s">
        <v>82</v>
      </c>
      <c r="Q62" s="61" t="s">
        <v>82</v>
      </c>
      <c r="R62" s="3">
        <v>5387343.4682387309</v>
      </c>
      <c r="S62" s="3">
        <v>7594385.4283346143</v>
      </c>
      <c r="T62" s="75">
        <f t="shared" si="13"/>
        <v>-2207041.9600958833</v>
      </c>
      <c r="U62" s="55">
        <f t="shared" ref="U62:U64" si="18">R62/S62</f>
        <v>0.70938504755612997</v>
      </c>
      <c r="V62" s="243">
        <v>1563</v>
      </c>
      <c r="W62" s="199" t="s">
        <v>193</v>
      </c>
    </row>
    <row r="63" spans="2:23" ht="14.5" customHeight="1" x14ac:dyDescent="0.35">
      <c r="B63" s="2" t="s">
        <v>202</v>
      </c>
      <c r="C63" s="53" t="s">
        <v>159</v>
      </c>
      <c r="D63" s="298">
        <v>2442.5852557629</v>
      </c>
      <c r="E63" s="299">
        <v>1</v>
      </c>
      <c r="F63" s="108">
        <v>2442.5852557629</v>
      </c>
      <c r="G63" s="116">
        <v>12.26276828590078</v>
      </c>
      <c r="H63" s="117">
        <v>12006.306937790878</v>
      </c>
      <c r="I63" s="294" t="s">
        <v>281</v>
      </c>
      <c r="J63" s="293" t="s">
        <v>82</v>
      </c>
      <c r="K63" s="54">
        <v>49934.456261442203</v>
      </c>
      <c r="L63" s="63">
        <v>1</v>
      </c>
      <c r="M63" s="56">
        <f>K63*L63</f>
        <v>49934.456261442203</v>
      </c>
      <c r="N63" s="57">
        <f t="shared" si="17"/>
        <v>15.803277307044576</v>
      </c>
      <c r="O63" s="56">
        <v>789128.05947605951</v>
      </c>
      <c r="P63" s="61" t="s">
        <v>82</v>
      </c>
      <c r="Q63" s="61" t="s">
        <v>82</v>
      </c>
      <c r="R63" s="3">
        <v>1647140.1674878837</v>
      </c>
      <c r="S63" s="3">
        <v>4204550.4130679667</v>
      </c>
      <c r="T63" s="75">
        <f t="shared" si="13"/>
        <v>-2557410.2455800828</v>
      </c>
      <c r="U63" s="55">
        <f t="shared" si="18"/>
        <v>0.39175179404877258</v>
      </c>
      <c r="V63" s="243">
        <v>365</v>
      </c>
      <c r="W63" s="199" t="s">
        <v>193</v>
      </c>
    </row>
    <row r="64" spans="2:23" ht="14.5" customHeight="1" x14ac:dyDescent="0.35">
      <c r="B64" s="2" t="s">
        <v>203</v>
      </c>
      <c r="C64" s="53" t="s">
        <v>159</v>
      </c>
      <c r="D64" s="298">
        <v>10538.6504369013</v>
      </c>
      <c r="E64" s="299">
        <v>1</v>
      </c>
      <c r="F64" s="108">
        <v>10538.6504369013</v>
      </c>
      <c r="G64" s="116">
        <v>6.6959054350122704</v>
      </c>
      <c r="H64" s="117">
        <v>70576.34538857876</v>
      </c>
      <c r="I64" s="3">
        <v>3360247.7499032994</v>
      </c>
      <c r="J64" s="287">
        <f t="shared" ref="J64" si="19">-PMT( 0.46%,G64,I64)/(F64*1000)</f>
        <v>4.8465189932948932E-2</v>
      </c>
      <c r="K64" s="56">
        <v>0</v>
      </c>
      <c r="L64" s="55" t="s">
        <v>82</v>
      </c>
      <c r="M64" s="56">
        <v>0</v>
      </c>
      <c r="N64" s="55" t="s">
        <v>82</v>
      </c>
      <c r="O64" s="56">
        <v>0</v>
      </c>
      <c r="P64" s="61" t="s">
        <v>82</v>
      </c>
      <c r="Q64" s="61" t="s">
        <v>82</v>
      </c>
      <c r="R64" s="3">
        <v>5431556.205389047</v>
      </c>
      <c r="S64" s="3">
        <v>3360247.7828309122</v>
      </c>
      <c r="T64" s="75">
        <f t="shared" ref="T64" si="20">R64-S64</f>
        <v>2071308.4225581349</v>
      </c>
      <c r="U64" s="55">
        <f t="shared" si="18"/>
        <v>1.6164153825623886</v>
      </c>
      <c r="V64" s="132">
        <v>34899</v>
      </c>
      <c r="W64" s="199" t="s">
        <v>129</v>
      </c>
    </row>
    <row r="65" spans="2:23" x14ac:dyDescent="0.35">
      <c r="B65" s="2" t="s">
        <v>282</v>
      </c>
      <c r="C65" s="53" t="s">
        <v>159</v>
      </c>
      <c r="D65" s="293" t="s">
        <v>82</v>
      </c>
      <c r="E65" s="293" t="s">
        <v>82</v>
      </c>
      <c r="F65" s="293" t="s">
        <v>82</v>
      </c>
      <c r="G65" s="293" t="s">
        <v>82</v>
      </c>
      <c r="H65" s="293" t="s">
        <v>82</v>
      </c>
      <c r="I65" s="227">
        <v>2291030.4051135401</v>
      </c>
      <c r="J65" s="293" t="s">
        <v>82</v>
      </c>
      <c r="K65" s="293" t="s">
        <v>82</v>
      </c>
      <c r="L65" s="293" t="s">
        <v>82</v>
      </c>
      <c r="M65" s="293" t="s">
        <v>82</v>
      </c>
      <c r="N65" s="293" t="s">
        <v>82</v>
      </c>
      <c r="O65" s="293" t="s">
        <v>82</v>
      </c>
      <c r="P65" s="293" t="s">
        <v>82</v>
      </c>
      <c r="Q65" s="293" t="s">
        <v>82</v>
      </c>
      <c r="R65" s="293" t="s">
        <v>82</v>
      </c>
      <c r="S65" s="293" t="s">
        <v>82</v>
      </c>
      <c r="T65" s="293" t="s">
        <v>82</v>
      </c>
      <c r="U65" s="293" t="s">
        <v>82</v>
      </c>
      <c r="V65" s="293" t="s">
        <v>82</v>
      </c>
      <c r="W65" s="293" t="s">
        <v>82</v>
      </c>
    </row>
    <row r="66" spans="2:23" ht="15.75" customHeight="1" x14ac:dyDescent="0.35">
      <c r="B66" s="4" t="s">
        <v>10</v>
      </c>
      <c r="C66" s="4"/>
      <c r="D66" s="71">
        <f>SUM(D57:D65)</f>
        <v>127427.93650938489</v>
      </c>
      <c r="E66" s="237">
        <f>F66/D66</f>
        <v>1</v>
      </c>
      <c r="F66" s="71">
        <f>SUM(F57:F65)</f>
        <v>127427.93650938489</v>
      </c>
      <c r="G66" s="118">
        <f>H66/F66</f>
        <v>5.6682634838137806</v>
      </c>
      <c r="H66" s="71">
        <f>SUM(H57:H65)</f>
        <v>722295.11933388724</v>
      </c>
      <c r="I66" s="67">
        <f>SUM(I57:I65)</f>
        <v>34887470.300000004</v>
      </c>
      <c r="J66" s="248">
        <f t="shared" ref="J66" si="21">-PMT( 0.46%,G66,I66)/(F66*1000)</f>
        <v>4.9044288538713739E-2</v>
      </c>
      <c r="K66" s="229">
        <f>SUM(K57:K65)</f>
        <v>724010.4148944472</v>
      </c>
      <c r="L66" s="73">
        <f>M66/K66</f>
        <v>1</v>
      </c>
      <c r="M66" s="229">
        <f>SUM(M57:M65)</f>
        <v>724010.4148944472</v>
      </c>
      <c r="N66" s="73">
        <f t="shared" ref="N66" si="22">O66/M66</f>
        <v>16.486798679131009</v>
      </c>
      <c r="O66" s="229">
        <f>SUM(O57:O65)</f>
        <v>11936613.951958865</v>
      </c>
      <c r="P66" s="68" t="s">
        <v>82</v>
      </c>
      <c r="Q66" s="68" t="s">
        <v>82</v>
      </c>
      <c r="R66" s="72">
        <v>59964694.623800613</v>
      </c>
      <c r="S66" s="72">
        <v>37066666.327728041</v>
      </c>
      <c r="T66" s="72">
        <f t="shared" si="13"/>
        <v>22898028.296072572</v>
      </c>
      <c r="U66" s="73">
        <f t="shared" ref="U66" si="23">R66/S66</f>
        <v>1.6177525675931506</v>
      </c>
      <c r="V66" s="74">
        <f>SUM(V57:V65)</f>
        <v>2893935</v>
      </c>
      <c r="W66" s="68" t="s">
        <v>82</v>
      </c>
    </row>
    <row r="67" spans="2:23" ht="15.65" hidden="1" customHeight="1" x14ac:dyDescent="0.35">
      <c r="B67" s="409" t="s">
        <v>11</v>
      </c>
      <c r="C67" s="410"/>
      <c r="D67" s="410"/>
      <c r="E67" s="410"/>
      <c r="F67" s="410"/>
      <c r="G67" s="410"/>
      <c r="H67" s="410"/>
      <c r="I67" s="410"/>
      <c r="J67" s="410"/>
      <c r="K67" s="410"/>
      <c r="L67" s="410"/>
      <c r="M67" s="410"/>
      <c r="N67" s="410"/>
      <c r="O67" s="410"/>
      <c r="P67" s="410"/>
      <c r="Q67" s="410"/>
      <c r="R67" s="410"/>
      <c r="S67" s="410"/>
      <c r="T67" s="410"/>
      <c r="U67" s="410"/>
      <c r="V67" s="410"/>
      <c r="W67" s="410"/>
    </row>
    <row r="68" spans="2:23" hidden="1" x14ac:dyDescent="0.35">
      <c r="B68" s="2" t="s">
        <v>0</v>
      </c>
      <c r="C68" s="2"/>
      <c r="D68" s="2"/>
      <c r="E68" s="2"/>
      <c r="F68" s="3"/>
      <c r="G68" s="3"/>
      <c r="H68" s="3"/>
      <c r="I68" s="3"/>
      <c r="J68" s="60" t="e">
        <f t="shared" ref="J68:J86" si="24">-PMT( 0.46%,G68,I68)/F68*1000</f>
        <v>#NUM!</v>
      </c>
      <c r="K68" s="61" t="s">
        <v>82</v>
      </c>
      <c r="L68" s="61" t="s">
        <v>82</v>
      </c>
      <c r="M68" s="61" t="s">
        <v>82</v>
      </c>
      <c r="N68" s="61" t="s">
        <v>82</v>
      </c>
      <c r="O68" s="61" t="s">
        <v>82</v>
      </c>
      <c r="P68" s="61" t="s">
        <v>82</v>
      </c>
      <c r="Q68" s="61" t="s">
        <v>82</v>
      </c>
      <c r="R68" s="3"/>
      <c r="S68" s="3"/>
      <c r="T68" s="2"/>
      <c r="U68" s="55" t="e">
        <f>R68/S68</f>
        <v>#DIV/0!</v>
      </c>
      <c r="V68" s="3"/>
      <c r="W68" s="3"/>
    </row>
    <row r="69" spans="2:23" hidden="1" x14ac:dyDescent="0.35">
      <c r="B69" s="2" t="s">
        <v>0</v>
      </c>
      <c r="C69" s="2"/>
      <c r="D69" s="2"/>
      <c r="E69" s="2"/>
      <c r="F69" s="3"/>
      <c r="G69" s="3"/>
      <c r="H69" s="3"/>
      <c r="I69" s="3"/>
      <c r="J69" s="60" t="e">
        <f t="shared" si="24"/>
        <v>#NUM!</v>
      </c>
      <c r="K69" s="61" t="s">
        <v>82</v>
      </c>
      <c r="L69" s="61" t="s">
        <v>82</v>
      </c>
      <c r="M69" s="61" t="s">
        <v>82</v>
      </c>
      <c r="N69" s="61" t="s">
        <v>82</v>
      </c>
      <c r="O69" s="61" t="s">
        <v>82</v>
      </c>
      <c r="P69" s="61" t="s">
        <v>82</v>
      </c>
      <c r="Q69" s="61" t="s">
        <v>82</v>
      </c>
      <c r="R69" s="3"/>
      <c r="S69" s="3"/>
      <c r="T69" s="2"/>
      <c r="U69" s="55" t="e">
        <f t="shared" ref="U69:U73" si="25">R69/S69</f>
        <v>#DIV/0!</v>
      </c>
      <c r="V69" s="3"/>
      <c r="W69" s="3"/>
    </row>
    <row r="70" spans="2:23" hidden="1" x14ac:dyDescent="0.35">
      <c r="B70" s="2" t="s">
        <v>0</v>
      </c>
      <c r="C70" s="2"/>
      <c r="D70" s="18"/>
      <c r="E70" s="18"/>
      <c r="F70" s="19"/>
      <c r="G70" s="19"/>
      <c r="H70" s="19"/>
      <c r="I70" s="19"/>
      <c r="J70" s="60" t="e">
        <f t="shared" si="24"/>
        <v>#NUM!</v>
      </c>
      <c r="K70" s="61" t="s">
        <v>82</v>
      </c>
      <c r="L70" s="61" t="s">
        <v>82</v>
      </c>
      <c r="M70" s="61" t="s">
        <v>82</v>
      </c>
      <c r="N70" s="61" t="s">
        <v>82</v>
      </c>
      <c r="O70" s="61" t="s">
        <v>82</v>
      </c>
      <c r="P70" s="61" t="s">
        <v>82</v>
      </c>
      <c r="Q70" s="61" t="s">
        <v>82</v>
      </c>
      <c r="R70" s="19"/>
      <c r="S70" s="19"/>
      <c r="T70" s="18"/>
      <c r="U70" s="55" t="e">
        <f t="shared" si="25"/>
        <v>#DIV/0!</v>
      </c>
      <c r="V70" s="19"/>
      <c r="W70" s="19"/>
    </row>
    <row r="71" spans="2:23" hidden="1" x14ac:dyDescent="0.35">
      <c r="B71" s="2" t="s">
        <v>0</v>
      </c>
      <c r="C71" s="2"/>
      <c r="D71" s="18"/>
      <c r="E71" s="18"/>
      <c r="F71" s="19"/>
      <c r="G71" s="19"/>
      <c r="H71" s="19"/>
      <c r="I71" s="19"/>
      <c r="J71" s="60" t="e">
        <f t="shared" si="24"/>
        <v>#NUM!</v>
      </c>
      <c r="K71" s="61" t="s">
        <v>82</v>
      </c>
      <c r="L71" s="61" t="s">
        <v>82</v>
      </c>
      <c r="M71" s="61" t="s">
        <v>82</v>
      </c>
      <c r="N71" s="61" t="s">
        <v>82</v>
      </c>
      <c r="O71" s="61" t="s">
        <v>82</v>
      </c>
      <c r="P71" s="61" t="s">
        <v>82</v>
      </c>
      <c r="Q71" s="61" t="s">
        <v>82</v>
      </c>
      <c r="R71" s="19"/>
      <c r="S71" s="19"/>
      <c r="T71" s="18"/>
      <c r="U71" s="55" t="e">
        <f t="shared" si="25"/>
        <v>#DIV/0!</v>
      </c>
      <c r="V71" s="19"/>
      <c r="W71" s="19"/>
    </row>
    <row r="72" spans="2:23" hidden="1" x14ac:dyDescent="0.35">
      <c r="B72" s="2" t="s">
        <v>0</v>
      </c>
      <c r="C72" s="2"/>
      <c r="D72" s="18"/>
      <c r="E72" s="18"/>
      <c r="F72" s="19"/>
      <c r="G72" s="19"/>
      <c r="H72" s="19"/>
      <c r="I72" s="19"/>
      <c r="J72" s="60" t="e">
        <f t="shared" si="24"/>
        <v>#NUM!</v>
      </c>
      <c r="K72" s="61" t="s">
        <v>82</v>
      </c>
      <c r="L72" s="61" t="s">
        <v>82</v>
      </c>
      <c r="M72" s="61" t="s">
        <v>82</v>
      </c>
      <c r="N72" s="61" t="s">
        <v>82</v>
      </c>
      <c r="O72" s="61" t="s">
        <v>82</v>
      </c>
      <c r="P72" s="61" t="s">
        <v>82</v>
      </c>
      <c r="Q72" s="61" t="s">
        <v>82</v>
      </c>
      <c r="R72" s="19"/>
      <c r="S72" s="19"/>
      <c r="T72" s="18"/>
      <c r="U72" s="55" t="e">
        <f t="shared" si="25"/>
        <v>#DIV/0!</v>
      </c>
      <c r="V72" s="19"/>
      <c r="W72" s="19"/>
    </row>
    <row r="73" spans="2:23" ht="35.15" hidden="1" customHeight="1" x14ac:dyDescent="0.35">
      <c r="B73" s="24" t="s">
        <v>12</v>
      </c>
      <c r="C73" s="24"/>
      <c r="D73" s="65">
        <f>SUM(D68:D72)</f>
        <v>0</v>
      </c>
      <c r="E73" s="69" t="e">
        <f>F73/D73</f>
        <v>#DIV/0!</v>
      </c>
      <c r="F73" s="65">
        <f>SUM(F68:F72)</f>
        <v>0</v>
      </c>
      <c r="G73" s="70" t="e">
        <f>H73/F73</f>
        <v>#DIV/0!</v>
      </c>
      <c r="H73" s="65">
        <f>SUM(H68:H72)</f>
        <v>0</v>
      </c>
      <c r="I73" s="67">
        <f>SUM(I68:I72)</f>
        <v>0</v>
      </c>
      <c r="J73" s="88" t="e">
        <f>-PMT( 0.46%,G73,I73)/F73*1000</f>
        <v>#DIV/0!</v>
      </c>
      <c r="K73" s="68" t="s">
        <v>82</v>
      </c>
      <c r="L73" s="68" t="s">
        <v>82</v>
      </c>
      <c r="M73" s="68" t="s">
        <v>82</v>
      </c>
      <c r="N73" s="68" t="s">
        <v>82</v>
      </c>
      <c r="O73" s="68" t="s">
        <v>82</v>
      </c>
      <c r="P73" s="68" t="s">
        <v>82</v>
      </c>
      <c r="Q73" s="68" t="s">
        <v>82</v>
      </c>
      <c r="R73" s="72">
        <f>SUM(R68:R72)</f>
        <v>0</v>
      </c>
      <c r="S73" s="72">
        <f>SUM(S68:S72)</f>
        <v>0</v>
      </c>
      <c r="T73" s="72">
        <f>SUM(T68:T72)</f>
        <v>0</v>
      </c>
      <c r="U73" s="73" t="e">
        <f t="shared" si="25"/>
        <v>#DIV/0!</v>
      </c>
      <c r="V73" s="74">
        <f>SUM(V68:V72)</f>
        <v>0</v>
      </c>
      <c r="W73" s="68" t="s">
        <v>82</v>
      </c>
    </row>
    <row r="74" spans="2:23" x14ac:dyDescent="0.35">
      <c r="B74" s="409" t="s">
        <v>16</v>
      </c>
      <c r="C74" s="410"/>
      <c r="D74" s="410"/>
      <c r="E74" s="410"/>
      <c r="F74" s="410"/>
      <c r="G74" s="410"/>
      <c r="H74" s="410"/>
      <c r="I74" s="410"/>
      <c r="J74" s="410"/>
      <c r="K74" s="410"/>
      <c r="L74" s="410"/>
      <c r="M74" s="410"/>
      <c r="N74" s="410"/>
      <c r="O74" s="410"/>
      <c r="P74" s="410"/>
      <c r="Q74" s="410"/>
      <c r="R74" s="410"/>
      <c r="S74" s="410"/>
      <c r="T74" s="410"/>
      <c r="U74" s="410"/>
      <c r="V74" s="410"/>
      <c r="W74" s="411"/>
    </row>
    <row r="75" spans="2:23" x14ac:dyDescent="0.35">
      <c r="B75" s="333" t="s">
        <v>174</v>
      </c>
      <c r="C75" s="53" t="s">
        <v>159</v>
      </c>
      <c r="D75" s="193">
        <v>895.32500000000005</v>
      </c>
      <c r="E75" s="111">
        <v>1</v>
      </c>
      <c r="F75" s="193">
        <v>895.32500000000005</v>
      </c>
      <c r="G75" s="55">
        <f t="shared" ref="G75:G80" si="26">H75/F75</f>
        <v>7.5010000000000003</v>
      </c>
      <c r="H75" s="56">
        <v>6715.8328250000004</v>
      </c>
      <c r="I75" s="60" t="s">
        <v>82</v>
      </c>
      <c r="J75" s="60" t="s">
        <v>82</v>
      </c>
      <c r="K75" s="56">
        <v>0</v>
      </c>
      <c r="L75" s="61" t="s">
        <v>82</v>
      </c>
      <c r="M75" s="56">
        <v>0</v>
      </c>
      <c r="N75" s="61" t="s">
        <v>82</v>
      </c>
      <c r="O75" s="56">
        <v>0</v>
      </c>
      <c r="P75" s="61" t="s">
        <v>82</v>
      </c>
      <c r="Q75" s="61" t="s">
        <v>82</v>
      </c>
      <c r="R75" s="140" t="s">
        <v>82</v>
      </c>
      <c r="S75" s="140" t="s">
        <v>82</v>
      </c>
      <c r="T75" s="140" t="s">
        <v>82</v>
      </c>
      <c r="U75" s="140" t="s">
        <v>82</v>
      </c>
      <c r="V75" s="56">
        <v>16</v>
      </c>
      <c r="W75" s="199" t="s">
        <v>139</v>
      </c>
    </row>
    <row r="76" spans="2:23" ht="16.149999999999999" customHeight="1" x14ac:dyDescent="0.35">
      <c r="B76" s="224" t="s">
        <v>175</v>
      </c>
      <c r="C76" s="53" t="s">
        <v>159</v>
      </c>
      <c r="D76" s="180">
        <v>197.48699999999999</v>
      </c>
      <c r="E76" s="111">
        <v>0.7</v>
      </c>
      <c r="F76" s="180">
        <v>138.24089999999998</v>
      </c>
      <c r="G76" s="55">
        <f t="shared" si="26"/>
        <v>15.000999999999996</v>
      </c>
      <c r="H76" s="56">
        <v>2073.7517408999993</v>
      </c>
      <c r="I76" s="60" t="s">
        <v>82</v>
      </c>
      <c r="J76" s="60" t="s">
        <v>82</v>
      </c>
      <c r="K76" s="56">
        <v>0</v>
      </c>
      <c r="L76" s="61" t="s">
        <v>82</v>
      </c>
      <c r="M76" s="56">
        <v>0</v>
      </c>
      <c r="N76" s="61" t="s">
        <v>82</v>
      </c>
      <c r="O76" s="56">
        <v>0</v>
      </c>
      <c r="P76" s="61" t="s">
        <v>82</v>
      </c>
      <c r="Q76" s="61" t="s">
        <v>82</v>
      </c>
      <c r="R76" s="140" t="s">
        <v>82</v>
      </c>
      <c r="S76" s="140" t="s">
        <v>82</v>
      </c>
      <c r="T76" s="140" t="s">
        <v>82</v>
      </c>
      <c r="U76" s="140" t="s">
        <v>82</v>
      </c>
      <c r="V76" s="56" t="s">
        <v>82</v>
      </c>
      <c r="W76" s="60" t="s">
        <v>82</v>
      </c>
    </row>
    <row r="77" spans="2:23" ht="16.149999999999999" customHeight="1" x14ac:dyDescent="0.35">
      <c r="B77" s="224" t="s">
        <v>176</v>
      </c>
      <c r="C77" s="53" t="s">
        <v>159</v>
      </c>
      <c r="D77" s="56">
        <v>316.48358085827499</v>
      </c>
      <c r="E77" s="111">
        <v>1</v>
      </c>
      <c r="F77" s="56">
        <v>316.48358085827499</v>
      </c>
      <c r="G77" s="55">
        <f t="shared" si="26"/>
        <v>17.473424099908545</v>
      </c>
      <c r="H77" s="56">
        <v>5530.0518289943366</v>
      </c>
      <c r="I77" s="60" t="s">
        <v>82</v>
      </c>
      <c r="J77" s="60" t="s">
        <v>82</v>
      </c>
      <c r="K77" s="56">
        <v>0</v>
      </c>
      <c r="L77" s="61" t="s">
        <v>82</v>
      </c>
      <c r="M77" s="56">
        <v>0</v>
      </c>
      <c r="N77" s="61" t="s">
        <v>82</v>
      </c>
      <c r="O77" s="56">
        <v>0</v>
      </c>
      <c r="P77" s="61" t="s">
        <v>82</v>
      </c>
      <c r="Q77" s="61" t="s">
        <v>82</v>
      </c>
      <c r="R77" s="140" t="s">
        <v>82</v>
      </c>
      <c r="S77" s="140" t="s">
        <v>82</v>
      </c>
      <c r="T77" s="140" t="s">
        <v>82</v>
      </c>
      <c r="U77" s="140" t="s">
        <v>82</v>
      </c>
      <c r="V77" s="56">
        <v>87</v>
      </c>
      <c r="W77" s="60" t="s">
        <v>209</v>
      </c>
    </row>
    <row r="78" spans="2:23" ht="16.149999999999999" customHeight="1" x14ac:dyDescent="0.35">
      <c r="B78" s="224" t="s">
        <v>177</v>
      </c>
      <c r="C78" s="53" t="s">
        <v>159</v>
      </c>
      <c r="D78" s="56">
        <v>18.234000000000002</v>
      </c>
      <c r="E78" s="111">
        <v>0.8</v>
      </c>
      <c r="F78" s="56">
        <v>14.587200000000001</v>
      </c>
      <c r="G78" s="55">
        <f t="shared" si="26"/>
        <v>18.001000000000005</v>
      </c>
      <c r="H78" s="56">
        <v>262.58418720000009</v>
      </c>
      <c r="I78" s="60" t="s">
        <v>82</v>
      </c>
      <c r="J78" s="60" t="s">
        <v>82</v>
      </c>
      <c r="K78" s="56">
        <v>0</v>
      </c>
      <c r="L78" s="61" t="s">
        <v>82</v>
      </c>
      <c r="M78" s="56">
        <v>0</v>
      </c>
      <c r="N78" s="61" t="s">
        <v>82</v>
      </c>
      <c r="O78" s="56">
        <v>0</v>
      </c>
      <c r="P78" s="61" t="s">
        <v>82</v>
      </c>
      <c r="Q78" s="61" t="s">
        <v>82</v>
      </c>
      <c r="R78" s="140" t="s">
        <v>82</v>
      </c>
      <c r="S78" s="140" t="s">
        <v>82</v>
      </c>
      <c r="T78" s="140" t="s">
        <v>82</v>
      </c>
      <c r="U78" s="140" t="s">
        <v>82</v>
      </c>
      <c r="V78" s="56">
        <v>126</v>
      </c>
      <c r="W78" s="60" t="s">
        <v>209</v>
      </c>
    </row>
    <row r="79" spans="2:23" ht="16.149999999999999" customHeight="1" x14ac:dyDescent="0.35">
      <c r="B79" s="224" t="s">
        <v>178</v>
      </c>
      <c r="C79" s="53" t="s">
        <v>159</v>
      </c>
      <c r="D79" s="56">
        <v>0</v>
      </c>
      <c r="E79" s="57" t="s">
        <v>82</v>
      </c>
      <c r="F79" s="56">
        <v>3035.4156207503202</v>
      </c>
      <c r="G79" s="55">
        <f t="shared" si="26"/>
        <v>1.0010000000000001</v>
      </c>
      <c r="H79" s="56">
        <v>3038.4510363710706</v>
      </c>
      <c r="I79" s="60" t="s">
        <v>82</v>
      </c>
      <c r="J79" s="60" t="s">
        <v>82</v>
      </c>
      <c r="K79" s="56">
        <v>0</v>
      </c>
      <c r="L79" s="61" t="s">
        <v>82</v>
      </c>
      <c r="M79" s="56">
        <v>0</v>
      </c>
      <c r="N79" s="61" t="s">
        <v>82</v>
      </c>
      <c r="O79" s="56">
        <v>0</v>
      </c>
      <c r="P79" s="61" t="s">
        <v>82</v>
      </c>
      <c r="Q79" s="61" t="s">
        <v>82</v>
      </c>
      <c r="R79" s="140" t="s">
        <v>82</v>
      </c>
      <c r="S79" s="140" t="s">
        <v>82</v>
      </c>
      <c r="T79" s="140" t="s">
        <v>82</v>
      </c>
      <c r="U79" s="140" t="s">
        <v>82</v>
      </c>
      <c r="V79" s="56" t="s">
        <v>82</v>
      </c>
      <c r="W79" s="60" t="s">
        <v>193</v>
      </c>
    </row>
    <row r="80" spans="2:23" ht="16.149999999999999" customHeight="1" x14ac:dyDescent="0.35">
      <c r="B80" s="224" t="s">
        <v>179</v>
      </c>
      <c r="C80" s="53" t="s">
        <v>159</v>
      </c>
      <c r="D80" s="56">
        <v>0</v>
      </c>
      <c r="E80" s="57" t="s">
        <v>82</v>
      </c>
      <c r="F80" s="56">
        <v>2566.7849999999999</v>
      </c>
      <c r="G80" s="55">
        <f t="shared" si="26"/>
        <v>1.0010000000000001</v>
      </c>
      <c r="H80" s="56">
        <v>2569.3517850000003</v>
      </c>
      <c r="I80" s="60" t="s">
        <v>82</v>
      </c>
      <c r="J80" s="60" t="s">
        <v>82</v>
      </c>
      <c r="K80" s="56">
        <v>1461619.28</v>
      </c>
      <c r="L80" s="63">
        <v>1</v>
      </c>
      <c r="M80" s="56">
        <v>1461619.28</v>
      </c>
      <c r="N80" s="57">
        <f t="shared" ref="N80" si="27">O80/M80</f>
        <v>1</v>
      </c>
      <c r="O80" s="56">
        <v>1461619.28</v>
      </c>
      <c r="P80" s="61" t="s">
        <v>82</v>
      </c>
      <c r="Q80" s="61" t="s">
        <v>82</v>
      </c>
      <c r="R80" s="140" t="s">
        <v>82</v>
      </c>
      <c r="S80" s="140" t="s">
        <v>82</v>
      </c>
      <c r="T80" s="140" t="s">
        <v>82</v>
      </c>
      <c r="U80" s="140" t="s">
        <v>82</v>
      </c>
      <c r="V80" s="56">
        <v>72276</v>
      </c>
      <c r="W80" s="60" t="s">
        <v>193</v>
      </c>
    </row>
    <row r="81" spans="2:23" s="14" customFormat="1" ht="13" x14ac:dyDescent="0.3">
      <c r="B81" s="224" t="s">
        <v>306</v>
      </c>
      <c r="C81" s="53" t="s">
        <v>159</v>
      </c>
      <c r="D81" s="180">
        <v>0</v>
      </c>
      <c r="E81" s="57" t="s">
        <v>82</v>
      </c>
      <c r="F81" s="180">
        <v>0</v>
      </c>
      <c r="G81" s="151" t="s">
        <v>82</v>
      </c>
      <c r="H81" s="56">
        <v>0</v>
      </c>
      <c r="I81" s="60" t="s">
        <v>82</v>
      </c>
      <c r="J81" s="60" t="s">
        <v>82</v>
      </c>
      <c r="K81" s="56">
        <v>0</v>
      </c>
      <c r="L81" s="61" t="s">
        <v>82</v>
      </c>
      <c r="M81" s="56">
        <v>0</v>
      </c>
      <c r="N81" s="61" t="s">
        <v>82</v>
      </c>
      <c r="O81" s="56">
        <v>0</v>
      </c>
      <c r="P81" s="61" t="s">
        <v>82</v>
      </c>
      <c r="Q81" s="61" t="s">
        <v>82</v>
      </c>
      <c r="R81" s="140" t="s">
        <v>82</v>
      </c>
      <c r="S81" s="140" t="s">
        <v>82</v>
      </c>
      <c r="T81" s="140" t="s">
        <v>82</v>
      </c>
      <c r="U81" s="140" t="s">
        <v>82</v>
      </c>
      <c r="V81" s="56">
        <f>1099+1081</f>
        <v>2180</v>
      </c>
      <c r="W81" s="60" t="s">
        <v>193</v>
      </c>
    </row>
    <row r="82" spans="2:23" ht="16.149999999999999" hidden="1" customHeight="1" x14ac:dyDescent="0.35">
      <c r="B82" s="32" t="s">
        <v>0</v>
      </c>
      <c r="C82" s="32"/>
      <c r="D82" s="18"/>
      <c r="E82" s="208"/>
      <c r="F82" s="19"/>
      <c r="G82" s="208"/>
      <c r="H82" s="209"/>
      <c r="I82" s="19"/>
      <c r="J82" s="60" t="e">
        <f t="shared" si="24"/>
        <v>#NUM!</v>
      </c>
      <c r="K82" s="61" t="s">
        <v>82</v>
      </c>
      <c r="L82" s="61" t="s">
        <v>82</v>
      </c>
      <c r="M82" s="61" t="s">
        <v>82</v>
      </c>
      <c r="N82" s="61" t="s">
        <v>82</v>
      </c>
      <c r="O82" s="61" t="s">
        <v>82</v>
      </c>
      <c r="P82" s="61" t="s">
        <v>82</v>
      </c>
      <c r="Q82" s="61" t="s">
        <v>82</v>
      </c>
      <c r="R82" s="19"/>
      <c r="S82" s="19"/>
      <c r="T82" s="18"/>
      <c r="U82" s="55" t="e">
        <f t="shared" ref="U82:U86" si="28">R82/S82</f>
        <v>#DIV/0!</v>
      </c>
      <c r="V82" s="209"/>
      <c r="W82" s="19"/>
    </row>
    <row r="83" spans="2:23" ht="31.5" customHeight="1" x14ac:dyDescent="0.35">
      <c r="B83" s="24" t="s">
        <v>17</v>
      </c>
      <c r="C83" s="24"/>
      <c r="D83" s="65">
        <f>SUM(D75:D82)</f>
        <v>1427.529580858275</v>
      </c>
      <c r="E83" s="238">
        <f>F83/D83</f>
        <v>4.880345314749917</v>
      </c>
      <c r="F83" s="65">
        <f>SUM(F75:F82)</f>
        <v>6966.8373016085952</v>
      </c>
      <c r="G83" s="118">
        <f>H83/F83</f>
        <v>2.8980185024277323</v>
      </c>
      <c r="H83" s="71">
        <f>SUM(H75:H82)</f>
        <v>20190.023403465406</v>
      </c>
      <c r="I83" s="88">
        <v>8812125.0399999991</v>
      </c>
      <c r="J83" s="248">
        <f>-PMT( 0.46%,G83,I83)/(F83*1000)</f>
        <v>0.44037810964971275</v>
      </c>
      <c r="K83" s="229">
        <f>SUM(K75:K81)</f>
        <v>1461619.28</v>
      </c>
      <c r="L83" s="73" t="s">
        <v>82</v>
      </c>
      <c r="M83" s="229">
        <f>SUM(M75:M81)</f>
        <v>1461619.28</v>
      </c>
      <c r="N83" s="73">
        <f t="shared" ref="N83:N86" si="29">O83/M83</f>
        <v>1</v>
      </c>
      <c r="O83" s="229">
        <f>SUM(O75:O81)</f>
        <v>1461619.28</v>
      </c>
      <c r="P83" s="68" t="s">
        <v>82</v>
      </c>
      <c r="Q83" s="68" t="s">
        <v>82</v>
      </c>
      <c r="R83" s="72" t="s">
        <v>82</v>
      </c>
      <c r="S83" s="72" t="s">
        <v>82</v>
      </c>
      <c r="T83" s="72" t="s">
        <v>82</v>
      </c>
      <c r="U83" s="72" t="s">
        <v>82</v>
      </c>
      <c r="V83" s="74">
        <f>SUM(V75:V82)</f>
        <v>74685</v>
      </c>
      <c r="W83" s="68" t="s">
        <v>82</v>
      </c>
    </row>
    <row r="84" spans="2:23" ht="16.149999999999999" customHeight="1" x14ac:dyDescent="0.35">
      <c r="B84" s="4" t="s">
        <v>180</v>
      </c>
      <c r="C84" s="4"/>
      <c r="D84" s="235">
        <v>66014.048999999999</v>
      </c>
      <c r="E84" s="238">
        <v>1</v>
      </c>
      <c r="F84" s="234">
        <v>66014.048999999999</v>
      </c>
      <c r="G84" s="69">
        <f>H84/F84</f>
        <v>15.000999999999999</v>
      </c>
      <c r="H84" s="235">
        <v>990276.74904899998</v>
      </c>
      <c r="I84" s="296" t="s">
        <v>82</v>
      </c>
      <c r="J84" s="296" t="s">
        <v>82</v>
      </c>
      <c r="K84" s="71">
        <v>0</v>
      </c>
      <c r="L84" s="246" t="s">
        <v>82</v>
      </c>
      <c r="M84" s="71">
        <v>0</v>
      </c>
      <c r="N84" s="246" t="s">
        <v>82</v>
      </c>
      <c r="O84" s="71">
        <v>0</v>
      </c>
      <c r="P84" s="246" t="s">
        <v>82</v>
      </c>
      <c r="Q84" s="246" t="s">
        <v>82</v>
      </c>
      <c r="R84" s="67">
        <v>39486149</v>
      </c>
      <c r="S84" s="67">
        <v>29665045</v>
      </c>
      <c r="T84" s="67">
        <f>R84-S84</f>
        <v>9821104</v>
      </c>
      <c r="U84" s="69">
        <f t="shared" ref="U84" si="30">R84/S84</f>
        <v>1.3310665465027949</v>
      </c>
      <c r="V84" s="235">
        <v>164</v>
      </c>
      <c r="W84" s="67" t="s">
        <v>210</v>
      </c>
    </row>
    <row r="85" spans="2:23" ht="40.5" customHeight="1" x14ac:dyDescent="0.35">
      <c r="B85" s="37" t="s">
        <v>32</v>
      </c>
      <c r="C85" s="37"/>
      <c r="D85" s="89" t="s">
        <v>82</v>
      </c>
      <c r="E85" s="89" t="s">
        <v>82</v>
      </c>
      <c r="F85" s="89" t="s">
        <v>82</v>
      </c>
      <c r="G85" s="89" t="s">
        <v>82</v>
      </c>
      <c r="H85" s="89" t="s">
        <v>82</v>
      </c>
      <c r="I85" s="245">
        <f>821339+3928634.09+39213784.77+85486-I83</f>
        <v>35237118.82</v>
      </c>
      <c r="J85" s="89" t="s">
        <v>82</v>
      </c>
      <c r="K85" s="89" t="s">
        <v>82</v>
      </c>
      <c r="L85" s="89" t="s">
        <v>82</v>
      </c>
      <c r="M85" s="89" t="s">
        <v>82</v>
      </c>
      <c r="N85" s="89" t="s">
        <v>82</v>
      </c>
      <c r="O85" s="89" t="s">
        <v>82</v>
      </c>
      <c r="P85" s="89" t="s">
        <v>82</v>
      </c>
      <c r="Q85" s="89" t="s">
        <v>82</v>
      </c>
      <c r="R85" s="89" t="s">
        <v>82</v>
      </c>
      <c r="S85" s="89" t="s">
        <v>82</v>
      </c>
      <c r="T85" s="89" t="s">
        <v>82</v>
      </c>
      <c r="U85" s="89" t="s">
        <v>82</v>
      </c>
      <c r="V85" s="89" t="s">
        <v>82</v>
      </c>
      <c r="W85" s="89" t="s">
        <v>82</v>
      </c>
    </row>
    <row r="86" spans="2:23" ht="31.5" customHeight="1" x14ac:dyDescent="0.35">
      <c r="B86" s="30" t="s">
        <v>94</v>
      </c>
      <c r="C86" s="30"/>
      <c r="D86" s="79">
        <f>SUM(D39,D55,D66,D73,D83,D84,D85)</f>
        <v>2049519.7678391645</v>
      </c>
      <c r="E86" s="80">
        <f>F86/D86</f>
        <v>0.9074190536602954</v>
      </c>
      <c r="F86" s="79">
        <f>SUM(F39,F55,F66,F73,F83,F84,F85)</f>
        <v>1859773.2881906829</v>
      </c>
      <c r="G86" s="80">
        <f>H86/F86</f>
        <v>7.9163844627702007</v>
      </c>
      <c r="H86" s="79">
        <f>SUM(H39,H55,H66,H73,H83,H84,H85)</f>
        <v>14722680.362907769</v>
      </c>
      <c r="I86" s="244">
        <f>SUM(I39,I55,I66,I73,I83,I84,I85)</f>
        <v>353359192.29000014</v>
      </c>
      <c r="J86" s="236">
        <f t="shared" si="24"/>
        <v>24495.818601730884</v>
      </c>
      <c r="K86" s="79">
        <f>SUM(K39,K55,K66,K73,K83,K84,K85)</f>
        <v>8343724.1256397022</v>
      </c>
      <c r="L86" s="230">
        <f>M86/K86</f>
        <v>0.88682727923712401</v>
      </c>
      <c r="M86" s="79">
        <f>SUM(M39,M55,M66,M73,M83,M84,M85)</f>
        <v>7399442.1650462085</v>
      </c>
      <c r="N86" s="230">
        <f t="shared" si="29"/>
        <v>10.08333400403369</v>
      </c>
      <c r="O86" s="79">
        <f>SUM(O39,O55,O66,O73,O83,O84,O85)</f>
        <v>74611046.793691099</v>
      </c>
      <c r="P86" s="82" t="s">
        <v>82</v>
      </c>
      <c r="Q86" s="82" t="s">
        <v>82</v>
      </c>
      <c r="R86" s="81">
        <f>SUM(R39,R55,R66,R73,R83,R84,R85)</f>
        <v>1011551455.0014077</v>
      </c>
      <c r="S86" s="81">
        <v>545022566.45271218</v>
      </c>
      <c r="T86" s="81">
        <f t="shared" ref="T86" si="31">R86-S86</f>
        <v>466528888.54869556</v>
      </c>
      <c r="U86" s="80">
        <f t="shared" si="28"/>
        <v>1.8559808662329453</v>
      </c>
      <c r="V86" s="79">
        <f>SUM(V39,V55,V66,V73,V83,V84,V85)</f>
        <v>17325296</v>
      </c>
      <c r="W86" s="82" t="s">
        <v>82</v>
      </c>
    </row>
    <row r="87" spans="2:23" s="22" customFormat="1" ht="15" customHeight="1" x14ac:dyDescent="0.35">
      <c r="B87" s="26"/>
      <c r="C87" s="26"/>
      <c r="D87" s="11"/>
      <c r="E87" s="11"/>
      <c r="F87" s="12"/>
      <c r="G87" s="12"/>
      <c r="H87" s="12"/>
      <c r="I87" s="12"/>
      <c r="J87" s="12"/>
      <c r="K87" s="12"/>
      <c r="L87" s="12"/>
    </row>
    <row r="88" spans="2:23" x14ac:dyDescent="0.35">
      <c r="B88" s="344" t="s">
        <v>3</v>
      </c>
      <c r="C88" s="343"/>
      <c r="D88" s="343"/>
      <c r="E88" s="343"/>
      <c r="F88" s="343"/>
      <c r="G88" s="343"/>
      <c r="H88" s="343"/>
      <c r="I88" s="343"/>
      <c r="J88" s="343"/>
      <c r="K88" s="343"/>
      <c r="L88" s="343"/>
      <c r="M88" s="42"/>
    </row>
    <row r="89" spans="2:23" x14ac:dyDescent="0.35">
      <c r="B89" s="343" t="s">
        <v>446</v>
      </c>
      <c r="C89" s="343"/>
      <c r="D89" s="343"/>
      <c r="E89" s="343"/>
      <c r="F89" s="343"/>
      <c r="G89" s="343"/>
      <c r="H89" s="343"/>
      <c r="I89" s="343"/>
      <c r="J89" s="343"/>
      <c r="K89" s="343"/>
      <c r="L89" s="343"/>
      <c r="M89" s="42"/>
    </row>
    <row r="91" spans="2:23" x14ac:dyDescent="0.35">
      <c r="B91" s="45" t="s">
        <v>48</v>
      </c>
    </row>
    <row r="92" spans="2:23" x14ac:dyDescent="0.35">
      <c r="B92" s="7" t="s">
        <v>276</v>
      </c>
    </row>
    <row r="93" spans="2:23" x14ac:dyDescent="0.35">
      <c r="B93" s="342" t="s">
        <v>275</v>
      </c>
    </row>
    <row r="94" spans="2:23" x14ac:dyDescent="0.35">
      <c r="B94" s="342" t="s">
        <v>307</v>
      </c>
    </row>
  </sheetData>
  <autoFilter ref="B20:W86" xr:uid="{378E2A58-BF54-477C-88FC-CE57357954D5}"/>
  <mergeCells count="8">
    <mergeCell ref="B74:W74"/>
    <mergeCell ref="B5:L6"/>
    <mergeCell ref="B8:L15"/>
    <mergeCell ref="B19:W19"/>
    <mergeCell ref="B21:W21"/>
    <mergeCell ref="B42:W42"/>
    <mergeCell ref="B56:W56"/>
    <mergeCell ref="B67:W67"/>
  </mergeCells>
  <printOptions horizontalCentered="1" headings="1"/>
  <pageMargins left="0.5" right="0.5" top="1.25" bottom="1" header="0.5" footer="0.5"/>
  <pageSetup scale="28" orientation="landscape" r:id="rId1"/>
  <headerFooter scaleWithDoc="0">
    <oddHeader>&amp;R&amp;"Arial,Bold"ICC Dkt. No. 17-0312
2019 Statewide Annual Report Template
Tab:  &amp;A</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DC57F-952E-4D5F-A321-7229E2C7C5A7}">
  <sheetPr>
    <pageSetUpPr fitToPage="1"/>
  </sheetPr>
  <dimension ref="B1:W90"/>
  <sheetViews>
    <sheetView topLeftCell="A59" zoomScale="80" zoomScaleNormal="80" workbookViewId="0">
      <selection activeCell="B83" sqref="B83:G83"/>
    </sheetView>
  </sheetViews>
  <sheetFormatPr defaultRowHeight="14.5" x14ac:dyDescent="0.35"/>
  <cols>
    <col min="1" max="1" width="2.7265625" customWidth="1"/>
    <col min="2" max="2" width="56" customWidth="1"/>
    <col min="3" max="3" width="20.7265625" customWidth="1"/>
    <col min="4" max="4" width="17.26953125" customWidth="1"/>
    <col min="5" max="5" width="15.26953125" customWidth="1"/>
    <col min="6" max="6" width="16" customWidth="1"/>
    <col min="7" max="7" width="15" customWidth="1"/>
    <col min="8" max="8" width="16.1796875" customWidth="1"/>
    <col min="9" max="9" width="17.453125" customWidth="1"/>
    <col min="10" max="10" width="15.453125" customWidth="1"/>
    <col min="11" max="11" width="17" customWidth="1"/>
    <col min="12" max="12" width="14.453125" customWidth="1"/>
    <col min="13" max="13" width="15" customWidth="1"/>
    <col min="14" max="14" width="14" customWidth="1"/>
    <col min="15" max="15" width="15.26953125" customWidth="1"/>
    <col min="16" max="16" width="14.26953125" customWidth="1"/>
    <col min="17" max="17" width="14.1796875" customWidth="1"/>
    <col min="18" max="18" width="16.26953125" customWidth="1"/>
    <col min="19" max="19" width="16.54296875" customWidth="1"/>
    <col min="20" max="20" width="14.7265625" customWidth="1"/>
    <col min="21" max="22" width="14.26953125" customWidth="1"/>
    <col min="23" max="23" width="23" bestFit="1" customWidth="1"/>
  </cols>
  <sheetData>
    <row r="1" spans="2:12" x14ac:dyDescent="0.35">
      <c r="B1" s="6" t="s">
        <v>27</v>
      </c>
      <c r="C1" s="6"/>
      <c r="D1" s="6"/>
      <c r="E1" s="6"/>
    </row>
    <row r="2" spans="2:12" x14ac:dyDescent="0.35">
      <c r="B2" s="6" t="s">
        <v>394</v>
      </c>
      <c r="C2" s="6"/>
      <c r="D2" s="6"/>
      <c r="E2" s="6"/>
    </row>
    <row r="3" spans="2:12" x14ac:dyDescent="0.35">
      <c r="B3" s="390" t="s">
        <v>454</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210" customHeight="1" x14ac:dyDescent="0.35">
      <c r="B15" s="419"/>
      <c r="C15" s="420"/>
      <c r="D15" s="420"/>
      <c r="E15" s="420"/>
      <c r="F15" s="420"/>
      <c r="G15" s="420"/>
      <c r="H15" s="420"/>
      <c r="I15" s="420"/>
      <c r="J15" s="420"/>
      <c r="K15" s="420"/>
      <c r="L15" s="421"/>
    </row>
    <row r="16" spans="2:12" ht="17.649999999999999" customHeight="1" x14ac:dyDescent="0.35">
      <c r="B16" s="384"/>
      <c r="C16" s="384"/>
      <c r="D16" s="384"/>
      <c r="E16" s="384"/>
      <c r="F16" s="384"/>
      <c r="G16" s="384"/>
      <c r="H16" s="384"/>
      <c r="I16" s="384"/>
      <c r="J16" s="384"/>
      <c r="K16" s="384"/>
      <c r="L16" s="384"/>
    </row>
    <row r="17" spans="2:23" ht="17.649999999999999" customHeight="1" x14ac:dyDescent="0.35">
      <c r="B17" s="34" t="s">
        <v>95</v>
      </c>
      <c r="C17" s="34"/>
      <c r="D17" s="384"/>
      <c r="E17" s="384"/>
      <c r="F17" s="384"/>
      <c r="G17" s="384"/>
      <c r="H17" s="384"/>
      <c r="I17" s="384"/>
      <c r="J17" s="384"/>
      <c r="K17" s="384"/>
      <c r="L17" s="384"/>
    </row>
    <row r="18" spans="2:23" ht="16.399999999999999" customHeight="1" x14ac:dyDescent="0.35">
      <c r="B18" s="384"/>
      <c r="C18" s="384"/>
      <c r="D18" s="384"/>
      <c r="E18" s="384"/>
      <c r="F18" s="384"/>
      <c r="G18" s="384"/>
      <c r="H18" s="384"/>
      <c r="I18" s="384"/>
      <c r="J18" s="384"/>
      <c r="K18" s="400"/>
      <c r="L18" s="384"/>
      <c r="R18" s="22"/>
      <c r="S18" s="22"/>
    </row>
    <row r="19" spans="2:23" ht="20.149999999999999" customHeight="1" x14ac:dyDescent="0.35">
      <c r="B19" s="430" t="s">
        <v>395</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107</v>
      </c>
      <c r="C22" s="53" t="s">
        <v>159</v>
      </c>
      <c r="D22" s="233">
        <v>306616.48182559002</v>
      </c>
      <c r="E22" s="57">
        <f>F22/D22</f>
        <v>0.81266839500258992</v>
      </c>
      <c r="F22" s="233">
        <v>249177.52416654301</v>
      </c>
      <c r="G22" s="111">
        <f>H22/F22</f>
        <v>9.4281647668007782</v>
      </c>
      <c r="H22" s="56">
        <v>2349286.7540256502</v>
      </c>
      <c r="I22" s="75">
        <v>17590962</v>
      </c>
      <c r="J22" s="287">
        <f>-PMT( 0.46%,G22,I22)/(F22*1000)</f>
        <v>7.6685390630155132E-3</v>
      </c>
      <c r="K22" s="56">
        <v>0</v>
      </c>
      <c r="L22" s="63" t="s">
        <v>82</v>
      </c>
      <c r="M22" s="56">
        <v>0</v>
      </c>
      <c r="N22" s="63" t="s">
        <v>82</v>
      </c>
      <c r="O22" s="56">
        <v>0</v>
      </c>
      <c r="P22" s="61" t="s">
        <v>82</v>
      </c>
      <c r="Q22" s="61" t="s">
        <v>82</v>
      </c>
      <c r="R22" s="75">
        <v>99636418.964164749</v>
      </c>
      <c r="S22" s="75">
        <v>34203434.044049457</v>
      </c>
      <c r="T22" s="75">
        <f>R22-S22</f>
        <v>65432984.920115292</v>
      </c>
      <c r="U22" s="151">
        <f>R22/S22</f>
        <v>2.9130530822094163</v>
      </c>
      <c r="V22" s="241">
        <v>2577432</v>
      </c>
      <c r="W22" s="60" t="s">
        <v>157</v>
      </c>
    </row>
    <row r="23" spans="2:23" x14ac:dyDescent="0.35">
      <c r="B23" s="2" t="s">
        <v>396</v>
      </c>
      <c r="C23" s="53" t="s">
        <v>159</v>
      </c>
      <c r="D23" s="233">
        <v>273678.70997736696</v>
      </c>
      <c r="E23" s="57">
        <f t="shared" ref="E23:E33" si="0">F23/D23</f>
        <v>0.81638771278489419</v>
      </c>
      <c r="F23" s="233">
        <v>223427.936076343</v>
      </c>
      <c r="G23" s="111">
        <f t="shared" ref="G23:G33" si="1">H23/F23</f>
        <v>12.369524851790437</v>
      </c>
      <c r="H23" s="56">
        <v>2763697.4078805698</v>
      </c>
      <c r="I23" s="75">
        <v>49922926</v>
      </c>
      <c r="J23" s="287">
        <f t="shared" ref="J23:J33" si="2">-PMT( 0.46%,G23,I23)/(F23*1000)</f>
        <v>1.8624108745391329E-2</v>
      </c>
      <c r="K23" s="56">
        <v>736289.86939879996</v>
      </c>
      <c r="L23" s="63">
        <f t="shared" ref="L23:L33" si="3">M23/K23</f>
        <v>0.78</v>
      </c>
      <c r="M23" s="56">
        <v>574306.09813106398</v>
      </c>
      <c r="N23" s="57">
        <f t="shared" ref="N23:N33" si="4">O23/M23</f>
        <v>14.760340441538219</v>
      </c>
      <c r="O23" s="56">
        <v>8476953.5260659605</v>
      </c>
      <c r="P23" s="61" t="s">
        <v>82</v>
      </c>
      <c r="Q23" s="61" t="s">
        <v>82</v>
      </c>
      <c r="R23" s="75">
        <v>94594317.256889895</v>
      </c>
      <c r="S23" s="75">
        <v>93460342.32742998</v>
      </c>
      <c r="T23" s="75">
        <f t="shared" ref="T23:T33" si="5">R23-S23</f>
        <v>1133974.9294599146</v>
      </c>
      <c r="U23" s="151">
        <f t="shared" ref="U23:U35" si="6">R23/S23</f>
        <v>1.0121332203715576</v>
      </c>
      <c r="V23" s="233">
        <v>3069</v>
      </c>
      <c r="W23" s="60" t="s">
        <v>139</v>
      </c>
    </row>
    <row r="24" spans="2:23" x14ac:dyDescent="0.35">
      <c r="B24" s="2" t="s">
        <v>397</v>
      </c>
      <c r="C24" s="53" t="s">
        <v>159</v>
      </c>
      <c r="D24" s="233">
        <v>179317.62867016101</v>
      </c>
      <c r="E24" s="57">
        <f t="shared" si="0"/>
        <v>0.9200000003827894</v>
      </c>
      <c r="F24" s="233">
        <v>164972.21844518901</v>
      </c>
      <c r="G24" s="111">
        <f t="shared" si="1"/>
        <v>12.492005295797059</v>
      </c>
      <c r="H24" s="56">
        <v>2060833.8264766901</v>
      </c>
      <c r="I24" s="75">
        <v>47962766</v>
      </c>
      <c r="J24" s="287">
        <f t="shared" si="2"/>
        <v>2.4002037329338269E-2</v>
      </c>
      <c r="K24" s="56">
        <v>426956.98309977201</v>
      </c>
      <c r="L24" s="63">
        <f t="shared" si="3"/>
        <v>0.91999999999999937</v>
      </c>
      <c r="M24" s="56">
        <v>392800.42445178999</v>
      </c>
      <c r="N24" s="57">
        <f t="shared" si="4"/>
        <v>10.133208973478624</v>
      </c>
      <c r="O24" s="56">
        <v>3980328.7858410906</v>
      </c>
      <c r="P24" s="61" t="s">
        <v>82</v>
      </c>
      <c r="Q24" s="61" t="s">
        <v>82</v>
      </c>
      <c r="R24" s="75">
        <v>101298886.91253793</v>
      </c>
      <c r="S24" s="75">
        <v>47860324.447551847</v>
      </c>
      <c r="T24" s="75">
        <f t="shared" si="5"/>
        <v>53438562.464986086</v>
      </c>
      <c r="U24" s="151">
        <f t="shared" si="6"/>
        <v>2.1165524488566141</v>
      </c>
      <c r="V24" s="233">
        <v>7130</v>
      </c>
      <c r="W24" s="60" t="s">
        <v>139</v>
      </c>
    </row>
    <row r="25" spans="2:23" ht="14.5" customHeight="1" x14ac:dyDescent="0.35">
      <c r="B25" s="2" t="s">
        <v>398</v>
      </c>
      <c r="C25" s="53" t="s">
        <v>159</v>
      </c>
      <c r="D25" s="233">
        <v>91536.753186304195</v>
      </c>
      <c r="E25" s="57">
        <f t="shared" si="0"/>
        <v>1</v>
      </c>
      <c r="F25" s="233">
        <v>91536.753186304195</v>
      </c>
      <c r="G25" s="111">
        <f t="shared" si="1"/>
        <v>11.853255643103036</v>
      </c>
      <c r="H25" s="56">
        <v>1085008.53625689</v>
      </c>
      <c r="I25" s="195">
        <f>13768180+7878984</f>
        <v>21647164</v>
      </c>
      <c r="J25" s="287">
        <f t="shared" si="2"/>
        <v>2.0545847956009451E-2</v>
      </c>
      <c r="K25" s="56">
        <v>0</v>
      </c>
      <c r="L25" s="63" t="s">
        <v>82</v>
      </c>
      <c r="M25" s="56">
        <v>0</v>
      </c>
      <c r="N25" s="63" t="s">
        <v>82</v>
      </c>
      <c r="O25" s="56">
        <v>0</v>
      </c>
      <c r="P25" s="61" t="s">
        <v>82</v>
      </c>
      <c r="Q25" s="61" t="s">
        <v>82</v>
      </c>
      <c r="R25" s="75">
        <v>45349973.087207094</v>
      </c>
      <c r="S25" s="75">
        <v>47697067.989999995</v>
      </c>
      <c r="T25" s="75">
        <f t="shared" si="5"/>
        <v>-2347094.9027929008</v>
      </c>
      <c r="U25" s="151">
        <f t="shared" si="6"/>
        <v>0.95079163139996392</v>
      </c>
      <c r="V25" s="233">
        <v>120935</v>
      </c>
      <c r="W25" s="60" t="s">
        <v>157</v>
      </c>
    </row>
    <row r="26" spans="2:23" x14ac:dyDescent="0.35">
      <c r="B26" s="2" t="s">
        <v>399</v>
      </c>
      <c r="C26" s="53" t="s">
        <v>159</v>
      </c>
      <c r="D26" s="233">
        <v>50327.3268828773</v>
      </c>
      <c r="E26" s="57">
        <f t="shared" si="0"/>
        <v>0.52591921208157311</v>
      </c>
      <c r="F26" s="233">
        <v>26468.1081004146</v>
      </c>
      <c r="G26" s="111">
        <f t="shared" si="1"/>
        <v>14.811912937550607</v>
      </c>
      <c r="H26" s="56">
        <v>392043.31280501903</v>
      </c>
      <c r="I26" s="404" t="s">
        <v>441</v>
      </c>
      <c r="J26" s="287" t="s">
        <v>82</v>
      </c>
      <c r="K26" s="56">
        <v>0</v>
      </c>
      <c r="L26" s="63" t="s">
        <v>82</v>
      </c>
      <c r="M26" s="56">
        <v>0</v>
      </c>
      <c r="N26" s="63" t="s">
        <v>82</v>
      </c>
      <c r="O26" s="56">
        <v>0</v>
      </c>
      <c r="P26" s="61" t="s">
        <v>82</v>
      </c>
      <c r="Q26" s="61" t="s">
        <v>82</v>
      </c>
      <c r="R26" s="75">
        <v>16086866.892648945</v>
      </c>
      <c r="S26" s="75">
        <v>17764437.526327908</v>
      </c>
      <c r="T26" s="75">
        <f t="shared" si="5"/>
        <v>-1677570.6336789634</v>
      </c>
      <c r="U26" s="151">
        <f>R26/S26</f>
        <v>0.90556578944913346</v>
      </c>
      <c r="V26" s="233">
        <v>218</v>
      </c>
      <c r="W26" s="60" t="s">
        <v>139</v>
      </c>
    </row>
    <row r="27" spans="2:23" x14ac:dyDescent="0.35">
      <c r="B27" s="224" t="s">
        <v>133</v>
      </c>
      <c r="C27" s="53" t="s">
        <v>159</v>
      </c>
      <c r="D27" s="233">
        <v>40404.017451010201</v>
      </c>
      <c r="E27" s="57">
        <f t="shared" si="0"/>
        <v>0.77000000000000102</v>
      </c>
      <c r="F27" s="233">
        <v>31111.093437277897</v>
      </c>
      <c r="G27" s="111">
        <f t="shared" si="1"/>
        <v>6.5634966860901987</v>
      </c>
      <c r="H27" s="56">
        <v>204197.55867621599</v>
      </c>
      <c r="I27" s="75">
        <v>7306098</v>
      </c>
      <c r="J27" s="287">
        <f t="shared" si="2"/>
        <v>3.6404627464088103E-2</v>
      </c>
      <c r="K27" s="56">
        <v>0</v>
      </c>
      <c r="L27" s="63" t="s">
        <v>82</v>
      </c>
      <c r="M27" s="56">
        <v>0</v>
      </c>
      <c r="N27" s="63" t="s">
        <v>82</v>
      </c>
      <c r="O27" s="56">
        <v>0</v>
      </c>
      <c r="P27" s="61" t="s">
        <v>82</v>
      </c>
      <c r="Q27" s="61" t="s">
        <v>82</v>
      </c>
      <c r="R27" s="75">
        <v>10467545.944695164</v>
      </c>
      <c r="S27" s="75">
        <v>10786811.922763847</v>
      </c>
      <c r="T27" s="75">
        <f t="shared" si="5"/>
        <v>-319265.9780686833</v>
      </c>
      <c r="U27" s="151">
        <f t="shared" si="6"/>
        <v>0.97040219294127827</v>
      </c>
      <c r="V27" s="241">
        <v>338</v>
      </c>
      <c r="W27" s="60" t="s">
        <v>193</v>
      </c>
    </row>
    <row r="28" spans="2:23" ht="29.25" customHeight="1" x14ac:dyDescent="0.35">
      <c r="B28" s="2" t="s">
        <v>400</v>
      </c>
      <c r="C28" s="53" t="s">
        <v>159</v>
      </c>
      <c r="D28" s="233">
        <v>33349.770899399999</v>
      </c>
      <c r="E28" s="57">
        <f t="shared" si="0"/>
        <v>0.94000000000000006</v>
      </c>
      <c r="F28" s="233">
        <v>31348.784645436001</v>
      </c>
      <c r="G28" s="111">
        <f t="shared" si="1"/>
        <v>8.4299999999999855</v>
      </c>
      <c r="H28" s="56">
        <v>264270.25456102501</v>
      </c>
      <c r="I28" s="75">
        <v>13458107</v>
      </c>
      <c r="J28" s="287">
        <f t="shared" si="2"/>
        <v>5.2036347299813615E-2</v>
      </c>
      <c r="K28" s="56">
        <v>39186.54</v>
      </c>
      <c r="L28" s="63">
        <f t="shared" si="3"/>
        <v>0.94000000000000006</v>
      </c>
      <c r="M28" s="56">
        <v>36835.347600000001</v>
      </c>
      <c r="N28" s="57">
        <f t="shared" si="4"/>
        <v>8.1999999999999993</v>
      </c>
      <c r="O28" s="56">
        <v>302049.85031999997</v>
      </c>
      <c r="P28" s="61" t="s">
        <v>82</v>
      </c>
      <c r="Q28" s="61" t="s">
        <v>82</v>
      </c>
      <c r="R28" s="75">
        <v>14295727.546844423</v>
      </c>
      <c r="S28" s="75">
        <v>15195979.809547313</v>
      </c>
      <c r="T28" s="75">
        <f t="shared" si="5"/>
        <v>-900252.26270288974</v>
      </c>
      <c r="U28" s="151">
        <f t="shared" si="6"/>
        <v>0.94075720855214084</v>
      </c>
      <c r="V28" s="241">
        <v>147</v>
      </c>
      <c r="W28" s="60" t="s">
        <v>139</v>
      </c>
    </row>
    <row r="29" spans="2:23" ht="26" x14ac:dyDescent="0.35">
      <c r="B29" s="2" t="s">
        <v>401</v>
      </c>
      <c r="C29" s="53" t="s">
        <v>159</v>
      </c>
      <c r="D29" s="233">
        <v>29787.222572097598</v>
      </c>
      <c r="E29" s="57">
        <f t="shared" si="0"/>
        <v>0.68000000000000116</v>
      </c>
      <c r="F29" s="233">
        <v>20255.3113490264</v>
      </c>
      <c r="G29" s="111">
        <f t="shared" si="1"/>
        <v>17.399999999999981</v>
      </c>
      <c r="H29" s="56">
        <v>352442.41747305897</v>
      </c>
      <c r="I29" s="187">
        <v>6316272</v>
      </c>
      <c r="J29" s="287">
        <f t="shared" si="2"/>
        <v>1.86893777556899E-2</v>
      </c>
      <c r="K29" s="56">
        <v>76187.429999999993</v>
      </c>
      <c r="L29" s="63">
        <f t="shared" si="3"/>
        <v>0.68</v>
      </c>
      <c r="M29" s="56">
        <v>51807.452400000002</v>
      </c>
      <c r="N29" s="57">
        <f t="shared" si="4"/>
        <v>17.399999999999995</v>
      </c>
      <c r="O29" s="56">
        <v>901449.67175999971</v>
      </c>
      <c r="P29" s="61" t="s">
        <v>82</v>
      </c>
      <c r="Q29" s="61" t="s">
        <v>82</v>
      </c>
      <c r="R29" s="75">
        <v>16158820.211783506</v>
      </c>
      <c r="S29" s="75">
        <v>15461737.904176001</v>
      </c>
      <c r="T29" s="75">
        <f t="shared" si="5"/>
        <v>697082.30760750547</v>
      </c>
      <c r="U29" s="151">
        <f t="shared" si="6"/>
        <v>1.0450843438122976</v>
      </c>
      <c r="V29" s="241">
        <v>77</v>
      </c>
      <c r="W29" s="60" t="s">
        <v>139</v>
      </c>
    </row>
    <row r="30" spans="2:23" ht="26" x14ac:dyDescent="0.35">
      <c r="B30" s="2" t="s">
        <v>402</v>
      </c>
      <c r="C30" s="53" t="s">
        <v>159</v>
      </c>
      <c r="D30" s="233">
        <v>23296.606143702298</v>
      </c>
      <c r="E30" s="57">
        <f t="shared" si="0"/>
        <v>1</v>
      </c>
      <c r="F30" s="233">
        <v>23296.606143702298</v>
      </c>
      <c r="G30" s="111">
        <f t="shared" si="1"/>
        <v>5.0000000000000222</v>
      </c>
      <c r="H30" s="56">
        <v>116483.030718512</v>
      </c>
      <c r="I30" s="227">
        <v>2205387</v>
      </c>
      <c r="J30" s="287">
        <f t="shared" si="2"/>
        <v>1.9195194732901814E-2</v>
      </c>
      <c r="K30" s="56">
        <v>0</v>
      </c>
      <c r="L30" s="63" t="s">
        <v>82</v>
      </c>
      <c r="M30" s="56">
        <v>0</v>
      </c>
      <c r="N30" s="63" t="s">
        <v>82</v>
      </c>
      <c r="O30" s="56">
        <v>0</v>
      </c>
      <c r="P30" s="61" t="s">
        <v>82</v>
      </c>
      <c r="Q30" s="61" t="s">
        <v>82</v>
      </c>
      <c r="R30" s="75">
        <v>3120995.0437160288</v>
      </c>
      <c r="S30" s="75">
        <v>2205387</v>
      </c>
      <c r="T30" s="75">
        <f t="shared" si="5"/>
        <v>915608.0437160288</v>
      </c>
      <c r="U30" s="151">
        <f t="shared" si="6"/>
        <v>1.4151688768075756</v>
      </c>
      <c r="V30" s="241">
        <v>54</v>
      </c>
      <c r="W30" s="60" t="s">
        <v>207</v>
      </c>
    </row>
    <row r="31" spans="2:23" x14ac:dyDescent="0.35">
      <c r="B31" s="2" t="s">
        <v>403</v>
      </c>
      <c r="C31" s="53" t="s">
        <v>159</v>
      </c>
      <c r="D31" s="233">
        <v>14422.7752682479</v>
      </c>
      <c r="E31" s="57">
        <f t="shared" si="0"/>
        <v>1</v>
      </c>
      <c r="F31" s="233">
        <v>14422.7752682479</v>
      </c>
      <c r="G31" s="111">
        <f t="shared" si="1"/>
        <v>9.6000000000000103</v>
      </c>
      <c r="H31" s="56">
        <v>138458.64257517998</v>
      </c>
      <c r="I31" s="404" t="s">
        <v>439</v>
      </c>
      <c r="J31" s="287" t="s">
        <v>82</v>
      </c>
      <c r="K31" s="56">
        <v>0</v>
      </c>
      <c r="L31" s="63" t="s">
        <v>82</v>
      </c>
      <c r="M31" s="56">
        <v>0</v>
      </c>
      <c r="N31" s="63" t="s">
        <v>82</v>
      </c>
      <c r="O31" s="56">
        <v>0</v>
      </c>
      <c r="P31" s="61" t="s">
        <v>82</v>
      </c>
      <c r="Q31" s="61" t="s">
        <v>82</v>
      </c>
      <c r="R31" s="286" t="s">
        <v>433</v>
      </c>
      <c r="S31" s="286" t="s">
        <v>434</v>
      </c>
      <c r="T31" s="75"/>
      <c r="U31" s="151"/>
      <c r="V31" s="241">
        <v>177</v>
      </c>
      <c r="W31" s="60" t="s">
        <v>139</v>
      </c>
    </row>
    <row r="32" spans="2:23" ht="14.5" customHeight="1" x14ac:dyDescent="0.35">
      <c r="B32" s="2" t="s">
        <v>404</v>
      </c>
      <c r="C32" s="53" t="s">
        <v>159</v>
      </c>
      <c r="D32" s="233">
        <v>11602.592735051701</v>
      </c>
      <c r="E32" s="57">
        <f t="shared" si="0"/>
        <v>0.91999999999999449</v>
      </c>
      <c r="F32" s="233">
        <v>10674.385316247501</v>
      </c>
      <c r="G32" s="111">
        <f>H32/F32</f>
        <v>9.5541941685907865</v>
      </c>
      <c r="H32" s="56">
        <v>101985.14994178299</v>
      </c>
      <c r="I32" s="404" t="s">
        <v>440</v>
      </c>
      <c r="J32" s="287" t="s">
        <v>82</v>
      </c>
      <c r="K32" s="56">
        <v>8430.1638317021898</v>
      </c>
      <c r="L32" s="63">
        <f t="shared" si="3"/>
        <v>0.91999999999999948</v>
      </c>
      <c r="M32" s="56">
        <v>7755.7507251660099</v>
      </c>
      <c r="N32" s="57">
        <f t="shared" si="4"/>
        <v>9.0182633642389955</v>
      </c>
      <c r="O32" s="56">
        <v>69943.40262693465</v>
      </c>
      <c r="P32" s="61" t="s">
        <v>82</v>
      </c>
      <c r="Q32" s="61" t="s">
        <v>82</v>
      </c>
      <c r="R32" s="286" t="s">
        <v>432</v>
      </c>
      <c r="S32" s="286" t="s">
        <v>435</v>
      </c>
      <c r="T32" s="75"/>
      <c r="U32" s="151"/>
      <c r="V32" s="241">
        <v>289</v>
      </c>
      <c r="W32" s="60" t="s">
        <v>139</v>
      </c>
    </row>
    <row r="33" spans="2:23" ht="14.5" customHeight="1" x14ac:dyDescent="0.35">
      <c r="B33" s="2" t="s">
        <v>408</v>
      </c>
      <c r="C33" s="53" t="s">
        <v>159</v>
      </c>
      <c r="D33" s="233">
        <v>3578.4935938078502</v>
      </c>
      <c r="E33" s="57">
        <f t="shared" si="0"/>
        <v>0.94000000000000028</v>
      </c>
      <c r="F33" s="233">
        <v>3363.78397817938</v>
      </c>
      <c r="G33" s="111">
        <f t="shared" si="1"/>
        <v>4.56381140846044</v>
      </c>
      <c r="H33" s="56">
        <v>15351.675695211499</v>
      </c>
      <c r="I33" s="227">
        <v>3411712</v>
      </c>
      <c r="J33" s="287">
        <f t="shared" si="2"/>
        <v>0.22508877612610639</v>
      </c>
      <c r="K33" s="56">
        <v>34708.3272</v>
      </c>
      <c r="L33" s="63">
        <f t="shared" si="3"/>
        <v>0.94000000000000006</v>
      </c>
      <c r="M33" s="56">
        <v>32625.827568000001</v>
      </c>
      <c r="N33" s="57">
        <f t="shared" si="4"/>
        <v>4.9890283389975636</v>
      </c>
      <c r="O33" s="56">
        <v>162771.17831999998</v>
      </c>
      <c r="P33" s="61" t="s">
        <v>82</v>
      </c>
      <c r="Q33" s="61" t="s">
        <v>82</v>
      </c>
      <c r="R33" s="1">
        <v>468140.2668116648</v>
      </c>
      <c r="S33" s="1">
        <v>3411712</v>
      </c>
      <c r="T33" s="75">
        <f t="shared" si="5"/>
        <v>-2943571.7331883353</v>
      </c>
      <c r="U33" s="151">
        <f t="shared" si="6"/>
        <v>0.13721564622443652</v>
      </c>
      <c r="V33" s="241">
        <v>154</v>
      </c>
      <c r="W33" s="60" t="s">
        <v>193</v>
      </c>
    </row>
    <row r="34" spans="2:23" x14ac:dyDescent="0.35">
      <c r="B34" s="288" t="s">
        <v>431</v>
      </c>
      <c r="C34" s="131" t="s">
        <v>159</v>
      </c>
      <c r="D34" s="151" t="s">
        <v>82</v>
      </c>
      <c r="E34" s="151" t="s">
        <v>82</v>
      </c>
      <c r="F34" s="151" t="s">
        <v>82</v>
      </c>
      <c r="G34" s="151" t="s">
        <v>82</v>
      </c>
      <c r="H34" s="151" t="s">
        <v>82</v>
      </c>
      <c r="I34" s="316">
        <v>6063280</v>
      </c>
      <c r="J34" s="151" t="s">
        <v>82</v>
      </c>
      <c r="K34" s="151" t="s">
        <v>82</v>
      </c>
      <c r="L34" s="151" t="s">
        <v>82</v>
      </c>
      <c r="M34" s="151" t="s">
        <v>82</v>
      </c>
      <c r="N34" s="151" t="s">
        <v>82</v>
      </c>
      <c r="O34" s="151" t="s">
        <v>82</v>
      </c>
      <c r="P34" s="151" t="s">
        <v>82</v>
      </c>
      <c r="Q34" s="151" t="s">
        <v>82</v>
      </c>
      <c r="R34" s="151" t="s">
        <v>82</v>
      </c>
      <c r="S34" s="1">
        <v>6578616</v>
      </c>
      <c r="T34" s="151" t="s">
        <v>82</v>
      </c>
      <c r="U34" s="151" t="s">
        <v>82</v>
      </c>
      <c r="V34" s="397" t="s">
        <v>82</v>
      </c>
      <c r="W34" s="398" t="s">
        <v>82</v>
      </c>
    </row>
    <row r="35" spans="2:23" x14ac:dyDescent="0.35">
      <c r="B35" s="4" t="s">
        <v>7</v>
      </c>
      <c r="C35" s="4"/>
      <c r="D35" s="71">
        <f>SUM(D22:D33)</f>
        <v>1057918.3792056169</v>
      </c>
      <c r="E35" s="237">
        <f>F35/D35</f>
        <v>0.84132698477291512</v>
      </c>
      <c r="F35" s="71">
        <f>SUM(F22:F33)</f>
        <v>890055.28011291113</v>
      </c>
      <c r="G35" s="238">
        <f>H35/F35</f>
        <v>11.0600529956263</v>
      </c>
      <c r="H35" s="71">
        <f>SUM(H22:H33)</f>
        <v>9844058.5670858081</v>
      </c>
      <c r="I35" s="67">
        <f>SUM(I22:I34)</f>
        <v>175884674</v>
      </c>
      <c r="J35" s="248">
        <f t="shared" ref="J35" si="7">-PMT( 0.46%,G35,I35)/(F35*1000)</f>
        <v>1.8366502337918332E-2</v>
      </c>
      <c r="K35" s="74">
        <f>SUM(K22:K33)</f>
        <v>1321759.313530274</v>
      </c>
      <c r="L35" s="73">
        <f>M35/K35</f>
        <v>0.82929689971192611</v>
      </c>
      <c r="M35" s="74">
        <f>SUM(M22:M33)</f>
        <v>1096130.9008760198</v>
      </c>
      <c r="N35" s="73">
        <f>O35/M35</f>
        <v>12.675033979819752</v>
      </c>
      <c r="O35" s="74">
        <f>SUM(O22:O33)</f>
        <v>13893496.414933987</v>
      </c>
      <c r="P35" s="68" t="s">
        <v>82</v>
      </c>
      <c r="Q35" s="68" t="s">
        <v>82</v>
      </c>
      <c r="R35" s="386">
        <f>SUM(R22:R33)</f>
        <v>401477692.12729943</v>
      </c>
      <c r="S35" s="386">
        <f>SUM(S22:S34)</f>
        <v>294625850.9718464</v>
      </c>
      <c r="T35" s="72">
        <f>R35-S35</f>
        <v>106851841.15545303</v>
      </c>
      <c r="U35" s="73">
        <f t="shared" si="6"/>
        <v>1.3626696055454532</v>
      </c>
      <c r="V35" s="74">
        <f>SUM(V22:V33)</f>
        <v>2710020</v>
      </c>
      <c r="W35" s="68" t="s">
        <v>82</v>
      </c>
    </row>
    <row r="36" spans="2:23" hidden="1" x14ac:dyDescent="0.35">
      <c r="B36" s="31" t="s">
        <v>14</v>
      </c>
      <c r="C36" s="31"/>
      <c r="D36" s="28"/>
      <c r="E36" s="28"/>
      <c r="F36" s="29"/>
      <c r="G36" s="29"/>
      <c r="H36" s="29"/>
      <c r="I36" s="29"/>
      <c r="J36" s="29"/>
      <c r="K36" s="28"/>
      <c r="L36" s="28"/>
      <c r="M36" s="29"/>
      <c r="N36" s="29"/>
      <c r="O36" s="29"/>
      <c r="P36" s="28"/>
      <c r="Q36" s="28"/>
      <c r="R36" s="29"/>
      <c r="S36" s="29"/>
      <c r="T36" s="28"/>
      <c r="U36" s="28"/>
      <c r="V36" s="29"/>
      <c r="W36" s="29"/>
    </row>
    <row r="37" spans="2:23" hidden="1" x14ac:dyDescent="0.35">
      <c r="B37" s="31" t="s">
        <v>15</v>
      </c>
      <c r="C37" s="31"/>
      <c r="D37" s="28"/>
      <c r="E37" s="28"/>
      <c r="F37" s="29"/>
      <c r="G37" s="29"/>
      <c r="H37" s="29"/>
      <c r="I37" s="29"/>
      <c r="J37" s="29"/>
      <c r="K37" s="28"/>
      <c r="L37" s="28"/>
      <c r="M37" s="29"/>
      <c r="N37" s="29"/>
      <c r="O37" s="29"/>
      <c r="P37" s="28"/>
      <c r="Q37" s="28"/>
      <c r="R37" s="29"/>
      <c r="S37" s="29"/>
      <c r="T37" s="28"/>
      <c r="U37" s="28"/>
      <c r="V37" s="29"/>
      <c r="W37" s="29"/>
    </row>
    <row r="38" spans="2:23" ht="15.65" customHeight="1" x14ac:dyDescent="0.35">
      <c r="B38" s="409" t="s">
        <v>1</v>
      </c>
      <c r="C38" s="410"/>
      <c r="D38" s="410"/>
      <c r="E38" s="410"/>
      <c r="F38" s="410"/>
      <c r="G38" s="410"/>
      <c r="H38" s="410"/>
      <c r="I38" s="410"/>
      <c r="J38" s="410"/>
      <c r="K38" s="410"/>
      <c r="L38" s="410"/>
      <c r="M38" s="410"/>
      <c r="N38" s="410"/>
      <c r="O38" s="410"/>
      <c r="P38" s="410"/>
      <c r="Q38" s="410"/>
      <c r="R38" s="410"/>
      <c r="S38" s="410"/>
      <c r="T38" s="410"/>
      <c r="U38" s="410"/>
      <c r="V38" s="410"/>
      <c r="W38" s="411"/>
    </row>
    <row r="39" spans="2:23" x14ac:dyDescent="0.35">
      <c r="B39" s="2" t="s">
        <v>188</v>
      </c>
      <c r="C39" s="53" t="s">
        <v>159</v>
      </c>
      <c r="D39" s="233">
        <v>283967.28868920601</v>
      </c>
      <c r="E39" s="57">
        <f>F39/D39</f>
        <v>0.61054217346261619</v>
      </c>
      <c r="F39" s="233">
        <v>173374.00562859402</v>
      </c>
      <c r="G39" s="111">
        <f>H39/F39</f>
        <v>5.1600593567263759</v>
      </c>
      <c r="H39" s="56">
        <v>894620.15995695803</v>
      </c>
      <c r="I39" s="75">
        <v>18839568.489999998</v>
      </c>
      <c r="J39" s="287">
        <f>-PMT( 0.46%,G39,I39)/(F39*1000)</f>
        <v>2.1358046998438813E-2</v>
      </c>
      <c r="K39" s="56">
        <v>0</v>
      </c>
      <c r="L39" s="63" t="s">
        <v>82</v>
      </c>
      <c r="M39" s="56">
        <v>0</v>
      </c>
      <c r="N39" s="63" t="s">
        <v>82</v>
      </c>
      <c r="O39" s="56">
        <v>0</v>
      </c>
      <c r="P39" s="61" t="s">
        <v>82</v>
      </c>
      <c r="Q39" s="61" t="s">
        <v>82</v>
      </c>
      <c r="R39" s="75">
        <v>79594427.53501375</v>
      </c>
      <c r="S39" s="75">
        <v>18225529.992065862</v>
      </c>
      <c r="T39" s="75">
        <f>R39-S39</f>
        <v>61368897.542947888</v>
      </c>
      <c r="U39" s="151">
        <f>R39/S39</f>
        <v>4.3671941265721035</v>
      </c>
      <c r="V39" s="241">
        <v>4653287</v>
      </c>
      <c r="W39" s="60" t="s">
        <v>208</v>
      </c>
    </row>
    <row r="40" spans="2:23" x14ac:dyDescent="0.35">
      <c r="B40" s="2" t="s">
        <v>151</v>
      </c>
      <c r="C40" s="53" t="s">
        <v>159</v>
      </c>
      <c r="D40" s="233">
        <v>77398.231209629404</v>
      </c>
      <c r="E40" s="57">
        <f t="shared" ref="E40:E47" si="8">F40/D40</f>
        <v>0.92838793036744072</v>
      </c>
      <c r="F40" s="233">
        <v>71855.583686808503</v>
      </c>
      <c r="G40" s="111">
        <f t="shared" ref="G40:G48" si="9">H40/F40</f>
        <v>11.089015629369436</v>
      </c>
      <c r="H40" s="56">
        <v>796807.69056048302</v>
      </c>
      <c r="I40" s="75">
        <v>18087735.640000001</v>
      </c>
      <c r="J40" s="287">
        <f t="shared" ref="J40:J48" si="10">-PMT( 0.46%,G40,I40)/(F40*1000)</f>
        <v>2.3336297532398242E-2</v>
      </c>
      <c r="K40" s="56">
        <v>3984382.6553001502</v>
      </c>
      <c r="L40" s="63">
        <f t="shared" ref="L40:L45" si="11">M40/K40</f>
        <v>0.99029435489872975</v>
      </c>
      <c r="M40" s="56">
        <v>3945711.65130015</v>
      </c>
      <c r="N40" s="57">
        <f t="shared" ref="N40:N45" si="12">O40/M40</f>
        <v>11.047972179603549</v>
      </c>
      <c r="O40" s="56">
        <v>43592112.552301638</v>
      </c>
      <c r="P40" s="61" t="s">
        <v>82</v>
      </c>
      <c r="Q40" s="61" t="s">
        <v>82</v>
      </c>
      <c r="R40" s="75">
        <v>39414805.689811543</v>
      </c>
      <c r="S40" s="75">
        <v>18986232.210000001</v>
      </c>
      <c r="T40" s="75">
        <f t="shared" ref="T40:T48" si="13">R40-S40</f>
        <v>20428573.479811542</v>
      </c>
      <c r="U40" s="151">
        <f t="shared" ref="U40:U48" si="14">R40/S40</f>
        <v>2.0759677461993675</v>
      </c>
      <c r="V40" s="241">
        <v>181974</v>
      </c>
      <c r="W40" s="60" t="s">
        <v>194</v>
      </c>
    </row>
    <row r="41" spans="2:23" x14ac:dyDescent="0.35">
      <c r="B41" s="2" t="s">
        <v>411</v>
      </c>
      <c r="C41" s="53" t="s">
        <v>159</v>
      </c>
      <c r="D41" s="233">
        <v>40959.48884405</v>
      </c>
      <c r="E41" s="57">
        <f t="shared" si="8"/>
        <v>0.49752395103717872</v>
      </c>
      <c r="F41" s="233">
        <v>20378.326722155001</v>
      </c>
      <c r="G41" s="111">
        <f t="shared" si="9"/>
        <v>6.4684312526230086</v>
      </c>
      <c r="H41" s="56">
        <v>131815.80544575001</v>
      </c>
      <c r="I41" s="75">
        <v>8596086.6600000001</v>
      </c>
      <c r="J41" s="287">
        <f t="shared" si="10"/>
        <v>6.6337740024286884E-2</v>
      </c>
      <c r="K41" s="56">
        <v>0</v>
      </c>
      <c r="L41" s="63" t="s">
        <v>82</v>
      </c>
      <c r="M41" s="56">
        <v>0</v>
      </c>
      <c r="N41" s="63" t="s">
        <v>82</v>
      </c>
      <c r="O41" s="56">
        <v>0</v>
      </c>
      <c r="P41" s="61" t="s">
        <v>82</v>
      </c>
      <c r="Q41" s="61" t="s">
        <v>82</v>
      </c>
      <c r="R41" s="75">
        <v>6163293.4359565312</v>
      </c>
      <c r="S41" s="75">
        <v>4517750.4891999997</v>
      </c>
      <c r="T41" s="75">
        <f t="shared" si="13"/>
        <v>1645542.9467565315</v>
      </c>
      <c r="U41" s="151">
        <f t="shared" si="14"/>
        <v>1.3642394485242861</v>
      </c>
      <c r="V41" s="241">
        <v>51822</v>
      </c>
      <c r="W41" s="60" t="s">
        <v>128</v>
      </c>
    </row>
    <row r="42" spans="2:23" ht="15.65" customHeight="1" x14ac:dyDescent="0.35">
      <c r="B42" s="2" t="s">
        <v>412</v>
      </c>
      <c r="C42" s="53" t="s">
        <v>159</v>
      </c>
      <c r="D42" s="233">
        <v>32385.490246089499</v>
      </c>
      <c r="E42" s="57">
        <f t="shared" si="8"/>
        <v>0.84668682142689411</v>
      </c>
      <c r="F42" s="233">
        <v>27420.3677968132</v>
      </c>
      <c r="G42" s="111">
        <f t="shared" si="9"/>
        <v>5.6230794659121113</v>
      </c>
      <c r="H42" s="56">
        <v>154186.90710601801</v>
      </c>
      <c r="I42" s="75">
        <v>10879129.310000001</v>
      </c>
      <c r="J42" s="287">
        <f t="shared" si="10"/>
        <v>7.1636679287501434E-2</v>
      </c>
      <c r="K42" s="56">
        <v>583.61519999999996</v>
      </c>
      <c r="L42" s="63">
        <f t="shared" si="11"/>
        <v>1</v>
      </c>
      <c r="M42" s="56">
        <v>583.61519999999996</v>
      </c>
      <c r="N42" s="57">
        <f t="shared" si="12"/>
        <v>11.000000000000004</v>
      </c>
      <c r="O42" s="56">
        <v>6419.7672000000011</v>
      </c>
      <c r="P42" s="61" t="s">
        <v>82</v>
      </c>
      <c r="Q42" s="61" t="s">
        <v>82</v>
      </c>
      <c r="R42" s="75">
        <v>10700726.34972642</v>
      </c>
      <c r="S42" s="75">
        <v>11298517.581191814</v>
      </c>
      <c r="T42" s="75">
        <f t="shared" si="13"/>
        <v>-597791.23146539368</v>
      </c>
      <c r="U42" s="151">
        <f t="shared" si="14"/>
        <v>0.9470911801331785</v>
      </c>
      <c r="V42" s="241">
        <v>21138</v>
      </c>
      <c r="W42" s="60" t="s">
        <v>139</v>
      </c>
    </row>
    <row r="43" spans="2:23" x14ac:dyDescent="0.35">
      <c r="B43" s="2" t="s">
        <v>90</v>
      </c>
      <c r="C43" s="53" t="s">
        <v>159</v>
      </c>
      <c r="D43" s="233">
        <v>18954.164304624101</v>
      </c>
      <c r="E43" s="57">
        <f t="shared" si="8"/>
        <v>0.69409159217218819</v>
      </c>
      <c r="F43" s="233">
        <v>13155.926080489799</v>
      </c>
      <c r="G43" s="111">
        <f t="shared" si="9"/>
        <v>14.22136698486781</v>
      </c>
      <c r="H43" s="56">
        <v>187095.252816439</v>
      </c>
      <c r="I43" s="75">
        <v>7676382.1799999997</v>
      </c>
      <c r="J43" s="287">
        <f t="shared" si="10"/>
        <v>4.2480198065707249E-2</v>
      </c>
      <c r="K43" s="56">
        <v>438382.89382924198</v>
      </c>
      <c r="L43" s="63">
        <f t="shared" si="11"/>
        <v>0.86798887350247766</v>
      </c>
      <c r="M43" s="56">
        <v>380511.4741776</v>
      </c>
      <c r="N43" s="57">
        <f t="shared" si="12"/>
        <v>11.502279624701655</v>
      </c>
      <c r="O43" s="56">
        <v>4376749.3763981983</v>
      </c>
      <c r="P43" s="61" t="s">
        <v>82</v>
      </c>
      <c r="Q43" s="61" t="s">
        <v>82</v>
      </c>
      <c r="R43" s="75">
        <v>10449908.268804235</v>
      </c>
      <c r="S43" s="75">
        <v>4326734.8344304319</v>
      </c>
      <c r="T43" s="75">
        <f t="shared" si="13"/>
        <v>6123173.4343738034</v>
      </c>
      <c r="U43" s="151">
        <f t="shared" si="14"/>
        <v>2.4151949839051907</v>
      </c>
      <c r="V43" s="241">
        <v>16701</v>
      </c>
      <c r="W43" s="60" t="s">
        <v>128</v>
      </c>
    </row>
    <row r="44" spans="2:23" x14ac:dyDescent="0.35">
      <c r="B44" s="2" t="s">
        <v>413</v>
      </c>
      <c r="C44" s="53" t="s">
        <v>159</v>
      </c>
      <c r="D44" s="233">
        <v>15285.3714046031</v>
      </c>
      <c r="E44" s="57">
        <f t="shared" si="8"/>
        <v>0.92450925493648739</v>
      </c>
      <c r="F44" s="233">
        <v>14131.467328697101</v>
      </c>
      <c r="G44" s="111">
        <f t="shared" si="9"/>
        <v>6.8389342500141517</v>
      </c>
      <c r="H44" s="56">
        <v>96644.175917182598</v>
      </c>
      <c r="I44" s="75">
        <v>7526558.6200000001</v>
      </c>
      <c r="J44" s="287">
        <f t="shared" si="10"/>
        <v>7.928946638798498E-2</v>
      </c>
      <c r="K44" s="56">
        <v>0</v>
      </c>
      <c r="L44" s="63" t="s">
        <v>82</v>
      </c>
      <c r="M44" s="56">
        <v>0</v>
      </c>
      <c r="N44" s="63" t="s">
        <v>82</v>
      </c>
      <c r="O44" s="56">
        <v>0</v>
      </c>
      <c r="P44" s="61" t="s">
        <v>82</v>
      </c>
      <c r="Q44" s="61" t="s">
        <v>82</v>
      </c>
      <c r="R44" s="75">
        <v>5569855.730735614</v>
      </c>
      <c r="S44" s="75">
        <v>4591971.1150682857</v>
      </c>
      <c r="T44" s="75">
        <f t="shared" si="13"/>
        <v>977884.61566732824</v>
      </c>
      <c r="U44" s="151">
        <f t="shared" si="14"/>
        <v>1.2129553063734344</v>
      </c>
      <c r="V44" s="241">
        <v>17789</v>
      </c>
      <c r="W44" s="60" t="s">
        <v>157</v>
      </c>
    </row>
    <row r="45" spans="2:23" x14ac:dyDescent="0.35">
      <c r="B45" s="2" t="s">
        <v>414</v>
      </c>
      <c r="C45" s="53" t="s">
        <v>159</v>
      </c>
      <c r="D45" s="233">
        <v>9715.8633272792395</v>
      </c>
      <c r="E45" s="57">
        <f t="shared" si="8"/>
        <v>0.94810750242674346</v>
      </c>
      <c r="F45" s="233">
        <v>9211.6829131463091</v>
      </c>
      <c r="G45" s="111">
        <f t="shared" si="9"/>
        <v>7.1220935020254501</v>
      </c>
      <c r="H45" s="56">
        <v>65606.467018438198</v>
      </c>
      <c r="I45" s="75">
        <v>1371826.2100000002</v>
      </c>
      <c r="J45" s="287">
        <f t="shared" si="10"/>
        <v>2.1302367121318416E-2</v>
      </c>
      <c r="K45" s="56">
        <v>219477.04621483199</v>
      </c>
      <c r="L45" s="63">
        <f t="shared" si="11"/>
        <v>1</v>
      </c>
      <c r="M45" s="56">
        <v>219477.04621483199</v>
      </c>
      <c r="N45" s="57">
        <f t="shared" si="12"/>
        <v>9.4225678034215328</v>
      </c>
      <c r="O45" s="56">
        <v>2068037.3492539357</v>
      </c>
      <c r="P45" s="61" t="s">
        <v>82</v>
      </c>
      <c r="Q45" s="61" t="s">
        <v>82</v>
      </c>
      <c r="R45" s="75">
        <v>7896417.5969914924</v>
      </c>
      <c r="S45" s="75">
        <v>1888404.6940801363</v>
      </c>
      <c r="T45" s="75">
        <f t="shared" si="13"/>
        <v>6008012.9029113557</v>
      </c>
      <c r="U45" s="151">
        <f t="shared" si="14"/>
        <v>4.1815282612596603</v>
      </c>
      <c r="V45" s="241">
        <v>59507</v>
      </c>
      <c r="W45" s="60" t="s">
        <v>129</v>
      </c>
    </row>
    <row r="46" spans="2:23" x14ac:dyDescent="0.35">
      <c r="B46" s="2" t="s">
        <v>415</v>
      </c>
      <c r="C46" s="53" t="s">
        <v>159</v>
      </c>
      <c r="D46" s="233">
        <v>605.46105039068493</v>
      </c>
      <c r="E46" s="57">
        <f t="shared" si="8"/>
        <v>1.0037478847365686</v>
      </c>
      <c r="F46" s="233">
        <v>607.73024862003103</v>
      </c>
      <c r="G46" s="111">
        <f t="shared" si="9"/>
        <v>19.345646701688604</v>
      </c>
      <c r="H46" s="56">
        <v>11756.9346797325</v>
      </c>
      <c r="I46" s="405" t="s">
        <v>437</v>
      </c>
      <c r="J46" s="287" t="e">
        <f t="shared" si="10"/>
        <v>#VALUE!</v>
      </c>
      <c r="K46" s="56">
        <v>0</v>
      </c>
      <c r="L46" s="63" t="s">
        <v>82</v>
      </c>
      <c r="M46" s="56">
        <v>0</v>
      </c>
      <c r="N46" s="63" t="s">
        <v>82</v>
      </c>
      <c r="O46" s="56">
        <v>0</v>
      </c>
      <c r="P46" s="61" t="s">
        <v>82</v>
      </c>
      <c r="Q46" s="61" t="s">
        <v>82</v>
      </c>
      <c r="R46" s="75">
        <v>1013009.478463267</v>
      </c>
      <c r="S46" s="75">
        <v>1117720.6395537669</v>
      </c>
      <c r="T46" s="75">
        <f t="shared" si="13"/>
        <v>-104711.16109049995</v>
      </c>
      <c r="U46" s="151">
        <f t="shared" si="14"/>
        <v>0.90631723403416409</v>
      </c>
      <c r="V46" s="241">
        <v>2943</v>
      </c>
      <c r="W46" s="60" t="s">
        <v>194</v>
      </c>
    </row>
    <row r="47" spans="2:23" x14ac:dyDescent="0.35">
      <c r="B47" s="224" t="s">
        <v>416</v>
      </c>
      <c r="C47" s="53" t="s">
        <v>159</v>
      </c>
      <c r="D47" s="233">
        <v>395.94799999999998</v>
      </c>
      <c r="E47" s="57">
        <f t="shared" si="8"/>
        <v>0.65</v>
      </c>
      <c r="F47" s="233">
        <v>257.36619999999999</v>
      </c>
      <c r="G47" s="111">
        <f t="shared" si="9"/>
        <v>18</v>
      </c>
      <c r="H47" s="56">
        <v>4632.5915999999997</v>
      </c>
      <c r="I47" s="75">
        <v>354280</v>
      </c>
      <c r="J47" s="287">
        <f t="shared" si="10"/>
        <v>7.9860985995225647E-2</v>
      </c>
      <c r="K47" s="56">
        <v>0</v>
      </c>
      <c r="L47" s="63" t="s">
        <v>82</v>
      </c>
      <c r="M47" s="56">
        <v>0</v>
      </c>
      <c r="N47" s="63" t="s">
        <v>82</v>
      </c>
      <c r="O47" s="56">
        <v>0</v>
      </c>
      <c r="P47" s="61" t="s">
        <v>82</v>
      </c>
      <c r="Q47" s="61" t="s">
        <v>82</v>
      </c>
      <c r="R47" s="75">
        <v>557003.29247596441</v>
      </c>
      <c r="S47" s="75">
        <v>959939.54600000009</v>
      </c>
      <c r="T47" s="75">
        <f t="shared" si="13"/>
        <v>-402936.25352403568</v>
      </c>
      <c r="U47" s="151">
        <f t="shared" si="14"/>
        <v>0.58024830292382223</v>
      </c>
      <c r="V47" s="241">
        <v>827</v>
      </c>
      <c r="W47" s="60" t="s">
        <v>195</v>
      </c>
    </row>
    <row r="48" spans="2:23" x14ac:dyDescent="0.35">
      <c r="B48" s="224" t="s">
        <v>417</v>
      </c>
      <c r="C48" s="53" t="s">
        <v>159</v>
      </c>
      <c r="D48" s="151" t="s">
        <v>82</v>
      </c>
      <c r="E48" s="151" t="s">
        <v>82</v>
      </c>
      <c r="F48" s="233">
        <v>55129.5756982241</v>
      </c>
      <c r="G48" s="111">
        <f t="shared" si="9"/>
        <v>2.4818049999999987</v>
      </c>
      <c r="H48" s="56">
        <v>136820.856615731</v>
      </c>
      <c r="I48" s="75">
        <v>4730303.4799999995</v>
      </c>
      <c r="J48" s="287">
        <f t="shared" si="10"/>
        <v>3.4850150194787252E-2</v>
      </c>
      <c r="K48" s="56">
        <v>0</v>
      </c>
      <c r="L48" s="63" t="s">
        <v>82</v>
      </c>
      <c r="M48" s="56">
        <v>0</v>
      </c>
      <c r="N48" s="63" t="s">
        <v>82</v>
      </c>
      <c r="O48" s="56">
        <v>0</v>
      </c>
      <c r="P48" s="61" t="s">
        <v>82</v>
      </c>
      <c r="Q48" s="61" t="s">
        <v>82</v>
      </c>
      <c r="R48" s="75">
        <v>7385587.9030189663</v>
      </c>
      <c r="S48" s="75">
        <v>4730303.4799999995</v>
      </c>
      <c r="T48" s="75">
        <f t="shared" si="13"/>
        <v>2655284.4230189668</v>
      </c>
      <c r="U48" s="151">
        <f t="shared" si="14"/>
        <v>1.5613348983306601</v>
      </c>
      <c r="V48" s="241">
        <v>1519734</v>
      </c>
      <c r="W48" s="60" t="s">
        <v>193</v>
      </c>
    </row>
    <row r="49" spans="2:23" x14ac:dyDescent="0.35">
      <c r="B49" s="4" t="s">
        <v>8</v>
      </c>
      <c r="C49" s="4"/>
      <c r="D49" s="65">
        <f>SUM(D39:D48)</f>
        <v>479667.30707587197</v>
      </c>
      <c r="E49" s="69">
        <f>F49/D49</f>
        <v>0.80372797273541852</v>
      </c>
      <c r="F49" s="65">
        <f>SUM(F39:F48)</f>
        <v>385522.03230354807</v>
      </c>
      <c r="G49" s="118">
        <f>H49/F49</f>
        <v>6.4328018476621533</v>
      </c>
      <c r="H49" s="71">
        <f>SUM(H39:H48)</f>
        <v>2479986.8417167324</v>
      </c>
      <c r="I49" s="67">
        <f>SUM(I39:I48)</f>
        <v>78061870.589999989</v>
      </c>
      <c r="J49" s="248">
        <f t="shared" ref="J49" si="15">-PMT( 0.46%,G49,I49)/(F49*1000)</f>
        <v>3.2017072503459594E-2</v>
      </c>
      <c r="K49" s="74">
        <f>SUM(K39:K48)</f>
        <v>4642826.2105442239</v>
      </c>
      <c r="L49" s="73">
        <f>M49/K49</f>
        <v>0.97920610867742874</v>
      </c>
      <c r="M49" s="231">
        <f>SUM(M39:M48)</f>
        <v>4546283.7868925817</v>
      </c>
      <c r="N49" s="73">
        <f t="shared" ref="N49" si="16">O49/M49</f>
        <v>11.007522053382143</v>
      </c>
      <c r="O49" s="74">
        <f>SUM(O39:O48)</f>
        <v>50043319.045153774</v>
      </c>
      <c r="P49" s="68" t="s">
        <v>82</v>
      </c>
      <c r="Q49" s="68" t="s">
        <v>82</v>
      </c>
      <c r="R49" s="386">
        <f>SUM(R39:R48)</f>
        <v>168745035.28099775</v>
      </c>
      <c r="S49" s="386">
        <f>SUM(S39:S48)</f>
        <v>70643104.58159031</v>
      </c>
      <c r="T49" s="72">
        <f>R49-S49</f>
        <v>98101930.699407443</v>
      </c>
      <c r="U49" s="73">
        <f t="shared" ref="U49" si="17">R49/S49</f>
        <v>2.3886978960006373</v>
      </c>
      <c r="V49" s="198">
        <f>SUM(V39:V48)</f>
        <v>6525722</v>
      </c>
      <c r="W49" s="218" t="s">
        <v>82</v>
      </c>
    </row>
    <row r="50" spans="2:23" ht="15.65" customHeight="1" x14ac:dyDescent="0.35">
      <c r="B50" s="425" t="s">
        <v>9</v>
      </c>
      <c r="C50" s="426"/>
      <c r="D50" s="426"/>
      <c r="E50" s="426"/>
      <c r="F50" s="426"/>
      <c r="G50" s="426"/>
      <c r="H50" s="426"/>
      <c r="I50" s="426"/>
      <c r="J50" s="426"/>
      <c r="K50" s="426"/>
      <c r="L50" s="426"/>
      <c r="M50" s="426"/>
      <c r="N50" s="426"/>
      <c r="O50" s="426"/>
      <c r="P50" s="426"/>
      <c r="Q50" s="426"/>
      <c r="R50" s="426"/>
      <c r="S50" s="426"/>
      <c r="T50" s="426"/>
      <c r="U50" s="426"/>
      <c r="V50" s="426"/>
      <c r="W50" s="427"/>
    </row>
    <row r="51" spans="2:23" ht="30" customHeight="1" x14ac:dyDescent="0.35">
      <c r="B51" s="224" t="s">
        <v>419</v>
      </c>
      <c r="C51" s="53" t="s">
        <v>159</v>
      </c>
      <c r="D51" s="233">
        <v>59026.580055748906</v>
      </c>
      <c r="E51" s="57">
        <f t="shared" ref="E51:E58" si="18">F51/D51</f>
        <v>1</v>
      </c>
      <c r="F51" s="233">
        <v>59026.580055748906</v>
      </c>
      <c r="G51" s="111">
        <f t="shared" ref="G51:G58" si="19">H51/F51</f>
        <v>5.9760043494993154</v>
      </c>
      <c r="H51" s="56">
        <v>352743.09914922499</v>
      </c>
      <c r="I51" s="75">
        <v>5970237.6100000003</v>
      </c>
      <c r="J51" s="287">
        <f t="shared" ref="J51:J57" si="20">-PMT( 0.46%,G51,I51)/(F51*1000)</f>
        <v>1.719776672591079E-2</v>
      </c>
      <c r="K51" s="56">
        <v>0</v>
      </c>
      <c r="L51" s="63" t="s">
        <v>82</v>
      </c>
      <c r="M51" s="56">
        <v>0</v>
      </c>
      <c r="N51" s="63" t="s">
        <v>82</v>
      </c>
      <c r="O51" s="56">
        <v>0</v>
      </c>
      <c r="P51" s="61" t="s">
        <v>82</v>
      </c>
      <c r="Q51" s="61" t="s">
        <v>82</v>
      </c>
      <c r="R51" s="75">
        <v>22651202.753155701</v>
      </c>
      <c r="S51" s="75">
        <v>5160130.2221998964</v>
      </c>
      <c r="T51" s="75">
        <f t="shared" ref="T51:T58" si="21">R51-S51</f>
        <v>17491072.530955806</v>
      </c>
      <c r="U51" s="151">
        <f t="shared" ref="U51:U60" si="22">R51/S51</f>
        <v>4.3896571942517584</v>
      </c>
      <c r="V51" s="241">
        <v>1343258</v>
      </c>
      <c r="W51" s="60" t="s">
        <v>208</v>
      </c>
    </row>
    <row r="52" spans="2:23" ht="28.5" customHeight="1" x14ac:dyDescent="0.35">
      <c r="B52" s="224" t="s">
        <v>421</v>
      </c>
      <c r="C52" s="53" t="s">
        <v>159</v>
      </c>
      <c r="D52" s="233">
        <v>17650.001985835501</v>
      </c>
      <c r="E52" s="57">
        <f t="shared" si="18"/>
        <v>1</v>
      </c>
      <c r="F52" s="233">
        <v>17650.001985835501</v>
      </c>
      <c r="G52" s="111">
        <f t="shared" si="19"/>
        <v>11.872054235566303</v>
      </c>
      <c r="H52" s="56">
        <v>209541.78083369203</v>
      </c>
      <c r="I52" s="75">
        <v>11165736.68</v>
      </c>
      <c r="J52" s="287">
        <f t="shared" si="20"/>
        <v>5.4877148053665885E-2</v>
      </c>
      <c r="K52" s="56">
        <v>473150.45549546101</v>
      </c>
      <c r="L52" s="63">
        <f t="shared" ref="L52:L58" si="23">M52/K52</f>
        <v>1</v>
      </c>
      <c r="M52" s="56">
        <v>473150.45549546101</v>
      </c>
      <c r="N52" s="57">
        <f t="shared" ref="N52:N58" si="24">O52/M52</f>
        <v>13.102400357730954</v>
      </c>
      <c r="O52" s="56">
        <v>6199406.697344292</v>
      </c>
      <c r="P52" s="61" t="s">
        <v>82</v>
      </c>
      <c r="Q52" s="61" t="s">
        <v>82</v>
      </c>
      <c r="R52" s="75">
        <v>3535723.2891154713</v>
      </c>
      <c r="S52" s="75">
        <v>9325323.3229787424</v>
      </c>
      <c r="T52" s="75">
        <f t="shared" si="21"/>
        <v>-5789600.0338632707</v>
      </c>
      <c r="U52" s="151">
        <f t="shared" si="22"/>
        <v>0.37915289010977399</v>
      </c>
      <c r="V52" s="241">
        <v>371</v>
      </c>
      <c r="W52" s="60" t="s">
        <v>450</v>
      </c>
    </row>
    <row r="53" spans="2:23" ht="36" customHeight="1" x14ac:dyDescent="0.35">
      <c r="B53" s="224" t="s">
        <v>422</v>
      </c>
      <c r="C53" s="53" t="s">
        <v>159</v>
      </c>
      <c r="D53" s="233">
        <v>9121.5621434899313</v>
      </c>
      <c r="E53" s="57">
        <f t="shared" si="18"/>
        <v>1</v>
      </c>
      <c r="F53" s="233">
        <v>9121.5621434899313</v>
      </c>
      <c r="G53" s="111">
        <f t="shared" si="19"/>
        <v>17.26285418536192</v>
      </c>
      <c r="H53" s="56">
        <v>157464.19722578401</v>
      </c>
      <c r="I53" s="75">
        <v>14072552.890000001</v>
      </c>
      <c r="J53" s="287">
        <f t="shared" si="20"/>
        <v>9.3170492236206104E-2</v>
      </c>
      <c r="K53" s="56">
        <v>235538.77844791999</v>
      </c>
      <c r="L53" s="63">
        <f t="shared" si="23"/>
        <v>1</v>
      </c>
      <c r="M53" s="56">
        <v>235538.77844791999</v>
      </c>
      <c r="N53" s="57">
        <f t="shared" si="24"/>
        <v>18.436821599481647</v>
      </c>
      <c r="O53" s="56">
        <v>4342586.4380041333</v>
      </c>
      <c r="P53" s="61" t="s">
        <v>82</v>
      </c>
      <c r="Q53" s="61" t="s">
        <v>82</v>
      </c>
      <c r="R53" s="75">
        <v>4377382.1739571895</v>
      </c>
      <c r="S53" s="75">
        <v>12336310.841200002</v>
      </c>
      <c r="T53" s="75">
        <f t="shared" si="21"/>
        <v>-7958928.667242812</v>
      </c>
      <c r="U53" s="151">
        <f t="shared" si="22"/>
        <v>0.35483721432649828</v>
      </c>
      <c r="V53" s="241">
        <v>1518</v>
      </c>
      <c r="W53" s="60" t="s">
        <v>239</v>
      </c>
    </row>
    <row r="54" spans="2:23" ht="41.25" customHeight="1" x14ac:dyDescent="0.35">
      <c r="B54" s="224" t="s">
        <v>423</v>
      </c>
      <c r="C54" s="53" t="s">
        <v>159</v>
      </c>
      <c r="D54" s="233">
        <v>7553.4280353660897</v>
      </c>
      <c r="E54" s="57">
        <f t="shared" si="18"/>
        <v>1</v>
      </c>
      <c r="F54" s="233">
        <v>7553.4280353660897</v>
      </c>
      <c r="G54" s="111">
        <f t="shared" si="19"/>
        <v>7.0794632813101632</v>
      </c>
      <c r="H54" s="56">
        <v>53474.216424392995</v>
      </c>
      <c r="I54" s="405" t="s">
        <v>442</v>
      </c>
      <c r="J54" s="287" t="s">
        <v>82</v>
      </c>
      <c r="K54" s="56">
        <v>0</v>
      </c>
      <c r="L54" s="63" t="s">
        <v>82</v>
      </c>
      <c r="M54" s="56">
        <v>0</v>
      </c>
      <c r="N54" s="63" t="s">
        <v>82</v>
      </c>
      <c r="O54" s="56">
        <v>0</v>
      </c>
      <c r="P54" s="61" t="s">
        <v>82</v>
      </c>
      <c r="Q54" s="61" t="s">
        <v>82</v>
      </c>
      <c r="R54" s="75">
        <v>2227229.7673263228</v>
      </c>
      <c r="S54" s="75">
        <v>1099751.1185999999</v>
      </c>
      <c r="T54" s="75">
        <f t="shared" si="21"/>
        <v>1127478.6487263229</v>
      </c>
      <c r="U54" s="151">
        <f t="shared" si="22"/>
        <v>2.0252125500555258</v>
      </c>
      <c r="V54" s="241">
        <v>74417</v>
      </c>
      <c r="W54" s="60" t="s">
        <v>449</v>
      </c>
    </row>
    <row r="55" spans="2:23" ht="39" customHeight="1" x14ac:dyDescent="0.35">
      <c r="B55" s="224" t="s">
        <v>424</v>
      </c>
      <c r="C55" s="53" t="s">
        <v>159</v>
      </c>
      <c r="D55" s="233">
        <v>6316.3841131355903</v>
      </c>
      <c r="E55" s="57">
        <f t="shared" si="18"/>
        <v>0.99999999418878283</v>
      </c>
      <c r="F55" s="233">
        <v>6316.3840764297101</v>
      </c>
      <c r="G55" s="111">
        <f t="shared" si="19"/>
        <v>18.297668822214337</v>
      </c>
      <c r="H55" s="56">
        <v>115575.10398441901</v>
      </c>
      <c r="I55" s="405" t="s">
        <v>443</v>
      </c>
      <c r="J55" s="287" t="s">
        <v>82</v>
      </c>
      <c r="K55" s="56">
        <v>193216.240106932</v>
      </c>
      <c r="L55" s="63">
        <f t="shared" si="23"/>
        <v>1</v>
      </c>
      <c r="M55" s="56">
        <v>193216.240106932</v>
      </c>
      <c r="N55" s="57">
        <f t="shared" si="24"/>
        <v>19.192513288397819</v>
      </c>
      <c r="O55" s="56">
        <v>3708305.2557865563</v>
      </c>
      <c r="P55" s="61" t="s">
        <v>82</v>
      </c>
      <c r="Q55" s="61" t="s">
        <v>82</v>
      </c>
      <c r="R55" s="75">
        <v>1735250.7870152225</v>
      </c>
      <c r="S55" s="75">
        <v>3919125.7032286613</v>
      </c>
      <c r="T55" s="75">
        <f t="shared" si="21"/>
        <v>-2183874.9162134388</v>
      </c>
      <c r="U55" s="151">
        <f t="shared" si="22"/>
        <v>0.44276476908757606</v>
      </c>
      <c r="V55" s="241">
        <v>247</v>
      </c>
      <c r="W55" s="199" t="s">
        <v>450</v>
      </c>
    </row>
    <row r="56" spans="2:23" ht="14.5" customHeight="1" x14ac:dyDescent="0.35">
      <c r="B56" s="224" t="s">
        <v>425</v>
      </c>
      <c r="C56" s="53" t="s">
        <v>159</v>
      </c>
      <c r="D56" s="233">
        <v>3023.8181246515296</v>
      </c>
      <c r="E56" s="57">
        <f t="shared" si="18"/>
        <v>1</v>
      </c>
      <c r="F56" s="233">
        <v>3023.8181246515296</v>
      </c>
      <c r="G56" s="111">
        <f t="shared" si="19"/>
        <v>6.6484063227543411</v>
      </c>
      <c r="H56" s="56">
        <v>20103.571538792403</v>
      </c>
      <c r="I56" s="75">
        <v>2197195.4100000006</v>
      </c>
      <c r="J56" s="287">
        <f t="shared" si="20"/>
        <v>0.11122471434358593</v>
      </c>
      <c r="K56" s="56">
        <v>0</v>
      </c>
      <c r="L56" s="63" t="s">
        <v>82</v>
      </c>
      <c r="M56" s="56">
        <v>0</v>
      </c>
      <c r="N56" s="63" t="s">
        <v>82</v>
      </c>
      <c r="O56" s="56">
        <v>0</v>
      </c>
      <c r="P56" s="61" t="s">
        <v>82</v>
      </c>
      <c r="Q56" s="61" t="s">
        <v>82</v>
      </c>
      <c r="R56" s="75">
        <v>711351.07701082458</v>
      </c>
      <c r="S56" s="75">
        <v>2224855.41</v>
      </c>
      <c r="T56" s="75">
        <f t="shared" si="21"/>
        <v>-1513504.3329891756</v>
      </c>
      <c r="U56" s="151">
        <f t="shared" si="22"/>
        <v>0.31972912658212899</v>
      </c>
      <c r="V56" s="241">
        <v>12714</v>
      </c>
      <c r="W56" s="60" t="s">
        <v>157</v>
      </c>
    </row>
    <row r="57" spans="2:23" ht="14.5" customHeight="1" x14ac:dyDescent="0.35">
      <c r="B57" s="317" t="s">
        <v>196</v>
      </c>
      <c r="C57" s="53" t="s">
        <v>159</v>
      </c>
      <c r="D57" s="391">
        <v>2964.6913723346402</v>
      </c>
      <c r="E57" s="57">
        <f t="shared" si="18"/>
        <v>1</v>
      </c>
      <c r="F57" s="391">
        <v>2964.6913723346402</v>
      </c>
      <c r="G57" s="111">
        <f t="shared" si="19"/>
        <v>14.14237761720949</v>
      </c>
      <c r="H57" s="290">
        <v>41927.784906039502</v>
      </c>
      <c r="I57" s="392">
        <v>2051616.6400000001</v>
      </c>
      <c r="J57" s="287">
        <f t="shared" si="20"/>
        <v>5.0653462878902711E-2</v>
      </c>
      <c r="K57" s="56">
        <v>22942.897020117998</v>
      </c>
      <c r="L57" s="63">
        <f t="shared" si="23"/>
        <v>1</v>
      </c>
      <c r="M57" s="56">
        <v>22942.897020117998</v>
      </c>
      <c r="N57" s="57">
        <f t="shared" si="24"/>
        <v>12.632403209726633</v>
      </c>
      <c r="O57" s="56">
        <v>289823.92595736618</v>
      </c>
      <c r="P57" s="61" t="s">
        <v>82</v>
      </c>
      <c r="Q57" s="61" t="s">
        <v>82</v>
      </c>
      <c r="R57" s="392">
        <v>1304142.4333639322</v>
      </c>
      <c r="S57" s="392">
        <v>2629132.5294166929</v>
      </c>
      <c r="T57" s="75">
        <f t="shared" si="21"/>
        <v>-1324990.0960527607</v>
      </c>
      <c r="U57" s="151">
        <f t="shared" si="22"/>
        <v>0.49603525831133094</v>
      </c>
      <c r="V57" s="393">
        <v>10</v>
      </c>
      <c r="W57" s="394" t="s">
        <v>139</v>
      </c>
    </row>
    <row r="58" spans="2:23" ht="34.5" customHeight="1" x14ac:dyDescent="0.35">
      <c r="B58" s="317" t="s">
        <v>426</v>
      </c>
      <c r="C58" s="53" t="s">
        <v>159</v>
      </c>
      <c r="D58" s="391">
        <v>2829.38177179073</v>
      </c>
      <c r="E58" s="57">
        <f t="shared" si="18"/>
        <v>1</v>
      </c>
      <c r="F58" s="391">
        <v>2829.38177179073</v>
      </c>
      <c r="G58" s="111">
        <f t="shared" si="19"/>
        <v>11.272182040421136</v>
      </c>
      <c r="H58" s="290">
        <v>31893.306393474399</v>
      </c>
      <c r="I58" s="405" t="s">
        <v>444</v>
      </c>
      <c r="J58" s="287" t="s">
        <v>82</v>
      </c>
      <c r="K58" s="56">
        <v>23241.7373859373</v>
      </c>
      <c r="L58" s="63">
        <f t="shared" si="23"/>
        <v>1</v>
      </c>
      <c r="M58" s="56">
        <v>23241.7373859373</v>
      </c>
      <c r="N58" s="57">
        <f t="shared" si="24"/>
        <v>16.221891297607758</v>
      </c>
      <c r="O58" s="56">
        <v>377024.93744222115</v>
      </c>
      <c r="P58" s="61" t="s">
        <v>82</v>
      </c>
      <c r="Q58" s="61" t="s">
        <v>82</v>
      </c>
      <c r="R58" s="392">
        <v>1419815.2015335474</v>
      </c>
      <c r="S58" s="392">
        <v>4546923.0985092102</v>
      </c>
      <c r="T58" s="75">
        <f t="shared" si="21"/>
        <v>-3127107.8969756626</v>
      </c>
      <c r="U58" s="151">
        <f t="shared" si="22"/>
        <v>0.31225845935222857</v>
      </c>
      <c r="V58" s="393">
        <v>665</v>
      </c>
      <c r="W58" s="199" t="s">
        <v>239</v>
      </c>
    </row>
    <row r="59" spans="2:23" x14ac:dyDescent="0.35">
      <c r="B59" s="317" t="s">
        <v>282</v>
      </c>
      <c r="C59" s="131" t="s">
        <v>159</v>
      </c>
      <c r="D59" s="287" t="s">
        <v>82</v>
      </c>
      <c r="E59" s="287" t="s">
        <v>82</v>
      </c>
      <c r="F59" s="287" t="s">
        <v>82</v>
      </c>
      <c r="G59" s="287" t="s">
        <v>82</v>
      </c>
      <c r="H59" s="287" t="s">
        <v>82</v>
      </c>
      <c r="I59" s="392">
        <v>1077553.07</v>
      </c>
      <c r="J59" s="287" t="s">
        <v>82</v>
      </c>
      <c r="K59" s="287" t="s">
        <v>82</v>
      </c>
      <c r="L59" s="287" t="s">
        <v>82</v>
      </c>
      <c r="M59" s="287" t="s">
        <v>82</v>
      </c>
      <c r="N59" s="287" t="s">
        <v>82</v>
      </c>
      <c r="O59" s="287" t="s">
        <v>82</v>
      </c>
      <c r="P59" s="287" t="s">
        <v>82</v>
      </c>
      <c r="Q59" s="287" t="s">
        <v>82</v>
      </c>
      <c r="R59" s="287" t="s">
        <v>82</v>
      </c>
      <c r="S59" s="228">
        <v>1077553.07</v>
      </c>
      <c r="T59" s="287" t="s">
        <v>82</v>
      </c>
      <c r="U59" s="287" t="s">
        <v>82</v>
      </c>
      <c r="V59" s="287" t="s">
        <v>82</v>
      </c>
      <c r="W59" s="399" t="s">
        <v>82</v>
      </c>
    </row>
    <row r="60" spans="2:23" ht="15.75" customHeight="1" x14ac:dyDescent="0.35">
      <c r="B60" s="4" t="s">
        <v>10</v>
      </c>
      <c r="C60" s="4"/>
      <c r="D60" s="71">
        <f>SUM(D51:D59)</f>
        <v>108485.84760235292</v>
      </c>
      <c r="E60" s="237">
        <f>F60/D60</f>
        <v>0.99999999966165276</v>
      </c>
      <c r="F60" s="71">
        <f>SUM(F51:F59)</f>
        <v>108485.84756564704</v>
      </c>
      <c r="G60" s="118">
        <f>H60/F60</f>
        <v>9.0585369659498962</v>
      </c>
      <c r="H60" s="71">
        <f>SUM(H51:H59)</f>
        <v>982723.06045581936</v>
      </c>
      <c r="I60" s="67">
        <f>SUM(I51:I59)</f>
        <v>36534892.299999997</v>
      </c>
      <c r="J60" s="248">
        <f>-PMT( 0.46%,G60,I60)/(F60*1000)</f>
        <v>3.8042582935412891E-2</v>
      </c>
      <c r="K60" s="229">
        <f>SUM(K51:K59)</f>
        <v>948090.10845636821</v>
      </c>
      <c r="L60" s="73">
        <f>M60/K60</f>
        <v>1</v>
      </c>
      <c r="M60" s="229">
        <f>SUM(M51:M59)</f>
        <v>948090.10845636821</v>
      </c>
      <c r="N60" s="73">
        <f t="shared" ref="N60" si="25">O60/M60</f>
        <v>15.733891875342845</v>
      </c>
      <c r="O60" s="229">
        <f>SUM(O51:O59)</f>
        <v>14917147.254534569</v>
      </c>
      <c r="P60" s="68" t="s">
        <v>82</v>
      </c>
      <c r="Q60" s="68" t="s">
        <v>82</v>
      </c>
      <c r="R60" s="72">
        <f>SUM(R51:R59)</f>
        <v>37962097.482478209</v>
      </c>
      <c r="S60" s="72">
        <f>SUM(S51:S59)</f>
        <v>42319105.316133201</v>
      </c>
      <c r="T60" s="72">
        <f>R60-S60</f>
        <v>-4357007.8336549923</v>
      </c>
      <c r="U60" s="73">
        <f t="shared" si="22"/>
        <v>0.89704395210845866</v>
      </c>
      <c r="V60" s="74">
        <f>SUM(V51:V59)</f>
        <v>1433200</v>
      </c>
      <c r="W60" s="68" t="s">
        <v>82</v>
      </c>
    </row>
    <row r="61" spans="2:23" ht="15.65" customHeight="1" x14ac:dyDescent="0.35">
      <c r="B61" s="409" t="s">
        <v>11</v>
      </c>
      <c r="C61" s="410"/>
      <c r="D61" s="410"/>
      <c r="E61" s="410"/>
      <c r="F61" s="410"/>
      <c r="G61" s="410"/>
      <c r="H61" s="410"/>
      <c r="I61" s="410"/>
      <c r="J61" s="410"/>
      <c r="K61" s="410"/>
      <c r="L61" s="410"/>
      <c r="M61" s="410"/>
      <c r="N61" s="410"/>
      <c r="O61" s="410"/>
      <c r="P61" s="410"/>
      <c r="Q61" s="410"/>
      <c r="R61" s="410"/>
      <c r="S61" s="410"/>
      <c r="T61" s="410"/>
      <c r="U61" s="410"/>
      <c r="V61" s="410"/>
      <c r="W61" s="410"/>
    </row>
    <row r="62" spans="2:23" ht="15.65" customHeight="1" x14ac:dyDescent="0.35">
      <c r="B62" s="224" t="s">
        <v>418</v>
      </c>
      <c r="C62" s="53" t="s">
        <v>159</v>
      </c>
      <c r="D62" s="233">
        <v>76763.975925687409</v>
      </c>
      <c r="E62" s="57">
        <f>F62/D62</f>
        <v>1</v>
      </c>
      <c r="F62" s="233">
        <v>76763.975925687409</v>
      </c>
      <c r="G62" s="111">
        <f>H62/F62</f>
        <v>4.4660358108705145</v>
      </c>
      <c r="H62" s="56">
        <v>342830.665468922</v>
      </c>
      <c r="I62" s="75">
        <v>4624460.0600000005</v>
      </c>
      <c r="J62" s="287">
        <f t="shared" ref="J62" si="26">-PMT( 0.46%,G62,I62)/(F62*1000)</f>
        <v>1.3659082557004541E-2</v>
      </c>
      <c r="K62" s="56">
        <v>0</v>
      </c>
      <c r="L62" s="63" t="s">
        <v>82</v>
      </c>
      <c r="M62" s="56">
        <v>0</v>
      </c>
      <c r="N62" s="63" t="s">
        <v>82</v>
      </c>
      <c r="O62" s="56">
        <v>0</v>
      </c>
      <c r="P62" s="61" t="s">
        <v>82</v>
      </c>
      <c r="Q62" s="61" t="s">
        <v>82</v>
      </c>
      <c r="R62" s="75">
        <v>22424809.326007038</v>
      </c>
      <c r="S62" s="75">
        <v>6437129.1900000004</v>
      </c>
      <c r="T62" s="75">
        <f t="shared" ref="T62" si="27">R62-S62</f>
        <v>15987680.136007037</v>
      </c>
      <c r="U62" s="151">
        <f t="shared" ref="U62" si="28">R62/S62</f>
        <v>3.4836661909541444</v>
      </c>
      <c r="V62" s="241">
        <v>1879860</v>
      </c>
      <c r="W62" s="60" t="s">
        <v>204</v>
      </c>
    </row>
    <row r="63" spans="2:23" ht="15.65" customHeight="1" x14ac:dyDescent="0.35">
      <c r="B63" s="224" t="s">
        <v>420</v>
      </c>
      <c r="C63" s="53" t="s">
        <v>159</v>
      </c>
      <c r="D63" s="233">
        <v>34579.0261690896</v>
      </c>
      <c r="E63" s="57">
        <f>F63/D63</f>
        <v>1</v>
      </c>
      <c r="F63" s="233">
        <v>34579.0261690896</v>
      </c>
      <c r="G63" s="111">
        <f>H63/F63</f>
        <v>7.9502128763233717</v>
      </c>
      <c r="H63" s="56">
        <v>274910.61910021899</v>
      </c>
      <c r="I63" s="75">
        <v>4151590.1699999995</v>
      </c>
      <c r="J63" s="287">
        <f>-PMT( 0.46%,G63,I63)/(F63*1000)</f>
        <v>1.5414126353123262E-2</v>
      </c>
      <c r="K63" s="56">
        <v>510982.34614601702</v>
      </c>
      <c r="L63" s="63">
        <f>M63/K63</f>
        <v>1</v>
      </c>
      <c r="M63" s="56">
        <v>510982.34614601702</v>
      </c>
      <c r="N63" s="57">
        <f>O63/M63</f>
        <v>10</v>
      </c>
      <c r="O63" s="56">
        <v>5109823.4614601703</v>
      </c>
      <c r="P63" s="61" t="s">
        <v>82</v>
      </c>
      <c r="Q63" s="61" t="s">
        <v>82</v>
      </c>
      <c r="R63" s="75">
        <v>18044838.987545565</v>
      </c>
      <c r="S63" s="75">
        <v>4151590.1699999995</v>
      </c>
      <c r="T63" s="75">
        <f>R63-S63</f>
        <v>13893248.817545565</v>
      </c>
      <c r="U63" s="151">
        <f>R63/S63</f>
        <v>4.3464885137122211</v>
      </c>
      <c r="V63" s="241">
        <v>50000</v>
      </c>
      <c r="W63" s="60" t="s">
        <v>129</v>
      </c>
    </row>
    <row r="64" spans="2:23" ht="15.65" customHeight="1" x14ac:dyDescent="0.35">
      <c r="B64" s="317" t="s">
        <v>427</v>
      </c>
      <c r="C64" s="53" t="s">
        <v>159</v>
      </c>
      <c r="D64" s="391">
        <v>903.336281162099</v>
      </c>
      <c r="E64" s="57">
        <f>F64/D64</f>
        <v>1</v>
      </c>
      <c r="F64" s="391">
        <v>903.336281162099</v>
      </c>
      <c r="G64" s="111">
        <f>H64/F64</f>
        <v>12.607494054388299</v>
      </c>
      <c r="H64" s="290">
        <v>11388.8067938644</v>
      </c>
      <c r="I64" s="392">
        <v>895212.97</v>
      </c>
      <c r="J64" s="287">
        <f>-PMT( 0.46%,G64,I64)/(F64*1000)</f>
        <v>8.1086581287077644E-2</v>
      </c>
      <c r="K64" s="56">
        <v>19537.237493372799</v>
      </c>
      <c r="L64" s="63">
        <f>M64/K64</f>
        <v>1</v>
      </c>
      <c r="M64" s="56">
        <v>19537.237493372799</v>
      </c>
      <c r="N64" s="57">
        <f>O64/M64</f>
        <v>14.876240817289721</v>
      </c>
      <c r="O64" s="56">
        <v>290640.64985599555</v>
      </c>
      <c r="P64" s="61" t="s">
        <v>82</v>
      </c>
      <c r="Q64" s="61" t="s">
        <v>82</v>
      </c>
      <c r="R64" s="392">
        <v>340930.88778210047</v>
      </c>
      <c r="S64" s="392">
        <v>1020822.97</v>
      </c>
      <c r="T64" s="75">
        <f>R64-S64</f>
        <v>-679892.0822178995</v>
      </c>
      <c r="U64" s="151">
        <f>R64/S64</f>
        <v>0.33397650503700999</v>
      </c>
      <c r="V64" s="393">
        <v>5888</v>
      </c>
      <c r="W64" s="394" t="s">
        <v>157</v>
      </c>
    </row>
    <row r="65" spans="2:23" ht="15.65" customHeight="1" x14ac:dyDescent="0.35">
      <c r="B65" s="317" t="s">
        <v>436</v>
      </c>
      <c r="C65" s="131" t="s">
        <v>159</v>
      </c>
      <c r="D65" s="391" t="s">
        <v>82</v>
      </c>
      <c r="E65" s="395" t="s">
        <v>82</v>
      </c>
      <c r="F65" s="391" t="s">
        <v>82</v>
      </c>
      <c r="G65" s="396" t="s">
        <v>82</v>
      </c>
      <c r="H65" s="290" t="s">
        <v>82</v>
      </c>
      <c r="I65" s="392">
        <v>663382.17000000004</v>
      </c>
      <c r="J65" s="290" t="s">
        <v>82</v>
      </c>
      <c r="K65" s="290" t="s">
        <v>82</v>
      </c>
      <c r="L65" s="290" t="s">
        <v>82</v>
      </c>
      <c r="M65" s="290" t="s">
        <v>82</v>
      </c>
      <c r="N65" s="290" t="s">
        <v>82</v>
      </c>
      <c r="O65" s="290" t="s">
        <v>82</v>
      </c>
      <c r="P65" s="290" t="s">
        <v>82</v>
      </c>
      <c r="Q65" s="290" t="s">
        <v>82</v>
      </c>
      <c r="R65" s="228">
        <v>0</v>
      </c>
      <c r="S65" s="228">
        <v>663382.17000000004</v>
      </c>
      <c r="T65" s="75">
        <f>R65-S65</f>
        <v>-663382.17000000004</v>
      </c>
      <c r="U65" s="151">
        <f>R65/S65</f>
        <v>0</v>
      </c>
      <c r="V65" s="290" t="s">
        <v>82</v>
      </c>
      <c r="W65" s="290" t="s">
        <v>82</v>
      </c>
    </row>
    <row r="66" spans="2:23" x14ac:dyDescent="0.35">
      <c r="B66" s="224" t="s">
        <v>410</v>
      </c>
      <c r="C66" s="53" t="s">
        <v>159</v>
      </c>
      <c r="D66" s="233">
        <v>497.21083099999998</v>
      </c>
      <c r="E66" s="57">
        <f t="shared" ref="E66:E70" si="29">F66/D66</f>
        <v>0.82595674535899233</v>
      </c>
      <c r="F66" s="233">
        <v>410.67463972999997</v>
      </c>
      <c r="G66" s="111">
        <f>H66/F66</f>
        <v>14.533151697421472</v>
      </c>
      <c r="H66" s="56">
        <v>5968.3968374800006</v>
      </c>
      <c r="I66" s="227">
        <v>615285</v>
      </c>
      <c r="J66" s="287">
        <f t="shared" ref="J66:J70" si="30">-PMT( 0.46%,G66,I66)/(F66*1000)</f>
        <v>0.10681165698140671</v>
      </c>
      <c r="K66" s="56">
        <v>0</v>
      </c>
      <c r="L66" s="63" t="s">
        <v>82</v>
      </c>
      <c r="M66" s="56">
        <v>0</v>
      </c>
      <c r="N66" s="63" t="s">
        <v>82</v>
      </c>
      <c r="O66" s="56">
        <v>0</v>
      </c>
      <c r="P66" s="293" t="s">
        <v>82</v>
      </c>
      <c r="Q66" s="293" t="s">
        <v>82</v>
      </c>
      <c r="R66" s="1">
        <v>296995.94661848084</v>
      </c>
      <c r="S66" s="1">
        <v>627153.24107437604</v>
      </c>
      <c r="T66" s="75">
        <f t="shared" ref="T66:T70" si="31">R66-S66</f>
        <v>-330157.2944558952</v>
      </c>
      <c r="U66" s="151">
        <f t="shared" ref="U66:U70" si="32">R66/S66</f>
        <v>0.47356200553105199</v>
      </c>
      <c r="V66" s="293">
        <v>50</v>
      </c>
      <c r="W66" s="61" t="s">
        <v>157</v>
      </c>
    </row>
    <row r="67" spans="2:23" x14ac:dyDescent="0.35">
      <c r="B67" s="224" t="s">
        <v>406</v>
      </c>
      <c r="C67" s="53" t="s">
        <v>159</v>
      </c>
      <c r="D67" s="233">
        <v>6044.3848619999999</v>
      </c>
      <c r="E67" s="57">
        <f t="shared" si="29"/>
        <v>0.92000000000000015</v>
      </c>
      <c r="F67" s="233">
        <v>5560.8340730400005</v>
      </c>
      <c r="G67" s="111">
        <f t="shared" ref="G67:G69" si="33">H67/F67</f>
        <v>13.916346961818084</v>
      </c>
      <c r="H67" s="56">
        <v>77386.496357524695</v>
      </c>
      <c r="I67" s="227">
        <v>2229032</v>
      </c>
      <c r="J67" s="287">
        <f t="shared" si="30"/>
        <v>2.9801843061473758E-2</v>
      </c>
      <c r="K67" s="56">
        <v>0</v>
      </c>
      <c r="L67" s="63" t="s">
        <v>82</v>
      </c>
      <c r="M67" s="56">
        <v>0</v>
      </c>
      <c r="N67" s="63" t="s">
        <v>82</v>
      </c>
      <c r="O67" s="56">
        <v>0</v>
      </c>
      <c r="P67" s="61" t="s">
        <v>82</v>
      </c>
      <c r="Q67" s="61" t="s">
        <v>82</v>
      </c>
      <c r="R67" s="75">
        <v>1920699.850395147</v>
      </c>
      <c r="S67" s="75">
        <v>3266299.8753550192</v>
      </c>
      <c r="T67" s="75">
        <f t="shared" si="31"/>
        <v>-1345600.0249598722</v>
      </c>
      <c r="U67" s="151">
        <f t="shared" si="32"/>
        <v>0.58803536836506265</v>
      </c>
      <c r="V67" s="241">
        <v>107</v>
      </c>
      <c r="W67" s="60" t="s">
        <v>157</v>
      </c>
    </row>
    <row r="68" spans="2:23" x14ac:dyDescent="0.35">
      <c r="B68" s="224" t="s">
        <v>407</v>
      </c>
      <c r="C68" s="53" t="s">
        <v>159</v>
      </c>
      <c r="D68" s="233">
        <v>5109.8494423468101</v>
      </c>
      <c r="E68" s="57">
        <f t="shared" si="29"/>
        <v>0.71000000000000096</v>
      </c>
      <c r="F68" s="233">
        <v>3627.99310406624</v>
      </c>
      <c r="G68" s="111">
        <f t="shared" si="33"/>
        <v>9.9547388241524626</v>
      </c>
      <c r="H68" s="56">
        <v>36115.723806805603</v>
      </c>
      <c r="I68" s="227">
        <v>1519451</v>
      </c>
      <c r="J68" s="287">
        <f t="shared" si="30"/>
        <v>4.3139026135079993E-2</v>
      </c>
      <c r="K68" s="56">
        <v>415.47021067527299</v>
      </c>
      <c r="L68" s="63">
        <f t="shared" ref="L68:L69" si="34">M68/K68</f>
        <v>0.71000000000000041</v>
      </c>
      <c r="M68" s="56">
        <v>294.98384957944398</v>
      </c>
      <c r="N68" s="57">
        <f t="shared" ref="N68:N69" si="35">O68/M68</f>
        <v>7.5</v>
      </c>
      <c r="O68" s="56">
        <v>2212.37887184583</v>
      </c>
      <c r="P68" s="61" t="s">
        <v>82</v>
      </c>
      <c r="Q68" s="61" t="s">
        <v>82</v>
      </c>
      <c r="R68" s="1">
        <v>1391822.1331680377</v>
      </c>
      <c r="S68" s="1">
        <v>1937496.0661921361</v>
      </c>
      <c r="T68" s="75">
        <f t="shared" si="31"/>
        <v>-545673.9330240984</v>
      </c>
      <c r="U68" s="151">
        <f t="shared" si="32"/>
        <v>0.71836126919393428</v>
      </c>
      <c r="V68" s="241">
        <v>52</v>
      </c>
      <c r="W68" s="60" t="s">
        <v>139</v>
      </c>
    </row>
    <row r="69" spans="2:23" x14ac:dyDescent="0.35">
      <c r="B69" s="2" t="s">
        <v>405</v>
      </c>
      <c r="C69" s="53" t="s">
        <v>159</v>
      </c>
      <c r="D69" s="233">
        <v>6942.7469687336497</v>
      </c>
      <c r="E69" s="57">
        <f t="shared" si="29"/>
        <v>0.91852422364196784</v>
      </c>
      <c r="F69" s="233">
        <v>6377.0812693987009</v>
      </c>
      <c r="G69" s="111">
        <f t="shared" si="33"/>
        <v>6.3243957008916949</v>
      </c>
      <c r="H69" s="56">
        <v>40331.185364422097</v>
      </c>
      <c r="I69" s="227">
        <v>1034655</v>
      </c>
      <c r="J69" s="287">
        <f t="shared" si="30"/>
        <v>2.6087899175942258E-2</v>
      </c>
      <c r="K69" s="56">
        <v>144655.432112874</v>
      </c>
      <c r="L69" s="63">
        <f t="shared" si="34"/>
        <v>0.91999999999999937</v>
      </c>
      <c r="M69" s="56">
        <v>133082.99754384399</v>
      </c>
      <c r="N69" s="57">
        <f t="shared" si="35"/>
        <v>7.2806658813685301</v>
      </c>
      <c r="O69" s="56">
        <v>968932.83960771677</v>
      </c>
      <c r="P69" s="61" t="s">
        <v>82</v>
      </c>
      <c r="Q69" s="61" t="s">
        <v>82</v>
      </c>
      <c r="R69" s="75">
        <v>4492488.5190115133</v>
      </c>
      <c r="S69" s="75">
        <v>1025872.5608</v>
      </c>
      <c r="T69" s="75">
        <f t="shared" si="31"/>
        <v>3466615.9582115132</v>
      </c>
      <c r="U69" s="151">
        <f t="shared" si="32"/>
        <v>4.3791877185097565</v>
      </c>
      <c r="V69" s="241">
        <v>4659</v>
      </c>
      <c r="W69" s="60" t="s">
        <v>129</v>
      </c>
    </row>
    <row r="70" spans="2:23" x14ac:dyDescent="0.35">
      <c r="B70" s="2" t="s">
        <v>409</v>
      </c>
      <c r="C70" s="53" t="s">
        <v>159</v>
      </c>
      <c r="D70" s="233">
        <v>3430.8590861112002</v>
      </c>
      <c r="E70" s="57">
        <f t="shared" si="29"/>
        <v>0.91999999999999882</v>
      </c>
      <c r="F70" s="233">
        <v>3156.3903592223</v>
      </c>
      <c r="G70" s="111">
        <f>H70/F70</f>
        <v>9.0240565997986089</v>
      </c>
      <c r="H70" s="56">
        <v>28483.4452526807</v>
      </c>
      <c r="I70" s="227">
        <v>2535240</v>
      </c>
      <c r="J70" s="287">
        <f t="shared" si="30"/>
        <v>9.1072182934161125E-2</v>
      </c>
      <c r="K70" s="56">
        <v>0</v>
      </c>
      <c r="L70" s="63" t="s">
        <v>82</v>
      </c>
      <c r="M70" s="56">
        <v>0</v>
      </c>
      <c r="N70" s="63" t="s">
        <v>82</v>
      </c>
      <c r="O70" s="56">
        <v>0</v>
      </c>
      <c r="P70" s="61" t="s">
        <v>82</v>
      </c>
      <c r="Q70" s="61" t="s">
        <v>82</v>
      </c>
      <c r="R70" s="1">
        <v>1082684.9816334553</v>
      </c>
      <c r="S70" s="1">
        <v>2444919.6</v>
      </c>
      <c r="T70" s="75">
        <f t="shared" si="31"/>
        <v>-1362234.6183665448</v>
      </c>
      <c r="U70" s="151">
        <f t="shared" si="32"/>
        <v>0.44283050519675787</v>
      </c>
      <c r="V70" s="242">
        <v>678</v>
      </c>
      <c r="W70" s="61" t="s">
        <v>157</v>
      </c>
    </row>
    <row r="71" spans="2:23" x14ac:dyDescent="0.35">
      <c r="B71" s="317" t="s">
        <v>438</v>
      </c>
      <c r="C71" s="131" t="s">
        <v>159</v>
      </c>
      <c r="D71" s="287" t="s">
        <v>82</v>
      </c>
      <c r="E71" s="287" t="s">
        <v>82</v>
      </c>
      <c r="F71" s="287" t="s">
        <v>82</v>
      </c>
      <c r="G71" s="287" t="s">
        <v>82</v>
      </c>
      <c r="H71" s="287" t="s">
        <v>82</v>
      </c>
      <c r="I71" s="316">
        <v>515336</v>
      </c>
      <c r="J71" s="287" t="s">
        <v>82</v>
      </c>
      <c r="K71" s="287" t="s">
        <v>82</v>
      </c>
      <c r="L71" s="287" t="s">
        <v>82</v>
      </c>
      <c r="M71" s="287" t="s">
        <v>82</v>
      </c>
      <c r="N71" s="287" t="s">
        <v>82</v>
      </c>
      <c r="O71" s="287" t="s">
        <v>82</v>
      </c>
      <c r="P71" s="287" t="s">
        <v>82</v>
      </c>
      <c r="Q71" s="287" t="s">
        <v>82</v>
      </c>
      <c r="R71" s="287" t="s">
        <v>82</v>
      </c>
      <c r="S71" s="287" t="s">
        <v>82</v>
      </c>
      <c r="T71" s="287" t="s">
        <v>82</v>
      </c>
      <c r="U71" s="287" t="s">
        <v>82</v>
      </c>
      <c r="V71" s="287" t="s">
        <v>82</v>
      </c>
      <c r="W71" s="287" t="s">
        <v>82</v>
      </c>
    </row>
    <row r="72" spans="2:23" ht="35.15" customHeight="1" x14ac:dyDescent="0.35">
      <c r="B72" s="24" t="s">
        <v>12</v>
      </c>
      <c r="C72" s="24"/>
      <c r="D72" s="65">
        <f>SUM(D62:D71)</f>
        <v>134271.38956613079</v>
      </c>
      <c r="E72" s="69">
        <f>F72/D72</f>
        <v>0.97846095319278681</v>
      </c>
      <c r="F72" s="65">
        <f>SUM(F62:F71)</f>
        <v>131379.31182139635</v>
      </c>
      <c r="G72" s="70">
        <f>H72/F72</f>
        <v>6.22179647350531</v>
      </c>
      <c r="H72" s="65">
        <f>SUM(H62:H71)</f>
        <v>817415.33898191829</v>
      </c>
      <c r="I72" s="67">
        <f>SUM(I62:I71)</f>
        <v>18783644.370000001</v>
      </c>
      <c r="J72" s="88">
        <f>-PMT( 0.46%,G72,I72)/F72*1000</f>
        <v>23362.528738054625</v>
      </c>
      <c r="K72" s="229">
        <f>SUM(K62:K71)</f>
        <v>675590.4859629391</v>
      </c>
      <c r="L72" s="73">
        <f>M72/K72</f>
        <v>0.98269229485453813</v>
      </c>
      <c r="M72" s="74">
        <f>SUM(M62:M71)</f>
        <v>663897.56503281323</v>
      </c>
      <c r="N72" s="73">
        <f>O72/M72</f>
        <v>9.5972777509446221</v>
      </c>
      <c r="O72" s="74">
        <f>SUM(O62:O71)</f>
        <v>6371609.3297957284</v>
      </c>
      <c r="P72" s="68" t="s">
        <v>82</v>
      </c>
      <c r="Q72" s="68" t="s">
        <v>82</v>
      </c>
      <c r="R72" s="72">
        <f>SUM(R62:R71)</f>
        <v>49995270.632161334</v>
      </c>
      <c r="S72" s="72">
        <f>SUM(S62:S71)</f>
        <v>21574665.843421534</v>
      </c>
      <c r="T72" s="72">
        <f>SUM(T62:T71)</f>
        <v>28420604.788739804</v>
      </c>
      <c r="U72" s="73">
        <f t="shared" ref="U72" si="36">R72/S72</f>
        <v>2.3173137880791654</v>
      </c>
      <c r="V72" s="74">
        <f>SUM(V62:V71)</f>
        <v>1941294</v>
      </c>
      <c r="W72" s="68" t="s">
        <v>82</v>
      </c>
    </row>
    <row r="73" spans="2:23" x14ac:dyDescent="0.35">
      <c r="B73" s="409" t="s">
        <v>16</v>
      </c>
      <c r="C73" s="410"/>
      <c r="D73" s="410"/>
      <c r="E73" s="410"/>
      <c r="F73" s="410"/>
      <c r="G73" s="410"/>
      <c r="H73" s="410"/>
      <c r="I73" s="410"/>
      <c r="J73" s="410"/>
      <c r="K73" s="410"/>
      <c r="L73" s="410"/>
      <c r="M73" s="410"/>
      <c r="N73" s="410"/>
      <c r="O73" s="410"/>
      <c r="P73" s="410"/>
      <c r="Q73" s="410"/>
      <c r="R73" s="410"/>
      <c r="S73" s="410"/>
      <c r="T73" s="410"/>
      <c r="U73" s="410"/>
      <c r="V73" s="410"/>
      <c r="W73" s="411"/>
    </row>
    <row r="74" spans="2:23" x14ac:dyDescent="0.35">
      <c r="B74" s="224" t="s">
        <v>430</v>
      </c>
      <c r="C74" s="53" t="s">
        <v>159</v>
      </c>
      <c r="D74" s="233">
        <v>12.59305</v>
      </c>
      <c r="E74" s="57">
        <f>F74/D74</f>
        <v>1</v>
      </c>
      <c r="F74" s="233">
        <v>12.59305</v>
      </c>
      <c r="G74" s="111">
        <f>H74/F74</f>
        <v>20</v>
      </c>
      <c r="H74" s="56">
        <v>251.86099999999999</v>
      </c>
      <c r="I74" s="75" t="s">
        <v>82</v>
      </c>
      <c r="J74" s="287" t="s">
        <v>82</v>
      </c>
      <c r="K74" s="56">
        <v>0</v>
      </c>
      <c r="L74" s="63" t="s">
        <v>82</v>
      </c>
      <c r="M74" s="56">
        <v>0</v>
      </c>
      <c r="N74" s="63" t="s">
        <v>82</v>
      </c>
      <c r="O74" s="56">
        <v>0</v>
      </c>
      <c r="P74" s="61" t="s">
        <v>82</v>
      </c>
      <c r="Q74" s="61" t="s">
        <v>82</v>
      </c>
      <c r="R74" s="75">
        <v>6391.6381009370834</v>
      </c>
      <c r="S74" s="75">
        <v>218155.25181241214</v>
      </c>
      <c r="T74" s="75">
        <f>R74-S74</f>
        <v>-211763.61371147505</v>
      </c>
      <c r="U74" s="151">
        <f>R74/S74</f>
        <v>2.9298575431194022E-2</v>
      </c>
      <c r="V74" s="241">
        <v>3404</v>
      </c>
      <c r="W74" s="60" t="s">
        <v>157</v>
      </c>
    </row>
    <row r="75" spans="2:23" ht="16.149999999999999" customHeight="1" x14ac:dyDescent="0.35">
      <c r="B75" s="317" t="s">
        <v>428</v>
      </c>
      <c r="C75" s="53" t="s">
        <v>159</v>
      </c>
      <c r="D75" s="391">
        <v>336.66712117490999</v>
      </c>
      <c r="E75" s="57">
        <f>F75/D75</f>
        <v>1</v>
      </c>
      <c r="F75" s="391">
        <v>336.66712117490999</v>
      </c>
      <c r="G75" s="111">
        <f>H75/F75</f>
        <v>17.727323340281139</v>
      </c>
      <c r="H75" s="290">
        <v>5968.2069151092401</v>
      </c>
      <c r="I75" s="392" t="s">
        <v>82</v>
      </c>
      <c r="J75" s="287" t="s">
        <v>82</v>
      </c>
      <c r="K75" s="56">
        <v>11603.008384819699</v>
      </c>
      <c r="L75" s="63">
        <f>M75/K75</f>
        <v>1</v>
      </c>
      <c r="M75" s="56">
        <v>11603.008384819699</v>
      </c>
      <c r="N75" s="57">
        <f>O75/M75</f>
        <v>17.681767256813956</v>
      </c>
      <c r="O75" s="56">
        <v>205161.69373924274</v>
      </c>
      <c r="P75" s="61" t="s">
        <v>82</v>
      </c>
      <c r="Q75" s="61" t="s">
        <v>82</v>
      </c>
      <c r="R75" s="392">
        <v>152306.30641142052</v>
      </c>
      <c r="S75" s="392">
        <v>1078396.9107733998</v>
      </c>
      <c r="T75" s="75">
        <f>R75-S75</f>
        <v>-926090.60436197929</v>
      </c>
      <c r="U75" s="151">
        <f>R75/S75</f>
        <v>0.14123399732496469</v>
      </c>
      <c r="V75" s="393">
        <v>1243</v>
      </c>
      <c r="W75" s="61" t="s">
        <v>157</v>
      </c>
    </row>
    <row r="76" spans="2:23" ht="16.149999999999999" customHeight="1" x14ac:dyDescent="0.35">
      <c r="B76" s="224" t="s">
        <v>429</v>
      </c>
      <c r="C76" s="53" t="s">
        <v>159</v>
      </c>
      <c r="D76" s="233">
        <v>196.17724168346601</v>
      </c>
      <c r="E76" s="57">
        <f>F76/D76</f>
        <v>1</v>
      </c>
      <c r="F76" s="233">
        <v>196.17724168346601</v>
      </c>
      <c r="G76" s="111">
        <f>H76/F76</f>
        <v>16.242709852176073</v>
      </c>
      <c r="H76" s="56">
        <v>3186.4500162647601</v>
      </c>
      <c r="I76" s="75" t="s">
        <v>82</v>
      </c>
      <c r="J76" s="287" t="s">
        <v>82</v>
      </c>
      <c r="K76" s="56">
        <v>12418.33072584</v>
      </c>
      <c r="L76" s="63">
        <f>M76/K76</f>
        <v>1</v>
      </c>
      <c r="M76" s="56">
        <v>12418.33072584</v>
      </c>
      <c r="N76" s="57">
        <f>O76/M76</f>
        <v>14.088985847247624</v>
      </c>
      <c r="O76" s="56">
        <v>174961.68584280007</v>
      </c>
      <c r="P76" s="61" t="s">
        <v>82</v>
      </c>
      <c r="Q76" s="61" t="s">
        <v>82</v>
      </c>
      <c r="R76" s="75">
        <v>100228.21924695883</v>
      </c>
      <c r="S76" s="75">
        <v>3111734.4074141886</v>
      </c>
      <c r="T76" s="75">
        <f>R76-S76</f>
        <v>-3011506.1881672298</v>
      </c>
      <c r="U76" s="151">
        <f>R76/S76</f>
        <v>3.2209760257221692E-2</v>
      </c>
      <c r="V76" s="241">
        <v>1353</v>
      </c>
      <c r="W76" s="61" t="s">
        <v>157</v>
      </c>
    </row>
    <row r="77" spans="2:23" ht="31.5" customHeight="1" x14ac:dyDescent="0.35">
      <c r="B77" s="24" t="s">
        <v>17</v>
      </c>
      <c r="C77" s="24"/>
      <c r="D77" s="65">
        <f>SUM(D74:D76)</f>
        <v>545.43741285837598</v>
      </c>
      <c r="E77" s="238">
        <f>F77/D77</f>
        <v>1</v>
      </c>
      <c r="F77" s="65">
        <f>SUM(F74:F76)</f>
        <v>545.43741285837598</v>
      </c>
      <c r="G77" s="118">
        <f>H77/F77</f>
        <v>17.245824561390005</v>
      </c>
      <c r="H77" s="71">
        <f>SUM(H74:H76)</f>
        <v>9406.5179313740009</v>
      </c>
      <c r="I77" s="67">
        <f>SUM(I74:I76)</f>
        <v>0</v>
      </c>
      <c r="J77" s="88">
        <f t="shared" ref="J77" si="37">-PMT( 0.46%,G77,I77)/(F77*1000)</f>
        <v>0</v>
      </c>
      <c r="K77" s="229">
        <f>SUM(K74:K76)</f>
        <v>24021.339110659697</v>
      </c>
      <c r="L77" s="73">
        <f t="shared" ref="L77" si="38">M77/K77</f>
        <v>1</v>
      </c>
      <c r="M77" s="229">
        <f>SUM(M74:M76)</f>
        <v>24021.339110659697</v>
      </c>
      <c r="N77" s="73">
        <f t="shared" ref="N77:N80" si="39">O77/M77</f>
        <v>15.824404202901388</v>
      </c>
      <c r="O77" s="229">
        <f>SUM(O74:O76)</f>
        <v>380123.37958204281</v>
      </c>
      <c r="P77" s="68" t="s">
        <v>82</v>
      </c>
      <c r="Q77" s="68" t="s">
        <v>82</v>
      </c>
      <c r="R77" s="72">
        <f>SUM(R74:R76)</f>
        <v>258926.16375931643</v>
      </c>
      <c r="S77" s="72">
        <f>SUM(S74:S76)</f>
        <v>4408286.57</v>
      </c>
      <c r="T77" s="72">
        <f>SUM(T71:T76)</f>
        <v>24271244.382499121</v>
      </c>
      <c r="U77" s="73">
        <f t="shared" ref="U77" si="40">R77/S77</f>
        <v>5.8736236777664028E-2</v>
      </c>
      <c r="V77" s="74">
        <f>SUM(V74:V76)</f>
        <v>6000</v>
      </c>
      <c r="W77" s="68" t="s">
        <v>82</v>
      </c>
    </row>
    <row r="78" spans="2:23" ht="16.149999999999999" customHeight="1" x14ac:dyDescent="0.35">
      <c r="B78" s="4" t="s">
        <v>180</v>
      </c>
      <c r="C78" s="4"/>
      <c r="D78" s="235">
        <v>184041.503038266</v>
      </c>
      <c r="E78" s="238">
        <f>F78/D78</f>
        <v>1</v>
      </c>
      <c r="F78" s="234">
        <v>184041.503038266</v>
      </c>
      <c r="G78" s="69">
        <f>H78/F78</f>
        <v>14.999999999999998</v>
      </c>
      <c r="H78" s="235">
        <v>2760622.5455739899</v>
      </c>
      <c r="I78" s="296" t="s">
        <v>82</v>
      </c>
      <c r="J78" s="248" t="s">
        <v>82</v>
      </c>
      <c r="K78" s="71">
        <v>0</v>
      </c>
      <c r="L78" s="246" t="s">
        <v>82</v>
      </c>
      <c r="M78" s="71">
        <v>0</v>
      </c>
      <c r="N78" s="246" t="s">
        <v>82</v>
      </c>
      <c r="O78" s="71">
        <v>0</v>
      </c>
      <c r="P78" s="246" t="s">
        <v>82</v>
      </c>
      <c r="Q78" s="246" t="s">
        <v>82</v>
      </c>
      <c r="R78" s="72">
        <v>130178924.57290387</v>
      </c>
      <c r="S78" s="72">
        <v>62813754</v>
      </c>
      <c r="T78" s="72">
        <f>R78-S78</f>
        <v>67365170.572903872</v>
      </c>
      <c r="U78" s="73">
        <f t="shared" ref="U78" si="41">R78/S78</f>
        <v>2.0724589167669212</v>
      </c>
      <c r="V78" s="235">
        <v>382</v>
      </c>
      <c r="W78" s="67" t="s">
        <v>210</v>
      </c>
    </row>
    <row r="79" spans="2:23" ht="40.5" customHeight="1" x14ac:dyDescent="0.35">
      <c r="B79" s="37" t="s">
        <v>32</v>
      </c>
      <c r="C79" s="37"/>
      <c r="D79" s="89" t="s">
        <v>82</v>
      </c>
      <c r="E79" s="89" t="s">
        <v>82</v>
      </c>
      <c r="F79" s="89" t="s">
        <v>82</v>
      </c>
      <c r="G79" s="89" t="s">
        <v>82</v>
      </c>
      <c r="H79" s="89" t="s">
        <v>82</v>
      </c>
      <c r="I79" s="245">
        <v>42116717</v>
      </c>
      <c r="J79" s="89" t="s">
        <v>82</v>
      </c>
      <c r="K79" s="89" t="s">
        <v>82</v>
      </c>
      <c r="L79" s="89" t="s">
        <v>82</v>
      </c>
      <c r="M79" s="89" t="s">
        <v>82</v>
      </c>
      <c r="N79" s="89" t="s">
        <v>82</v>
      </c>
      <c r="O79" s="89" t="s">
        <v>82</v>
      </c>
      <c r="P79" s="89" t="s">
        <v>82</v>
      </c>
      <c r="Q79" s="89" t="s">
        <v>82</v>
      </c>
      <c r="R79" s="89" t="s">
        <v>82</v>
      </c>
      <c r="S79" s="89">
        <v>45718247.5</v>
      </c>
      <c r="T79" s="89" t="s">
        <v>82</v>
      </c>
      <c r="U79" s="89" t="s">
        <v>82</v>
      </c>
      <c r="V79" s="89" t="s">
        <v>82</v>
      </c>
      <c r="W79" s="89" t="s">
        <v>82</v>
      </c>
    </row>
    <row r="80" spans="2:23" ht="31.5" customHeight="1" x14ac:dyDescent="0.35">
      <c r="B80" s="30" t="s">
        <v>94</v>
      </c>
      <c r="C80" s="30"/>
      <c r="D80" s="79">
        <f>SUM(D35,D49,D60,D72,D77,D78,D79)</f>
        <v>1964929.8639010969</v>
      </c>
      <c r="E80" s="80">
        <f>F80/D80</f>
        <v>0.86518579797013895</v>
      </c>
      <c r="F80" s="79">
        <f>SUM(F35,F49,F60,F72,F77,F78,F79)</f>
        <v>1700029.4122546271</v>
      </c>
      <c r="G80" s="80">
        <f>H80/F80</f>
        <v>9.9376003438317344</v>
      </c>
      <c r="H80" s="79">
        <f>SUM(H35,H49,H60,H72,H77,H78,H79)</f>
        <v>16894212.871745642</v>
      </c>
      <c r="I80" s="90">
        <f>SUM(I35,I49,I60,I72,I77,I78,I79)</f>
        <v>351381798.25999999</v>
      </c>
      <c r="J80" s="236">
        <f t="shared" ref="J80" si="42">-PMT( 0.46%,G80,I80)/F80*1000</f>
        <v>21325.749789272922</v>
      </c>
      <c r="K80" s="79">
        <f>SUM(K35,K49,K60,K72,K77,K78,K79)</f>
        <v>7612287.4576044651</v>
      </c>
      <c r="L80" s="230">
        <f>M80/K80</f>
        <v>0.95614146745043094</v>
      </c>
      <c r="M80" s="401">
        <f>SUM(M35,M49,M60,M72,M77,M78,M79)</f>
        <v>7278423.7003684435</v>
      </c>
      <c r="N80" s="230">
        <f t="shared" si="39"/>
        <v>11.761570766987177</v>
      </c>
      <c r="O80" s="79">
        <f>SUM(O35,O49,O60,O72,O77,O78,O79)</f>
        <v>85605695.424000114</v>
      </c>
      <c r="P80" s="82" t="s">
        <v>82</v>
      </c>
      <c r="Q80" s="82" t="s">
        <v>82</v>
      </c>
      <c r="R80" s="81">
        <v>719861474.6063211</v>
      </c>
      <c r="S80" s="81">
        <f>SUM(S77:S79,S72,S60,S49,S35)</f>
        <v>542103014.78299141</v>
      </c>
      <c r="T80" s="81">
        <f t="shared" ref="T80" si="43">R80-S80</f>
        <v>177758459.82332969</v>
      </c>
      <c r="U80" s="80">
        <f t="shared" ref="U80" si="44">R80/S80</f>
        <v>1.3279053149971651</v>
      </c>
      <c r="V80" s="79">
        <f>SUM(V35,V49,V60,V72,V77,V78,V79)</f>
        <v>12616618</v>
      </c>
      <c r="W80" s="82" t="s">
        <v>82</v>
      </c>
    </row>
    <row r="81" spans="2:13" s="22" customFormat="1" ht="15" customHeight="1" x14ac:dyDescent="0.35">
      <c r="B81" s="26"/>
      <c r="C81" s="26"/>
      <c r="D81" s="11"/>
      <c r="E81" s="11"/>
      <c r="F81" s="12"/>
      <c r="G81" s="12"/>
      <c r="H81" s="12"/>
      <c r="I81" s="12"/>
      <c r="J81" s="12"/>
      <c r="K81" s="12"/>
      <c r="L81" s="12"/>
    </row>
    <row r="82" spans="2:13" x14ac:dyDescent="0.35">
      <c r="B82" s="344" t="s">
        <v>3</v>
      </c>
      <c r="C82" s="385"/>
      <c r="D82" s="385"/>
      <c r="E82" s="385"/>
      <c r="F82" s="385"/>
      <c r="G82" s="385"/>
      <c r="H82" s="385"/>
      <c r="I82" s="385"/>
      <c r="J82" s="385"/>
      <c r="K82" s="385"/>
      <c r="L82" s="385"/>
      <c r="M82" s="42"/>
    </row>
    <row r="83" spans="2:13" x14ac:dyDescent="0.35">
      <c r="B83" s="385" t="s">
        <v>445</v>
      </c>
      <c r="C83" s="385"/>
      <c r="D83" s="385"/>
      <c r="E83" s="385"/>
      <c r="F83" s="385"/>
      <c r="G83" s="385"/>
      <c r="H83" s="385"/>
      <c r="I83" s="385"/>
      <c r="J83" s="385"/>
      <c r="K83" s="385"/>
      <c r="L83" s="385"/>
      <c r="M83" s="42"/>
    </row>
    <row r="84" spans="2:13" x14ac:dyDescent="0.35">
      <c r="B84" s="402" t="s">
        <v>448</v>
      </c>
      <c r="C84" s="402"/>
      <c r="D84" s="402"/>
      <c r="E84" s="402"/>
      <c r="F84" s="402"/>
      <c r="G84" s="402"/>
      <c r="H84" s="402"/>
      <c r="I84" s="402"/>
      <c r="J84" s="402"/>
      <c r="K84" s="402"/>
      <c r="L84" s="402"/>
      <c r="M84" s="42"/>
    </row>
    <row r="86" spans="2:13" x14ac:dyDescent="0.35">
      <c r="B86" s="45" t="s">
        <v>48</v>
      </c>
    </row>
    <row r="87" spans="2:13" x14ac:dyDescent="0.35">
      <c r="B87" s="7" t="s">
        <v>276</v>
      </c>
    </row>
    <row r="88" spans="2:13" x14ac:dyDescent="0.35">
      <c r="B88" s="342" t="s">
        <v>275</v>
      </c>
    </row>
    <row r="89" spans="2:13" x14ac:dyDescent="0.35">
      <c r="B89" s="342" t="s">
        <v>307</v>
      </c>
    </row>
    <row r="90" spans="2:13" x14ac:dyDescent="0.35">
      <c r="B90" s="403" t="s">
        <v>447</v>
      </c>
    </row>
  </sheetData>
  <mergeCells count="8">
    <mergeCell ref="B61:W61"/>
    <mergeCell ref="B73:W73"/>
    <mergeCell ref="B5:L6"/>
    <mergeCell ref="B8:L15"/>
    <mergeCell ref="B19:W19"/>
    <mergeCell ref="B21:W21"/>
    <mergeCell ref="B38:W38"/>
    <mergeCell ref="B50:W50"/>
  </mergeCells>
  <hyperlinks>
    <hyperlink ref="B90" r:id="rId1" location="comed" xr:uid="{4FA3661B-18E2-432C-9B88-4FA8806B3F94}"/>
  </hyperlinks>
  <printOptions horizontalCentered="1" headings="1"/>
  <pageMargins left="0.5" right="0.5" top="1.25" bottom="1" header="0.5" footer="0.5"/>
  <pageSetup scale="24" orientation="landscape" r:id="rId2"/>
  <headerFooter scaleWithDoc="0">
    <oddHeader>&amp;R&amp;"Arial,Bold"ICC Dkt. No. 17-0312
2019 Statewide Annual Report Template
Tab:  &amp;A</oddHead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D37E-AE44-4D95-9CA6-7A9DAD7C48FF}">
  <sheetPr>
    <pageSetUpPr fitToPage="1"/>
  </sheetPr>
  <dimension ref="B1:W68"/>
  <sheetViews>
    <sheetView topLeftCell="A19" zoomScale="80" zoomScaleNormal="80" workbookViewId="0">
      <selection activeCell="C34" sqref="C34"/>
    </sheetView>
  </sheetViews>
  <sheetFormatPr defaultRowHeight="14.5" x14ac:dyDescent="0.35"/>
  <cols>
    <col min="1" max="1" width="2.7265625" customWidth="1"/>
    <col min="2" max="2" width="36.7265625" customWidth="1"/>
    <col min="3" max="3" width="20.7265625" customWidth="1"/>
    <col min="4" max="4" width="17.26953125" customWidth="1"/>
    <col min="5" max="5" width="15.26953125" customWidth="1"/>
    <col min="6" max="6" width="16" customWidth="1"/>
    <col min="7" max="7" width="15" customWidth="1"/>
    <col min="8" max="9" width="12.453125" customWidth="1"/>
    <col min="10" max="10" width="15.453125" customWidth="1"/>
    <col min="11" max="11" width="17" customWidth="1"/>
    <col min="12" max="12" width="14.453125" customWidth="1"/>
    <col min="13" max="13" width="15" customWidth="1"/>
    <col min="14" max="14" width="14" customWidth="1"/>
    <col min="15" max="15" width="12" customWidth="1"/>
    <col min="16" max="16" width="14.26953125" customWidth="1"/>
    <col min="17" max="17" width="17" customWidth="1"/>
    <col min="18" max="23" width="14.26953125" customWidth="1"/>
  </cols>
  <sheetData>
    <row r="1" spans="2:12" x14ac:dyDescent="0.35">
      <c r="B1" s="6" t="s">
        <v>27</v>
      </c>
      <c r="C1" s="6"/>
      <c r="D1" s="6"/>
      <c r="E1" s="6"/>
    </row>
    <row r="2" spans="2:12" x14ac:dyDescent="0.35">
      <c r="B2" s="6" t="s">
        <v>29</v>
      </c>
      <c r="C2" s="6"/>
      <c r="D2" s="6"/>
      <c r="E2" s="6"/>
    </row>
    <row r="3" spans="2:12" x14ac:dyDescent="0.35">
      <c r="B3" s="6" t="s">
        <v>77</v>
      </c>
      <c r="C3" s="6"/>
      <c r="D3" s="6"/>
      <c r="E3" s="6"/>
    </row>
    <row r="4" spans="2:12" x14ac:dyDescent="0.35">
      <c r="B4" s="6"/>
      <c r="C4" s="6"/>
      <c r="D4" s="6"/>
      <c r="E4" s="6"/>
    </row>
    <row r="5" spans="2:12" ht="32.15" customHeight="1" x14ac:dyDescent="0.35">
      <c r="B5" s="412" t="s">
        <v>78</v>
      </c>
      <c r="C5" s="412"/>
      <c r="D5" s="412"/>
      <c r="E5" s="412"/>
      <c r="F5" s="412"/>
      <c r="G5" s="412"/>
      <c r="H5" s="412"/>
      <c r="I5" s="412"/>
      <c r="J5" s="412"/>
      <c r="K5" s="412"/>
      <c r="L5" s="412"/>
    </row>
    <row r="6" spans="2:12" ht="30" customHeight="1" x14ac:dyDescent="0.35">
      <c r="B6" s="412"/>
      <c r="C6" s="412"/>
      <c r="D6" s="412"/>
      <c r="E6" s="412"/>
      <c r="F6" s="412"/>
      <c r="G6" s="412"/>
      <c r="H6" s="412"/>
      <c r="I6" s="412"/>
      <c r="J6" s="412"/>
      <c r="K6" s="412"/>
      <c r="L6" s="412"/>
    </row>
    <row r="7" spans="2:12"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109.5" customHeight="1" x14ac:dyDescent="0.35">
      <c r="B15" s="419"/>
      <c r="C15" s="420"/>
      <c r="D15" s="420"/>
      <c r="E15" s="420"/>
      <c r="F15" s="420"/>
      <c r="G15" s="420"/>
      <c r="H15" s="420"/>
      <c r="I15" s="420"/>
      <c r="J15" s="420"/>
      <c r="K15" s="420"/>
      <c r="L15" s="421"/>
    </row>
    <row r="16" spans="2:12" ht="17.649999999999999"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6.399999999999999" customHeight="1" x14ac:dyDescent="0.35">
      <c r="B18" s="21"/>
      <c r="C18" s="21"/>
      <c r="D18" s="21"/>
      <c r="E18" s="21"/>
      <c r="F18" s="21"/>
      <c r="G18" s="21"/>
      <c r="H18" s="21"/>
      <c r="I18" s="21"/>
      <c r="J18" s="21"/>
      <c r="K18" s="21"/>
      <c r="L18" s="21"/>
    </row>
    <row r="19" spans="2:23" ht="20.149999999999999" customHeight="1" x14ac:dyDescent="0.35">
      <c r="B19" s="422" t="s">
        <v>30</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0</v>
      </c>
      <c r="C22" s="2"/>
      <c r="D22" s="15"/>
      <c r="E22" s="15"/>
      <c r="F22" s="1"/>
      <c r="G22" s="1"/>
      <c r="H22" s="1"/>
      <c r="I22" s="1"/>
      <c r="J22" s="60" t="e">
        <f>-PMT( 0.46%,G22,I22)/F22*1000</f>
        <v>#NUM!</v>
      </c>
      <c r="K22" s="61" t="s">
        <v>82</v>
      </c>
      <c r="L22" s="61" t="s">
        <v>82</v>
      </c>
      <c r="M22" s="61" t="s">
        <v>82</v>
      </c>
      <c r="N22" s="61" t="s">
        <v>82</v>
      </c>
      <c r="O22" s="61" t="s">
        <v>82</v>
      </c>
      <c r="P22" s="61" t="s">
        <v>82</v>
      </c>
      <c r="Q22" s="61" t="s">
        <v>82</v>
      </c>
      <c r="R22" s="75"/>
      <c r="S22" s="75"/>
      <c r="T22" s="76"/>
      <c r="U22" s="55" t="e">
        <f>R22/S22</f>
        <v>#DIV/0!</v>
      </c>
      <c r="V22" s="1"/>
      <c r="W22" s="1"/>
    </row>
    <row r="23" spans="2:23" x14ac:dyDescent="0.35">
      <c r="B23" s="2" t="s">
        <v>0</v>
      </c>
      <c r="C23" s="2"/>
      <c r="D23" s="2"/>
      <c r="E23" s="2"/>
      <c r="F23" s="1"/>
      <c r="G23" s="1"/>
      <c r="H23" s="1"/>
      <c r="I23" s="1"/>
      <c r="J23" s="60" t="e">
        <f t="shared" ref="J23:J29" si="0">-PMT( 0.46%,G23,I23)/F23*1000</f>
        <v>#NUM!</v>
      </c>
      <c r="K23" s="61" t="s">
        <v>82</v>
      </c>
      <c r="L23" s="61" t="s">
        <v>82</v>
      </c>
      <c r="M23" s="61" t="s">
        <v>82</v>
      </c>
      <c r="N23" s="61" t="s">
        <v>82</v>
      </c>
      <c r="O23" s="61" t="s">
        <v>82</v>
      </c>
      <c r="P23" s="61" t="s">
        <v>82</v>
      </c>
      <c r="Q23" s="61" t="s">
        <v>82</v>
      </c>
      <c r="R23" s="75"/>
      <c r="S23" s="75"/>
      <c r="T23" s="77"/>
      <c r="U23" s="55" t="e">
        <f t="shared" ref="U23:U30" si="1">R23/S23</f>
        <v>#DIV/0!</v>
      </c>
      <c r="V23" s="1"/>
      <c r="W23" s="1"/>
    </row>
    <row r="24" spans="2:23" x14ac:dyDescent="0.35">
      <c r="B24" s="2" t="s">
        <v>0</v>
      </c>
      <c r="C24" s="2"/>
      <c r="D24" s="2"/>
      <c r="E24" s="2"/>
      <c r="F24" s="1"/>
      <c r="G24" s="1"/>
      <c r="H24" s="1"/>
      <c r="I24" s="1"/>
      <c r="J24" s="60" t="e">
        <f t="shared" si="0"/>
        <v>#NUM!</v>
      </c>
      <c r="K24" s="61" t="s">
        <v>82</v>
      </c>
      <c r="L24" s="61" t="s">
        <v>82</v>
      </c>
      <c r="M24" s="61" t="s">
        <v>82</v>
      </c>
      <c r="N24" s="61" t="s">
        <v>82</v>
      </c>
      <c r="O24" s="61" t="s">
        <v>82</v>
      </c>
      <c r="P24" s="61" t="s">
        <v>82</v>
      </c>
      <c r="Q24" s="61" t="s">
        <v>82</v>
      </c>
      <c r="R24" s="75"/>
      <c r="S24" s="75"/>
      <c r="T24" s="77"/>
      <c r="U24" s="55" t="e">
        <f t="shared" si="1"/>
        <v>#DIV/0!</v>
      </c>
      <c r="V24" s="1"/>
      <c r="W24" s="1"/>
    </row>
    <row r="25" spans="2:23" x14ac:dyDescent="0.35">
      <c r="B25" s="2" t="s">
        <v>0</v>
      </c>
      <c r="C25" s="2"/>
      <c r="D25" s="2"/>
      <c r="E25" s="2"/>
      <c r="F25" s="1"/>
      <c r="G25" s="1"/>
      <c r="H25" s="1"/>
      <c r="I25" s="1"/>
      <c r="J25" s="60" t="e">
        <f t="shared" si="0"/>
        <v>#NUM!</v>
      </c>
      <c r="K25" s="61" t="s">
        <v>82</v>
      </c>
      <c r="L25" s="61" t="s">
        <v>82</v>
      </c>
      <c r="M25" s="61" t="s">
        <v>82</v>
      </c>
      <c r="N25" s="61" t="s">
        <v>82</v>
      </c>
      <c r="O25" s="61" t="s">
        <v>82</v>
      </c>
      <c r="P25" s="61" t="s">
        <v>82</v>
      </c>
      <c r="Q25" s="61" t="s">
        <v>82</v>
      </c>
      <c r="R25" s="75"/>
      <c r="S25" s="75"/>
      <c r="T25" s="77"/>
      <c r="U25" s="55" t="e">
        <f t="shared" si="1"/>
        <v>#DIV/0!</v>
      </c>
      <c r="V25" s="1"/>
      <c r="W25" s="1"/>
    </row>
    <row r="26" spans="2:23" x14ac:dyDescent="0.35">
      <c r="B26" s="2" t="s">
        <v>0</v>
      </c>
      <c r="C26" s="2"/>
      <c r="D26" s="2"/>
      <c r="E26" s="2"/>
      <c r="F26" s="1"/>
      <c r="G26" s="1"/>
      <c r="H26" s="1"/>
      <c r="I26" s="1"/>
      <c r="J26" s="60" t="e">
        <f t="shared" si="0"/>
        <v>#NUM!</v>
      </c>
      <c r="K26" s="61" t="s">
        <v>82</v>
      </c>
      <c r="L26" s="61" t="s">
        <v>82</v>
      </c>
      <c r="M26" s="61" t="s">
        <v>82</v>
      </c>
      <c r="N26" s="61" t="s">
        <v>82</v>
      </c>
      <c r="O26" s="61" t="s">
        <v>82</v>
      </c>
      <c r="P26" s="61" t="s">
        <v>82</v>
      </c>
      <c r="Q26" s="61" t="s">
        <v>82</v>
      </c>
      <c r="R26" s="75"/>
      <c r="S26" s="75"/>
      <c r="T26" s="77"/>
      <c r="U26" s="55" t="e">
        <f t="shared" si="1"/>
        <v>#DIV/0!</v>
      </c>
      <c r="V26" s="1"/>
      <c r="W26" s="1"/>
    </row>
    <row r="27" spans="2:23" x14ac:dyDescent="0.35">
      <c r="B27" s="2" t="s">
        <v>0</v>
      </c>
      <c r="C27" s="2"/>
      <c r="D27" s="2"/>
      <c r="E27" s="2"/>
      <c r="F27" s="3"/>
      <c r="G27" s="3"/>
      <c r="H27" s="3"/>
      <c r="I27" s="3"/>
      <c r="J27" s="60" t="e">
        <f t="shared" si="0"/>
        <v>#NUM!</v>
      </c>
      <c r="K27" s="61" t="s">
        <v>82</v>
      </c>
      <c r="L27" s="61" t="s">
        <v>82</v>
      </c>
      <c r="M27" s="61" t="s">
        <v>82</v>
      </c>
      <c r="N27" s="61" t="s">
        <v>82</v>
      </c>
      <c r="O27" s="61" t="s">
        <v>82</v>
      </c>
      <c r="P27" s="61" t="s">
        <v>82</v>
      </c>
      <c r="Q27" s="61" t="s">
        <v>82</v>
      </c>
      <c r="R27" s="78"/>
      <c r="S27" s="78"/>
      <c r="T27" s="77"/>
      <c r="U27" s="55" t="e">
        <f t="shared" si="1"/>
        <v>#DIV/0!</v>
      </c>
      <c r="V27" s="3"/>
      <c r="W27" s="3"/>
    </row>
    <row r="28" spans="2:23" x14ac:dyDescent="0.35">
      <c r="B28" s="2" t="s">
        <v>0</v>
      </c>
      <c r="C28" s="2"/>
      <c r="D28" s="2"/>
      <c r="E28" s="2"/>
      <c r="F28" s="3"/>
      <c r="G28" s="3"/>
      <c r="H28" s="3"/>
      <c r="I28" s="3"/>
      <c r="J28" s="60" t="e">
        <f t="shared" si="0"/>
        <v>#NUM!</v>
      </c>
      <c r="K28" s="61" t="s">
        <v>82</v>
      </c>
      <c r="L28" s="61" t="s">
        <v>82</v>
      </c>
      <c r="M28" s="61" t="s">
        <v>82</v>
      </c>
      <c r="N28" s="61" t="s">
        <v>82</v>
      </c>
      <c r="O28" s="61" t="s">
        <v>82</v>
      </c>
      <c r="P28" s="61" t="s">
        <v>82</v>
      </c>
      <c r="Q28" s="61" t="s">
        <v>82</v>
      </c>
      <c r="R28" s="78"/>
      <c r="S28" s="78"/>
      <c r="T28" s="77"/>
      <c r="U28" s="55" t="e">
        <f t="shared" si="1"/>
        <v>#DIV/0!</v>
      </c>
      <c r="V28" s="3"/>
      <c r="W28" s="3"/>
    </row>
    <row r="29" spans="2:23" x14ac:dyDescent="0.35">
      <c r="B29" s="2" t="s">
        <v>0</v>
      </c>
      <c r="C29" s="2"/>
      <c r="D29" s="2"/>
      <c r="E29" s="2"/>
      <c r="F29" s="3"/>
      <c r="G29" s="3"/>
      <c r="H29" s="3"/>
      <c r="I29" s="3"/>
      <c r="J29" s="60" t="e">
        <f t="shared" si="0"/>
        <v>#NUM!</v>
      </c>
      <c r="K29" s="61" t="s">
        <v>82</v>
      </c>
      <c r="L29" s="61" t="s">
        <v>82</v>
      </c>
      <c r="M29" s="61" t="s">
        <v>82</v>
      </c>
      <c r="N29" s="61" t="s">
        <v>82</v>
      </c>
      <c r="O29" s="61" t="s">
        <v>82</v>
      </c>
      <c r="P29" s="61" t="s">
        <v>82</v>
      </c>
      <c r="Q29" s="61" t="s">
        <v>82</v>
      </c>
      <c r="R29" s="78"/>
      <c r="S29" s="78"/>
      <c r="T29" s="77"/>
      <c r="U29" s="55" t="e">
        <f t="shared" si="1"/>
        <v>#DIV/0!</v>
      </c>
      <c r="V29" s="3"/>
      <c r="W29" s="3"/>
    </row>
    <row r="30" spans="2:23" x14ac:dyDescent="0.35">
      <c r="B30" s="4" t="s">
        <v>7</v>
      </c>
      <c r="C30" s="4"/>
      <c r="D30" s="65">
        <f>SUM(D22:D29)</f>
        <v>0</v>
      </c>
      <c r="E30" s="69" t="e">
        <f>F30/D30</f>
        <v>#DIV/0!</v>
      </c>
      <c r="F30" s="65">
        <f>SUM(F22:F29)</f>
        <v>0</v>
      </c>
      <c r="G30" s="70" t="e">
        <f>H30/F30</f>
        <v>#DIV/0!</v>
      </c>
      <c r="H30" s="65">
        <f>SUM(H22:H29)</f>
        <v>0</v>
      </c>
      <c r="I30" s="67">
        <f>SUM(I22:I29)</f>
        <v>0</v>
      </c>
      <c r="J30" s="88" t="e">
        <f>-PMT( 0.46%,G30,I30)/F30*1000</f>
        <v>#DIV/0!</v>
      </c>
      <c r="K30" s="68" t="s">
        <v>82</v>
      </c>
      <c r="L30" s="68" t="s">
        <v>82</v>
      </c>
      <c r="M30" s="68" t="s">
        <v>82</v>
      </c>
      <c r="N30" s="68" t="s">
        <v>82</v>
      </c>
      <c r="O30" s="68" t="s">
        <v>82</v>
      </c>
      <c r="P30" s="68" t="s">
        <v>82</v>
      </c>
      <c r="Q30" s="68" t="s">
        <v>82</v>
      </c>
      <c r="R30" s="72">
        <f>SUM(R22:R29)</f>
        <v>0</v>
      </c>
      <c r="S30" s="72">
        <f t="shared" ref="S30:T30" si="2">SUM(S22:S29)</f>
        <v>0</v>
      </c>
      <c r="T30" s="72">
        <f t="shared" si="2"/>
        <v>0</v>
      </c>
      <c r="U30" s="73" t="e">
        <f t="shared" si="1"/>
        <v>#DIV/0!</v>
      </c>
      <c r="V30" s="74">
        <f>SUM(V22:V29)</f>
        <v>0</v>
      </c>
      <c r="W30" s="68" t="s">
        <v>82</v>
      </c>
    </row>
    <row r="31" spans="2:23" x14ac:dyDescent="0.35">
      <c r="B31" s="31" t="s">
        <v>14</v>
      </c>
      <c r="C31" s="31"/>
      <c r="D31" s="28"/>
      <c r="E31" s="28"/>
      <c r="F31" s="29"/>
      <c r="G31" s="29"/>
      <c r="H31" s="29"/>
      <c r="I31" s="29"/>
      <c r="J31" s="29"/>
      <c r="K31" s="28"/>
      <c r="L31" s="28"/>
      <c r="M31" s="29"/>
      <c r="N31" s="29"/>
      <c r="O31" s="29"/>
      <c r="P31" s="28"/>
      <c r="Q31" s="28"/>
      <c r="R31" s="29"/>
      <c r="S31" s="29"/>
      <c r="T31" s="28"/>
      <c r="U31" s="28"/>
      <c r="V31" s="29"/>
      <c r="W31" s="29"/>
    </row>
    <row r="32" spans="2:23" x14ac:dyDescent="0.35">
      <c r="B32" s="31" t="s">
        <v>15</v>
      </c>
      <c r="C32" s="31"/>
      <c r="D32" s="28"/>
      <c r="E32" s="28"/>
      <c r="F32" s="29"/>
      <c r="G32" s="29"/>
      <c r="H32" s="29"/>
      <c r="I32" s="29"/>
      <c r="J32" s="29"/>
      <c r="K32" s="28"/>
      <c r="L32" s="28"/>
      <c r="M32" s="29"/>
      <c r="N32" s="29"/>
      <c r="O32" s="29"/>
      <c r="P32" s="28"/>
      <c r="Q32" s="28"/>
      <c r="R32" s="29"/>
      <c r="S32" s="29"/>
      <c r="T32" s="28"/>
      <c r="U32" s="28"/>
      <c r="V32" s="29"/>
      <c r="W32" s="29"/>
    </row>
    <row r="33" spans="2:23" ht="15.65" customHeight="1" x14ac:dyDescent="0.35">
      <c r="B33" s="409" t="s">
        <v>1</v>
      </c>
      <c r="C33" s="410"/>
      <c r="D33" s="410"/>
      <c r="E33" s="410"/>
      <c r="F33" s="410"/>
      <c r="G33" s="410"/>
      <c r="H33" s="410"/>
      <c r="I33" s="410"/>
      <c r="J33" s="410"/>
      <c r="K33" s="410"/>
      <c r="L33" s="410"/>
      <c r="M33" s="410"/>
      <c r="N33" s="410"/>
      <c r="O33" s="410"/>
      <c r="P33" s="410"/>
      <c r="Q33" s="410"/>
      <c r="R33" s="410"/>
      <c r="S33" s="410"/>
      <c r="T33" s="410"/>
      <c r="U33" s="410"/>
      <c r="V33" s="410"/>
      <c r="W33" s="411"/>
    </row>
    <row r="34" spans="2:23" x14ac:dyDescent="0.35">
      <c r="B34" s="2" t="s">
        <v>0</v>
      </c>
      <c r="C34" s="2"/>
      <c r="D34" s="2"/>
      <c r="E34" s="2"/>
      <c r="F34" s="3"/>
      <c r="G34" s="3"/>
      <c r="H34" s="3"/>
      <c r="I34" s="3"/>
      <c r="J34" s="60" t="e">
        <f t="shared" ref="J34:J65" si="3">-PMT( 0.46%,G34,I34)/F34*1000</f>
        <v>#NUM!</v>
      </c>
      <c r="K34" s="61" t="s">
        <v>82</v>
      </c>
      <c r="L34" s="61" t="s">
        <v>82</v>
      </c>
      <c r="M34" s="61" t="s">
        <v>82</v>
      </c>
      <c r="N34" s="61" t="s">
        <v>82</v>
      </c>
      <c r="O34" s="61" t="s">
        <v>82</v>
      </c>
      <c r="P34" s="61" t="s">
        <v>82</v>
      </c>
      <c r="Q34" s="61" t="s">
        <v>82</v>
      </c>
      <c r="R34" s="3"/>
      <c r="S34" s="3"/>
      <c r="T34" s="2"/>
      <c r="U34" s="55" t="e">
        <f>R34/S34</f>
        <v>#DIV/0!</v>
      </c>
      <c r="V34" s="3"/>
      <c r="W34" s="3"/>
    </row>
    <row r="35" spans="2:23" x14ac:dyDescent="0.35">
      <c r="B35" s="2" t="s">
        <v>0</v>
      </c>
      <c r="C35" s="2"/>
      <c r="D35" s="2"/>
      <c r="E35" s="2"/>
      <c r="F35" s="3"/>
      <c r="G35" s="3"/>
      <c r="H35" s="3"/>
      <c r="I35" s="3"/>
      <c r="J35" s="60" t="e">
        <f t="shared" si="3"/>
        <v>#NUM!</v>
      </c>
      <c r="K35" s="61" t="s">
        <v>82</v>
      </c>
      <c r="L35" s="61" t="s">
        <v>82</v>
      </c>
      <c r="M35" s="61" t="s">
        <v>82</v>
      </c>
      <c r="N35" s="61" t="s">
        <v>82</v>
      </c>
      <c r="O35" s="61" t="s">
        <v>82</v>
      </c>
      <c r="P35" s="61" t="s">
        <v>82</v>
      </c>
      <c r="Q35" s="61" t="s">
        <v>82</v>
      </c>
      <c r="R35" s="3"/>
      <c r="S35" s="3"/>
      <c r="T35" s="2"/>
      <c r="U35" s="55" t="e">
        <f t="shared" ref="U35:U43" si="4">R35/S35</f>
        <v>#DIV/0!</v>
      </c>
      <c r="V35" s="3"/>
      <c r="W35" s="3"/>
    </row>
    <row r="36" spans="2:23" x14ac:dyDescent="0.35">
      <c r="B36" s="2" t="s">
        <v>0</v>
      </c>
      <c r="C36" s="2"/>
      <c r="D36" s="2"/>
      <c r="E36" s="2"/>
      <c r="F36" s="3"/>
      <c r="G36" s="3"/>
      <c r="H36" s="3"/>
      <c r="I36" s="3"/>
      <c r="J36" s="60" t="e">
        <f t="shared" si="3"/>
        <v>#NUM!</v>
      </c>
      <c r="K36" s="61" t="s">
        <v>82</v>
      </c>
      <c r="L36" s="61" t="s">
        <v>82</v>
      </c>
      <c r="M36" s="61" t="s">
        <v>82</v>
      </c>
      <c r="N36" s="61" t="s">
        <v>82</v>
      </c>
      <c r="O36" s="61" t="s">
        <v>82</v>
      </c>
      <c r="P36" s="61" t="s">
        <v>82</v>
      </c>
      <c r="Q36" s="61" t="s">
        <v>82</v>
      </c>
      <c r="R36" s="3"/>
      <c r="S36" s="3"/>
      <c r="T36" s="2"/>
      <c r="U36" s="55" t="e">
        <f t="shared" si="4"/>
        <v>#DIV/0!</v>
      </c>
      <c r="V36" s="3"/>
      <c r="W36" s="3"/>
    </row>
    <row r="37" spans="2:23" x14ac:dyDescent="0.35">
      <c r="B37" s="2" t="s">
        <v>0</v>
      </c>
      <c r="C37" s="2"/>
      <c r="D37" s="2"/>
      <c r="E37" s="2"/>
      <c r="F37" s="3"/>
      <c r="G37" s="3"/>
      <c r="H37" s="3"/>
      <c r="I37" s="3"/>
      <c r="J37" s="60" t="e">
        <f t="shared" si="3"/>
        <v>#NUM!</v>
      </c>
      <c r="K37" s="61" t="s">
        <v>82</v>
      </c>
      <c r="L37" s="61" t="s">
        <v>82</v>
      </c>
      <c r="M37" s="61" t="s">
        <v>82</v>
      </c>
      <c r="N37" s="61" t="s">
        <v>82</v>
      </c>
      <c r="O37" s="61" t="s">
        <v>82</v>
      </c>
      <c r="P37" s="61" t="s">
        <v>82</v>
      </c>
      <c r="Q37" s="61" t="s">
        <v>82</v>
      </c>
      <c r="R37" s="3"/>
      <c r="S37" s="3"/>
      <c r="T37" s="2"/>
      <c r="U37" s="55" t="e">
        <f t="shared" si="4"/>
        <v>#DIV/0!</v>
      </c>
      <c r="V37" s="3"/>
      <c r="W37" s="3"/>
    </row>
    <row r="38" spans="2:23" x14ac:dyDescent="0.35">
      <c r="B38" s="2" t="s">
        <v>0</v>
      </c>
      <c r="C38" s="2"/>
      <c r="D38" s="2"/>
      <c r="E38" s="2"/>
      <c r="F38" s="3"/>
      <c r="G38" s="3"/>
      <c r="H38" s="3"/>
      <c r="I38" s="3"/>
      <c r="J38" s="60" t="e">
        <f t="shared" si="3"/>
        <v>#NUM!</v>
      </c>
      <c r="K38" s="61" t="s">
        <v>82</v>
      </c>
      <c r="L38" s="61" t="s">
        <v>82</v>
      </c>
      <c r="M38" s="61" t="s">
        <v>82</v>
      </c>
      <c r="N38" s="61" t="s">
        <v>82</v>
      </c>
      <c r="O38" s="61" t="s">
        <v>82</v>
      </c>
      <c r="P38" s="61" t="s">
        <v>82</v>
      </c>
      <c r="Q38" s="61" t="s">
        <v>82</v>
      </c>
      <c r="R38" s="3"/>
      <c r="S38" s="3"/>
      <c r="T38" s="2"/>
      <c r="U38" s="55" t="e">
        <f t="shared" si="4"/>
        <v>#DIV/0!</v>
      </c>
      <c r="V38" s="3"/>
      <c r="W38" s="3"/>
    </row>
    <row r="39" spans="2:23" x14ac:dyDescent="0.35">
      <c r="B39" s="2" t="s">
        <v>0</v>
      </c>
      <c r="C39" s="2"/>
      <c r="D39" s="2"/>
      <c r="E39" s="2"/>
      <c r="F39" s="3"/>
      <c r="G39" s="3"/>
      <c r="H39" s="3"/>
      <c r="I39" s="3"/>
      <c r="J39" s="60" t="e">
        <f t="shared" si="3"/>
        <v>#NUM!</v>
      </c>
      <c r="K39" s="61" t="s">
        <v>82</v>
      </c>
      <c r="L39" s="61" t="s">
        <v>82</v>
      </c>
      <c r="M39" s="61" t="s">
        <v>82</v>
      </c>
      <c r="N39" s="61" t="s">
        <v>82</v>
      </c>
      <c r="O39" s="61" t="s">
        <v>82</v>
      </c>
      <c r="P39" s="61" t="s">
        <v>82</v>
      </c>
      <c r="Q39" s="61" t="s">
        <v>82</v>
      </c>
      <c r="R39" s="3"/>
      <c r="S39" s="3"/>
      <c r="T39" s="2"/>
      <c r="U39" s="55" t="e">
        <f t="shared" si="4"/>
        <v>#DIV/0!</v>
      </c>
      <c r="V39" s="3"/>
      <c r="W39" s="3"/>
    </row>
    <row r="40" spans="2:23" x14ac:dyDescent="0.35">
      <c r="B40" s="2" t="s">
        <v>0</v>
      </c>
      <c r="C40" s="2"/>
      <c r="D40" s="2"/>
      <c r="E40" s="2"/>
      <c r="F40" s="3"/>
      <c r="G40" s="3"/>
      <c r="H40" s="3"/>
      <c r="I40" s="3"/>
      <c r="J40" s="60" t="e">
        <f t="shared" si="3"/>
        <v>#NUM!</v>
      </c>
      <c r="K40" s="61" t="s">
        <v>82</v>
      </c>
      <c r="L40" s="61" t="s">
        <v>82</v>
      </c>
      <c r="M40" s="61" t="s">
        <v>82</v>
      </c>
      <c r="N40" s="61" t="s">
        <v>82</v>
      </c>
      <c r="O40" s="61" t="s">
        <v>82</v>
      </c>
      <c r="P40" s="61" t="s">
        <v>82</v>
      </c>
      <c r="Q40" s="61" t="s">
        <v>82</v>
      </c>
      <c r="R40" s="3"/>
      <c r="S40" s="3"/>
      <c r="T40" s="2"/>
      <c r="U40" s="55" t="e">
        <f t="shared" si="4"/>
        <v>#DIV/0!</v>
      </c>
      <c r="V40" s="3"/>
      <c r="W40" s="3"/>
    </row>
    <row r="41" spans="2:23" x14ac:dyDescent="0.35">
      <c r="B41" s="2" t="s">
        <v>0</v>
      </c>
      <c r="C41" s="2"/>
      <c r="D41" s="2"/>
      <c r="E41" s="2"/>
      <c r="F41" s="3"/>
      <c r="G41" s="3"/>
      <c r="H41" s="3"/>
      <c r="I41" s="3"/>
      <c r="J41" s="60" t="e">
        <f t="shared" si="3"/>
        <v>#NUM!</v>
      </c>
      <c r="K41" s="61" t="s">
        <v>82</v>
      </c>
      <c r="L41" s="61" t="s">
        <v>82</v>
      </c>
      <c r="M41" s="61" t="s">
        <v>82</v>
      </c>
      <c r="N41" s="61" t="s">
        <v>82</v>
      </c>
      <c r="O41" s="61" t="s">
        <v>82</v>
      </c>
      <c r="P41" s="61" t="s">
        <v>82</v>
      </c>
      <c r="Q41" s="61" t="s">
        <v>82</v>
      </c>
      <c r="R41" s="3"/>
      <c r="S41" s="3"/>
      <c r="T41" s="2"/>
      <c r="U41" s="55" t="e">
        <f t="shared" si="4"/>
        <v>#DIV/0!</v>
      </c>
      <c r="V41" s="3"/>
      <c r="W41" s="3"/>
    </row>
    <row r="42" spans="2:23" x14ac:dyDescent="0.35">
      <c r="B42" s="2" t="s">
        <v>0</v>
      </c>
      <c r="C42" s="2"/>
      <c r="D42" s="2"/>
      <c r="E42" s="2"/>
      <c r="F42" s="17"/>
      <c r="G42" s="17"/>
      <c r="H42" s="17"/>
      <c r="I42" s="17"/>
      <c r="J42" s="60" t="e">
        <f t="shared" si="3"/>
        <v>#NUM!</v>
      </c>
      <c r="K42" s="61" t="s">
        <v>82</v>
      </c>
      <c r="L42" s="61" t="s">
        <v>82</v>
      </c>
      <c r="M42" s="61" t="s">
        <v>82</v>
      </c>
      <c r="N42" s="61" t="s">
        <v>82</v>
      </c>
      <c r="O42" s="61" t="s">
        <v>82</v>
      </c>
      <c r="P42" s="61" t="s">
        <v>82</v>
      </c>
      <c r="Q42" s="61" t="s">
        <v>82</v>
      </c>
      <c r="R42" s="17"/>
      <c r="S42" s="17"/>
      <c r="T42" s="2"/>
      <c r="U42" s="55" t="e">
        <f t="shared" si="4"/>
        <v>#DIV/0!</v>
      </c>
      <c r="V42" s="17"/>
      <c r="W42" s="17"/>
    </row>
    <row r="43" spans="2:23" x14ac:dyDescent="0.35">
      <c r="B43" s="2" t="s">
        <v>0</v>
      </c>
      <c r="C43" s="2"/>
      <c r="D43" s="2"/>
      <c r="E43" s="2"/>
      <c r="F43" s="1"/>
      <c r="G43" s="1"/>
      <c r="H43" s="1"/>
      <c r="I43" s="1"/>
      <c r="J43" s="60" t="e">
        <f t="shared" si="3"/>
        <v>#NUM!</v>
      </c>
      <c r="K43" s="61" t="s">
        <v>82</v>
      </c>
      <c r="L43" s="61" t="s">
        <v>82</v>
      </c>
      <c r="M43" s="61" t="s">
        <v>82</v>
      </c>
      <c r="N43" s="61" t="s">
        <v>82</v>
      </c>
      <c r="O43" s="61" t="s">
        <v>82</v>
      </c>
      <c r="P43" s="61" t="s">
        <v>82</v>
      </c>
      <c r="Q43" s="61" t="s">
        <v>82</v>
      </c>
      <c r="R43" s="1"/>
      <c r="S43" s="1"/>
      <c r="T43" s="2"/>
      <c r="U43" s="55" t="e">
        <f t="shared" si="4"/>
        <v>#DIV/0!</v>
      </c>
      <c r="V43" s="1"/>
      <c r="W43" s="1"/>
    </row>
    <row r="44" spans="2:23" x14ac:dyDescent="0.35">
      <c r="B44" s="4" t="s">
        <v>8</v>
      </c>
      <c r="C44" s="4"/>
      <c r="D44" s="65">
        <f>SUM(D34:D43)</f>
        <v>0</v>
      </c>
      <c r="E44" s="69" t="e">
        <f>F44/D44</f>
        <v>#DIV/0!</v>
      </c>
      <c r="F44" s="65">
        <f>SUM(F34:F43)</f>
        <v>0</v>
      </c>
      <c r="G44" s="70" t="e">
        <f>H44/F44</f>
        <v>#DIV/0!</v>
      </c>
      <c r="H44" s="71">
        <f>SUM(H34:H43)</f>
        <v>0</v>
      </c>
      <c r="I44" s="67">
        <f>SUM(I34:I43)</f>
        <v>0</v>
      </c>
      <c r="J44" s="88" t="e">
        <f>-PMT( 0.46%,G44,I44)/F44*1000</f>
        <v>#DIV/0!</v>
      </c>
      <c r="K44" s="68" t="s">
        <v>82</v>
      </c>
      <c r="L44" s="68" t="s">
        <v>82</v>
      </c>
      <c r="M44" s="68" t="s">
        <v>82</v>
      </c>
      <c r="N44" s="68" t="s">
        <v>82</v>
      </c>
      <c r="O44" s="68" t="s">
        <v>82</v>
      </c>
      <c r="P44" s="68" t="s">
        <v>82</v>
      </c>
      <c r="Q44" s="68" t="s">
        <v>82</v>
      </c>
      <c r="R44" s="72">
        <f>SUM(R34:R43)</f>
        <v>0</v>
      </c>
      <c r="S44" s="72">
        <f>SUM(S34:S43)</f>
        <v>0</v>
      </c>
      <c r="T44" s="72">
        <f>SUM(T34:T43)</f>
        <v>0</v>
      </c>
      <c r="U44" s="73" t="e">
        <f t="shared" ref="U44" si="5">R44/S44</f>
        <v>#DIV/0!</v>
      </c>
      <c r="V44" s="74">
        <f>SUM(V34:V43)</f>
        <v>0</v>
      </c>
      <c r="W44" s="68" t="s">
        <v>82</v>
      </c>
    </row>
    <row r="45" spans="2:23" ht="15.65" customHeight="1" x14ac:dyDescent="0.35">
      <c r="B45" s="425" t="s">
        <v>9</v>
      </c>
      <c r="C45" s="426"/>
      <c r="D45" s="426"/>
      <c r="E45" s="426"/>
      <c r="F45" s="426"/>
      <c r="G45" s="426"/>
      <c r="H45" s="426"/>
      <c r="I45" s="426"/>
      <c r="J45" s="426"/>
      <c r="K45" s="426"/>
      <c r="L45" s="426"/>
      <c r="M45" s="426"/>
      <c r="N45" s="426"/>
      <c r="O45" s="426"/>
      <c r="P45" s="426"/>
      <c r="Q45" s="426"/>
      <c r="R45" s="426"/>
      <c r="S45" s="426"/>
      <c r="T45" s="426"/>
      <c r="U45" s="426"/>
      <c r="V45" s="426"/>
      <c r="W45" s="427"/>
    </row>
    <row r="46" spans="2:23" x14ac:dyDescent="0.35">
      <c r="B46" s="2" t="s">
        <v>0</v>
      </c>
      <c r="C46" s="2"/>
      <c r="D46" s="2"/>
      <c r="E46" s="2"/>
      <c r="F46" s="3"/>
      <c r="G46" s="3"/>
      <c r="H46" s="3"/>
      <c r="I46" s="3"/>
      <c r="J46" s="60" t="e">
        <f t="shared" si="3"/>
        <v>#NUM!</v>
      </c>
      <c r="K46" s="61" t="s">
        <v>82</v>
      </c>
      <c r="L46" s="61" t="s">
        <v>82</v>
      </c>
      <c r="M46" s="61" t="s">
        <v>82</v>
      </c>
      <c r="N46" s="61" t="s">
        <v>82</v>
      </c>
      <c r="O46" s="61" t="s">
        <v>82</v>
      </c>
      <c r="P46" s="61" t="s">
        <v>82</v>
      </c>
      <c r="Q46" s="61" t="s">
        <v>82</v>
      </c>
      <c r="R46" s="3"/>
      <c r="S46" s="3"/>
      <c r="T46" s="2"/>
      <c r="U46" s="55" t="e">
        <f>R46/S46</f>
        <v>#DIV/0!</v>
      </c>
      <c r="V46" s="3"/>
      <c r="W46" s="3"/>
    </row>
    <row r="47" spans="2:23" x14ac:dyDescent="0.35">
      <c r="B47" s="2" t="s">
        <v>0</v>
      </c>
      <c r="C47" s="2"/>
      <c r="D47" s="2"/>
      <c r="E47" s="2"/>
      <c r="F47" s="3"/>
      <c r="G47" s="3"/>
      <c r="H47" s="3"/>
      <c r="I47" s="3"/>
      <c r="J47" s="60" t="e">
        <f t="shared" si="3"/>
        <v>#NUM!</v>
      </c>
      <c r="K47" s="61" t="s">
        <v>82</v>
      </c>
      <c r="L47" s="61" t="s">
        <v>82</v>
      </c>
      <c r="M47" s="61" t="s">
        <v>82</v>
      </c>
      <c r="N47" s="61" t="s">
        <v>82</v>
      </c>
      <c r="O47" s="61" t="s">
        <v>82</v>
      </c>
      <c r="P47" s="61" t="s">
        <v>82</v>
      </c>
      <c r="Q47" s="61" t="s">
        <v>82</v>
      </c>
      <c r="R47" s="3"/>
      <c r="S47" s="3"/>
      <c r="T47" s="2"/>
      <c r="U47" s="55" t="e">
        <f t="shared" ref="U47:U50" si="6">R47/S47</f>
        <v>#DIV/0!</v>
      </c>
      <c r="V47" s="3"/>
      <c r="W47" s="3"/>
    </row>
    <row r="48" spans="2:23" x14ac:dyDescent="0.35">
      <c r="B48" s="2" t="s">
        <v>0</v>
      </c>
      <c r="C48" s="2"/>
      <c r="D48" s="2"/>
      <c r="E48" s="2"/>
      <c r="F48" s="3"/>
      <c r="G48" s="3"/>
      <c r="H48" s="3"/>
      <c r="I48" s="3"/>
      <c r="J48" s="60" t="e">
        <f t="shared" si="3"/>
        <v>#NUM!</v>
      </c>
      <c r="K48" s="61" t="s">
        <v>82</v>
      </c>
      <c r="L48" s="61" t="s">
        <v>82</v>
      </c>
      <c r="M48" s="61" t="s">
        <v>82</v>
      </c>
      <c r="N48" s="61" t="s">
        <v>82</v>
      </c>
      <c r="O48" s="61" t="s">
        <v>82</v>
      </c>
      <c r="P48" s="61" t="s">
        <v>82</v>
      </c>
      <c r="Q48" s="61" t="s">
        <v>82</v>
      </c>
      <c r="R48" s="3"/>
      <c r="S48" s="3"/>
      <c r="T48" s="2"/>
      <c r="U48" s="55" t="e">
        <f t="shared" si="6"/>
        <v>#DIV/0!</v>
      </c>
      <c r="V48" s="3"/>
      <c r="W48" s="3"/>
    </row>
    <row r="49" spans="2:23" x14ac:dyDescent="0.35">
      <c r="B49" s="2" t="s">
        <v>0</v>
      </c>
      <c r="C49" s="2"/>
      <c r="D49" s="2"/>
      <c r="E49" s="2"/>
      <c r="F49" s="3"/>
      <c r="G49" s="3"/>
      <c r="H49" s="3"/>
      <c r="I49" s="3"/>
      <c r="J49" s="60" t="e">
        <f t="shared" si="3"/>
        <v>#NUM!</v>
      </c>
      <c r="K49" s="61" t="s">
        <v>82</v>
      </c>
      <c r="L49" s="61" t="s">
        <v>82</v>
      </c>
      <c r="M49" s="61" t="s">
        <v>82</v>
      </c>
      <c r="N49" s="61" t="s">
        <v>82</v>
      </c>
      <c r="O49" s="61" t="s">
        <v>82</v>
      </c>
      <c r="P49" s="61" t="s">
        <v>82</v>
      </c>
      <c r="Q49" s="61" t="s">
        <v>82</v>
      </c>
      <c r="R49" s="3"/>
      <c r="S49" s="3"/>
      <c r="T49" s="2"/>
      <c r="U49" s="55" t="e">
        <f t="shared" si="6"/>
        <v>#DIV/0!</v>
      </c>
      <c r="V49" s="3"/>
      <c r="W49" s="3"/>
    </row>
    <row r="50" spans="2:23" x14ac:dyDescent="0.35">
      <c r="B50" s="2" t="s">
        <v>0</v>
      </c>
      <c r="C50" s="2"/>
      <c r="D50" s="2"/>
      <c r="E50" s="2"/>
      <c r="F50" s="3"/>
      <c r="G50" s="3"/>
      <c r="H50" s="3"/>
      <c r="I50" s="3"/>
      <c r="J50" s="60" t="e">
        <f t="shared" si="3"/>
        <v>#NUM!</v>
      </c>
      <c r="K50" s="61" t="s">
        <v>82</v>
      </c>
      <c r="L50" s="61" t="s">
        <v>82</v>
      </c>
      <c r="M50" s="61" t="s">
        <v>82</v>
      </c>
      <c r="N50" s="61" t="s">
        <v>82</v>
      </c>
      <c r="O50" s="61" t="s">
        <v>82</v>
      </c>
      <c r="P50" s="61" t="s">
        <v>82</v>
      </c>
      <c r="Q50" s="61" t="s">
        <v>82</v>
      </c>
      <c r="R50" s="3"/>
      <c r="S50" s="3"/>
      <c r="T50" s="2"/>
      <c r="U50" s="55" t="e">
        <f t="shared" si="6"/>
        <v>#DIV/0!</v>
      </c>
      <c r="V50" s="3"/>
      <c r="W50" s="3"/>
    </row>
    <row r="51" spans="2:23" ht="15.75" customHeight="1" x14ac:dyDescent="0.35">
      <c r="B51" s="4" t="s">
        <v>10</v>
      </c>
      <c r="C51" s="4"/>
      <c r="D51" s="65">
        <f>SUM(D46:D50)</f>
        <v>0</v>
      </c>
      <c r="E51" s="69" t="e">
        <f>F51/D51</f>
        <v>#DIV/0!</v>
      </c>
      <c r="F51" s="65">
        <f>SUM(F46:F50)</f>
        <v>0</v>
      </c>
      <c r="G51" s="70" t="e">
        <f>H51/F51</f>
        <v>#DIV/0!</v>
      </c>
      <c r="H51" s="65">
        <f>SUM(H46:H50)</f>
        <v>0</v>
      </c>
      <c r="I51" s="67">
        <f>SUM(I46:I50)</f>
        <v>0</v>
      </c>
      <c r="J51" s="88" t="e">
        <f>-PMT( 0.46%,G51,I51)/F51*1000</f>
        <v>#DIV/0!</v>
      </c>
      <c r="K51" s="68" t="s">
        <v>82</v>
      </c>
      <c r="L51" s="68" t="s">
        <v>82</v>
      </c>
      <c r="M51" s="68" t="s">
        <v>82</v>
      </c>
      <c r="N51" s="68" t="s">
        <v>82</v>
      </c>
      <c r="O51" s="68" t="s">
        <v>82</v>
      </c>
      <c r="P51" s="68" t="s">
        <v>82</v>
      </c>
      <c r="Q51" s="68" t="s">
        <v>82</v>
      </c>
      <c r="R51" s="72">
        <f>SUM(R46:R50)</f>
        <v>0</v>
      </c>
      <c r="S51" s="72">
        <f>SUM(S46:S50)</f>
        <v>0</v>
      </c>
      <c r="T51" s="72">
        <f>SUM(T46:T50)</f>
        <v>0</v>
      </c>
      <c r="U51" s="73" t="e">
        <f t="shared" ref="U51" si="7">R51/S51</f>
        <v>#DIV/0!</v>
      </c>
      <c r="V51" s="74">
        <f>SUM(V46:V50)</f>
        <v>0</v>
      </c>
      <c r="W51" s="68" t="s">
        <v>82</v>
      </c>
    </row>
    <row r="52" spans="2:23" ht="15.65" customHeight="1" x14ac:dyDescent="0.35">
      <c r="B52" s="409" t="s">
        <v>11</v>
      </c>
      <c r="C52" s="410"/>
      <c r="D52" s="410"/>
      <c r="E52" s="410"/>
      <c r="F52" s="410"/>
      <c r="G52" s="410"/>
      <c r="H52" s="410"/>
      <c r="I52" s="410"/>
      <c r="J52" s="410"/>
      <c r="K52" s="410"/>
      <c r="L52" s="410"/>
      <c r="M52" s="410"/>
      <c r="N52" s="410"/>
      <c r="O52" s="410"/>
      <c r="P52" s="410"/>
      <c r="Q52" s="410"/>
      <c r="R52" s="410"/>
      <c r="S52" s="410"/>
      <c r="T52" s="410"/>
      <c r="U52" s="410"/>
      <c r="V52" s="410"/>
      <c r="W52" s="410"/>
    </row>
    <row r="53" spans="2:23" x14ac:dyDescent="0.35">
      <c r="B53" s="2" t="s">
        <v>0</v>
      </c>
      <c r="C53" s="2"/>
      <c r="D53" s="2"/>
      <c r="E53" s="2"/>
      <c r="F53" s="3"/>
      <c r="G53" s="3"/>
      <c r="H53" s="3"/>
      <c r="I53" s="3"/>
      <c r="J53" s="60" t="e">
        <f t="shared" si="3"/>
        <v>#NUM!</v>
      </c>
      <c r="K53" s="61" t="s">
        <v>82</v>
      </c>
      <c r="L53" s="61" t="s">
        <v>82</v>
      </c>
      <c r="M53" s="61" t="s">
        <v>82</v>
      </c>
      <c r="N53" s="61" t="s">
        <v>82</v>
      </c>
      <c r="O53" s="61" t="s">
        <v>82</v>
      </c>
      <c r="P53" s="61" t="s">
        <v>82</v>
      </c>
      <c r="Q53" s="61" t="s">
        <v>82</v>
      </c>
      <c r="R53" s="3"/>
      <c r="S53" s="3"/>
      <c r="T53" s="2"/>
      <c r="U53" s="55" t="e">
        <f>R53/S53</f>
        <v>#DIV/0!</v>
      </c>
      <c r="V53" s="3"/>
      <c r="W53" s="3"/>
    </row>
    <row r="54" spans="2:23" x14ac:dyDescent="0.35">
      <c r="B54" s="2" t="s">
        <v>0</v>
      </c>
      <c r="C54" s="2"/>
      <c r="D54" s="2"/>
      <c r="E54" s="2"/>
      <c r="F54" s="3"/>
      <c r="G54" s="3"/>
      <c r="H54" s="3"/>
      <c r="I54" s="3"/>
      <c r="J54" s="60" t="e">
        <f t="shared" si="3"/>
        <v>#NUM!</v>
      </c>
      <c r="K54" s="61" t="s">
        <v>82</v>
      </c>
      <c r="L54" s="61" t="s">
        <v>82</v>
      </c>
      <c r="M54" s="61" t="s">
        <v>82</v>
      </c>
      <c r="N54" s="61" t="s">
        <v>82</v>
      </c>
      <c r="O54" s="61" t="s">
        <v>82</v>
      </c>
      <c r="P54" s="61" t="s">
        <v>82</v>
      </c>
      <c r="Q54" s="61" t="s">
        <v>82</v>
      </c>
      <c r="R54" s="3"/>
      <c r="S54" s="3"/>
      <c r="T54" s="2"/>
      <c r="U54" s="55" t="e">
        <f t="shared" ref="U54:U57" si="8">R54/S54</f>
        <v>#DIV/0!</v>
      </c>
      <c r="V54" s="3"/>
      <c r="W54" s="3"/>
    </row>
    <row r="55" spans="2:23" x14ac:dyDescent="0.35">
      <c r="B55" s="2" t="s">
        <v>0</v>
      </c>
      <c r="C55" s="2"/>
      <c r="D55" s="18"/>
      <c r="E55" s="18"/>
      <c r="F55" s="19"/>
      <c r="G55" s="19"/>
      <c r="H55" s="19"/>
      <c r="I55" s="19"/>
      <c r="J55" s="60" t="e">
        <f t="shared" si="3"/>
        <v>#NUM!</v>
      </c>
      <c r="K55" s="61" t="s">
        <v>82</v>
      </c>
      <c r="L55" s="61" t="s">
        <v>82</v>
      </c>
      <c r="M55" s="61" t="s">
        <v>82</v>
      </c>
      <c r="N55" s="61" t="s">
        <v>82</v>
      </c>
      <c r="O55" s="61" t="s">
        <v>82</v>
      </c>
      <c r="P55" s="61" t="s">
        <v>82</v>
      </c>
      <c r="Q55" s="61" t="s">
        <v>82</v>
      </c>
      <c r="R55" s="19"/>
      <c r="S55" s="19"/>
      <c r="T55" s="18"/>
      <c r="U55" s="55" t="e">
        <f t="shared" si="8"/>
        <v>#DIV/0!</v>
      </c>
      <c r="V55" s="19"/>
      <c r="W55" s="19"/>
    </row>
    <row r="56" spans="2:23" x14ac:dyDescent="0.35">
      <c r="B56" s="2" t="s">
        <v>0</v>
      </c>
      <c r="C56" s="2"/>
      <c r="D56" s="18"/>
      <c r="E56" s="18"/>
      <c r="F56" s="19"/>
      <c r="G56" s="19"/>
      <c r="H56" s="19"/>
      <c r="I56" s="19"/>
      <c r="J56" s="60" t="e">
        <f t="shared" si="3"/>
        <v>#NUM!</v>
      </c>
      <c r="K56" s="61" t="s">
        <v>82</v>
      </c>
      <c r="L56" s="61" t="s">
        <v>82</v>
      </c>
      <c r="M56" s="61" t="s">
        <v>82</v>
      </c>
      <c r="N56" s="61" t="s">
        <v>82</v>
      </c>
      <c r="O56" s="61" t="s">
        <v>82</v>
      </c>
      <c r="P56" s="61" t="s">
        <v>82</v>
      </c>
      <c r="Q56" s="61" t="s">
        <v>82</v>
      </c>
      <c r="R56" s="19"/>
      <c r="S56" s="19"/>
      <c r="T56" s="18"/>
      <c r="U56" s="55" t="e">
        <f t="shared" si="8"/>
        <v>#DIV/0!</v>
      </c>
      <c r="V56" s="19"/>
      <c r="W56" s="19"/>
    </row>
    <row r="57" spans="2:23" x14ac:dyDescent="0.35">
      <c r="B57" s="2" t="s">
        <v>0</v>
      </c>
      <c r="C57" s="2"/>
      <c r="D57" s="18"/>
      <c r="E57" s="18"/>
      <c r="F57" s="19"/>
      <c r="G57" s="19"/>
      <c r="H57" s="19"/>
      <c r="I57" s="19"/>
      <c r="J57" s="60" t="e">
        <f t="shared" si="3"/>
        <v>#NUM!</v>
      </c>
      <c r="K57" s="61" t="s">
        <v>82</v>
      </c>
      <c r="L57" s="61" t="s">
        <v>82</v>
      </c>
      <c r="M57" s="61" t="s">
        <v>82</v>
      </c>
      <c r="N57" s="61" t="s">
        <v>82</v>
      </c>
      <c r="O57" s="61" t="s">
        <v>82</v>
      </c>
      <c r="P57" s="61" t="s">
        <v>82</v>
      </c>
      <c r="Q57" s="61" t="s">
        <v>82</v>
      </c>
      <c r="R57" s="19"/>
      <c r="S57" s="19"/>
      <c r="T57" s="18"/>
      <c r="U57" s="55" t="e">
        <f t="shared" si="8"/>
        <v>#DIV/0!</v>
      </c>
      <c r="V57" s="19"/>
      <c r="W57" s="19"/>
    </row>
    <row r="58" spans="2:23" ht="35.15" customHeight="1" x14ac:dyDescent="0.35">
      <c r="B58" s="24" t="s">
        <v>12</v>
      </c>
      <c r="C58" s="24"/>
      <c r="D58" s="65">
        <f>SUM(D53:D57)</f>
        <v>0</v>
      </c>
      <c r="E58" s="69" t="e">
        <f>F58/D58</f>
        <v>#DIV/0!</v>
      </c>
      <c r="F58" s="65">
        <f>SUM(F53:F57)</f>
        <v>0</v>
      </c>
      <c r="G58" s="70" t="e">
        <f>H58/F58</f>
        <v>#DIV/0!</v>
      </c>
      <c r="H58" s="65">
        <f>SUM(H53:H57)</f>
        <v>0</v>
      </c>
      <c r="I58" s="67">
        <f>SUM(I53:I57)</f>
        <v>0</v>
      </c>
      <c r="J58" s="88" t="e">
        <f>-PMT( 0.46%,G58,I58)/F58*1000</f>
        <v>#DIV/0!</v>
      </c>
      <c r="K58" s="68" t="s">
        <v>82</v>
      </c>
      <c r="L58" s="68" t="s">
        <v>82</v>
      </c>
      <c r="M58" s="68" t="s">
        <v>82</v>
      </c>
      <c r="N58" s="68" t="s">
        <v>82</v>
      </c>
      <c r="O58" s="68" t="s">
        <v>82</v>
      </c>
      <c r="P58" s="68" t="s">
        <v>82</v>
      </c>
      <c r="Q58" s="68" t="s">
        <v>82</v>
      </c>
      <c r="R58" s="72">
        <f>SUM(R53:R57)</f>
        <v>0</v>
      </c>
      <c r="S58" s="72">
        <f>SUM(S53:S57)</f>
        <v>0</v>
      </c>
      <c r="T58" s="72">
        <f>SUM(T53:T57)</f>
        <v>0</v>
      </c>
      <c r="U58" s="73" t="e">
        <f t="shared" ref="U58" si="9">R58/S58</f>
        <v>#DIV/0!</v>
      </c>
      <c r="V58" s="74">
        <f>SUM(V53:V57)</f>
        <v>0</v>
      </c>
      <c r="W58" s="68" t="s">
        <v>82</v>
      </c>
    </row>
    <row r="59" spans="2:23" x14ac:dyDescent="0.35">
      <c r="B59" s="409" t="s">
        <v>16</v>
      </c>
      <c r="C59" s="410"/>
      <c r="D59" s="410"/>
      <c r="E59" s="410"/>
      <c r="F59" s="410"/>
      <c r="G59" s="410"/>
      <c r="H59" s="410"/>
      <c r="I59" s="410"/>
      <c r="J59" s="410"/>
      <c r="K59" s="410"/>
      <c r="L59" s="410"/>
      <c r="M59" s="410"/>
      <c r="N59" s="410"/>
      <c r="O59" s="410"/>
      <c r="P59" s="410"/>
      <c r="Q59" s="410"/>
      <c r="R59" s="410"/>
      <c r="S59" s="410"/>
      <c r="T59" s="410"/>
      <c r="U59" s="410"/>
      <c r="V59" s="410"/>
      <c r="W59" s="411"/>
    </row>
    <row r="60" spans="2:23" ht="16.149999999999999" customHeight="1" x14ac:dyDescent="0.35">
      <c r="B60" s="32" t="s">
        <v>0</v>
      </c>
      <c r="C60" s="32"/>
      <c r="D60" s="18"/>
      <c r="E60" s="18"/>
      <c r="F60" s="19"/>
      <c r="G60" s="19"/>
      <c r="H60" s="19"/>
      <c r="I60" s="19"/>
      <c r="J60" s="60" t="e">
        <f t="shared" si="3"/>
        <v>#NUM!</v>
      </c>
      <c r="K60" s="61" t="s">
        <v>82</v>
      </c>
      <c r="L60" s="61" t="s">
        <v>82</v>
      </c>
      <c r="M60" s="61" t="s">
        <v>82</v>
      </c>
      <c r="N60" s="61" t="s">
        <v>82</v>
      </c>
      <c r="O60" s="61" t="s">
        <v>82</v>
      </c>
      <c r="P60" s="61" t="s">
        <v>82</v>
      </c>
      <c r="Q60" s="61" t="s">
        <v>82</v>
      </c>
      <c r="R60" s="19"/>
      <c r="S60" s="19"/>
      <c r="T60" s="18"/>
      <c r="U60" s="55" t="e">
        <f>R60/S60</f>
        <v>#DIV/0!</v>
      </c>
      <c r="V60" s="19"/>
      <c r="W60" s="19"/>
    </row>
    <row r="61" spans="2:23" ht="16.149999999999999" customHeight="1" x14ac:dyDescent="0.35">
      <c r="B61" s="32" t="s">
        <v>0</v>
      </c>
      <c r="C61" s="32"/>
      <c r="D61" s="18"/>
      <c r="E61" s="18"/>
      <c r="F61" s="19"/>
      <c r="G61" s="19"/>
      <c r="H61" s="19"/>
      <c r="I61" s="19"/>
      <c r="J61" s="60" t="e">
        <f t="shared" si="3"/>
        <v>#NUM!</v>
      </c>
      <c r="K61" s="61" t="s">
        <v>82</v>
      </c>
      <c r="L61" s="61" t="s">
        <v>82</v>
      </c>
      <c r="M61" s="61" t="s">
        <v>82</v>
      </c>
      <c r="N61" s="61" t="s">
        <v>82</v>
      </c>
      <c r="O61" s="61" t="s">
        <v>82</v>
      </c>
      <c r="P61" s="61" t="s">
        <v>82</v>
      </c>
      <c r="Q61" s="61" t="s">
        <v>82</v>
      </c>
      <c r="R61" s="19"/>
      <c r="S61" s="19"/>
      <c r="T61" s="18"/>
      <c r="U61" s="55" t="e">
        <f t="shared" ref="U61:U62" si="10">R61/S61</f>
        <v>#DIV/0!</v>
      </c>
      <c r="V61" s="19"/>
      <c r="W61" s="19"/>
    </row>
    <row r="62" spans="2:23" ht="16.149999999999999" customHeight="1" x14ac:dyDescent="0.35">
      <c r="B62" s="32" t="s">
        <v>0</v>
      </c>
      <c r="C62" s="32"/>
      <c r="D62" s="18"/>
      <c r="E62" s="18"/>
      <c r="F62" s="19"/>
      <c r="G62" s="19"/>
      <c r="H62" s="19"/>
      <c r="I62" s="19"/>
      <c r="J62" s="60" t="e">
        <f t="shared" si="3"/>
        <v>#NUM!</v>
      </c>
      <c r="K62" s="61" t="s">
        <v>82</v>
      </c>
      <c r="L62" s="61" t="s">
        <v>82</v>
      </c>
      <c r="M62" s="61" t="s">
        <v>82</v>
      </c>
      <c r="N62" s="61" t="s">
        <v>82</v>
      </c>
      <c r="O62" s="61" t="s">
        <v>82</v>
      </c>
      <c r="P62" s="61" t="s">
        <v>82</v>
      </c>
      <c r="Q62" s="61" t="s">
        <v>82</v>
      </c>
      <c r="R62" s="19"/>
      <c r="S62" s="19"/>
      <c r="T62" s="18"/>
      <c r="U62" s="55" t="e">
        <f t="shared" si="10"/>
        <v>#DIV/0!</v>
      </c>
      <c r="V62" s="19"/>
      <c r="W62" s="19"/>
    </row>
    <row r="63" spans="2:23" ht="31.5" customHeight="1" x14ac:dyDescent="0.35">
      <c r="B63" s="24" t="s">
        <v>17</v>
      </c>
      <c r="C63" s="24"/>
      <c r="D63" s="65">
        <f>SUM(D60:D62)</f>
        <v>0</v>
      </c>
      <c r="E63" s="69" t="e">
        <f>F63/D63</f>
        <v>#DIV/0!</v>
      </c>
      <c r="F63" s="65">
        <f>SUM(F60:F62)</f>
        <v>0</v>
      </c>
      <c r="G63" s="70" t="e">
        <f>H63/F63</f>
        <v>#DIV/0!</v>
      </c>
      <c r="H63" s="65">
        <f>SUM(H60:H62)</f>
        <v>0</v>
      </c>
      <c r="I63" s="67">
        <f>SUM(I60:I62)</f>
        <v>0</v>
      </c>
      <c r="J63" s="88" t="e">
        <f>-PMT( 0.46%,G63,I63)/F63*1000</f>
        <v>#DIV/0!</v>
      </c>
      <c r="K63" s="68" t="s">
        <v>82</v>
      </c>
      <c r="L63" s="68" t="s">
        <v>82</v>
      </c>
      <c r="M63" s="68" t="s">
        <v>82</v>
      </c>
      <c r="N63" s="68" t="s">
        <v>82</v>
      </c>
      <c r="O63" s="68" t="s">
        <v>82</v>
      </c>
      <c r="P63" s="68" t="s">
        <v>82</v>
      </c>
      <c r="Q63" s="68" t="s">
        <v>82</v>
      </c>
      <c r="R63" s="72">
        <f>SUM(R60:R62)</f>
        <v>0</v>
      </c>
      <c r="S63" s="72">
        <f>SUM(S60:S62)</f>
        <v>0</v>
      </c>
      <c r="T63" s="72">
        <f>SUM(T60:T62)</f>
        <v>0</v>
      </c>
      <c r="U63" s="73" t="e">
        <f t="shared" ref="U63:U65" si="11">R63/S63</f>
        <v>#DIV/0!</v>
      </c>
      <c r="V63" s="74">
        <f>SUM(V60:V62)</f>
        <v>0</v>
      </c>
      <c r="W63" s="68" t="s">
        <v>82</v>
      </c>
    </row>
    <row r="64" spans="2:23" ht="40.5" customHeight="1" x14ac:dyDescent="0.35">
      <c r="B64" s="37" t="s">
        <v>32</v>
      </c>
      <c r="C64" s="37"/>
      <c r="D64" s="89" t="s">
        <v>82</v>
      </c>
      <c r="E64" s="89" t="s">
        <v>82</v>
      </c>
      <c r="F64" s="89" t="s">
        <v>82</v>
      </c>
      <c r="G64" s="89" t="s">
        <v>82</v>
      </c>
      <c r="H64" s="89" t="s">
        <v>82</v>
      </c>
      <c r="I64" s="38"/>
      <c r="J64" s="89" t="s">
        <v>82</v>
      </c>
      <c r="K64" s="89" t="s">
        <v>82</v>
      </c>
      <c r="L64" s="89" t="s">
        <v>82</v>
      </c>
      <c r="M64" s="89" t="s">
        <v>82</v>
      </c>
      <c r="N64" s="89" t="s">
        <v>82</v>
      </c>
      <c r="O64" s="89" t="s">
        <v>82</v>
      </c>
      <c r="P64" s="89" t="s">
        <v>82</v>
      </c>
      <c r="Q64" s="89" t="s">
        <v>82</v>
      </c>
      <c r="R64" s="89" t="s">
        <v>82</v>
      </c>
      <c r="S64" s="89" t="s">
        <v>82</v>
      </c>
      <c r="T64" s="89" t="s">
        <v>82</v>
      </c>
      <c r="U64" s="89" t="s">
        <v>82</v>
      </c>
      <c r="V64" s="89" t="s">
        <v>82</v>
      </c>
      <c r="W64" s="89" t="s">
        <v>82</v>
      </c>
    </row>
    <row r="65" spans="2:23" ht="31.5" customHeight="1" x14ac:dyDescent="0.35">
      <c r="B65" s="30" t="s">
        <v>94</v>
      </c>
      <c r="C65" s="30"/>
      <c r="D65" s="79">
        <f>SUM(D30,D44,D51,D58,D63,D64)</f>
        <v>0</v>
      </c>
      <c r="E65" s="80" t="e">
        <f>F65/D65</f>
        <v>#DIV/0!</v>
      </c>
      <c r="F65" s="79">
        <f>SUM(F30,F44,F51,F58,F63,F64)</f>
        <v>0</v>
      </c>
      <c r="G65" s="80" t="e">
        <f>H65/F65</f>
        <v>#DIV/0!</v>
      </c>
      <c r="H65" s="79">
        <f>SUM(H30,H44,H51,H58,H63,H64)</f>
        <v>0</v>
      </c>
      <c r="I65" s="81">
        <f>SUM(I30,I44,I51,I58,I63,I64)</f>
        <v>0</v>
      </c>
      <c r="J65" s="90" t="e">
        <f t="shared" si="3"/>
        <v>#DIV/0!</v>
      </c>
      <c r="K65" s="82" t="s">
        <v>82</v>
      </c>
      <c r="L65" s="82" t="s">
        <v>82</v>
      </c>
      <c r="M65" s="82" t="s">
        <v>82</v>
      </c>
      <c r="N65" s="82" t="s">
        <v>82</v>
      </c>
      <c r="O65" s="82" t="s">
        <v>82</v>
      </c>
      <c r="P65" s="82" t="s">
        <v>82</v>
      </c>
      <c r="Q65" s="82" t="s">
        <v>82</v>
      </c>
      <c r="R65" s="81">
        <f>SUM(R30,R44,R51,R58,R63,R64)</f>
        <v>0</v>
      </c>
      <c r="S65" s="81">
        <f>SUM(S30,S44,S51,S58,S63,S64)</f>
        <v>0</v>
      </c>
      <c r="T65" s="81">
        <f>SUM(T30,T44,T51,T58,T63,T64)</f>
        <v>0</v>
      </c>
      <c r="U65" s="80" t="e">
        <f t="shared" si="11"/>
        <v>#DIV/0!</v>
      </c>
      <c r="V65" s="128">
        <f>SUM(V30,V44,V51,V58,V63,V64)</f>
        <v>0</v>
      </c>
      <c r="W65" s="82" t="s">
        <v>82</v>
      </c>
    </row>
    <row r="66" spans="2:23" s="22" customFormat="1" ht="18" customHeight="1" x14ac:dyDescent="0.35">
      <c r="B66" s="26"/>
      <c r="C66" s="26"/>
      <c r="D66" s="11"/>
      <c r="E66" s="11"/>
      <c r="F66" s="12"/>
      <c r="G66" s="12"/>
      <c r="H66" s="12"/>
      <c r="I66" s="12"/>
      <c r="J66" s="12"/>
      <c r="K66" s="12"/>
      <c r="L66" s="12"/>
    </row>
    <row r="67" spans="2:23" x14ac:dyDescent="0.35">
      <c r="B67" s="45" t="s">
        <v>48</v>
      </c>
    </row>
    <row r="68" spans="2:23" x14ac:dyDescent="0.35">
      <c r="B68" s="7" t="s">
        <v>51</v>
      </c>
    </row>
  </sheetData>
  <mergeCells count="8">
    <mergeCell ref="B52:W52"/>
    <mergeCell ref="B59:W59"/>
    <mergeCell ref="B5:L6"/>
    <mergeCell ref="B8:L15"/>
    <mergeCell ref="B19:W19"/>
    <mergeCell ref="B21:W21"/>
    <mergeCell ref="B33:W33"/>
    <mergeCell ref="B45:W45"/>
  </mergeCells>
  <printOptions headings="1"/>
  <pageMargins left="0.7" right="0.7" top="0.75" bottom="0.75" header="0.3" footer="0.3"/>
  <pageSetup scale="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9DAE-EE4A-49E3-8B58-95847E2BF013}">
  <sheetPr>
    <pageSetUpPr fitToPage="1"/>
  </sheetPr>
  <dimension ref="B1:W79"/>
  <sheetViews>
    <sheetView topLeftCell="A48" zoomScale="90" zoomScaleNormal="90" workbookViewId="0">
      <selection activeCell="B68" sqref="B68"/>
    </sheetView>
  </sheetViews>
  <sheetFormatPr defaultRowHeight="14.5" x14ac:dyDescent="0.35"/>
  <cols>
    <col min="1" max="1" width="2.7265625" customWidth="1"/>
    <col min="2" max="2" width="36.7265625" customWidth="1"/>
    <col min="3" max="3" width="20.7265625" customWidth="1"/>
    <col min="4" max="4" width="16.453125" bestFit="1" customWidth="1"/>
    <col min="5" max="5" width="13.1796875" bestFit="1" customWidth="1"/>
    <col min="6" max="6" width="14.81640625" bestFit="1" customWidth="1"/>
    <col min="7" max="7" width="12.453125" bestFit="1" customWidth="1"/>
    <col min="8" max="8" width="11.54296875" bestFit="1" customWidth="1"/>
    <col min="9" max="9" width="14.26953125" bestFit="1" customWidth="1"/>
    <col min="10" max="10" width="15.1796875" bestFit="1" customWidth="1"/>
    <col min="11" max="11" width="15" bestFit="1" customWidth="1"/>
    <col min="12" max="12" width="12.81640625" bestFit="1" customWidth="1"/>
    <col min="13" max="13" width="14.81640625" bestFit="1" customWidth="1"/>
    <col min="14" max="14" width="14" customWidth="1"/>
    <col min="15" max="15" width="11.54296875" bestFit="1" customWidth="1"/>
    <col min="16" max="16" width="14.26953125" customWidth="1"/>
    <col min="17" max="17" width="17" customWidth="1"/>
    <col min="18" max="22" width="14.26953125" customWidth="1"/>
    <col min="23" max="23" width="15.81640625" bestFit="1" customWidth="1"/>
  </cols>
  <sheetData>
    <row r="1" spans="2:12" x14ac:dyDescent="0.35">
      <c r="B1" s="6" t="s">
        <v>27</v>
      </c>
      <c r="C1" s="6"/>
      <c r="D1" s="6"/>
      <c r="E1" s="6"/>
    </row>
    <row r="2" spans="2:12" x14ac:dyDescent="0.35">
      <c r="B2" s="6" t="s">
        <v>372</v>
      </c>
      <c r="C2" s="6"/>
      <c r="D2" s="6"/>
      <c r="E2" s="6"/>
    </row>
    <row r="3" spans="2:12" x14ac:dyDescent="0.35">
      <c r="B3" s="6" t="s">
        <v>392</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29"/>
      <c r="D9" s="429"/>
      <c r="E9" s="429"/>
      <c r="F9" s="429"/>
      <c r="G9" s="429"/>
      <c r="H9" s="429"/>
      <c r="I9" s="429"/>
      <c r="J9" s="429"/>
      <c r="K9" s="429"/>
      <c r="L9" s="418"/>
    </row>
    <row r="10" spans="2:12" ht="15" customHeight="1" x14ac:dyDescent="0.35">
      <c r="B10" s="416"/>
      <c r="C10" s="429"/>
      <c r="D10" s="429"/>
      <c r="E10" s="429"/>
      <c r="F10" s="429"/>
      <c r="G10" s="429"/>
      <c r="H10" s="429"/>
      <c r="I10" s="429"/>
      <c r="J10" s="429"/>
      <c r="K10" s="429"/>
      <c r="L10" s="418"/>
    </row>
    <row r="11" spans="2:12" ht="15" customHeight="1" x14ac:dyDescent="0.35">
      <c r="B11" s="416"/>
      <c r="C11" s="429"/>
      <c r="D11" s="429"/>
      <c r="E11" s="429"/>
      <c r="F11" s="429"/>
      <c r="G11" s="429"/>
      <c r="H11" s="429"/>
      <c r="I11" s="429"/>
      <c r="J11" s="429"/>
      <c r="K11" s="429"/>
      <c r="L11" s="418"/>
    </row>
    <row r="12" spans="2:12" ht="31.5" customHeight="1" x14ac:dyDescent="0.35">
      <c r="B12" s="416"/>
      <c r="C12" s="429"/>
      <c r="D12" s="429"/>
      <c r="E12" s="429"/>
      <c r="F12" s="429"/>
      <c r="G12" s="429"/>
      <c r="H12" s="429"/>
      <c r="I12" s="429"/>
      <c r="J12" s="429"/>
      <c r="K12" s="429"/>
      <c r="L12" s="418"/>
    </row>
    <row r="13" spans="2:12" ht="15" customHeight="1" x14ac:dyDescent="0.35">
      <c r="B13" s="416"/>
      <c r="C13" s="429"/>
      <c r="D13" s="429"/>
      <c r="E13" s="429"/>
      <c r="F13" s="429"/>
      <c r="G13" s="429"/>
      <c r="H13" s="429"/>
      <c r="I13" s="429"/>
      <c r="J13" s="429"/>
      <c r="K13" s="429"/>
      <c r="L13" s="418"/>
    </row>
    <row r="14" spans="2:12" ht="17.649999999999999" customHeight="1" x14ac:dyDescent="0.35">
      <c r="B14" s="416"/>
      <c r="C14" s="429"/>
      <c r="D14" s="429"/>
      <c r="E14" s="429"/>
      <c r="F14" s="429"/>
      <c r="G14" s="429"/>
      <c r="H14" s="429"/>
      <c r="I14" s="429"/>
      <c r="J14" s="429"/>
      <c r="K14" s="429"/>
      <c r="L14" s="418"/>
    </row>
    <row r="15" spans="2:12" ht="207.75" customHeight="1" x14ac:dyDescent="0.35">
      <c r="B15" s="419"/>
      <c r="C15" s="420"/>
      <c r="D15" s="420"/>
      <c r="E15" s="420"/>
      <c r="F15" s="420"/>
      <c r="G15" s="420"/>
      <c r="H15" s="420"/>
      <c r="I15" s="420"/>
      <c r="J15" s="420"/>
      <c r="K15" s="420"/>
      <c r="L15" s="421"/>
    </row>
    <row r="16" spans="2:12" ht="17.649999999999999"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6.399999999999999" customHeight="1" x14ac:dyDescent="0.35">
      <c r="B18" s="21"/>
      <c r="C18" s="21"/>
      <c r="D18" s="21"/>
      <c r="E18" s="21"/>
      <c r="F18" s="21"/>
      <c r="G18" s="21"/>
      <c r="H18" s="21"/>
      <c r="I18" s="21"/>
      <c r="J18" s="21"/>
      <c r="K18" s="21"/>
      <c r="L18" s="21"/>
    </row>
    <row r="19" spans="2:23" ht="20.149999999999999" customHeight="1" x14ac:dyDescent="0.35">
      <c r="B19" s="430" t="s">
        <v>96</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80</v>
      </c>
      <c r="C22" s="53" t="s">
        <v>81</v>
      </c>
      <c r="D22" s="335">
        <v>5025</v>
      </c>
      <c r="E22" s="336">
        <f>F22/D22</f>
        <v>0.56019900497512443</v>
      </c>
      <c r="F22" s="56">
        <v>2815</v>
      </c>
      <c r="G22" s="57">
        <v>4.3</v>
      </c>
      <c r="H22" s="58">
        <f>F22*G22</f>
        <v>12104.5</v>
      </c>
      <c r="I22" s="59">
        <v>681470.54600000009</v>
      </c>
      <c r="J22" s="247">
        <f>-PMT( 0.46%,G22,I22)/(F22*1000)</f>
        <v>5.6986958622785376E-2</v>
      </c>
      <c r="K22" s="61" t="s">
        <v>82</v>
      </c>
      <c r="L22" s="61" t="s">
        <v>82</v>
      </c>
      <c r="M22" s="61" t="s">
        <v>82</v>
      </c>
      <c r="N22" s="61" t="s">
        <v>82</v>
      </c>
      <c r="O22" s="61" t="s">
        <v>82</v>
      </c>
      <c r="P22" s="61" t="s">
        <v>82</v>
      </c>
      <c r="Q22" s="61" t="s">
        <v>82</v>
      </c>
      <c r="R22" s="75">
        <v>737849</v>
      </c>
      <c r="S22" s="75">
        <v>392267</v>
      </c>
      <c r="T22" s="75">
        <f>R22-S22</f>
        <v>345582</v>
      </c>
      <c r="U22" s="55">
        <f>R22/S22</f>
        <v>1.8809866748923565</v>
      </c>
      <c r="V22" s="56">
        <v>104160</v>
      </c>
      <c r="W22" s="115" t="s">
        <v>141</v>
      </c>
    </row>
    <row r="23" spans="2:23" x14ac:dyDescent="0.35">
      <c r="B23" s="2" t="s">
        <v>83</v>
      </c>
      <c r="C23" s="53" t="s">
        <v>81</v>
      </c>
      <c r="D23" s="83">
        <v>120550</v>
      </c>
      <c r="E23" s="336">
        <f>F23/D23</f>
        <v>0.67135628369970968</v>
      </c>
      <c r="F23" s="56">
        <v>80932</v>
      </c>
      <c r="G23" s="57">
        <v>12.26</v>
      </c>
      <c r="H23" s="58">
        <f>F23*G23</f>
        <v>992226.32</v>
      </c>
      <c r="I23" s="59">
        <v>8655569.8831999991</v>
      </c>
      <c r="J23" s="247">
        <f t="shared" ref="J23:J25" si="0">-PMT( 0.46%,G23,I23)/(F23*1000)</f>
        <v>8.9917196893351935E-3</v>
      </c>
      <c r="K23" s="61" t="s">
        <v>82</v>
      </c>
      <c r="L23" s="61" t="s">
        <v>82</v>
      </c>
      <c r="M23" s="61" t="s">
        <v>82</v>
      </c>
      <c r="N23" s="61" t="s">
        <v>82</v>
      </c>
      <c r="O23" s="61" t="s">
        <v>82</v>
      </c>
      <c r="P23" s="61" t="s">
        <v>82</v>
      </c>
      <c r="Q23" s="61" t="s">
        <v>82</v>
      </c>
      <c r="R23" s="75">
        <v>27240927</v>
      </c>
      <c r="S23" s="75">
        <v>11197220</v>
      </c>
      <c r="T23" s="75">
        <f>R23-S23</f>
        <v>16043707</v>
      </c>
      <c r="U23" s="55">
        <f t="shared" ref="U23:U25" si="1">R23/S23</f>
        <v>2.432829488033637</v>
      </c>
      <c r="V23" s="56">
        <v>450</v>
      </c>
      <c r="W23" s="199" t="s">
        <v>235</v>
      </c>
    </row>
    <row r="24" spans="2:23" x14ac:dyDescent="0.35">
      <c r="B24" s="2" t="s">
        <v>84</v>
      </c>
      <c r="C24" s="53" t="s">
        <v>81</v>
      </c>
      <c r="D24" s="83">
        <v>6606</v>
      </c>
      <c r="E24" s="336">
        <f>F24/D24</f>
        <v>0.72070844686648505</v>
      </c>
      <c r="F24" s="56">
        <v>4761</v>
      </c>
      <c r="G24" s="57">
        <v>15</v>
      </c>
      <c r="H24" s="58">
        <f>F24*G24</f>
        <v>71415</v>
      </c>
      <c r="I24" s="59">
        <v>2163989.2508</v>
      </c>
      <c r="J24" s="247">
        <f t="shared" si="0"/>
        <v>3.1428646286776135E-2</v>
      </c>
      <c r="K24" s="61" t="s">
        <v>82</v>
      </c>
      <c r="L24" s="61" t="s">
        <v>82</v>
      </c>
      <c r="M24" s="61" t="s">
        <v>82</v>
      </c>
      <c r="N24" s="61" t="s">
        <v>82</v>
      </c>
      <c r="O24" s="61" t="s">
        <v>82</v>
      </c>
      <c r="P24" s="61" t="s">
        <v>82</v>
      </c>
      <c r="Q24" s="61" t="s">
        <v>82</v>
      </c>
      <c r="R24" s="75">
        <v>2842162</v>
      </c>
      <c r="S24" s="75">
        <v>2202308</v>
      </c>
      <c r="T24" s="75">
        <f>R24-S24</f>
        <v>639854</v>
      </c>
      <c r="U24" s="55">
        <f t="shared" si="1"/>
        <v>1.290537926575211</v>
      </c>
      <c r="V24" s="56">
        <v>87</v>
      </c>
      <c r="W24" s="199" t="s">
        <v>235</v>
      </c>
    </row>
    <row r="25" spans="2:23" x14ac:dyDescent="0.35">
      <c r="B25" s="2" t="s">
        <v>85</v>
      </c>
      <c r="C25" s="53" t="s">
        <v>81</v>
      </c>
      <c r="D25" s="83">
        <v>1363</v>
      </c>
      <c r="E25" s="336">
        <f>F25/D25</f>
        <v>0.79970652971386647</v>
      </c>
      <c r="F25" s="56">
        <v>1090</v>
      </c>
      <c r="G25" s="57">
        <v>5</v>
      </c>
      <c r="H25" s="58">
        <f>F25*G25</f>
        <v>5450</v>
      </c>
      <c r="I25" s="59">
        <v>492520.17600000004</v>
      </c>
      <c r="J25" s="247">
        <f t="shared" si="0"/>
        <v>9.1621605486129978E-2</v>
      </c>
      <c r="K25" s="61" t="s">
        <v>82</v>
      </c>
      <c r="L25" s="61" t="s">
        <v>82</v>
      </c>
      <c r="M25" s="61" t="s">
        <v>82</v>
      </c>
      <c r="N25" s="61" t="s">
        <v>82</v>
      </c>
      <c r="O25" s="61" t="s">
        <v>82</v>
      </c>
      <c r="P25" s="61" t="s">
        <v>82</v>
      </c>
      <c r="Q25" s="61" t="s">
        <v>82</v>
      </c>
      <c r="R25" s="75">
        <v>286348</v>
      </c>
      <c r="S25" s="75">
        <v>361138</v>
      </c>
      <c r="T25" s="75">
        <f>R25-S25</f>
        <v>-74790</v>
      </c>
      <c r="U25" s="55">
        <f t="shared" si="1"/>
        <v>0.79290465140749522</v>
      </c>
      <c r="V25" s="56">
        <v>4</v>
      </c>
      <c r="W25" s="115" t="s">
        <v>212</v>
      </c>
    </row>
    <row r="26" spans="2:23" x14ac:dyDescent="0.35">
      <c r="B26" s="2" t="s">
        <v>86</v>
      </c>
      <c r="C26" s="53" t="s">
        <v>81</v>
      </c>
      <c r="D26" s="339" t="s">
        <v>82</v>
      </c>
      <c r="E26" s="339" t="s">
        <v>82</v>
      </c>
      <c r="F26" s="61" t="s">
        <v>82</v>
      </c>
      <c r="G26" s="61" t="s">
        <v>82</v>
      </c>
      <c r="H26" s="64" t="s">
        <v>82</v>
      </c>
      <c r="I26" s="227">
        <v>100000</v>
      </c>
      <c r="J26" s="61" t="s">
        <v>82</v>
      </c>
      <c r="K26" s="61" t="s">
        <v>82</v>
      </c>
      <c r="L26" s="61" t="s">
        <v>82</v>
      </c>
      <c r="M26" s="61" t="s">
        <v>82</v>
      </c>
      <c r="N26" s="61" t="s">
        <v>82</v>
      </c>
      <c r="O26" s="61" t="s">
        <v>82</v>
      </c>
      <c r="P26" s="61" t="s">
        <v>82</v>
      </c>
      <c r="Q26" s="61" t="s">
        <v>82</v>
      </c>
      <c r="R26" s="61" t="s">
        <v>82</v>
      </c>
      <c r="S26" s="61" t="s">
        <v>82</v>
      </c>
      <c r="T26" s="61" t="s">
        <v>82</v>
      </c>
      <c r="U26" s="61" t="s">
        <v>82</v>
      </c>
      <c r="V26" s="61" t="s">
        <v>82</v>
      </c>
      <c r="W26" s="61" t="s">
        <v>82</v>
      </c>
    </row>
    <row r="27" spans="2:23" x14ac:dyDescent="0.35">
      <c r="B27" s="288" t="s">
        <v>299</v>
      </c>
      <c r="C27" s="53" t="s">
        <v>295</v>
      </c>
      <c r="D27" s="290">
        <v>13264.758</v>
      </c>
      <c r="E27" s="337">
        <f>F27/D27</f>
        <v>0.61998869485594843</v>
      </c>
      <c r="F27" s="290">
        <v>8224</v>
      </c>
      <c r="G27" s="61" t="s">
        <v>82</v>
      </c>
      <c r="H27" s="61" t="s">
        <v>82</v>
      </c>
      <c r="I27" s="61" t="s">
        <v>82</v>
      </c>
      <c r="J27" s="61" t="s">
        <v>82</v>
      </c>
      <c r="K27" s="61" t="s">
        <v>82</v>
      </c>
      <c r="L27" s="61" t="s">
        <v>82</v>
      </c>
      <c r="M27" s="61" t="s">
        <v>82</v>
      </c>
      <c r="N27" s="61" t="s">
        <v>82</v>
      </c>
      <c r="O27" s="61" t="s">
        <v>82</v>
      </c>
      <c r="P27" s="61" t="s">
        <v>82</v>
      </c>
      <c r="Q27" s="61" t="s">
        <v>82</v>
      </c>
      <c r="R27" s="61" t="s">
        <v>82</v>
      </c>
      <c r="S27" s="61" t="s">
        <v>82</v>
      </c>
      <c r="T27" s="61" t="s">
        <v>82</v>
      </c>
      <c r="U27" s="295">
        <v>2.12</v>
      </c>
      <c r="V27" s="335">
        <v>105</v>
      </c>
      <c r="W27" s="115" t="s">
        <v>193</v>
      </c>
    </row>
    <row r="28" spans="2:23" x14ac:dyDescent="0.35">
      <c r="B28" s="288" t="s">
        <v>300</v>
      </c>
      <c r="C28" s="53" t="s">
        <v>295</v>
      </c>
      <c r="D28" s="290">
        <v>5700.1530000000002</v>
      </c>
      <c r="E28" s="337">
        <f>F28/D28</f>
        <v>0.71787546755323928</v>
      </c>
      <c r="F28" s="290">
        <v>4092</v>
      </c>
      <c r="G28" s="61" t="s">
        <v>82</v>
      </c>
      <c r="H28" s="61" t="s">
        <v>82</v>
      </c>
      <c r="I28" s="61" t="s">
        <v>82</v>
      </c>
      <c r="J28" s="61" t="s">
        <v>82</v>
      </c>
      <c r="K28" s="61" t="s">
        <v>82</v>
      </c>
      <c r="L28" s="61" t="s">
        <v>82</v>
      </c>
      <c r="M28" s="61" t="s">
        <v>82</v>
      </c>
      <c r="N28" s="61" t="s">
        <v>82</v>
      </c>
      <c r="O28" s="61" t="s">
        <v>82</v>
      </c>
      <c r="P28" s="61" t="s">
        <v>82</v>
      </c>
      <c r="Q28" s="61" t="s">
        <v>82</v>
      </c>
      <c r="R28" s="61" t="s">
        <v>82</v>
      </c>
      <c r="S28" s="61" t="s">
        <v>82</v>
      </c>
      <c r="T28" s="61" t="s">
        <v>82</v>
      </c>
      <c r="U28" s="295">
        <v>4.2699999999999996</v>
      </c>
      <c r="V28" s="335">
        <v>15</v>
      </c>
      <c r="W28" s="115" t="s">
        <v>193</v>
      </c>
    </row>
    <row r="29" spans="2:23" x14ac:dyDescent="0.35">
      <c r="B29" s="4" t="s">
        <v>7</v>
      </c>
      <c r="C29" s="4"/>
      <c r="D29" s="65">
        <f>SUM(D22:D28)</f>
        <v>152508.91099999999</v>
      </c>
      <c r="E29" s="237">
        <f>F29/D29</f>
        <v>0.66824947691089343</v>
      </c>
      <c r="F29" s="65">
        <f>SUM(F22:F28)</f>
        <v>101914</v>
      </c>
      <c r="G29" s="66">
        <f>H29/F29</f>
        <v>10.608903781619796</v>
      </c>
      <c r="H29" s="65">
        <f>SUM(H22:H28)</f>
        <v>1081195.8199999998</v>
      </c>
      <c r="I29" s="67">
        <f>SUM(I22:I28)</f>
        <v>12093549.856000001</v>
      </c>
      <c r="J29" s="248">
        <f>-PMT( 0.46%,G29,I29)/(F29*1000)</f>
        <v>1.1486195582723386E-2</v>
      </c>
      <c r="K29" s="68" t="s">
        <v>82</v>
      </c>
      <c r="L29" s="68" t="s">
        <v>82</v>
      </c>
      <c r="M29" s="68" t="s">
        <v>82</v>
      </c>
      <c r="N29" s="68" t="s">
        <v>82</v>
      </c>
      <c r="O29" s="68" t="s">
        <v>82</v>
      </c>
      <c r="P29" s="68" t="s">
        <v>82</v>
      </c>
      <c r="Q29" s="68" t="s">
        <v>82</v>
      </c>
      <c r="R29" s="72">
        <f>SUM(R22:R28)</f>
        <v>31107286</v>
      </c>
      <c r="S29" s="72">
        <f>SUM(S22:S28)</f>
        <v>14152933</v>
      </c>
      <c r="T29" s="72">
        <f>SUM(T22:T28)</f>
        <v>16954353</v>
      </c>
      <c r="U29" s="73">
        <f t="shared" ref="U29" si="2">R29/S29</f>
        <v>2.1979391833480735</v>
      </c>
      <c r="V29" s="74">
        <f>SUM(V22:V28)</f>
        <v>104821</v>
      </c>
      <c r="W29" s="218" t="s">
        <v>82</v>
      </c>
    </row>
    <row r="30" spans="2:23" x14ac:dyDescent="0.35">
      <c r="B30" s="31" t="s">
        <v>14</v>
      </c>
      <c r="C30" s="31"/>
      <c r="D30" s="255">
        <f>SUM(D22:D26)</f>
        <v>133544</v>
      </c>
      <c r="E30" s="340">
        <f>F30/D30</f>
        <v>0.67092493859701674</v>
      </c>
      <c r="F30" s="255">
        <f>SUM(F22:F26)</f>
        <v>89598</v>
      </c>
      <c r="G30" s="256">
        <f>H30/F30</f>
        <v>12.067186990781043</v>
      </c>
      <c r="H30" s="255">
        <f>SUM(H22:H26)</f>
        <v>1081195.8199999998</v>
      </c>
      <c r="I30" s="321">
        <f>SUM(I22:I26)</f>
        <v>12093549.856000001</v>
      </c>
      <c r="J30" s="322">
        <f t="shared" ref="J30" si="3">-PMT( 0.46%,G30,I30)/(F30*1000)</f>
        <v>1.1524362474744563E-2</v>
      </c>
      <c r="K30" s="323" t="s">
        <v>82</v>
      </c>
      <c r="L30" s="323" t="s">
        <v>82</v>
      </c>
      <c r="M30" s="323" t="s">
        <v>82</v>
      </c>
      <c r="N30" s="323" t="s">
        <v>82</v>
      </c>
      <c r="O30" s="323" t="s">
        <v>82</v>
      </c>
      <c r="P30" s="323" t="s">
        <v>82</v>
      </c>
      <c r="Q30" s="323" t="s">
        <v>82</v>
      </c>
      <c r="R30" s="321">
        <f>SUM(R22:R26)</f>
        <v>31107286</v>
      </c>
      <c r="S30" s="321">
        <f>SUM(S22:S26)</f>
        <v>14152933</v>
      </c>
      <c r="T30" s="325">
        <f>R30-S30</f>
        <v>16954353</v>
      </c>
      <c r="U30" s="259">
        <f>R30/S30</f>
        <v>2.1979391833480735</v>
      </c>
      <c r="V30" s="326" t="s">
        <v>82</v>
      </c>
      <c r="W30" s="326" t="s">
        <v>82</v>
      </c>
    </row>
    <row r="31" spans="2:23" x14ac:dyDescent="0.35">
      <c r="B31" s="31" t="s">
        <v>15</v>
      </c>
      <c r="C31" s="31"/>
      <c r="D31" s="255">
        <f>SUM(D27:D28)</f>
        <v>18964.911</v>
      </c>
      <c r="E31" s="340">
        <f>F31/D31</f>
        <v>0.64940984959011938</v>
      </c>
      <c r="F31" s="255">
        <f>SUM(F27:F28)</f>
        <v>12316</v>
      </c>
      <c r="G31" s="323" t="s">
        <v>82</v>
      </c>
      <c r="H31" s="323" t="s">
        <v>82</v>
      </c>
      <c r="I31" s="323" t="s">
        <v>82</v>
      </c>
      <c r="J31" s="323" t="s">
        <v>82</v>
      </c>
      <c r="K31" s="323" t="s">
        <v>82</v>
      </c>
      <c r="L31" s="323" t="s">
        <v>82</v>
      </c>
      <c r="M31" s="323" t="s">
        <v>82</v>
      </c>
      <c r="N31" s="323" t="s">
        <v>82</v>
      </c>
      <c r="O31" s="323" t="s">
        <v>82</v>
      </c>
      <c r="P31" s="323" t="s">
        <v>82</v>
      </c>
      <c r="Q31" s="323" t="s">
        <v>82</v>
      </c>
      <c r="R31" s="323" t="s">
        <v>82</v>
      </c>
      <c r="S31" s="323" t="s">
        <v>82</v>
      </c>
      <c r="T31" s="323" t="s">
        <v>82</v>
      </c>
      <c r="U31" s="323" t="s">
        <v>82</v>
      </c>
      <c r="V31" s="326" t="s">
        <v>82</v>
      </c>
      <c r="W31" s="326" t="s">
        <v>82</v>
      </c>
    </row>
    <row r="32" spans="2:23" ht="15.65" customHeight="1" x14ac:dyDescent="0.35">
      <c r="B32" s="409" t="s">
        <v>1</v>
      </c>
      <c r="C32" s="410"/>
      <c r="D32" s="410"/>
      <c r="E32" s="410"/>
      <c r="F32" s="410"/>
      <c r="G32" s="410"/>
      <c r="H32" s="410"/>
      <c r="I32" s="410"/>
      <c r="J32" s="410"/>
      <c r="K32" s="410"/>
      <c r="L32" s="410"/>
      <c r="M32" s="410"/>
      <c r="N32" s="410"/>
      <c r="O32" s="410"/>
      <c r="P32" s="410"/>
      <c r="Q32" s="410"/>
      <c r="R32" s="410"/>
      <c r="S32" s="410"/>
      <c r="T32" s="410"/>
      <c r="U32" s="410"/>
      <c r="V32" s="410"/>
      <c r="W32" s="411"/>
    </row>
    <row r="33" spans="2:23" x14ac:dyDescent="0.35">
      <c r="B33" s="2" t="s">
        <v>87</v>
      </c>
      <c r="C33" s="53" t="s">
        <v>81</v>
      </c>
      <c r="D33" s="83">
        <v>87917</v>
      </c>
      <c r="E33" s="84">
        <f>F33/D33</f>
        <v>0.69143624100003409</v>
      </c>
      <c r="F33" s="83">
        <v>60789</v>
      </c>
      <c r="G33" s="84">
        <v>9</v>
      </c>
      <c r="H33" s="85">
        <f>F33*G33</f>
        <v>547101</v>
      </c>
      <c r="I33" s="86">
        <v>5519991.3420000002</v>
      </c>
      <c r="J33" s="247">
        <f>-PMT( 0.46%,G33,I33)/(F33*1000)</f>
        <v>1.032300804015234E-2</v>
      </c>
      <c r="K33" s="61" t="s">
        <v>82</v>
      </c>
      <c r="L33" s="61" t="s">
        <v>82</v>
      </c>
      <c r="M33" s="61" t="s">
        <v>82</v>
      </c>
      <c r="N33" s="61" t="s">
        <v>82</v>
      </c>
      <c r="O33" s="61" t="s">
        <v>82</v>
      </c>
      <c r="P33" s="61" t="s">
        <v>82</v>
      </c>
      <c r="Q33" s="61" t="s">
        <v>82</v>
      </c>
      <c r="R33" s="78">
        <v>27420616</v>
      </c>
      <c r="S33" s="78">
        <v>6265259</v>
      </c>
      <c r="T33" s="125">
        <f>R33-S33</f>
        <v>21155357</v>
      </c>
      <c r="U33" s="63">
        <v>3.77</v>
      </c>
      <c r="V33" s="83">
        <v>3001367</v>
      </c>
      <c r="W33" s="115" t="s">
        <v>236</v>
      </c>
    </row>
    <row r="34" spans="2:23" x14ac:dyDescent="0.35">
      <c r="B34" s="2" t="s">
        <v>88</v>
      </c>
      <c r="C34" s="53" t="s">
        <v>81</v>
      </c>
      <c r="D34" s="83">
        <v>15697.999999999998</v>
      </c>
      <c r="E34" s="84">
        <f>F34/D34</f>
        <v>0.73117594598037972</v>
      </c>
      <c r="F34" s="83">
        <v>11478</v>
      </c>
      <c r="G34" s="84">
        <v>8</v>
      </c>
      <c r="H34" s="85">
        <f>F34*G34</f>
        <v>91824</v>
      </c>
      <c r="I34" s="86">
        <v>2113892.412</v>
      </c>
      <c r="J34" s="247">
        <f t="shared" ref="J34:J35" si="4">-PMT( 0.46%,G34,I34)/(F34*1000)</f>
        <v>2.3500220785707172E-2</v>
      </c>
      <c r="K34" s="61" t="s">
        <v>82</v>
      </c>
      <c r="L34" s="61" t="s">
        <v>82</v>
      </c>
      <c r="M34" s="61" t="s">
        <v>82</v>
      </c>
      <c r="N34" s="61" t="s">
        <v>82</v>
      </c>
      <c r="O34" s="61" t="s">
        <v>82</v>
      </c>
      <c r="P34" s="61" t="s">
        <v>82</v>
      </c>
      <c r="Q34" s="61" t="s">
        <v>82</v>
      </c>
      <c r="R34" s="217">
        <v>5176662</v>
      </c>
      <c r="S34" s="216">
        <v>2008815</v>
      </c>
      <c r="T34" s="125">
        <f>R34-S34</f>
        <v>3167847</v>
      </c>
      <c r="U34" s="63">
        <v>2.58</v>
      </c>
      <c r="V34" s="83">
        <v>11979</v>
      </c>
      <c r="W34" s="115" t="s">
        <v>141</v>
      </c>
    </row>
    <row r="35" spans="2:23" x14ac:dyDescent="0.35">
      <c r="B35" s="2" t="s">
        <v>89</v>
      </c>
      <c r="C35" s="53" t="s">
        <v>81</v>
      </c>
      <c r="D35" s="83">
        <v>2315</v>
      </c>
      <c r="E35" s="84">
        <f>F35/D35</f>
        <v>0.8</v>
      </c>
      <c r="F35" s="83">
        <v>1852</v>
      </c>
      <c r="G35" s="84">
        <v>9</v>
      </c>
      <c r="H35" s="85">
        <f>F35*G35</f>
        <v>16668</v>
      </c>
      <c r="I35" s="86">
        <v>707405.44200000004</v>
      </c>
      <c r="J35" s="247">
        <f t="shared" si="4"/>
        <v>4.3423045764888611E-2</v>
      </c>
      <c r="K35" s="61" t="s">
        <v>82</v>
      </c>
      <c r="L35" s="61" t="s">
        <v>82</v>
      </c>
      <c r="M35" s="61" t="s">
        <v>82</v>
      </c>
      <c r="N35" s="61" t="s">
        <v>82</v>
      </c>
      <c r="O35" s="61" t="s">
        <v>82</v>
      </c>
      <c r="P35" s="61" t="s">
        <v>82</v>
      </c>
      <c r="Q35" s="61" t="s">
        <v>82</v>
      </c>
      <c r="R35" s="78">
        <v>740172</v>
      </c>
      <c r="S35" s="78">
        <v>391795</v>
      </c>
      <c r="T35" s="125">
        <f>R35-S35</f>
        <v>348377</v>
      </c>
      <c r="U35" s="63">
        <v>1.89</v>
      </c>
      <c r="V35" s="120">
        <v>21683</v>
      </c>
      <c r="W35" s="199" t="s">
        <v>312</v>
      </c>
    </row>
    <row r="36" spans="2:23" x14ac:dyDescent="0.35">
      <c r="B36" s="2" t="s">
        <v>90</v>
      </c>
      <c r="C36" s="53" t="s">
        <v>81</v>
      </c>
      <c r="D36" s="339" t="s">
        <v>82</v>
      </c>
      <c r="E36" s="339" t="s">
        <v>82</v>
      </c>
      <c r="F36" s="339" t="s">
        <v>82</v>
      </c>
      <c r="G36" s="61" t="s">
        <v>82</v>
      </c>
      <c r="H36" s="64" t="s">
        <v>82</v>
      </c>
      <c r="I36" s="86">
        <v>467351.76599999995</v>
      </c>
      <c r="J36" s="64" t="s">
        <v>82</v>
      </c>
      <c r="K36" s="61" t="s">
        <v>82</v>
      </c>
      <c r="L36" s="61" t="s">
        <v>82</v>
      </c>
      <c r="M36" s="61" t="s">
        <v>82</v>
      </c>
      <c r="N36" s="61" t="s">
        <v>82</v>
      </c>
      <c r="O36" s="61" t="s">
        <v>82</v>
      </c>
      <c r="P36" s="61" t="s">
        <v>82</v>
      </c>
      <c r="Q36" s="61" t="s">
        <v>82</v>
      </c>
      <c r="R36" s="61" t="s">
        <v>82</v>
      </c>
      <c r="S36" s="61" t="s">
        <v>82</v>
      </c>
      <c r="T36" s="61" t="s">
        <v>82</v>
      </c>
      <c r="U36" s="61" t="s">
        <v>82</v>
      </c>
      <c r="V36" s="54" t="s">
        <v>82</v>
      </c>
      <c r="W36" s="199" t="s">
        <v>82</v>
      </c>
    </row>
    <row r="37" spans="2:23" x14ac:dyDescent="0.35">
      <c r="B37" s="2" t="s">
        <v>298</v>
      </c>
      <c r="C37" s="53" t="s">
        <v>295</v>
      </c>
      <c r="D37" s="335">
        <v>962</v>
      </c>
      <c r="E37" s="84">
        <f>F37/D37</f>
        <v>0.79937629937629939</v>
      </c>
      <c r="F37" s="335">
        <v>769</v>
      </c>
      <c r="G37" s="61" t="s">
        <v>82</v>
      </c>
      <c r="H37" s="61" t="s">
        <v>82</v>
      </c>
      <c r="I37" s="61" t="s">
        <v>82</v>
      </c>
      <c r="J37" s="61" t="s">
        <v>82</v>
      </c>
      <c r="K37" s="61" t="s">
        <v>82</v>
      </c>
      <c r="L37" s="61" t="s">
        <v>82</v>
      </c>
      <c r="M37" s="61" t="s">
        <v>82</v>
      </c>
      <c r="N37" s="61" t="s">
        <v>82</v>
      </c>
      <c r="O37" s="61" t="s">
        <v>82</v>
      </c>
      <c r="P37" s="61" t="s">
        <v>82</v>
      </c>
      <c r="Q37" s="61" t="s">
        <v>82</v>
      </c>
      <c r="R37" s="61" t="s">
        <v>82</v>
      </c>
      <c r="S37" s="61" t="s">
        <v>82</v>
      </c>
      <c r="T37" s="61" t="s">
        <v>82</v>
      </c>
      <c r="U37" s="61">
        <v>1.36</v>
      </c>
      <c r="V37" s="335">
        <v>24211</v>
      </c>
      <c r="W37" s="115" t="s">
        <v>141</v>
      </c>
    </row>
    <row r="38" spans="2:23" hidden="1" x14ac:dyDescent="0.35">
      <c r="B38" s="2" t="s">
        <v>0</v>
      </c>
      <c r="C38" s="2"/>
      <c r="D38" s="285"/>
      <c r="E38" s="285"/>
      <c r="F38" s="117"/>
      <c r="G38" s="3"/>
      <c r="H38" s="3"/>
      <c r="I38" s="3"/>
      <c r="J38" s="60" t="e">
        <f t="shared" ref="J38" si="5">-PMT( 0.46%,G38,I38)/F38*1000</f>
        <v>#NUM!</v>
      </c>
      <c r="K38" s="61" t="s">
        <v>82</v>
      </c>
      <c r="L38" s="61" t="s">
        <v>82</v>
      </c>
      <c r="M38" s="61" t="s">
        <v>82</v>
      </c>
      <c r="N38" s="61" t="s">
        <v>82</v>
      </c>
      <c r="O38" s="61" t="s">
        <v>82</v>
      </c>
      <c r="P38" s="61" t="s">
        <v>82</v>
      </c>
      <c r="Q38" s="61" t="s">
        <v>82</v>
      </c>
      <c r="R38" s="3"/>
      <c r="S38" s="3"/>
      <c r="T38" s="2"/>
      <c r="U38" s="55" t="e">
        <f t="shared" ref="U38:U43" si="6">R38/S38</f>
        <v>#DIV/0!</v>
      </c>
      <c r="V38" s="3"/>
      <c r="W38" s="219"/>
    </row>
    <row r="39" spans="2:23" hidden="1" x14ac:dyDescent="0.35">
      <c r="B39" s="2" t="s">
        <v>0</v>
      </c>
      <c r="C39" s="2"/>
      <c r="D39" s="285"/>
      <c r="E39" s="285"/>
      <c r="F39" s="117"/>
      <c r="G39" s="3"/>
      <c r="H39" s="3"/>
      <c r="I39" s="3"/>
      <c r="J39" s="60" t="e">
        <f t="shared" ref="J39:J64" si="7">-PMT( 0.46%,G39,I39)/F39*1000</f>
        <v>#NUM!</v>
      </c>
      <c r="K39" s="61" t="s">
        <v>82</v>
      </c>
      <c r="L39" s="61" t="s">
        <v>82</v>
      </c>
      <c r="M39" s="61" t="s">
        <v>82</v>
      </c>
      <c r="N39" s="61" t="s">
        <v>82</v>
      </c>
      <c r="O39" s="61" t="s">
        <v>82</v>
      </c>
      <c r="P39" s="61" t="s">
        <v>82</v>
      </c>
      <c r="Q39" s="61" t="s">
        <v>82</v>
      </c>
      <c r="R39" s="3"/>
      <c r="S39" s="3"/>
      <c r="T39" s="2"/>
      <c r="U39" s="55" t="e">
        <f t="shared" si="6"/>
        <v>#DIV/0!</v>
      </c>
      <c r="V39" s="3"/>
      <c r="W39" s="219"/>
    </row>
    <row r="40" spans="2:23" hidden="1" x14ac:dyDescent="0.35">
      <c r="B40" s="2" t="s">
        <v>0</v>
      </c>
      <c r="C40" s="2"/>
      <c r="D40" s="285"/>
      <c r="E40" s="285"/>
      <c r="F40" s="117"/>
      <c r="G40" s="3"/>
      <c r="H40" s="3"/>
      <c r="I40" s="3"/>
      <c r="J40" s="60" t="e">
        <f t="shared" si="7"/>
        <v>#NUM!</v>
      </c>
      <c r="K40" s="61" t="s">
        <v>82</v>
      </c>
      <c r="L40" s="61" t="s">
        <v>82</v>
      </c>
      <c r="M40" s="61" t="s">
        <v>82</v>
      </c>
      <c r="N40" s="61" t="s">
        <v>82</v>
      </c>
      <c r="O40" s="61" t="s">
        <v>82</v>
      </c>
      <c r="P40" s="61" t="s">
        <v>82</v>
      </c>
      <c r="Q40" s="61" t="s">
        <v>82</v>
      </c>
      <c r="R40" s="3"/>
      <c r="S40" s="3"/>
      <c r="T40" s="2"/>
      <c r="U40" s="55" t="e">
        <f t="shared" si="6"/>
        <v>#DIV/0!</v>
      </c>
      <c r="V40" s="3"/>
      <c r="W40" s="219"/>
    </row>
    <row r="41" spans="2:23" hidden="1" x14ac:dyDescent="0.35">
      <c r="B41" s="2" t="s">
        <v>0</v>
      </c>
      <c r="C41" s="2"/>
      <c r="D41" s="285"/>
      <c r="E41" s="285"/>
      <c r="F41" s="117"/>
      <c r="G41" s="3"/>
      <c r="H41" s="3"/>
      <c r="I41" s="3"/>
      <c r="J41" s="60" t="e">
        <f t="shared" si="7"/>
        <v>#NUM!</v>
      </c>
      <c r="K41" s="61" t="s">
        <v>82</v>
      </c>
      <c r="L41" s="61" t="s">
        <v>82</v>
      </c>
      <c r="M41" s="61" t="s">
        <v>82</v>
      </c>
      <c r="N41" s="61" t="s">
        <v>82</v>
      </c>
      <c r="O41" s="61" t="s">
        <v>82</v>
      </c>
      <c r="P41" s="61" t="s">
        <v>82</v>
      </c>
      <c r="Q41" s="61" t="s">
        <v>82</v>
      </c>
      <c r="R41" s="3"/>
      <c r="S41" s="3"/>
      <c r="T41" s="2"/>
      <c r="U41" s="55" t="e">
        <f t="shared" si="6"/>
        <v>#DIV/0!</v>
      </c>
      <c r="V41" s="3"/>
      <c r="W41" s="219"/>
    </row>
    <row r="42" spans="2:23" hidden="1" x14ac:dyDescent="0.35">
      <c r="B42" s="2" t="s">
        <v>0</v>
      </c>
      <c r="C42" s="2"/>
      <c r="D42" s="285"/>
      <c r="E42" s="285"/>
      <c r="F42" s="313"/>
      <c r="G42" s="17"/>
      <c r="H42" s="17"/>
      <c r="I42" s="17"/>
      <c r="J42" s="60" t="e">
        <f t="shared" si="7"/>
        <v>#NUM!</v>
      </c>
      <c r="K42" s="61" t="s">
        <v>82</v>
      </c>
      <c r="L42" s="61" t="s">
        <v>82</v>
      </c>
      <c r="M42" s="61" t="s">
        <v>82</v>
      </c>
      <c r="N42" s="61" t="s">
        <v>82</v>
      </c>
      <c r="O42" s="61" t="s">
        <v>82</v>
      </c>
      <c r="P42" s="61" t="s">
        <v>82</v>
      </c>
      <c r="Q42" s="61" t="s">
        <v>82</v>
      </c>
      <c r="R42" s="17"/>
      <c r="S42" s="17"/>
      <c r="T42" s="2"/>
      <c r="U42" s="55" t="e">
        <f t="shared" si="6"/>
        <v>#DIV/0!</v>
      </c>
      <c r="V42" s="17"/>
      <c r="W42" s="220"/>
    </row>
    <row r="43" spans="2:23" hidden="1" x14ac:dyDescent="0.35">
      <c r="B43" s="2" t="s">
        <v>0</v>
      </c>
      <c r="C43" s="2"/>
      <c r="D43" s="285"/>
      <c r="E43" s="285"/>
      <c r="F43" s="108"/>
      <c r="G43" s="1"/>
      <c r="H43" s="1"/>
      <c r="I43" s="1"/>
      <c r="J43" s="60" t="e">
        <f t="shared" si="7"/>
        <v>#NUM!</v>
      </c>
      <c r="K43" s="61" t="s">
        <v>82</v>
      </c>
      <c r="L43" s="61" t="s">
        <v>82</v>
      </c>
      <c r="M43" s="61" t="s">
        <v>82</v>
      </c>
      <c r="N43" s="61" t="s">
        <v>82</v>
      </c>
      <c r="O43" s="61" t="s">
        <v>82</v>
      </c>
      <c r="P43" s="61" t="s">
        <v>82</v>
      </c>
      <c r="Q43" s="61" t="s">
        <v>82</v>
      </c>
      <c r="R43" s="1"/>
      <c r="S43" s="1"/>
      <c r="T43" s="2"/>
      <c r="U43" s="55" t="e">
        <f t="shared" si="6"/>
        <v>#DIV/0!</v>
      </c>
      <c r="V43" s="1"/>
      <c r="W43" s="124"/>
    </row>
    <row r="44" spans="2:23" x14ac:dyDescent="0.35">
      <c r="B44" s="4" t="s">
        <v>8</v>
      </c>
      <c r="C44" s="4"/>
      <c r="D44" s="65">
        <f>SUM(D33:D43)</f>
        <v>106892</v>
      </c>
      <c r="E44" s="237">
        <f>F44/D44</f>
        <v>0.70059499307712458</v>
      </c>
      <c r="F44" s="71">
        <f>SUM(F33:F43)</f>
        <v>74888</v>
      </c>
      <c r="G44" s="66">
        <f>H44/F44</f>
        <v>8.754313107573978</v>
      </c>
      <c r="H44" s="71">
        <f>SUM(H33:H43)</f>
        <v>655593</v>
      </c>
      <c r="I44" s="67">
        <f>SUM(I33:I43)</f>
        <v>8808640.9620000012</v>
      </c>
      <c r="J44" s="248">
        <f>-PMT( 0.46%,G44,I44)/(F44*1000)</f>
        <v>1.3739369159306165E-2</v>
      </c>
      <c r="K44" s="68" t="s">
        <v>82</v>
      </c>
      <c r="L44" s="68" t="s">
        <v>82</v>
      </c>
      <c r="M44" s="68" t="s">
        <v>82</v>
      </c>
      <c r="N44" s="68" t="s">
        <v>82</v>
      </c>
      <c r="O44" s="68" t="s">
        <v>82</v>
      </c>
      <c r="P44" s="68" t="s">
        <v>82</v>
      </c>
      <c r="Q44" s="68" t="s">
        <v>82</v>
      </c>
      <c r="R44" s="215">
        <f>SUM(R33:R43)</f>
        <v>33337450</v>
      </c>
      <c r="S44" s="215">
        <f>SUM(S33:S43)</f>
        <v>8665869</v>
      </c>
      <c r="T44" s="215">
        <f>SUM(T33:T43)</f>
        <v>24671581</v>
      </c>
      <c r="U44" s="73">
        <f>R44/S44</f>
        <v>3.8469829165430496</v>
      </c>
      <c r="V44" s="74">
        <f>SUM(V33:V43)</f>
        <v>3059240</v>
      </c>
      <c r="W44" s="218" t="s">
        <v>82</v>
      </c>
    </row>
    <row r="45" spans="2:23" ht="15.65" customHeight="1" x14ac:dyDescent="0.35">
      <c r="B45" s="425" t="s">
        <v>9</v>
      </c>
      <c r="C45" s="426"/>
      <c r="D45" s="426"/>
      <c r="E45" s="426"/>
      <c r="F45" s="426"/>
      <c r="G45" s="426"/>
      <c r="H45" s="426"/>
      <c r="I45" s="426"/>
      <c r="J45" s="426"/>
      <c r="K45" s="426"/>
      <c r="L45" s="426"/>
      <c r="M45" s="426"/>
      <c r="N45" s="426"/>
      <c r="O45" s="426"/>
      <c r="P45" s="426"/>
      <c r="Q45" s="426"/>
      <c r="R45" s="426"/>
      <c r="S45" s="426"/>
      <c r="T45" s="426"/>
      <c r="U45" s="426"/>
      <c r="V45" s="426"/>
      <c r="W45" s="427"/>
    </row>
    <row r="46" spans="2:23" x14ac:dyDescent="0.35">
      <c r="B46" s="2" t="s">
        <v>296</v>
      </c>
      <c r="C46" s="53" t="s">
        <v>295</v>
      </c>
      <c r="D46" s="335">
        <v>3567</v>
      </c>
      <c r="E46" s="84">
        <f>F46/D46</f>
        <v>1</v>
      </c>
      <c r="F46" s="335">
        <v>3567</v>
      </c>
      <c r="G46" s="61" t="s">
        <v>82</v>
      </c>
      <c r="H46" s="61" t="s">
        <v>82</v>
      </c>
      <c r="I46" s="61" t="s">
        <v>82</v>
      </c>
      <c r="J46" s="61" t="s">
        <v>82</v>
      </c>
      <c r="K46" s="61" t="s">
        <v>82</v>
      </c>
      <c r="L46" s="61" t="s">
        <v>82</v>
      </c>
      <c r="M46" s="61" t="s">
        <v>82</v>
      </c>
      <c r="N46" s="61" t="s">
        <v>82</v>
      </c>
      <c r="O46" s="61" t="s">
        <v>82</v>
      </c>
      <c r="P46" s="61" t="s">
        <v>82</v>
      </c>
      <c r="Q46" s="61" t="s">
        <v>82</v>
      </c>
      <c r="R46" s="61" t="s">
        <v>82</v>
      </c>
      <c r="S46" s="61" t="s">
        <v>82</v>
      </c>
      <c r="T46" s="61" t="s">
        <v>82</v>
      </c>
      <c r="U46" s="61">
        <v>1.97</v>
      </c>
      <c r="V46" s="335">
        <v>7955</v>
      </c>
      <c r="W46" s="115" t="s">
        <v>141</v>
      </c>
    </row>
    <row r="47" spans="2:23" ht="14.5" customHeight="1" x14ac:dyDescent="0.35">
      <c r="B47" s="288" t="s">
        <v>297</v>
      </c>
      <c r="C47" s="53" t="s">
        <v>295</v>
      </c>
      <c r="D47" s="338">
        <v>690</v>
      </c>
      <c r="E47" s="84">
        <f>F47/D47</f>
        <v>1</v>
      </c>
      <c r="F47" s="338">
        <v>690</v>
      </c>
      <c r="G47" s="61" t="s">
        <v>82</v>
      </c>
      <c r="H47" s="61" t="s">
        <v>82</v>
      </c>
      <c r="I47" s="61" t="s">
        <v>82</v>
      </c>
      <c r="J47" s="61" t="s">
        <v>82</v>
      </c>
      <c r="K47" s="61" t="s">
        <v>82</v>
      </c>
      <c r="L47" s="61" t="s">
        <v>82</v>
      </c>
      <c r="M47" s="61" t="s">
        <v>82</v>
      </c>
      <c r="N47" s="61" t="s">
        <v>82</v>
      </c>
      <c r="O47" s="61" t="s">
        <v>82</v>
      </c>
      <c r="P47" s="61" t="s">
        <v>82</v>
      </c>
      <c r="Q47" s="61" t="s">
        <v>82</v>
      </c>
      <c r="R47" s="61" t="s">
        <v>82</v>
      </c>
      <c r="S47" s="61" t="s">
        <v>82</v>
      </c>
      <c r="T47" s="61" t="s">
        <v>82</v>
      </c>
      <c r="U47" s="334">
        <v>0.8</v>
      </c>
      <c r="V47" s="338">
        <v>1352</v>
      </c>
      <c r="W47" s="115" t="s">
        <v>141</v>
      </c>
    </row>
    <row r="48" spans="2:23" x14ac:dyDescent="0.35">
      <c r="B48" s="288" t="s">
        <v>301</v>
      </c>
      <c r="C48" s="53" t="s">
        <v>295</v>
      </c>
      <c r="D48" s="338">
        <v>1294</v>
      </c>
      <c r="E48" s="84">
        <f>F48/D48</f>
        <v>1</v>
      </c>
      <c r="F48" s="338">
        <v>1294</v>
      </c>
      <c r="G48" s="61" t="s">
        <v>82</v>
      </c>
      <c r="H48" s="61" t="s">
        <v>82</v>
      </c>
      <c r="I48" s="61" t="s">
        <v>82</v>
      </c>
      <c r="J48" s="61" t="s">
        <v>82</v>
      </c>
      <c r="K48" s="61" t="s">
        <v>82</v>
      </c>
      <c r="L48" s="61" t="s">
        <v>82</v>
      </c>
      <c r="M48" s="61" t="s">
        <v>82</v>
      </c>
      <c r="N48" s="61" t="s">
        <v>82</v>
      </c>
      <c r="O48" s="61" t="s">
        <v>82</v>
      </c>
      <c r="P48" s="61" t="s">
        <v>82</v>
      </c>
      <c r="Q48" s="61" t="s">
        <v>82</v>
      </c>
      <c r="R48" s="61" t="s">
        <v>82</v>
      </c>
      <c r="S48" s="61" t="s">
        <v>82</v>
      </c>
      <c r="T48" s="61" t="s">
        <v>82</v>
      </c>
      <c r="U48" s="291">
        <v>1.84</v>
      </c>
      <c r="V48" s="338">
        <v>204</v>
      </c>
      <c r="W48" s="199" t="s">
        <v>302</v>
      </c>
    </row>
    <row r="49" spans="2:23" hidden="1" x14ac:dyDescent="0.35">
      <c r="B49" s="2" t="s">
        <v>0</v>
      </c>
      <c r="C49" s="2"/>
      <c r="D49" s="2"/>
      <c r="E49" s="2"/>
      <c r="F49" s="3"/>
      <c r="G49" s="3"/>
      <c r="H49" s="3"/>
      <c r="I49" s="3"/>
      <c r="J49" s="60" t="e">
        <f t="shared" si="7"/>
        <v>#NUM!</v>
      </c>
      <c r="K49" s="2"/>
      <c r="L49" s="2"/>
      <c r="M49" s="3"/>
      <c r="N49" s="3"/>
      <c r="O49" s="3"/>
      <c r="P49" s="2"/>
      <c r="Q49" s="61" t="s">
        <v>82</v>
      </c>
      <c r="R49" s="3"/>
      <c r="S49" s="3"/>
      <c r="T49" s="2"/>
      <c r="U49" s="2"/>
      <c r="V49" s="3"/>
      <c r="W49" s="3"/>
    </row>
    <row r="50" spans="2:23" hidden="1" x14ac:dyDescent="0.35">
      <c r="B50" s="2" t="s">
        <v>0</v>
      </c>
      <c r="C50" s="2"/>
      <c r="D50" s="2"/>
      <c r="E50" s="2"/>
      <c r="F50" s="3"/>
      <c r="G50" s="3"/>
      <c r="H50" s="3"/>
      <c r="I50" s="3"/>
      <c r="J50" s="60" t="e">
        <f t="shared" si="7"/>
        <v>#NUM!</v>
      </c>
      <c r="K50" s="2"/>
      <c r="L50" s="2"/>
      <c r="M50" s="3"/>
      <c r="N50" s="3"/>
      <c r="O50" s="3"/>
      <c r="P50" s="2"/>
      <c r="Q50" s="61" t="s">
        <v>82</v>
      </c>
      <c r="R50" s="3"/>
      <c r="S50" s="3"/>
      <c r="T50" s="2"/>
      <c r="U50" s="2"/>
      <c r="V50" s="3"/>
      <c r="W50" s="3"/>
    </row>
    <row r="51" spans="2:23" hidden="1" x14ac:dyDescent="0.35">
      <c r="B51" s="2" t="s">
        <v>0</v>
      </c>
      <c r="C51" s="2"/>
      <c r="D51" s="2"/>
      <c r="E51" s="2"/>
      <c r="F51" s="3"/>
      <c r="G51" s="3"/>
      <c r="H51" s="3"/>
      <c r="I51" s="3"/>
      <c r="J51" s="60" t="e">
        <f t="shared" si="7"/>
        <v>#NUM!</v>
      </c>
      <c r="K51" s="2"/>
      <c r="L51" s="2"/>
      <c r="M51" s="3"/>
      <c r="N51" s="3"/>
      <c r="O51" s="3"/>
      <c r="P51" s="2"/>
      <c r="Q51" s="61" t="s">
        <v>82</v>
      </c>
      <c r="R51" s="3"/>
      <c r="S51" s="3"/>
      <c r="T51" s="2"/>
      <c r="U51" s="2"/>
      <c r="V51" s="3"/>
      <c r="W51" s="3"/>
    </row>
    <row r="52" spans="2:23" hidden="1" x14ac:dyDescent="0.35">
      <c r="B52" s="2" t="s">
        <v>0</v>
      </c>
      <c r="C52" s="2"/>
      <c r="D52" s="2"/>
      <c r="E52" s="2"/>
      <c r="F52" s="3"/>
      <c r="G52" s="3"/>
      <c r="H52" s="3"/>
      <c r="I52" s="3"/>
      <c r="J52" s="60" t="e">
        <f t="shared" si="7"/>
        <v>#NUM!</v>
      </c>
      <c r="K52" s="2"/>
      <c r="L52" s="2"/>
      <c r="M52" s="3"/>
      <c r="N52" s="3"/>
      <c r="O52" s="3"/>
      <c r="P52" s="2"/>
      <c r="Q52" s="61" t="s">
        <v>82</v>
      </c>
      <c r="R52" s="3"/>
      <c r="S52" s="3"/>
      <c r="T52" s="2"/>
      <c r="U52" s="2"/>
      <c r="V52" s="3"/>
      <c r="W52" s="3"/>
    </row>
    <row r="53" spans="2:23" ht="15.75" customHeight="1" x14ac:dyDescent="0.35">
      <c r="B53" s="4" t="s">
        <v>10</v>
      </c>
      <c r="C53" s="4"/>
      <c r="D53" s="65">
        <f>SUM(D46:D52)</f>
        <v>5551</v>
      </c>
      <c r="E53" s="69">
        <f>F53/D53</f>
        <v>1</v>
      </c>
      <c r="F53" s="65">
        <f>SUM(F46:F52)</f>
        <v>5551</v>
      </c>
      <c r="G53" s="70" t="s">
        <v>82</v>
      </c>
      <c r="H53" s="70" t="s">
        <v>82</v>
      </c>
      <c r="I53" s="70" t="s">
        <v>82</v>
      </c>
      <c r="J53" s="70" t="s">
        <v>82</v>
      </c>
      <c r="K53" s="68" t="s">
        <v>82</v>
      </c>
      <c r="L53" s="68" t="s">
        <v>82</v>
      </c>
      <c r="M53" s="68" t="s">
        <v>82</v>
      </c>
      <c r="N53" s="68" t="s">
        <v>82</v>
      </c>
      <c r="O53" s="68" t="s">
        <v>82</v>
      </c>
      <c r="P53" s="68" t="s">
        <v>82</v>
      </c>
      <c r="Q53" s="68" t="s">
        <v>82</v>
      </c>
      <c r="R53" s="70" t="s">
        <v>82</v>
      </c>
      <c r="S53" s="70" t="s">
        <v>82</v>
      </c>
      <c r="T53" s="70" t="s">
        <v>82</v>
      </c>
      <c r="U53" s="70" t="s">
        <v>82</v>
      </c>
      <c r="V53" s="74">
        <f>SUM(V46:V52)</f>
        <v>9511</v>
      </c>
      <c r="W53" s="68" t="s">
        <v>82</v>
      </c>
    </row>
    <row r="54" spans="2:23" ht="15.65" hidden="1" customHeight="1" x14ac:dyDescent="0.35">
      <c r="B54" s="409" t="s">
        <v>11</v>
      </c>
      <c r="C54" s="410"/>
      <c r="D54" s="410"/>
      <c r="E54" s="410"/>
      <c r="F54" s="410"/>
      <c r="G54" s="410"/>
      <c r="H54" s="410"/>
      <c r="I54" s="410"/>
      <c r="J54" s="410"/>
      <c r="K54" s="410"/>
      <c r="L54" s="410"/>
      <c r="M54" s="410"/>
      <c r="N54" s="410"/>
      <c r="O54" s="410"/>
      <c r="P54" s="410"/>
      <c r="Q54" s="410"/>
      <c r="R54" s="410"/>
      <c r="S54" s="410"/>
      <c r="T54" s="410"/>
      <c r="U54" s="410"/>
      <c r="V54" s="410"/>
      <c r="W54" s="410"/>
    </row>
    <row r="55" spans="2:23" hidden="1" x14ac:dyDescent="0.35">
      <c r="B55" s="2" t="s">
        <v>0</v>
      </c>
      <c r="C55" s="2"/>
      <c r="D55" s="2"/>
      <c r="E55" s="2"/>
      <c r="F55" s="3"/>
      <c r="G55" s="3"/>
      <c r="H55" s="3"/>
      <c r="I55" s="3"/>
      <c r="J55" s="60" t="e">
        <f t="shared" si="7"/>
        <v>#NUM!</v>
      </c>
      <c r="K55" s="2"/>
      <c r="L55" s="2"/>
      <c r="M55" s="3"/>
      <c r="N55" s="3"/>
      <c r="O55" s="3"/>
      <c r="P55" s="2"/>
      <c r="Q55" s="61" t="s">
        <v>82</v>
      </c>
      <c r="R55" s="3"/>
      <c r="S55" s="3"/>
      <c r="T55" s="2"/>
      <c r="U55" s="2"/>
      <c r="V55" s="3"/>
      <c r="W55" s="3"/>
    </row>
    <row r="56" spans="2:23" hidden="1" x14ac:dyDescent="0.35">
      <c r="B56" s="2" t="s">
        <v>0</v>
      </c>
      <c r="C56" s="2"/>
      <c r="D56" s="2"/>
      <c r="E56" s="2"/>
      <c r="F56" s="3"/>
      <c r="G56" s="3"/>
      <c r="H56" s="3"/>
      <c r="I56" s="3"/>
      <c r="J56" s="60" t="e">
        <f t="shared" si="7"/>
        <v>#NUM!</v>
      </c>
      <c r="K56" s="2"/>
      <c r="L56" s="2"/>
      <c r="M56" s="3"/>
      <c r="N56" s="3"/>
      <c r="O56" s="3"/>
      <c r="P56" s="2"/>
      <c r="Q56" s="61" t="s">
        <v>82</v>
      </c>
      <c r="R56" s="3"/>
      <c r="S56" s="3"/>
      <c r="T56" s="2"/>
      <c r="U56" s="2"/>
      <c r="V56" s="3"/>
      <c r="W56" s="3"/>
    </row>
    <row r="57" spans="2:23" hidden="1" x14ac:dyDescent="0.35">
      <c r="B57" s="2" t="s">
        <v>0</v>
      </c>
      <c r="C57" s="2"/>
      <c r="D57" s="18"/>
      <c r="E57" s="18"/>
      <c r="F57" s="19"/>
      <c r="G57" s="19"/>
      <c r="H57" s="19"/>
      <c r="I57" s="19"/>
      <c r="J57" s="60" t="e">
        <f t="shared" si="7"/>
        <v>#NUM!</v>
      </c>
      <c r="K57" s="18"/>
      <c r="L57" s="18"/>
      <c r="M57" s="19"/>
      <c r="N57" s="19"/>
      <c r="O57" s="19"/>
      <c r="P57" s="18"/>
      <c r="Q57" s="61" t="s">
        <v>82</v>
      </c>
      <c r="R57" s="19"/>
      <c r="S57" s="19"/>
      <c r="T57" s="18"/>
      <c r="U57" s="18"/>
      <c r="V57" s="19"/>
      <c r="W57" s="19"/>
    </row>
    <row r="58" spans="2:23" hidden="1" x14ac:dyDescent="0.35">
      <c r="B58" s="2" t="s">
        <v>0</v>
      </c>
      <c r="C58" s="2"/>
      <c r="D58" s="18"/>
      <c r="E58" s="18"/>
      <c r="F58" s="19"/>
      <c r="G58" s="19"/>
      <c r="H58" s="19"/>
      <c r="I58" s="19"/>
      <c r="J58" s="60" t="e">
        <f t="shared" si="7"/>
        <v>#NUM!</v>
      </c>
      <c r="K58" s="18"/>
      <c r="L58" s="18"/>
      <c r="M58" s="19"/>
      <c r="N58" s="19"/>
      <c r="O58" s="19"/>
      <c r="P58" s="18"/>
      <c r="Q58" s="61" t="s">
        <v>82</v>
      </c>
      <c r="R58" s="19"/>
      <c r="S58" s="19"/>
      <c r="T58" s="18"/>
      <c r="U58" s="18"/>
      <c r="V58" s="19"/>
      <c r="W58" s="19"/>
    </row>
    <row r="59" spans="2:23" hidden="1" x14ac:dyDescent="0.35">
      <c r="B59" s="2" t="s">
        <v>0</v>
      </c>
      <c r="C59" s="2"/>
      <c r="D59" s="18"/>
      <c r="E59" s="18"/>
      <c r="F59" s="19"/>
      <c r="G59" s="19"/>
      <c r="H59" s="19"/>
      <c r="I59" s="19"/>
      <c r="J59" s="60" t="e">
        <f t="shared" si="7"/>
        <v>#NUM!</v>
      </c>
      <c r="K59" s="18"/>
      <c r="L59" s="18"/>
      <c r="M59" s="19"/>
      <c r="N59" s="19"/>
      <c r="O59" s="19"/>
      <c r="P59" s="18"/>
      <c r="Q59" s="61" t="s">
        <v>82</v>
      </c>
      <c r="R59" s="19"/>
      <c r="S59" s="19"/>
      <c r="T59" s="18"/>
      <c r="U59" s="18"/>
      <c r="V59" s="19"/>
      <c r="W59" s="19"/>
    </row>
    <row r="60" spans="2:23" ht="35.15" hidden="1" customHeight="1" x14ac:dyDescent="0.35">
      <c r="B60" s="24" t="s">
        <v>12</v>
      </c>
      <c r="C60" s="24"/>
      <c r="D60" s="65">
        <f>SUM(D55:D59)</f>
        <v>0</v>
      </c>
      <c r="E60" s="69" t="e">
        <f>F60/D60</f>
        <v>#DIV/0!</v>
      </c>
      <c r="F60" s="65">
        <f>SUM(F55:F59)</f>
        <v>0</v>
      </c>
      <c r="G60" s="70" t="e">
        <f>(F54*G54+F55*G55+F56*G56+F57*G57+F58*G58+F59*G59)/SUM(G54:G59)</f>
        <v>#DIV/0!</v>
      </c>
      <c r="H60" s="65">
        <f>SUM(H55:H59)</f>
        <v>0</v>
      </c>
      <c r="I60" s="67">
        <f>SUM(I55:I59)</f>
        <v>0</v>
      </c>
      <c r="J60" s="88" t="e">
        <f>-PMT( 0.46%,G60,I60)/F60*1000</f>
        <v>#DIV/0!</v>
      </c>
      <c r="K60" s="68" t="s">
        <v>82</v>
      </c>
      <c r="L60" s="68" t="s">
        <v>82</v>
      </c>
      <c r="M60" s="68" t="s">
        <v>82</v>
      </c>
      <c r="N60" s="68" t="s">
        <v>82</v>
      </c>
      <c r="O60" s="68" t="s">
        <v>82</v>
      </c>
      <c r="P60" s="68" t="s">
        <v>82</v>
      </c>
      <c r="Q60" s="68" t="s">
        <v>82</v>
      </c>
      <c r="R60" s="72">
        <f>SUM(R55:R59)</f>
        <v>0</v>
      </c>
      <c r="S60" s="72">
        <f>SUM(S55:S59)</f>
        <v>0</v>
      </c>
      <c r="T60" s="72">
        <f>SUM(T55:T59)</f>
        <v>0</v>
      </c>
      <c r="U60" s="73" t="e">
        <f t="shared" ref="U60" si="8">R60/S60</f>
        <v>#DIV/0!</v>
      </c>
      <c r="V60" s="72">
        <f>SUM(V55:V59)</f>
        <v>0</v>
      </c>
      <c r="W60" s="68" t="s">
        <v>82</v>
      </c>
    </row>
    <row r="61" spans="2:23" hidden="1" x14ac:dyDescent="0.35">
      <c r="B61" s="409" t="s">
        <v>16</v>
      </c>
      <c r="C61" s="410"/>
      <c r="D61" s="410"/>
      <c r="E61" s="410"/>
      <c r="F61" s="410"/>
      <c r="G61" s="410"/>
      <c r="H61" s="410"/>
      <c r="I61" s="410"/>
      <c r="J61" s="410"/>
      <c r="K61" s="410"/>
      <c r="L61" s="410"/>
      <c r="M61" s="410"/>
      <c r="N61" s="410"/>
      <c r="O61" s="410"/>
      <c r="P61" s="410"/>
      <c r="Q61" s="410"/>
      <c r="R61" s="410"/>
      <c r="S61" s="410"/>
      <c r="T61" s="410"/>
      <c r="U61" s="410"/>
      <c r="V61" s="410"/>
      <c r="W61" s="411"/>
    </row>
    <row r="62" spans="2:23" ht="16.149999999999999" hidden="1" customHeight="1" x14ac:dyDescent="0.35">
      <c r="B62" s="32" t="s">
        <v>0</v>
      </c>
      <c r="C62" s="32"/>
      <c r="D62" s="18"/>
      <c r="E62" s="18"/>
      <c r="F62" s="19"/>
      <c r="G62" s="19"/>
      <c r="H62" s="19"/>
      <c r="I62" s="19"/>
      <c r="J62" s="60" t="e">
        <f t="shared" si="7"/>
        <v>#NUM!</v>
      </c>
      <c r="K62" s="18"/>
      <c r="L62" s="18"/>
      <c r="M62" s="19"/>
      <c r="N62" s="19"/>
      <c r="O62" s="19"/>
      <c r="P62" s="18"/>
      <c r="Q62" s="61" t="s">
        <v>82</v>
      </c>
      <c r="R62" s="19"/>
      <c r="S62" s="19"/>
      <c r="T62" s="18"/>
      <c r="U62" s="18"/>
      <c r="V62" s="19"/>
      <c r="W62" s="19"/>
    </row>
    <row r="63" spans="2:23" ht="16.149999999999999" hidden="1" customHeight="1" x14ac:dyDescent="0.35">
      <c r="B63" s="32" t="s">
        <v>0</v>
      </c>
      <c r="C63" s="32"/>
      <c r="D63" s="18"/>
      <c r="E63" s="18"/>
      <c r="F63" s="19"/>
      <c r="G63" s="19"/>
      <c r="H63" s="19"/>
      <c r="I63" s="19"/>
      <c r="J63" s="60" t="e">
        <f t="shared" si="7"/>
        <v>#NUM!</v>
      </c>
      <c r="K63" s="18"/>
      <c r="L63" s="18"/>
      <c r="M63" s="19"/>
      <c r="N63" s="19"/>
      <c r="O63" s="19"/>
      <c r="P63" s="18"/>
      <c r="Q63" s="61" t="s">
        <v>82</v>
      </c>
      <c r="R63" s="19"/>
      <c r="S63" s="19"/>
      <c r="T63" s="18"/>
      <c r="U63" s="18"/>
      <c r="V63" s="19"/>
      <c r="W63" s="19"/>
    </row>
    <row r="64" spans="2:23" ht="16.149999999999999" hidden="1" customHeight="1" x14ac:dyDescent="0.35">
      <c r="B64" s="32" t="s">
        <v>0</v>
      </c>
      <c r="C64" s="32"/>
      <c r="D64" s="18"/>
      <c r="E64" s="18"/>
      <c r="F64" s="19"/>
      <c r="G64" s="19"/>
      <c r="H64" s="19"/>
      <c r="I64" s="19"/>
      <c r="J64" s="60" t="e">
        <f t="shared" si="7"/>
        <v>#NUM!</v>
      </c>
      <c r="K64" s="18"/>
      <c r="L64" s="18"/>
      <c r="M64" s="19"/>
      <c r="N64" s="19"/>
      <c r="O64" s="19"/>
      <c r="P64" s="18"/>
      <c r="Q64" s="61" t="s">
        <v>82</v>
      </c>
      <c r="R64" s="19"/>
      <c r="S64" s="19"/>
      <c r="T64" s="18"/>
      <c r="U64" s="18"/>
      <c r="V64" s="19"/>
      <c r="W64" s="19"/>
    </row>
    <row r="65" spans="2:23" ht="31.5" hidden="1" customHeight="1" x14ac:dyDescent="0.35">
      <c r="B65" s="24" t="s">
        <v>17</v>
      </c>
      <c r="C65" s="24"/>
      <c r="D65" s="65">
        <f>SUM(D62:D64)</f>
        <v>0</v>
      </c>
      <c r="E65" s="69" t="e">
        <f>F65/D65</f>
        <v>#DIV/0!</v>
      </c>
      <c r="F65" s="65">
        <f>SUM(F62:F64)</f>
        <v>0</v>
      </c>
      <c r="G65" s="70" t="e">
        <f>(F59*G59+F60*G60+F61*G61+F62*G62+F63*G63+F64*G64)/SUM(G59:G64)</f>
        <v>#DIV/0!</v>
      </c>
      <c r="H65" s="65">
        <f>SUM(H62:H64)</f>
        <v>0</v>
      </c>
      <c r="I65" s="67">
        <f>SUM(I62:I64)</f>
        <v>0</v>
      </c>
      <c r="J65" s="88" t="e">
        <f>-PMT( 0.46%,G65,I65)/F65*1000</f>
        <v>#DIV/0!</v>
      </c>
      <c r="K65" s="68" t="s">
        <v>82</v>
      </c>
      <c r="L65" s="68" t="s">
        <v>82</v>
      </c>
      <c r="M65" s="68" t="s">
        <v>82</v>
      </c>
      <c r="N65" s="68" t="s">
        <v>82</v>
      </c>
      <c r="O65" s="68" t="s">
        <v>82</v>
      </c>
      <c r="P65" s="68" t="s">
        <v>82</v>
      </c>
      <c r="Q65" s="68" t="s">
        <v>82</v>
      </c>
      <c r="R65" s="72">
        <f>SUM(R62:R64)</f>
        <v>0</v>
      </c>
      <c r="S65" s="72">
        <f>SUM(S62:S64)</f>
        <v>0</v>
      </c>
      <c r="T65" s="72">
        <f>SUM(T62:T64)</f>
        <v>0</v>
      </c>
      <c r="U65" s="73" t="e">
        <f t="shared" ref="U65:U67" si="9">R65/S65</f>
        <v>#DIV/0!</v>
      </c>
      <c r="V65" s="72">
        <f>SUM(V62:V64)</f>
        <v>0</v>
      </c>
      <c r="W65" s="68" t="s">
        <v>82</v>
      </c>
    </row>
    <row r="66" spans="2:23" ht="40.5" customHeight="1" x14ac:dyDescent="0.35">
      <c r="B66" s="37" t="s">
        <v>32</v>
      </c>
      <c r="C66" s="37"/>
      <c r="D66" s="89" t="s">
        <v>82</v>
      </c>
      <c r="E66" s="89" t="s">
        <v>82</v>
      </c>
      <c r="F66" s="89" t="s">
        <v>82</v>
      </c>
      <c r="G66" s="89" t="s">
        <v>82</v>
      </c>
      <c r="H66" s="89" t="s">
        <v>82</v>
      </c>
      <c r="I66" s="38">
        <f>6453959.63+6949809.14</f>
        <v>13403768.77</v>
      </c>
      <c r="J66" s="89" t="s">
        <v>82</v>
      </c>
      <c r="K66" s="89" t="s">
        <v>82</v>
      </c>
      <c r="L66" s="89" t="s">
        <v>82</v>
      </c>
      <c r="M66" s="89" t="s">
        <v>82</v>
      </c>
      <c r="N66" s="89" t="s">
        <v>82</v>
      </c>
      <c r="O66" s="89" t="s">
        <v>82</v>
      </c>
      <c r="P66" s="89" t="s">
        <v>82</v>
      </c>
      <c r="Q66" s="89" t="s">
        <v>82</v>
      </c>
      <c r="R66" s="89" t="s">
        <v>82</v>
      </c>
      <c r="S66" s="89" t="s">
        <v>82</v>
      </c>
      <c r="T66" s="89" t="s">
        <v>82</v>
      </c>
      <c r="U66" s="89" t="s">
        <v>82</v>
      </c>
      <c r="V66" s="89" t="s">
        <v>82</v>
      </c>
      <c r="W66" s="221" t="s">
        <v>82</v>
      </c>
    </row>
    <row r="67" spans="2:23" ht="31.5" customHeight="1" x14ac:dyDescent="0.35">
      <c r="B67" s="30" t="s">
        <v>94</v>
      </c>
      <c r="C67" s="30"/>
      <c r="D67" s="79">
        <f>SUM(D29,D44,D53,D60,D65,D66)</f>
        <v>264951.91099999996</v>
      </c>
      <c r="E67" s="230">
        <f>F67/D67</f>
        <v>0.68824942349632656</v>
      </c>
      <c r="F67" s="79">
        <f>SUM(F29,F44,F53,F60,F65,F66)</f>
        <v>182353</v>
      </c>
      <c r="G67" s="80">
        <f>H67/F67</f>
        <v>9.5243227147346072</v>
      </c>
      <c r="H67" s="79">
        <f>SUM(H29,H44,H53,H60,H65,H66)</f>
        <v>1736788.8199999998</v>
      </c>
      <c r="I67" s="81">
        <f>SUM(I29,I44,I53,I60,I65,I66)</f>
        <v>34305959.588</v>
      </c>
      <c r="J67" s="249">
        <f>-PMT( 0.46%,G67,I67)/(F67*1000)</f>
        <v>2.0233767985553878E-2</v>
      </c>
      <c r="K67" s="82" t="s">
        <v>82</v>
      </c>
      <c r="L67" s="82" t="s">
        <v>82</v>
      </c>
      <c r="M67" s="82" t="s">
        <v>82</v>
      </c>
      <c r="N67" s="82" t="s">
        <v>82</v>
      </c>
      <c r="O67" s="82" t="s">
        <v>82</v>
      </c>
      <c r="P67" s="82" t="s">
        <v>82</v>
      </c>
      <c r="Q67" s="82" t="s">
        <v>82</v>
      </c>
      <c r="R67" s="81">
        <f>SUM(R29,R44,R53,R60,R65,R66)</f>
        <v>64444736</v>
      </c>
      <c r="S67" s="81">
        <f>SUM(S29,S44,S53,S60,S65,S66)</f>
        <v>22818802</v>
      </c>
      <c r="T67" s="81">
        <f>SUM(T29,T44,T53,T60,T65,T66)</f>
        <v>41625934</v>
      </c>
      <c r="U67" s="80">
        <f t="shared" si="9"/>
        <v>2.8241945392225234</v>
      </c>
      <c r="V67" s="128">
        <f>SUM(V29,V44,V53,V60,V65,V66)</f>
        <v>3173572</v>
      </c>
      <c r="W67" s="222" t="s">
        <v>82</v>
      </c>
    </row>
    <row r="68" spans="2:23" s="22" customFormat="1" ht="18" customHeight="1" x14ac:dyDescent="0.35">
      <c r="B68" s="26"/>
      <c r="C68" s="26"/>
      <c r="D68" s="11"/>
      <c r="E68" s="11"/>
      <c r="F68" s="12"/>
      <c r="G68" s="12"/>
      <c r="H68" s="12"/>
      <c r="I68" s="12"/>
      <c r="J68" s="12"/>
      <c r="K68" s="12"/>
      <c r="L68" s="12"/>
    </row>
    <row r="69" spans="2:23" x14ac:dyDescent="0.35">
      <c r="B69" s="344" t="s">
        <v>3</v>
      </c>
      <c r="C69" s="343"/>
      <c r="D69" s="343"/>
      <c r="E69" s="343"/>
      <c r="F69" s="343"/>
      <c r="G69" s="343"/>
      <c r="H69" s="343"/>
      <c r="I69" s="343"/>
      <c r="J69" s="343"/>
      <c r="K69" s="343"/>
      <c r="L69" s="343"/>
      <c r="M69" s="42"/>
    </row>
    <row r="70" spans="2:23" x14ac:dyDescent="0.35">
      <c r="B70" s="343" t="s">
        <v>308</v>
      </c>
      <c r="C70" s="343"/>
      <c r="D70" s="343"/>
      <c r="E70" s="343"/>
      <c r="F70" s="343"/>
      <c r="G70" s="343"/>
      <c r="H70" s="343"/>
      <c r="I70" s="343"/>
      <c r="J70" s="343"/>
      <c r="K70" s="343"/>
      <c r="L70" s="343"/>
      <c r="M70" s="42"/>
    </row>
    <row r="71" spans="2:23" x14ac:dyDescent="0.35">
      <c r="B71" s="343" t="s">
        <v>369</v>
      </c>
    </row>
    <row r="72" spans="2:23" x14ac:dyDescent="0.35">
      <c r="B72" s="343" t="s">
        <v>329</v>
      </c>
    </row>
    <row r="74" spans="2:23" x14ac:dyDescent="0.35">
      <c r="B74" s="45" t="s">
        <v>48</v>
      </c>
    </row>
    <row r="75" spans="2:23" x14ac:dyDescent="0.35">
      <c r="B75" s="7" t="s">
        <v>91</v>
      </c>
    </row>
    <row r="76" spans="2:23" x14ac:dyDescent="0.35">
      <c r="B76" s="7" t="s">
        <v>92</v>
      </c>
    </row>
    <row r="77" spans="2:23" x14ac:dyDescent="0.35">
      <c r="B77" s="7" t="s">
        <v>93</v>
      </c>
    </row>
    <row r="78" spans="2:23" x14ac:dyDescent="0.35">
      <c r="B78" s="342" t="s">
        <v>307</v>
      </c>
    </row>
    <row r="79" spans="2:23" x14ac:dyDescent="0.35">
      <c r="B79" s="7"/>
    </row>
  </sheetData>
  <mergeCells count="8">
    <mergeCell ref="B54:W54"/>
    <mergeCell ref="B61:W61"/>
    <mergeCell ref="B5:L6"/>
    <mergeCell ref="B8:L15"/>
    <mergeCell ref="B19:W19"/>
    <mergeCell ref="B21:W21"/>
    <mergeCell ref="B32:W32"/>
    <mergeCell ref="B45:W45"/>
  </mergeCells>
  <printOptions horizontalCentered="1" headings="1"/>
  <pageMargins left="0.5" right="0.5" top="1.25" bottom="1" header="0.5" footer="0.5"/>
  <pageSetup scale="37" orientation="landscape" r:id="rId1"/>
  <headerFooter scaleWithDoc="0">
    <oddHeader>&amp;R&amp;"Arial,Bold"ICC Dkt. No. 17-0312
2019 Statewide Annual Report Template
Tab: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385F9-39CB-414B-BEAD-0C8A4E24CD5E}">
  <sheetPr>
    <pageSetUpPr fitToPage="1"/>
  </sheetPr>
  <dimension ref="B1:W74"/>
  <sheetViews>
    <sheetView zoomScale="90" zoomScaleNormal="90" workbookViewId="0">
      <selection activeCell="B83" sqref="B83:G83"/>
    </sheetView>
  </sheetViews>
  <sheetFormatPr defaultRowHeight="14.5" x14ac:dyDescent="0.35"/>
  <cols>
    <col min="1" max="1" width="2.7265625" customWidth="1"/>
    <col min="2" max="2" width="36.7265625" customWidth="1"/>
    <col min="3" max="3" width="20.7265625" customWidth="1"/>
    <col min="4" max="4" width="16.453125" bestFit="1" customWidth="1"/>
    <col min="5" max="5" width="13.1796875" bestFit="1" customWidth="1"/>
    <col min="6" max="6" width="14.81640625" bestFit="1" customWidth="1"/>
    <col min="7" max="7" width="12.453125" bestFit="1" customWidth="1"/>
    <col min="8" max="8" width="11.54296875" bestFit="1" customWidth="1"/>
    <col min="9" max="9" width="14.453125" customWidth="1"/>
    <col min="10" max="10" width="15.453125" customWidth="1"/>
    <col min="11" max="11" width="15" bestFit="1" customWidth="1"/>
    <col min="12" max="12" width="12.81640625" bestFit="1" customWidth="1"/>
    <col min="13" max="13" width="14.81640625" bestFit="1" customWidth="1"/>
    <col min="14" max="14" width="13.81640625" bestFit="1" customWidth="1"/>
    <col min="15" max="15" width="11.54296875" bestFit="1" customWidth="1"/>
    <col min="16" max="16" width="14.26953125" customWidth="1"/>
    <col min="17" max="17" width="17" customWidth="1"/>
    <col min="18" max="18" width="16.81640625" customWidth="1"/>
    <col min="19" max="19" width="14.26953125" customWidth="1"/>
    <col min="20" max="20" width="16" customWidth="1"/>
    <col min="21" max="22" width="14.26953125" customWidth="1"/>
    <col min="23" max="23" width="15.81640625" bestFit="1" customWidth="1"/>
  </cols>
  <sheetData>
    <row r="1" spans="2:12" x14ac:dyDescent="0.35">
      <c r="B1" s="6" t="s">
        <v>27</v>
      </c>
      <c r="C1" s="6"/>
      <c r="D1" s="6"/>
      <c r="E1" s="6"/>
    </row>
    <row r="2" spans="2:12" x14ac:dyDescent="0.35">
      <c r="B2" s="6" t="s">
        <v>373</v>
      </c>
      <c r="C2" s="6"/>
      <c r="D2" s="6"/>
      <c r="E2" s="6"/>
    </row>
    <row r="3" spans="2:12" x14ac:dyDescent="0.35">
      <c r="B3" s="6" t="s">
        <v>392</v>
      </c>
      <c r="C3" s="6"/>
      <c r="D3" s="6"/>
      <c r="E3" s="6"/>
    </row>
    <row r="4" spans="2:12" ht="10.5" customHeight="1"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ht="9.75" customHeight="1" x14ac:dyDescent="0.35">
      <c r="B7" s="25"/>
      <c r="C7" s="25"/>
      <c r="D7" s="6"/>
      <c r="E7" s="6"/>
    </row>
    <row r="8" spans="2:12" ht="39"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203.25" customHeight="1" x14ac:dyDescent="0.35">
      <c r="B15" s="419"/>
      <c r="C15" s="420"/>
      <c r="D15" s="420"/>
      <c r="E15" s="420"/>
      <c r="F15" s="420"/>
      <c r="G15" s="420"/>
      <c r="H15" s="420"/>
      <c r="I15" s="420"/>
      <c r="J15" s="420"/>
      <c r="K15" s="420"/>
      <c r="L15" s="421"/>
    </row>
    <row r="16" spans="2:12" ht="17.649999999999999"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2.75" customHeight="1" x14ac:dyDescent="0.35">
      <c r="B18" s="21"/>
      <c r="C18" s="21"/>
      <c r="D18" s="21"/>
      <c r="E18" s="21"/>
      <c r="F18" s="21"/>
      <c r="G18" s="21"/>
      <c r="H18" s="21"/>
      <c r="I18" s="21"/>
      <c r="J18" s="21"/>
      <c r="K18" s="21"/>
      <c r="L18" s="21"/>
    </row>
    <row r="19" spans="2:23" ht="20.149999999999999" customHeight="1" x14ac:dyDescent="0.35">
      <c r="B19" s="430" t="s">
        <v>118</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101</v>
      </c>
      <c r="C22" s="53" t="s">
        <v>81</v>
      </c>
      <c r="D22" s="260">
        <v>5371</v>
      </c>
      <c r="E22" s="97">
        <v>0.56000000000000005</v>
      </c>
      <c r="F22" s="108">
        <v>3008</v>
      </c>
      <c r="G22" s="232">
        <v>4.3</v>
      </c>
      <c r="H22" s="56">
        <f t="shared" ref="H22:H28" si="0">F22*G22</f>
        <v>12934.4</v>
      </c>
      <c r="I22" s="59" t="s">
        <v>82</v>
      </c>
      <c r="J22" s="59" t="s">
        <v>82</v>
      </c>
      <c r="K22" s="61" t="s">
        <v>82</v>
      </c>
      <c r="L22" s="61" t="s">
        <v>82</v>
      </c>
      <c r="M22" s="61" t="s">
        <v>82</v>
      </c>
      <c r="N22" s="61" t="s">
        <v>82</v>
      </c>
      <c r="O22" s="61" t="s">
        <v>82</v>
      </c>
      <c r="P22" s="61" t="s">
        <v>82</v>
      </c>
      <c r="Q22" s="61" t="s">
        <v>82</v>
      </c>
      <c r="R22" s="59" t="s">
        <v>82</v>
      </c>
      <c r="S22" s="59" t="s">
        <v>82</v>
      </c>
      <c r="T22" s="59" t="s">
        <v>82</v>
      </c>
      <c r="U22" s="55" t="s">
        <v>82</v>
      </c>
      <c r="V22" s="56" t="s">
        <v>82</v>
      </c>
      <c r="W22" s="115" t="s">
        <v>141</v>
      </c>
    </row>
    <row r="23" spans="2:23" x14ac:dyDescent="0.35">
      <c r="B23" s="2" t="s">
        <v>83</v>
      </c>
      <c r="C23" s="53" t="s">
        <v>81</v>
      </c>
      <c r="D23" s="117">
        <v>259093</v>
      </c>
      <c r="E23" s="110">
        <v>0.74</v>
      </c>
      <c r="F23" s="108">
        <v>191896</v>
      </c>
      <c r="G23" s="111">
        <v>11</v>
      </c>
      <c r="H23" s="112">
        <f t="shared" si="0"/>
        <v>2110856</v>
      </c>
      <c r="I23" s="194">
        <v>17392918.528000001</v>
      </c>
      <c r="J23" s="287">
        <f>-PMT( 0.46%,G23,I23)/(F23*1000)</f>
        <v>8.4689030539106275E-3</v>
      </c>
      <c r="K23" s="61" t="s">
        <v>82</v>
      </c>
      <c r="L23" s="61" t="s">
        <v>82</v>
      </c>
      <c r="M23" s="61" t="s">
        <v>82</v>
      </c>
      <c r="N23" s="61" t="s">
        <v>82</v>
      </c>
      <c r="O23" s="61" t="s">
        <v>82</v>
      </c>
      <c r="P23" s="61" t="s">
        <v>82</v>
      </c>
      <c r="Q23" s="61" t="s">
        <v>82</v>
      </c>
      <c r="R23" s="75">
        <v>155309707</v>
      </c>
      <c r="S23" s="75">
        <v>58263327</v>
      </c>
      <c r="T23" s="75">
        <f>R23-S23</f>
        <v>97046380</v>
      </c>
      <c r="U23" s="63">
        <v>2.67</v>
      </c>
      <c r="V23" s="56">
        <v>1739</v>
      </c>
      <c r="W23" s="199" t="s">
        <v>235</v>
      </c>
    </row>
    <row r="24" spans="2:23" x14ac:dyDescent="0.35">
      <c r="B24" s="2" t="s">
        <v>84</v>
      </c>
      <c r="C24" s="53" t="s">
        <v>81</v>
      </c>
      <c r="D24" s="117">
        <v>22697</v>
      </c>
      <c r="E24" s="110">
        <v>0.76</v>
      </c>
      <c r="F24" s="108">
        <v>17255</v>
      </c>
      <c r="G24" s="111">
        <v>11</v>
      </c>
      <c r="H24" s="112">
        <f t="shared" si="0"/>
        <v>189805</v>
      </c>
      <c r="I24" s="133">
        <v>3757153.3820000002</v>
      </c>
      <c r="J24" s="287">
        <f>-PMT( 0.46%,G24,I24)/(F24*1000)</f>
        <v>2.0345322684264047E-2</v>
      </c>
      <c r="K24" s="61" t="s">
        <v>82</v>
      </c>
      <c r="L24" s="61" t="s">
        <v>82</v>
      </c>
      <c r="M24" s="61" t="s">
        <v>82</v>
      </c>
      <c r="N24" s="61" t="s">
        <v>82</v>
      </c>
      <c r="O24" s="61" t="s">
        <v>82</v>
      </c>
      <c r="P24" s="61" t="s">
        <v>82</v>
      </c>
      <c r="Q24" s="61" t="s">
        <v>82</v>
      </c>
      <c r="R24" s="75">
        <v>13821747</v>
      </c>
      <c r="S24" s="75">
        <v>7594225</v>
      </c>
      <c r="T24" s="75">
        <f>R24-S24</f>
        <v>6227522</v>
      </c>
      <c r="U24" s="63">
        <v>1.82</v>
      </c>
      <c r="V24" s="56">
        <v>340</v>
      </c>
      <c r="W24" s="199" t="s">
        <v>235</v>
      </c>
    </row>
    <row r="25" spans="2:23" x14ac:dyDescent="0.35">
      <c r="B25" s="2" t="s">
        <v>85</v>
      </c>
      <c r="C25" s="53" t="s">
        <v>81</v>
      </c>
      <c r="D25" s="117">
        <v>7174</v>
      </c>
      <c r="E25" s="110">
        <v>0.92</v>
      </c>
      <c r="F25" s="108">
        <v>6574</v>
      </c>
      <c r="G25" s="111">
        <v>3</v>
      </c>
      <c r="H25" s="112">
        <f t="shared" si="0"/>
        <v>19722</v>
      </c>
      <c r="I25" s="75">
        <v>2166947.6367510762</v>
      </c>
      <c r="J25" s="287">
        <f>-PMT( 0.46%,G25,I25)/(F25*1000)</f>
        <v>0.11088703241140084</v>
      </c>
      <c r="K25" s="61" t="s">
        <v>82</v>
      </c>
      <c r="L25" s="61" t="s">
        <v>82</v>
      </c>
      <c r="M25" s="61" t="s">
        <v>82</v>
      </c>
      <c r="N25" s="61" t="s">
        <v>82</v>
      </c>
      <c r="O25" s="61" t="s">
        <v>82</v>
      </c>
      <c r="P25" s="61" t="s">
        <v>82</v>
      </c>
      <c r="Q25" s="61" t="s">
        <v>82</v>
      </c>
      <c r="R25" s="75">
        <v>1495145</v>
      </c>
      <c r="S25" s="75">
        <v>1063582</v>
      </c>
      <c r="T25" s="75">
        <f>R25-S25</f>
        <v>431563</v>
      </c>
      <c r="U25" s="63">
        <v>1.41</v>
      </c>
      <c r="V25" s="56">
        <v>34</v>
      </c>
      <c r="W25" s="115" t="s">
        <v>213</v>
      </c>
    </row>
    <row r="26" spans="2:23" x14ac:dyDescent="0.35">
      <c r="B26" s="2" t="s">
        <v>86</v>
      </c>
      <c r="C26" s="53" t="s">
        <v>81</v>
      </c>
      <c r="D26" s="117">
        <v>1368</v>
      </c>
      <c r="E26" s="110">
        <v>0.59</v>
      </c>
      <c r="F26" s="108">
        <v>803</v>
      </c>
      <c r="G26" s="111">
        <v>15</v>
      </c>
      <c r="H26" s="112">
        <f t="shared" si="0"/>
        <v>12045</v>
      </c>
      <c r="I26" s="75">
        <v>640888.21270742861</v>
      </c>
      <c r="J26" s="287">
        <f>-PMT( 0.46%,G26,I26)/(F26*1000)</f>
        <v>5.5186836093864142E-2</v>
      </c>
      <c r="K26" s="61" t="s">
        <v>82</v>
      </c>
      <c r="L26" s="61" t="s">
        <v>82</v>
      </c>
      <c r="M26" s="61" t="s">
        <v>82</v>
      </c>
      <c r="N26" s="61" t="s">
        <v>82</v>
      </c>
      <c r="O26" s="61" t="s">
        <v>82</v>
      </c>
      <c r="P26" s="61" t="s">
        <v>82</v>
      </c>
      <c r="Q26" s="61" t="s">
        <v>82</v>
      </c>
      <c r="R26" s="75">
        <v>864430</v>
      </c>
      <c r="S26" s="75">
        <v>994679</v>
      </c>
      <c r="T26" s="75">
        <f>R26-S26</f>
        <v>-130249</v>
      </c>
      <c r="U26" s="63">
        <v>0.87</v>
      </c>
      <c r="V26" s="56">
        <v>16</v>
      </c>
      <c r="W26" s="199" t="s">
        <v>235</v>
      </c>
    </row>
    <row r="27" spans="2:23" x14ac:dyDescent="0.35">
      <c r="B27" s="288" t="s">
        <v>299</v>
      </c>
      <c r="C27" s="53" t="s">
        <v>295</v>
      </c>
      <c r="D27" s="117">
        <v>26776.527999999998</v>
      </c>
      <c r="E27" s="110">
        <f>F27/D27</f>
        <v>0.75000000000000011</v>
      </c>
      <c r="F27" s="117">
        <v>20082.396000000001</v>
      </c>
      <c r="G27" s="111">
        <v>15</v>
      </c>
      <c r="H27" s="117">
        <f t="shared" si="0"/>
        <v>301235.94</v>
      </c>
      <c r="I27" s="61" t="s">
        <v>82</v>
      </c>
      <c r="J27" s="61" t="s">
        <v>82</v>
      </c>
      <c r="K27" s="61" t="s">
        <v>82</v>
      </c>
      <c r="L27" s="61" t="s">
        <v>82</v>
      </c>
      <c r="M27" s="61" t="s">
        <v>82</v>
      </c>
      <c r="N27" s="61" t="s">
        <v>82</v>
      </c>
      <c r="O27" s="61" t="s">
        <v>82</v>
      </c>
      <c r="P27" s="61" t="s">
        <v>82</v>
      </c>
      <c r="Q27" s="61" t="s">
        <v>82</v>
      </c>
      <c r="R27" s="61" t="s">
        <v>82</v>
      </c>
      <c r="S27" s="61" t="s">
        <v>82</v>
      </c>
      <c r="T27" s="61" t="s">
        <v>82</v>
      </c>
      <c r="U27" s="55">
        <v>1.8</v>
      </c>
      <c r="V27" s="117">
        <v>286</v>
      </c>
      <c r="W27" s="199" t="s">
        <v>235</v>
      </c>
    </row>
    <row r="28" spans="2:23" x14ac:dyDescent="0.35">
      <c r="B28" s="288" t="s">
        <v>300</v>
      </c>
      <c r="C28" s="53" t="s">
        <v>295</v>
      </c>
      <c r="D28" s="117">
        <v>9104.18</v>
      </c>
      <c r="E28" s="110">
        <f>F28/D28</f>
        <v>0.6542235544552063</v>
      </c>
      <c r="F28" s="117">
        <v>5956.1689999999999</v>
      </c>
      <c r="G28" s="111">
        <v>15</v>
      </c>
      <c r="H28" s="117">
        <f t="shared" si="0"/>
        <v>89342.535000000003</v>
      </c>
      <c r="I28" s="61" t="s">
        <v>82</v>
      </c>
      <c r="J28" s="61" t="s">
        <v>82</v>
      </c>
      <c r="K28" s="61" t="s">
        <v>82</v>
      </c>
      <c r="L28" s="61" t="s">
        <v>82</v>
      </c>
      <c r="M28" s="61" t="s">
        <v>82</v>
      </c>
      <c r="N28" s="61" t="s">
        <v>82</v>
      </c>
      <c r="O28" s="61" t="s">
        <v>82</v>
      </c>
      <c r="P28" s="61" t="s">
        <v>82</v>
      </c>
      <c r="Q28" s="61" t="s">
        <v>82</v>
      </c>
      <c r="R28" s="61" t="s">
        <v>82</v>
      </c>
      <c r="S28" s="61" t="s">
        <v>82</v>
      </c>
      <c r="T28" s="61" t="s">
        <v>82</v>
      </c>
      <c r="U28" s="55">
        <v>1.48</v>
      </c>
      <c r="V28" s="117">
        <v>82</v>
      </c>
      <c r="W28" s="199" t="s">
        <v>235</v>
      </c>
    </row>
    <row r="29" spans="2:23" x14ac:dyDescent="0.35">
      <c r="B29" s="4" t="s">
        <v>7</v>
      </c>
      <c r="C29" s="4"/>
      <c r="D29" s="65">
        <f>SUM(D22:D28)</f>
        <v>331583.70799999998</v>
      </c>
      <c r="E29" s="237">
        <f>F29/D29</f>
        <v>0.74061107067419618</v>
      </c>
      <c r="F29" s="65">
        <f>SUM(F22:F28)</f>
        <v>245574.565</v>
      </c>
      <c r="G29" s="118">
        <f>H29/F29</f>
        <v>11.140978199432013</v>
      </c>
      <c r="H29" s="65">
        <f>SUM(H22:H28)</f>
        <v>2735940.875</v>
      </c>
      <c r="I29" s="67">
        <f>SUM(I22:I28)</f>
        <v>23957907.759458505</v>
      </c>
      <c r="J29" s="248">
        <f>-PMT( 0.46%,G29,I29)/(F29*1000)</f>
        <v>9.0031563881598376E-3</v>
      </c>
      <c r="K29" s="68" t="s">
        <v>82</v>
      </c>
      <c r="L29" s="68" t="s">
        <v>82</v>
      </c>
      <c r="M29" s="68" t="s">
        <v>82</v>
      </c>
      <c r="N29" s="68" t="s">
        <v>82</v>
      </c>
      <c r="O29" s="68" t="s">
        <v>82</v>
      </c>
      <c r="P29" s="68" t="s">
        <v>82</v>
      </c>
      <c r="Q29" s="68" t="s">
        <v>82</v>
      </c>
      <c r="R29" s="215">
        <f>SUM(R22:R28)</f>
        <v>171491029</v>
      </c>
      <c r="S29" s="215">
        <f>SUM(S22:S28)</f>
        <v>67915813</v>
      </c>
      <c r="T29" s="215">
        <f>SUM(T22:T28)</f>
        <v>103575216</v>
      </c>
      <c r="U29" s="73">
        <f t="shared" ref="U29" si="1">R29/S29</f>
        <v>2.5250530241020601</v>
      </c>
      <c r="V29" s="74">
        <f>SUM(V22:V28)</f>
        <v>2497</v>
      </c>
      <c r="W29" s="68" t="s">
        <v>82</v>
      </c>
    </row>
    <row r="30" spans="2:23" x14ac:dyDescent="0.35">
      <c r="B30" s="31" t="s">
        <v>14</v>
      </c>
      <c r="C30" s="31"/>
      <c r="D30" s="255">
        <f>SUM(D22:D26)</f>
        <v>295703</v>
      </c>
      <c r="E30" s="259">
        <f>F30/D30</f>
        <v>0.7424206044578513</v>
      </c>
      <c r="F30" s="255">
        <f>SUM(F22:F26)</f>
        <v>219536</v>
      </c>
      <c r="G30" s="256">
        <f>H30/F30</f>
        <v>10.683270169812696</v>
      </c>
      <c r="H30" s="255">
        <f>SUM(H22:H26)</f>
        <v>2345362.4</v>
      </c>
      <c r="I30" s="321">
        <f>SUM(I22:I26)</f>
        <v>23957907.759458505</v>
      </c>
      <c r="J30" s="322">
        <f t="shared" ref="J30" si="2">-PMT( 0.46%,G30,I30)/(F30*1000)</f>
        <v>1.0491539132277437E-2</v>
      </c>
      <c r="K30" s="349" t="s">
        <v>82</v>
      </c>
      <c r="L30" s="349" t="s">
        <v>82</v>
      </c>
      <c r="M30" s="349" t="s">
        <v>82</v>
      </c>
      <c r="N30" s="349" t="s">
        <v>82</v>
      </c>
      <c r="O30" s="349" t="s">
        <v>82</v>
      </c>
      <c r="P30" s="349" t="s">
        <v>82</v>
      </c>
      <c r="Q30" s="349" t="s">
        <v>82</v>
      </c>
      <c r="R30" s="321">
        <f>SUM(R22:R26)</f>
        <v>171491029</v>
      </c>
      <c r="S30" s="321">
        <f>SUM(S22:S26)</f>
        <v>67915813</v>
      </c>
      <c r="T30" s="325">
        <f>R30-S30</f>
        <v>103575216</v>
      </c>
      <c r="U30" s="259">
        <f>R30/S30</f>
        <v>2.5250530241020601</v>
      </c>
      <c r="V30" s="326" t="s">
        <v>82</v>
      </c>
      <c r="W30" s="326" t="s">
        <v>82</v>
      </c>
    </row>
    <row r="31" spans="2:23" x14ac:dyDescent="0.35">
      <c r="B31" s="31" t="s">
        <v>15</v>
      </c>
      <c r="C31" s="31"/>
      <c r="D31" s="255">
        <f>SUM(D27:D28)</f>
        <v>35880.707999999999</v>
      </c>
      <c r="E31" s="259">
        <f>F31/D31</f>
        <v>0.72569819413819825</v>
      </c>
      <c r="F31" s="255">
        <f>SUM(F27:F28)</f>
        <v>26038.565000000002</v>
      </c>
      <c r="G31" s="256">
        <f>H31/F31</f>
        <v>14.999999999999998</v>
      </c>
      <c r="H31" s="255">
        <f>SUM(H27:H28)</f>
        <v>390578.47499999998</v>
      </c>
      <c r="I31" s="349" t="s">
        <v>82</v>
      </c>
      <c r="J31" s="349" t="s">
        <v>82</v>
      </c>
      <c r="K31" s="349" t="s">
        <v>82</v>
      </c>
      <c r="L31" s="349" t="s">
        <v>82</v>
      </c>
      <c r="M31" s="349" t="s">
        <v>82</v>
      </c>
      <c r="N31" s="349" t="s">
        <v>82</v>
      </c>
      <c r="O31" s="349" t="s">
        <v>82</v>
      </c>
      <c r="P31" s="349" t="s">
        <v>82</v>
      </c>
      <c r="Q31" s="349" t="s">
        <v>82</v>
      </c>
      <c r="R31" s="349" t="s">
        <v>82</v>
      </c>
      <c r="S31" s="349" t="s">
        <v>82</v>
      </c>
      <c r="T31" s="349" t="s">
        <v>82</v>
      </c>
      <c r="U31" s="349" t="s">
        <v>82</v>
      </c>
      <c r="V31" s="326" t="s">
        <v>82</v>
      </c>
      <c r="W31" s="326" t="s">
        <v>82</v>
      </c>
    </row>
    <row r="32" spans="2:23" ht="15.65" customHeight="1" x14ac:dyDescent="0.35">
      <c r="B32" s="409" t="s">
        <v>1</v>
      </c>
      <c r="C32" s="410"/>
      <c r="D32" s="410"/>
      <c r="E32" s="410"/>
      <c r="F32" s="410"/>
      <c r="G32" s="410"/>
      <c r="H32" s="410"/>
      <c r="I32" s="410"/>
      <c r="J32" s="410"/>
      <c r="K32" s="410"/>
      <c r="L32" s="410"/>
      <c r="M32" s="410"/>
      <c r="N32" s="410"/>
      <c r="O32" s="410"/>
      <c r="P32" s="410"/>
      <c r="Q32" s="410"/>
      <c r="R32" s="410"/>
      <c r="S32" s="410"/>
      <c r="T32" s="410"/>
      <c r="U32" s="410"/>
      <c r="V32" s="410"/>
      <c r="W32" s="411"/>
    </row>
    <row r="33" spans="2:23" x14ac:dyDescent="0.35">
      <c r="B33" s="2" t="s">
        <v>87</v>
      </c>
      <c r="C33" s="53" t="s">
        <v>81</v>
      </c>
      <c r="D33" s="109">
        <v>346526</v>
      </c>
      <c r="E33" s="110">
        <v>0.57999999999999996</v>
      </c>
      <c r="F33" s="117">
        <v>202557</v>
      </c>
      <c r="G33" s="116">
        <v>9</v>
      </c>
      <c r="H33" s="112">
        <f>F33*G33</f>
        <v>1823013</v>
      </c>
      <c r="I33" s="3">
        <v>11870350.881235758</v>
      </c>
      <c r="J33" s="287">
        <f>-PMT( 0.46%,G33,I33)/(F33*1000)</f>
        <v>6.6620696476877642E-3</v>
      </c>
      <c r="K33" s="61" t="s">
        <v>82</v>
      </c>
      <c r="L33" s="61" t="s">
        <v>82</v>
      </c>
      <c r="M33" s="61" t="s">
        <v>82</v>
      </c>
      <c r="N33" s="61" t="s">
        <v>82</v>
      </c>
      <c r="O33" s="61" t="s">
        <v>82</v>
      </c>
      <c r="P33" s="61" t="s">
        <v>82</v>
      </c>
      <c r="Q33" s="61" t="s">
        <v>82</v>
      </c>
      <c r="R33" s="78">
        <v>88084120</v>
      </c>
      <c r="S33" s="78">
        <v>15077425</v>
      </c>
      <c r="T33" s="125">
        <f>R33-S33</f>
        <v>73006695</v>
      </c>
      <c r="U33" s="63">
        <v>4.8899999999999997</v>
      </c>
      <c r="V33" s="83">
        <v>8284376</v>
      </c>
      <c r="W33" s="115" t="s">
        <v>141</v>
      </c>
    </row>
    <row r="34" spans="2:23" x14ac:dyDescent="0.35">
      <c r="B34" s="2" t="s">
        <v>102</v>
      </c>
      <c r="C34" s="53" t="s">
        <v>81</v>
      </c>
      <c r="D34" s="109">
        <v>18761</v>
      </c>
      <c r="E34" s="110">
        <v>0.69148766057246414</v>
      </c>
      <c r="F34" s="117">
        <v>12973</v>
      </c>
      <c r="G34" s="116">
        <v>9</v>
      </c>
      <c r="H34" s="112">
        <f>F34*G34</f>
        <v>116757</v>
      </c>
      <c r="I34" s="87" t="s">
        <v>82</v>
      </c>
      <c r="J34" s="87" t="s">
        <v>82</v>
      </c>
      <c r="K34" s="61" t="s">
        <v>82</v>
      </c>
      <c r="L34" s="61" t="s">
        <v>82</v>
      </c>
      <c r="M34" s="61" t="s">
        <v>82</v>
      </c>
      <c r="N34" s="61" t="s">
        <v>82</v>
      </c>
      <c r="O34" s="61" t="s">
        <v>82</v>
      </c>
      <c r="P34" s="61" t="s">
        <v>82</v>
      </c>
      <c r="Q34" s="61" t="s">
        <v>82</v>
      </c>
      <c r="R34" s="59" t="s">
        <v>82</v>
      </c>
      <c r="S34" s="59" t="s">
        <v>82</v>
      </c>
      <c r="T34" s="59" t="s">
        <v>82</v>
      </c>
      <c r="U34" s="55" t="s">
        <v>82</v>
      </c>
      <c r="V34" s="56" t="s">
        <v>82</v>
      </c>
      <c r="W34" s="115" t="s">
        <v>141</v>
      </c>
    </row>
    <row r="35" spans="2:23" x14ac:dyDescent="0.35">
      <c r="B35" s="2" t="s">
        <v>88</v>
      </c>
      <c r="C35" s="53" t="s">
        <v>81</v>
      </c>
      <c r="D35" s="109">
        <v>43788</v>
      </c>
      <c r="E35" s="110">
        <v>0.75</v>
      </c>
      <c r="F35" s="117">
        <v>32624</v>
      </c>
      <c r="G35" s="116">
        <v>8</v>
      </c>
      <c r="H35" s="112">
        <f t="shared" ref="H35:H38" si="3">F35*G35</f>
        <v>260992</v>
      </c>
      <c r="I35" s="3">
        <v>3755622.6499397052</v>
      </c>
      <c r="J35" s="287">
        <f>-PMT( 0.46%,G35,I35)/(F35*1000)</f>
        <v>1.4689263597200046E-2</v>
      </c>
      <c r="K35" s="61" t="s">
        <v>82</v>
      </c>
      <c r="L35" s="61" t="s">
        <v>82</v>
      </c>
      <c r="M35" s="61" t="s">
        <v>82</v>
      </c>
      <c r="N35" s="61" t="s">
        <v>82</v>
      </c>
      <c r="O35" s="61" t="s">
        <v>82</v>
      </c>
      <c r="P35" s="61" t="s">
        <v>82</v>
      </c>
      <c r="Q35" s="61" t="s">
        <v>82</v>
      </c>
      <c r="R35" s="216">
        <v>13029001</v>
      </c>
      <c r="S35" s="216">
        <v>3280326</v>
      </c>
      <c r="T35" s="125">
        <f>R35-S35</f>
        <v>9748675</v>
      </c>
      <c r="U35" s="63">
        <v>3.97</v>
      </c>
      <c r="V35" s="83">
        <v>25735</v>
      </c>
      <c r="W35" s="115" t="s">
        <v>141</v>
      </c>
    </row>
    <row r="36" spans="2:23" x14ac:dyDescent="0.35">
      <c r="B36" s="2" t="s">
        <v>89</v>
      </c>
      <c r="C36" s="53" t="s">
        <v>81</v>
      </c>
      <c r="D36" s="109">
        <v>2090</v>
      </c>
      <c r="E36" s="110">
        <v>0.8</v>
      </c>
      <c r="F36" s="117">
        <v>1840</v>
      </c>
      <c r="G36" s="116">
        <v>9</v>
      </c>
      <c r="H36" s="112">
        <f t="shared" si="3"/>
        <v>16560</v>
      </c>
      <c r="I36" s="3">
        <v>855633.49926989165</v>
      </c>
      <c r="J36" s="287">
        <f>-PMT( 0.46%,G36,I36)/(F36*1000)</f>
        <v>5.2864341237172915E-2</v>
      </c>
      <c r="K36" s="61" t="s">
        <v>82</v>
      </c>
      <c r="L36" s="61" t="s">
        <v>82</v>
      </c>
      <c r="M36" s="61" t="s">
        <v>82</v>
      </c>
      <c r="N36" s="61" t="s">
        <v>82</v>
      </c>
      <c r="O36" s="61" t="s">
        <v>82</v>
      </c>
      <c r="P36" s="61" t="s">
        <v>82</v>
      </c>
      <c r="Q36" s="61" t="s">
        <v>82</v>
      </c>
      <c r="R36" s="78">
        <v>674330</v>
      </c>
      <c r="S36" s="78">
        <v>269277</v>
      </c>
      <c r="T36" s="125">
        <f>R36-S36</f>
        <v>405053</v>
      </c>
      <c r="U36" s="63">
        <v>2.5</v>
      </c>
      <c r="V36" s="56">
        <v>4219</v>
      </c>
      <c r="W36" s="199" t="s">
        <v>312</v>
      </c>
    </row>
    <row r="37" spans="2:23" x14ac:dyDescent="0.35">
      <c r="B37" s="2" t="s">
        <v>103</v>
      </c>
      <c r="C37" s="53" t="s">
        <v>81</v>
      </c>
      <c r="D37" s="109">
        <v>721</v>
      </c>
      <c r="E37" s="110">
        <v>0.88</v>
      </c>
      <c r="F37" s="117">
        <v>638</v>
      </c>
      <c r="G37" s="116">
        <v>9</v>
      </c>
      <c r="H37" s="112">
        <f t="shared" si="3"/>
        <v>5742</v>
      </c>
      <c r="I37" s="3">
        <v>406577.33926989173</v>
      </c>
      <c r="J37" s="287">
        <f>-PMT( 0.46%,G37,I37)/(F37*1000)</f>
        <v>7.2446158032689556E-2</v>
      </c>
      <c r="K37" s="61" t="s">
        <v>82</v>
      </c>
      <c r="L37" s="61" t="s">
        <v>82</v>
      </c>
      <c r="M37" s="61" t="s">
        <v>82</v>
      </c>
      <c r="N37" s="61" t="s">
        <v>82</v>
      </c>
      <c r="O37" s="61" t="s">
        <v>82</v>
      </c>
      <c r="P37" s="61" t="s">
        <v>82</v>
      </c>
      <c r="Q37" s="61" t="s">
        <v>82</v>
      </c>
      <c r="R37" s="78">
        <v>236991</v>
      </c>
      <c r="S37" s="78">
        <v>250500</v>
      </c>
      <c r="T37" s="125">
        <f>R37-S37</f>
        <v>-13509</v>
      </c>
      <c r="U37" s="63">
        <v>0.95</v>
      </c>
      <c r="V37" s="56">
        <v>760</v>
      </c>
      <c r="W37" s="199" t="s">
        <v>193</v>
      </c>
    </row>
    <row r="38" spans="2:23" x14ac:dyDescent="0.35">
      <c r="B38" s="2" t="s">
        <v>104</v>
      </c>
      <c r="C38" s="53" t="s">
        <v>81</v>
      </c>
      <c r="D38" s="109">
        <v>1964</v>
      </c>
      <c r="E38" s="110">
        <v>1</v>
      </c>
      <c r="F38" s="314">
        <f t="shared" ref="F38" si="4">D38*E38</f>
        <v>1964</v>
      </c>
      <c r="G38" s="116">
        <v>10</v>
      </c>
      <c r="H38" s="112">
        <f t="shared" si="3"/>
        <v>19640</v>
      </c>
      <c r="I38" s="3">
        <v>2993723.915772175</v>
      </c>
      <c r="J38" s="287">
        <f>-PMT( 0.46%,G38,I38)/(F38*1000)</f>
        <v>0.15631295969445605</v>
      </c>
      <c r="K38" s="61" t="s">
        <v>82</v>
      </c>
      <c r="L38" s="61" t="s">
        <v>82</v>
      </c>
      <c r="M38" s="61" t="s">
        <v>82</v>
      </c>
      <c r="N38" s="61" t="s">
        <v>82</v>
      </c>
      <c r="O38" s="61" t="s">
        <v>82</v>
      </c>
      <c r="P38" s="61" t="s">
        <v>82</v>
      </c>
      <c r="Q38" s="61" t="s">
        <v>82</v>
      </c>
      <c r="R38" s="3">
        <v>1056882</v>
      </c>
      <c r="S38" s="3">
        <v>3195428</v>
      </c>
      <c r="T38" s="125">
        <f>R38-S38</f>
        <v>-2138546</v>
      </c>
      <c r="U38" s="63">
        <v>0.33</v>
      </c>
      <c r="V38" s="114">
        <v>17164</v>
      </c>
      <c r="W38" s="199" t="s">
        <v>193</v>
      </c>
    </row>
    <row r="39" spans="2:23" x14ac:dyDescent="0.35">
      <c r="B39" s="2" t="s">
        <v>298</v>
      </c>
      <c r="C39" s="53" t="s">
        <v>295</v>
      </c>
      <c r="D39" s="314">
        <v>771.24099999999999</v>
      </c>
      <c r="E39" s="110">
        <f>F39/D39</f>
        <v>0.80000025932231311</v>
      </c>
      <c r="F39" s="314">
        <v>616.99300000000005</v>
      </c>
      <c r="G39" s="315">
        <v>10.3</v>
      </c>
      <c r="H39" s="314">
        <f>G39*F39</f>
        <v>6355.027900000001</v>
      </c>
      <c r="I39" s="61" t="s">
        <v>82</v>
      </c>
      <c r="J39" s="61" t="s">
        <v>82</v>
      </c>
      <c r="K39" s="61" t="s">
        <v>82</v>
      </c>
      <c r="L39" s="61" t="s">
        <v>82</v>
      </c>
      <c r="M39" s="61" t="s">
        <v>82</v>
      </c>
      <c r="N39" s="61" t="s">
        <v>82</v>
      </c>
      <c r="O39" s="61" t="s">
        <v>82</v>
      </c>
      <c r="P39" s="61" t="s">
        <v>82</v>
      </c>
      <c r="Q39" s="61" t="s">
        <v>82</v>
      </c>
      <c r="R39" s="61" t="s">
        <v>82</v>
      </c>
      <c r="S39" s="61" t="s">
        <v>82</v>
      </c>
      <c r="T39" s="61" t="s">
        <v>82</v>
      </c>
      <c r="U39" s="55">
        <v>2.31</v>
      </c>
      <c r="V39" s="314">
        <v>20199</v>
      </c>
      <c r="W39" s="199" t="s">
        <v>141</v>
      </c>
    </row>
    <row r="40" spans="2:23" x14ac:dyDescent="0.35">
      <c r="B40" s="4" t="s">
        <v>8</v>
      </c>
      <c r="C40" s="4"/>
      <c r="D40" s="65">
        <f>SUM(D33:D39)</f>
        <v>414621.24099999998</v>
      </c>
      <c r="E40" s="237">
        <f>F40/D40</f>
        <v>0.6107091676955354</v>
      </c>
      <c r="F40" s="65">
        <f>SUM(F33:F39)</f>
        <v>253212.99299999999</v>
      </c>
      <c r="G40" s="118">
        <f>H40/F40</f>
        <v>8.8820838190558415</v>
      </c>
      <c r="H40" s="71">
        <f>SUM(H33:H39)</f>
        <v>2249059.0279000001</v>
      </c>
      <c r="I40" s="67">
        <f>SUM(I33:I39)</f>
        <v>19881908.285487421</v>
      </c>
      <c r="J40" s="248">
        <f>-PMT( 0.46%,G40,I40)/(F40*1000)</f>
        <v>9.0422368731151465E-3</v>
      </c>
      <c r="K40" s="68" t="s">
        <v>82</v>
      </c>
      <c r="L40" s="68" t="s">
        <v>82</v>
      </c>
      <c r="M40" s="68" t="s">
        <v>82</v>
      </c>
      <c r="N40" s="68" t="s">
        <v>82</v>
      </c>
      <c r="O40" s="68" t="s">
        <v>82</v>
      </c>
      <c r="P40" s="68" t="s">
        <v>82</v>
      </c>
      <c r="Q40" s="68" t="s">
        <v>82</v>
      </c>
      <c r="R40" s="215">
        <f>SUM(R33:R39)</f>
        <v>103081324</v>
      </c>
      <c r="S40" s="215">
        <f>SUM(S33:S39)</f>
        <v>22072956</v>
      </c>
      <c r="T40" s="215">
        <f>SUM(T33:T39)</f>
        <v>81008368</v>
      </c>
      <c r="U40" s="73">
        <f t="shared" ref="U40" si="5">R40/S40</f>
        <v>4.6700280651128017</v>
      </c>
      <c r="V40" s="74">
        <f>SUM(V33:V39)</f>
        <v>8352453</v>
      </c>
      <c r="W40" s="68" t="s">
        <v>82</v>
      </c>
    </row>
    <row r="41" spans="2:23" ht="15.65" customHeight="1" x14ac:dyDescent="0.35">
      <c r="B41" s="425" t="s">
        <v>9</v>
      </c>
      <c r="C41" s="426"/>
      <c r="D41" s="426"/>
      <c r="E41" s="426"/>
      <c r="F41" s="426"/>
      <c r="G41" s="426"/>
      <c r="H41" s="426"/>
      <c r="I41" s="426"/>
      <c r="J41" s="426"/>
      <c r="K41" s="426"/>
      <c r="L41" s="426"/>
      <c r="M41" s="426"/>
      <c r="N41" s="426"/>
      <c r="O41" s="426"/>
      <c r="P41" s="426"/>
      <c r="Q41" s="426"/>
      <c r="R41" s="426"/>
      <c r="S41" s="426"/>
      <c r="T41" s="426"/>
      <c r="U41" s="426"/>
      <c r="V41" s="426"/>
      <c r="W41" s="427"/>
    </row>
    <row r="42" spans="2:23" ht="13.9" customHeight="1" x14ac:dyDescent="0.35">
      <c r="B42" s="288" t="s">
        <v>303</v>
      </c>
      <c r="C42" s="53" t="s">
        <v>295</v>
      </c>
      <c r="D42" s="117">
        <f>5475+461</f>
        <v>5936</v>
      </c>
      <c r="E42" s="110">
        <v>1</v>
      </c>
      <c r="F42" s="314">
        <f t="shared" ref="F42" si="6">D42*E42</f>
        <v>5936</v>
      </c>
      <c r="G42" s="116">
        <v>9</v>
      </c>
      <c r="H42" s="117">
        <f t="shared" ref="H42" si="7">F42*G42</f>
        <v>53424</v>
      </c>
      <c r="I42" s="61" t="s">
        <v>82</v>
      </c>
      <c r="J42" s="61" t="s">
        <v>82</v>
      </c>
      <c r="K42" s="61" t="s">
        <v>82</v>
      </c>
      <c r="L42" s="61" t="s">
        <v>82</v>
      </c>
      <c r="M42" s="61" t="s">
        <v>82</v>
      </c>
      <c r="N42" s="61" t="s">
        <v>82</v>
      </c>
      <c r="O42" s="61" t="s">
        <v>82</v>
      </c>
      <c r="P42" s="61" t="s">
        <v>82</v>
      </c>
      <c r="Q42" s="61" t="s">
        <v>82</v>
      </c>
      <c r="R42" s="61" t="s">
        <v>82</v>
      </c>
      <c r="S42" s="61" t="s">
        <v>82</v>
      </c>
      <c r="T42" s="61" t="s">
        <v>82</v>
      </c>
      <c r="U42" s="55">
        <v>2.02</v>
      </c>
      <c r="V42" s="117">
        <v>181618</v>
      </c>
      <c r="W42" s="199" t="s">
        <v>141</v>
      </c>
    </row>
    <row r="43" spans="2:23" x14ac:dyDescent="0.35">
      <c r="B43" s="288" t="s">
        <v>301</v>
      </c>
      <c r="C43" s="53" t="s">
        <v>295</v>
      </c>
      <c r="D43" s="314">
        <v>1484.126</v>
      </c>
      <c r="E43" s="110">
        <v>1</v>
      </c>
      <c r="F43" s="314">
        <v>1484.126</v>
      </c>
      <c r="G43" s="116">
        <v>20</v>
      </c>
      <c r="H43" s="117">
        <f>F43*G43</f>
        <v>29682.52</v>
      </c>
      <c r="I43" s="61" t="s">
        <v>82</v>
      </c>
      <c r="J43" s="61" t="s">
        <v>82</v>
      </c>
      <c r="K43" s="61" t="s">
        <v>82</v>
      </c>
      <c r="L43" s="61" t="s">
        <v>82</v>
      </c>
      <c r="M43" s="61" t="s">
        <v>82</v>
      </c>
      <c r="N43" s="61" t="s">
        <v>82</v>
      </c>
      <c r="O43" s="61" t="s">
        <v>82</v>
      </c>
      <c r="P43" s="61" t="s">
        <v>82</v>
      </c>
      <c r="Q43" s="61" t="s">
        <v>82</v>
      </c>
      <c r="R43" s="61" t="s">
        <v>82</v>
      </c>
      <c r="S43" s="61" t="s">
        <v>82</v>
      </c>
      <c r="T43" s="61" t="s">
        <v>82</v>
      </c>
      <c r="U43" s="55">
        <v>2.12</v>
      </c>
      <c r="V43" s="117">
        <v>417</v>
      </c>
      <c r="W43" s="199" t="s">
        <v>302</v>
      </c>
    </row>
    <row r="44" spans="2:23" hidden="1" x14ac:dyDescent="0.35">
      <c r="B44" s="2" t="s">
        <v>0</v>
      </c>
      <c r="C44" s="2"/>
      <c r="D44" s="2"/>
      <c r="E44" s="2"/>
      <c r="F44" s="3"/>
      <c r="G44" s="3"/>
      <c r="H44" s="3"/>
      <c r="I44" s="3"/>
      <c r="J44" s="60" t="e">
        <f t="shared" ref="J44:J58" si="8">-PMT( 0.46%,G44,I44)/F44*1000</f>
        <v>#NUM!</v>
      </c>
      <c r="K44" s="61" t="s">
        <v>82</v>
      </c>
      <c r="L44" s="61" t="s">
        <v>82</v>
      </c>
      <c r="M44" s="61" t="s">
        <v>82</v>
      </c>
      <c r="N44" s="61" t="s">
        <v>82</v>
      </c>
      <c r="O44" s="61" t="s">
        <v>82</v>
      </c>
      <c r="P44" s="61" t="s">
        <v>82</v>
      </c>
      <c r="Q44" s="61" t="s">
        <v>82</v>
      </c>
      <c r="R44" s="3"/>
      <c r="S44" s="3"/>
      <c r="T44" s="2"/>
      <c r="U44" s="55" t="e">
        <f t="shared" ref="U44:U46" si="9">R44/S44</f>
        <v>#DIV/0!</v>
      </c>
      <c r="V44" s="3"/>
      <c r="W44" s="3"/>
    </row>
    <row r="45" spans="2:23" hidden="1" x14ac:dyDescent="0.35">
      <c r="B45" s="2" t="s">
        <v>0</v>
      </c>
      <c r="C45" s="2"/>
      <c r="D45" s="2"/>
      <c r="E45" s="2"/>
      <c r="F45" s="3"/>
      <c r="G45" s="3"/>
      <c r="H45" s="3"/>
      <c r="I45" s="3"/>
      <c r="J45" s="60" t="e">
        <f t="shared" si="8"/>
        <v>#NUM!</v>
      </c>
      <c r="K45" s="61" t="s">
        <v>82</v>
      </c>
      <c r="L45" s="61" t="s">
        <v>82</v>
      </c>
      <c r="M45" s="61" t="s">
        <v>82</v>
      </c>
      <c r="N45" s="61" t="s">
        <v>82</v>
      </c>
      <c r="O45" s="61" t="s">
        <v>82</v>
      </c>
      <c r="P45" s="61" t="s">
        <v>82</v>
      </c>
      <c r="Q45" s="61" t="s">
        <v>82</v>
      </c>
      <c r="R45" s="3"/>
      <c r="S45" s="3"/>
      <c r="T45" s="2"/>
      <c r="U45" s="55" t="e">
        <f t="shared" si="9"/>
        <v>#DIV/0!</v>
      </c>
      <c r="V45" s="3"/>
      <c r="W45" s="3"/>
    </row>
    <row r="46" spans="2:23" hidden="1" x14ac:dyDescent="0.35">
      <c r="B46" s="2" t="s">
        <v>0</v>
      </c>
      <c r="C46" s="2"/>
      <c r="D46" s="2"/>
      <c r="E46" s="2"/>
      <c r="F46" s="3"/>
      <c r="G46" s="3"/>
      <c r="H46" s="3"/>
      <c r="I46" s="3"/>
      <c r="J46" s="60" t="e">
        <f t="shared" si="8"/>
        <v>#NUM!</v>
      </c>
      <c r="K46" s="61" t="s">
        <v>82</v>
      </c>
      <c r="L46" s="61" t="s">
        <v>82</v>
      </c>
      <c r="M46" s="61" t="s">
        <v>82</v>
      </c>
      <c r="N46" s="61" t="s">
        <v>82</v>
      </c>
      <c r="O46" s="61" t="s">
        <v>82</v>
      </c>
      <c r="P46" s="61" t="s">
        <v>82</v>
      </c>
      <c r="Q46" s="61" t="s">
        <v>82</v>
      </c>
      <c r="R46" s="3"/>
      <c r="S46" s="3"/>
      <c r="T46" s="2"/>
      <c r="U46" s="55" t="e">
        <f t="shared" si="9"/>
        <v>#DIV/0!</v>
      </c>
      <c r="V46" s="3"/>
      <c r="W46" s="3"/>
    </row>
    <row r="47" spans="2:23" ht="15.75" customHeight="1" x14ac:dyDescent="0.35">
      <c r="B47" s="4" t="s">
        <v>10</v>
      </c>
      <c r="C47" s="4"/>
      <c r="D47" s="65">
        <f>SUM(D42:D46)</f>
        <v>7420.1260000000002</v>
      </c>
      <c r="E47" s="69">
        <f>F47/D47</f>
        <v>1</v>
      </c>
      <c r="F47" s="65">
        <f>SUM(F42:F46)</f>
        <v>7420.1260000000002</v>
      </c>
      <c r="G47" s="118">
        <f>H47/F47</f>
        <v>11.20014943142475</v>
      </c>
      <c r="H47" s="65">
        <f>SUM(H42:H46)</f>
        <v>83106.52</v>
      </c>
      <c r="I47" s="68" t="s">
        <v>82</v>
      </c>
      <c r="J47" s="68" t="s">
        <v>82</v>
      </c>
      <c r="K47" s="68" t="s">
        <v>82</v>
      </c>
      <c r="L47" s="68" t="s">
        <v>82</v>
      </c>
      <c r="M47" s="68" t="s">
        <v>82</v>
      </c>
      <c r="N47" s="68" t="s">
        <v>82</v>
      </c>
      <c r="O47" s="68" t="s">
        <v>82</v>
      </c>
      <c r="P47" s="68" t="s">
        <v>82</v>
      </c>
      <c r="Q47" s="68" t="s">
        <v>82</v>
      </c>
      <c r="R47" s="68" t="s">
        <v>82</v>
      </c>
      <c r="S47" s="68" t="s">
        <v>82</v>
      </c>
      <c r="T47" s="68" t="s">
        <v>82</v>
      </c>
      <c r="U47" s="68" t="s">
        <v>82</v>
      </c>
      <c r="V47" s="74">
        <f>SUM(V42:V46)</f>
        <v>182035</v>
      </c>
      <c r="W47" s="68" t="s">
        <v>82</v>
      </c>
    </row>
    <row r="48" spans="2:23" ht="15.65" hidden="1" customHeight="1" x14ac:dyDescent="0.35">
      <c r="B48" s="409" t="s">
        <v>11</v>
      </c>
      <c r="C48" s="410"/>
      <c r="D48" s="410"/>
      <c r="E48" s="410"/>
      <c r="F48" s="410"/>
      <c r="G48" s="410"/>
      <c r="H48" s="410"/>
      <c r="I48" s="410"/>
      <c r="J48" s="410"/>
      <c r="K48" s="410"/>
      <c r="L48" s="410"/>
      <c r="M48" s="410"/>
      <c r="N48" s="410"/>
      <c r="O48" s="410"/>
      <c r="P48" s="410"/>
      <c r="Q48" s="410"/>
      <c r="R48" s="410"/>
      <c r="S48" s="410"/>
      <c r="T48" s="410"/>
      <c r="U48" s="410"/>
      <c r="V48" s="410"/>
      <c r="W48" s="410"/>
    </row>
    <row r="49" spans="2:23" hidden="1" x14ac:dyDescent="0.35">
      <c r="B49" s="2" t="s">
        <v>0</v>
      </c>
      <c r="C49" s="2"/>
      <c r="D49" s="2"/>
      <c r="E49" s="2"/>
      <c r="F49" s="3"/>
      <c r="G49" s="3"/>
      <c r="H49" s="3"/>
      <c r="I49" s="3"/>
      <c r="J49" s="60" t="e">
        <f t="shared" si="8"/>
        <v>#NUM!</v>
      </c>
      <c r="K49" s="61" t="s">
        <v>82</v>
      </c>
      <c r="L49" s="61" t="s">
        <v>82</v>
      </c>
      <c r="M49" s="61" t="s">
        <v>82</v>
      </c>
      <c r="N49" s="61" t="s">
        <v>82</v>
      </c>
      <c r="O49" s="61" t="s">
        <v>82</v>
      </c>
      <c r="P49" s="61" t="s">
        <v>82</v>
      </c>
      <c r="Q49" s="61" t="s">
        <v>82</v>
      </c>
      <c r="R49" s="3"/>
      <c r="S49" s="3"/>
      <c r="T49" s="2"/>
      <c r="U49" s="55" t="e">
        <f>R49/S49</f>
        <v>#DIV/0!</v>
      </c>
      <c r="V49" s="3"/>
      <c r="W49" s="3"/>
    </row>
    <row r="50" spans="2:23" hidden="1" x14ac:dyDescent="0.35">
      <c r="B50" s="2" t="s">
        <v>0</v>
      </c>
      <c r="C50" s="2"/>
      <c r="D50" s="2"/>
      <c r="E50" s="2"/>
      <c r="F50" s="3"/>
      <c r="G50" s="3"/>
      <c r="H50" s="3"/>
      <c r="I50" s="3"/>
      <c r="J50" s="60" t="e">
        <f t="shared" si="8"/>
        <v>#NUM!</v>
      </c>
      <c r="K50" s="61" t="s">
        <v>82</v>
      </c>
      <c r="L50" s="61" t="s">
        <v>82</v>
      </c>
      <c r="M50" s="61" t="s">
        <v>82</v>
      </c>
      <c r="N50" s="61" t="s">
        <v>82</v>
      </c>
      <c r="O50" s="61" t="s">
        <v>82</v>
      </c>
      <c r="P50" s="61" t="s">
        <v>82</v>
      </c>
      <c r="Q50" s="61" t="s">
        <v>82</v>
      </c>
      <c r="R50" s="3"/>
      <c r="S50" s="3"/>
      <c r="T50" s="2"/>
      <c r="U50" s="55" t="e">
        <f t="shared" ref="U50:U54" si="10">R50/S50</f>
        <v>#DIV/0!</v>
      </c>
      <c r="V50" s="3"/>
      <c r="W50" s="3"/>
    </row>
    <row r="51" spans="2:23" hidden="1" x14ac:dyDescent="0.35">
      <c r="B51" s="2" t="s">
        <v>0</v>
      </c>
      <c r="C51" s="2"/>
      <c r="D51" s="18"/>
      <c r="E51" s="18"/>
      <c r="F51" s="19"/>
      <c r="G51" s="19"/>
      <c r="H51" s="19"/>
      <c r="I51" s="19"/>
      <c r="J51" s="60" t="e">
        <f t="shared" si="8"/>
        <v>#NUM!</v>
      </c>
      <c r="K51" s="61" t="s">
        <v>82</v>
      </c>
      <c r="L51" s="61" t="s">
        <v>82</v>
      </c>
      <c r="M51" s="61" t="s">
        <v>82</v>
      </c>
      <c r="N51" s="61" t="s">
        <v>82</v>
      </c>
      <c r="O51" s="61" t="s">
        <v>82</v>
      </c>
      <c r="P51" s="61" t="s">
        <v>82</v>
      </c>
      <c r="Q51" s="61" t="s">
        <v>82</v>
      </c>
      <c r="R51" s="19"/>
      <c r="S51" s="19"/>
      <c r="T51" s="18"/>
      <c r="U51" s="55" t="e">
        <f t="shared" si="10"/>
        <v>#DIV/0!</v>
      </c>
      <c r="V51" s="19"/>
      <c r="W51" s="19"/>
    </row>
    <row r="52" spans="2:23" hidden="1" x14ac:dyDescent="0.35">
      <c r="B52" s="2" t="s">
        <v>0</v>
      </c>
      <c r="C52" s="2"/>
      <c r="D52" s="18"/>
      <c r="E52" s="18"/>
      <c r="F52" s="19"/>
      <c r="G52" s="19"/>
      <c r="H52" s="19"/>
      <c r="I52" s="19"/>
      <c r="J52" s="60" t="e">
        <f t="shared" si="8"/>
        <v>#NUM!</v>
      </c>
      <c r="K52" s="61" t="s">
        <v>82</v>
      </c>
      <c r="L52" s="61" t="s">
        <v>82</v>
      </c>
      <c r="M52" s="61" t="s">
        <v>82</v>
      </c>
      <c r="N52" s="61" t="s">
        <v>82</v>
      </c>
      <c r="O52" s="61" t="s">
        <v>82</v>
      </c>
      <c r="P52" s="61" t="s">
        <v>82</v>
      </c>
      <c r="Q52" s="61" t="s">
        <v>82</v>
      </c>
      <c r="R52" s="19"/>
      <c r="S52" s="19"/>
      <c r="T52" s="18"/>
      <c r="U52" s="55" t="e">
        <f t="shared" si="10"/>
        <v>#DIV/0!</v>
      </c>
      <c r="V52" s="19"/>
      <c r="W52" s="19"/>
    </row>
    <row r="53" spans="2:23" hidden="1" x14ac:dyDescent="0.35">
      <c r="B53" s="2" t="s">
        <v>0</v>
      </c>
      <c r="C53" s="2"/>
      <c r="D53" s="18"/>
      <c r="E53" s="18"/>
      <c r="F53" s="19"/>
      <c r="G53" s="19"/>
      <c r="H53" s="19"/>
      <c r="I53" s="19"/>
      <c r="J53" s="60" t="e">
        <f t="shared" si="8"/>
        <v>#NUM!</v>
      </c>
      <c r="K53" s="61" t="s">
        <v>82</v>
      </c>
      <c r="L53" s="61" t="s">
        <v>82</v>
      </c>
      <c r="M53" s="61" t="s">
        <v>82</v>
      </c>
      <c r="N53" s="61" t="s">
        <v>82</v>
      </c>
      <c r="O53" s="61" t="s">
        <v>82</v>
      </c>
      <c r="P53" s="61" t="s">
        <v>82</v>
      </c>
      <c r="Q53" s="61" t="s">
        <v>82</v>
      </c>
      <c r="R53" s="19"/>
      <c r="S53" s="19"/>
      <c r="T53" s="18"/>
      <c r="U53" s="55" t="e">
        <f t="shared" si="10"/>
        <v>#DIV/0!</v>
      </c>
      <c r="V53" s="19"/>
      <c r="W53" s="19"/>
    </row>
    <row r="54" spans="2:23" ht="35.15" hidden="1" customHeight="1" x14ac:dyDescent="0.35">
      <c r="B54" s="24" t="s">
        <v>12</v>
      </c>
      <c r="C54" s="24"/>
      <c r="D54" s="65">
        <f>SUM(D49:D53)</f>
        <v>0</v>
      </c>
      <c r="E54" s="69" t="e">
        <f>F54/D54</f>
        <v>#DIV/0!</v>
      </c>
      <c r="F54" s="65">
        <f>SUM(F49:F53)</f>
        <v>0</v>
      </c>
      <c r="G54" s="70" t="e">
        <f>H54/F54</f>
        <v>#DIV/0!</v>
      </c>
      <c r="H54" s="65">
        <f>SUM(H49:H53)</f>
        <v>0</v>
      </c>
      <c r="I54" s="67">
        <f>SUM(I49:I53)</f>
        <v>0</v>
      </c>
      <c r="J54" s="88" t="e">
        <f>-PMT( 0.46%,G54,I54)/F54*1000</f>
        <v>#DIV/0!</v>
      </c>
      <c r="K54" s="68" t="s">
        <v>82</v>
      </c>
      <c r="L54" s="68" t="s">
        <v>82</v>
      </c>
      <c r="M54" s="68" t="s">
        <v>82</v>
      </c>
      <c r="N54" s="68" t="s">
        <v>82</v>
      </c>
      <c r="O54" s="68" t="s">
        <v>82</v>
      </c>
      <c r="P54" s="68" t="s">
        <v>82</v>
      </c>
      <c r="Q54" s="68" t="s">
        <v>82</v>
      </c>
      <c r="R54" s="72">
        <f>SUM(R49:R53)</f>
        <v>0</v>
      </c>
      <c r="S54" s="72">
        <f>SUM(S49:S53)</f>
        <v>0</v>
      </c>
      <c r="T54" s="72">
        <f>SUM(T49:T53)</f>
        <v>0</v>
      </c>
      <c r="U54" s="74" t="e">
        <f t="shared" si="10"/>
        <v>#DIV/0!</v>
      </c>
      <c r="V54" s="72">
        <f>SUM(V49:V53)</f>
        <v>0</v>
      </c>
      <c r="W54" s="68" t="s">
        <v>82</v>
      </c>
    </row>
    <row r="55" spans="2:23" hidden="1" x14ac:dyDescent="0.35">
      <c r="B55" s="409" t="s">
        <v>16</v>
      </c>
      <c r="C55" s="410"/>
      <c r="D55" s="410"/>
      <c r="E55" s="410"/>
      <c r="F55" s="410"/>
      <c r="G55" s="410"/>
      <c r="H55" s="410"/>
      <c r="I55" s="410"/>
      <c r="J55" s="410"/>
      <c r="K55" s="410"/>
      <c r="L55" s="410"/>
      <c r="M55" s="410"/>
      <c r="N55" s="410"/>
      <c r="O55" s="410"/>
      <c r="P55" s="410"/>
      <c r="Q55" s="410"/>
      <c r="R55" s="410"/>
      <c r="S55" s="410"/>
      <c r="T55" s="410"/>
      <c r="U55" s="410"/>
      <c r="V55" s="410"/>
      <c r="W55" s="411"/>
    </row>
    <row r="56" spans="2:23" ht="16.149999999999999" hidden="1" customHeight="1" x14ac:dyDescent="0.35">
      <c r="B56" s="32" t="s">
        <v>0</v>
      </c>
      <c r="C56" s="32"/>
      <c r="D56" s="18"/>
      <c r="E56" s="18"/>
      <c r="F56" s="19"/>
      <c r="G56" s="19"/>
      <c r="H56" s="19"/>
      <c r="I56" s="19"/>
      <c r="J56" s="60" t="e">
        <f t="shared" si="8"/>
        <v>#NUM!</v>
      </c>
      <c r="K56" s="61" t="s">
        <v>82</v>
      </c>
      <c r="L56" s="61" t="s">
        <v>82</v>
      </c>
      <c r="M56" s="61" t="s">
        <v>82</v>
      </c>
      <c r="N56" s="61" t="s">
        <v>82</v>
      </c>
      <c r="O56" s="61" t="s">
        <v>82</v>
      </c>
      <c r="P56" s="61" t="s">
        <v>82</v>
      </c>
      <c r="Q56" s="61" t="s">
        <v>82</v>
      </c>
      <c r="R56" s="19"/>
      <c r="S56" s="19"/>
      <c r="T56" s="18"/>
      <c r="U56" s="55" t="e">
        <f>R56/S56</f>
        <v>#DIV/0!</v>
      </c>
      <c r="V56" s="19"/>
      <c r="W56" s="19"/>
    </row>
    <row r="57" spans="2:23" ht="16.149999999999999" hidden="1" customHeight="1" x14ac:dyDescent="0.35">
      <c r="B57" s="32" t="s">
        <v>0</v>
      </c>
      <c r="C57" s="32"/>
      <c r="D57" s="18"/>
      <c r="E57" s="18"/>
      <c r="F57" s="19"/>
      <c r="G57" s="19"/>
      <c r="H57" s="19"/>
      <c r="I57" s="19"/>
      <c r="J57" s="60" t="e">
        <f t="shared" si="8"/>
        <v>#NUM!</v>
      </c>
      <c r="K57" s="61" t="s">
        <v>82</v>
      </c>
      <c r="L57" s="61" t="s">
        <v>82</v>
      </c>
      <c r="M57" s="61" t="s">
        <v>82</v>
      </c>
      <c r="N57" s="61" t="s">
        <v>82</v>
      </c>
      <c r="O57" s="61" t="s">
        <v>82</v>
      </c>
      <c r="P57" s="61" t="s">
        <v>82</v>
      </c>
      <c r="Q57" s="61" t="s">
        <v>82</v>
      </c>
      <c r="R57" s="19"/>
      <c r="S57" s="19"/>
      <c r="T57" s="18"/>
      <c r="U57" s="55" t="e">
        <f t="shared" ref="U57:U61" si="11">R57/S57</f>
        <v>#DIV/0!</v>
      </c>
      <c r="V57" s="19"/>
      <c r="W57" s="19"/>
    </row>
    <row r="58" spans="2:23" ht="16.149999999999999" hidden="1" customHeight="1" x14ac:dyDescent="0.35">
      <c r="B58" s="32" t="s">
        <v>0</v>
      </c>
      <c r="C58" s="32"/>
      <c r="D58" s="18"/>
      <c r="E58" s="18"/>
      <c r="F58" s="19"/>
      <c r="G58" s="19"/>
      <c r="H58" s="19"/>
      <c r="I58" s="19"/>
      <c r="J58" s="60" t="e">
        <f t="shared" si="8"/>
        <v>#NUM!</v>
      </c>
      <c r="K58" s="61" t="s">
        <v>82</v>
      </c>
      <c r="L58" s="61" t="s">
        <v>82</v>
      </c>
      <c r="M58" s="61" t="s">
        <v>82</v>
      </c>
      <c r="N58" s="61" t="s">
        <v>82</v>
      </c>
      <c r="O58" s="61" t="s">
        <v>82</v>
      </c>
      <c r="P58" s="61" t="s">
        <v>82</v>
      </c>
      <c r="Q58" s="61" t="s">
        <v>82</v>
      </c>
      <c r="R58" s="19"/>
      <c r="S58" s="19"/>
      <c r="T58" s="18"/>
      <c r="U58" s="55" t="e">
        <f t="shared" si="11"/>
        <v>#DIV/0!</v>
      </c>
      <c r="V58" s="19"/>
      <c r="W58" s="19"/>
    </row>
    <row r="59" spans="2:23" ht="31.5" hidden="1" customHeight="1" x14ac:dyDescent="0.35">
      <c r="B59" s="24" t="s">
        <v>17</v>
      </c>
      <c r="C59" s="24"/>
      <c r="D59" s="65">
        <f>SUM(D56:D58)</f>
        <v>0</v>
      </c>
      <c r="E59" s="69" t="e">
        <f>F59/D59</f>
        <v>#DIV/0!</v>
      </c>
      <c r="F59" s="65">
        <f>SUM(F56:F58)</f>
        <v>0</v>
      </c>
      <c r="G59" s="70" t="e">
        <f>H59/F59</f>
        <v>#DIV/0!</v>
      </c>
      <c r="H59" s="65">
        <f>SUM(H56:H58)</f>
        <v>0</v>
      </c>
      <c r="I59" s="67">
        <f>SUM(I56:I58)</f>
        <v>0</v>
      </c>
      <c r="J59" s="88" t="e">
        <f>-PMT( 0.46%,G59,I59)/F59*1000</f>
        <v>#DIV/0!</v>
      </c>
      <c r="K59" s="68" t="s">
        <v>82</v>
      </c>
      <c r="L59" s="68" t="s">
        <v>82</v>
      </c>
      <c r="M59" s="68" t="s">
        <v>82</v>
      </c>
      <c r="N59" s="68" t="s">
        <v>82</v>
      </c>
      <c r="O59" s="68" t="s">
        <v>82</v>
      </c>
      <c r="P59" s="68" t="s">
        <v>82</v>
      </c>
      <c r="Q59" s="68" t="s">
        <v>82</v>
      </c>
      <c r="R59" s="72">
        <f>SUM(R56:R58)</f>
        <v>0</v>
      </c>
      <c r="S59" s="72">
        <f>SUM(S56:S58)</f>
        <v>0</v>
      </c>
      <c r="T59" s="72">
        <f>SUM(T56:T58)</f>
        <v>0</v>
      </c>
      <c r="U59" s="74" t="e">
        <f t="shared" si="11"/>
        <v>#DIV/0!</v>
      </c>
      <c r="V59" s="72">
        <f>SUM(V56:V58)</f>
        <v>0</v>
      </c>
      <c r="W59" s="68" t="s">
        <v>82</v>
      </c>
    </row>
    <row r="60" spans="2:23" ht="40.5" customHeight="1" x14ac:dyDescent="0.35">
      <c r="B60" s="37" t="s">
        <v>32</v>
      </c>
      <c r="C60" s="37"/>
      <c r="D60" s="89" t="s">
        <v>82</v>
      </c>
      <c r="E60" s="89" t="s">
        <v>82</v>
      </c>
      <c r="F60" s="89" t="s">
        <v>82</v>
      </c>
      <c r="G60" s="89" t="s">
        <v>82</v>
      </c>
      <c r="H60" s="89" t="s">
        <v>82</v>
      </c>
      <c r="I60" s="38">
        <f>8232044+11471615</f>
        <v>19703659</v>
      </c>
      <c r="J60" s="89" t="s">
        <v>82</v>
      </c>
      <c r="K60" s="89" t="s">
        <v>82</v>
      </c>
      <c r="L60" s="89" t="s">
        <v>82</v>
      </c>
      <c r="M60" s="89" t="s">
        <v>82</v>
      </c>
      <c r="N60" s="89" t="s">
        <v>82</v>
      </c>
      <c r="O60" s="89" t="s">
        <v>82</v>
      </c>
      <c r="P60" s="89" t="s">
        <v>82</v>
      </c>
      <c r="Q60" s="89" t="s">
        <v>82</v>
      </c>
      <c r="R60" s="89" t="s">
        <v>82</v>
      </c>
      <c r="S60" s="89" t="s">
        <v>82</v>
      </c>
      <c r="T60" s="89" t="s">
        <v>82</v>
      </c>
      <c r="U60" s="89" t="s">
        <v>82</v>
      </c>
      <c r="V60" s="89" t="s">
        <v>82</v>
      </c>
      <c r="W60" s="89" t="s">
        <v>82</v>
      </c>
    </row>
    <row r="61" spans="2:23" ht="31.5" customHeight="1" x14ac:dyDescent="0.35">
      <c r="B61" s="30" t="s">
        <v>94</v>
      </c>
      <c r="C61" s="30"/>
      <c r="D61" s="79">
        <f>SUM(D29,D40,D47,D54,D59,D60)</f>
        <v>753625.07500000007</v>
      </c>
      <c r="E61" s="230">
        <f>F61/D61</f>
        <v>0.67169697611242551</v>
      </c>
      <c r="F61" s="79">
        <f>SUM(F29,F40,F47,F54,F59,F60)</f>
        <v>506207.68399999995</v>
      </c>
      <c r="G61" s="80">
        <f>H61/F61</f>
        <v>10.011911282840188</v>
      </c>
      <c r="H61" s="79">
        <f>SUM(H29,H40,H47,H54,H59,H60)</f>
        <v>5068106.4228999997</v>
      </c>
      <c r="I61" s="81">
        <f>SUM(I29,I40,I47,I54,I59,I60)</f>
        <v>63543475.044945925</v>
      </c>
      <c r="J61" s="249">
        <f>-PMT( 0.46%,G61,I61)/(F61*1000)</f>
        <v>1.2857654114213277E-2</v>
      </c>
      <c r="K61" s="82" t="s">
        <v>82</v>
      </c>
      <c r="L61" s="82" t="s">
        <v>82</v>
      </c>
      <c r="M61" s="82" t="s">
        <v>82</v>
      </c>
      <c r="N61" s="82" t="s">
        <v>82</v>
      </c>
      <c r="O61" s="82" t="s">
        <v>82</v>
      </c>
      <c r="P61" s="82" t="s">
        <v>82</v>
      </c>
      <c r="Q61" s="82" t="s">
        <v>82</v>
      </c>
      <c r="R61" s="81">
        <f>SUM(R29,R40,R47,R54,R59,R60)</f>
        <v>274572353</v>
      </c>
      <c r="S61" s="81">
        <f>SUM(S29,S40,S47,S54,S59,S60)</f>
        <v>89988769</v>
      </c>
      <c r="T61" s="81">
        <f>SUM(T29,T40,T47,T54,T59,T60)</f>
        <v>184583584</v>
      </c>
      <c r="U61" s="80">
        <f t="shared" si="11"/>
        <v>3.0511846761677561</v>
      </c>
      <c r="V61" s="128">
        <f>SUM(V29,V40,V47,V54,V59,V60)</f>
        <v>8536985</v>
      </c>
      <c r="W61" s="82" t="s">
        <v>82</v>
      </c>
    </row>
    <row r="62" spans="2:23" s="22" customFormat="1" ht="13.5" customHeight="1" x14ac:dyDescent="0.35">
      <c r="B62" s="26"/>
      <c r="C62" s="26"/>
      <c r="D62" s="11"/>
      <c r="E62" s="11"/>
      <c r="F62" s="12"/>
      <c r="G62" s="12"/>
      <c r="H62" s="12"/>
      <c r="I62" s="12"/>
      <c r="J62" s="12"/>
      <c r="K62" s="12"/>
      <c r="L62" s="12"/>
    </row>
    <row r="63" spans="2:23" x14ac:dyDescent="0.35">
      <c r="B63" s="344" t="s">
        <v>3</v>
      </c>
      <c r="C63" s="343"/>
      <c r="D63" s="343"/>
      <c r="E63" s="343"/>
      <c r="F63" s="343"/>
      <c r="G63" s="343"/>
      <c r="H63" s="343"/>
      <c r="I63" s="343"/>
      <c r="J63" s="343"/>
      <c r="K63" s="343"/>
      <c r="L63" s="343"/>
      <c r="M63" s="42"/>
    </row>
    <row r="64" spans="2:23" x14ac:dyDescent="0.35">
      <c r="B64" s="343" t="s">
        <v>308</v>
      </c>
      <c r="C64" s="343"/>
      <c r="D64" s="343"/>
      <c r="E64" s="343"/>
      <c r="F64" s="343"/>
      <c r="G64" s="343"/>
      <c r="H64" s="343"/>
      <c r="I64" s="343"/>
      <c r="J64" s="343"/>
      <c r="K64" s="343"/>
      <c r="L64" s="343"/>
      <c r="M64" s="42"/>
    </row>
    <row r="65" spans="2:13" x14ac:dyDescent="0.35">
      <c r="B65" s="343" t="s">
        <v>382</v>
      </c>
      <c r="C65" s="343"/>
      <c r="D65" s="343"/>
      <c r="E65" s="343"/>
      <c r="F65" s="343"/>
      <c r="G65" s="343"/>
      <c r="H65" s="343"/>
      <c r="I65" s="343"/>
      <c r="J65" s="343"/>
      <c r="K65" s="343"/>
      <c r="L65" s="343"/>
      <c r="M65" s="42"/>
    </row>
    <row r="66" spans="2:13" x14ac:dyDescent="0.35">
      <c r="B66" s="343" t="s">
        <v>311</v>
      </c>
      <c r="C66" s="343"/>
      <c r="D66" s="343"/>
      <c r="E66" s="343"/>
      <c r="F66" s="343"/>
      <c r="G66" s="343"/>
      <c r="H66" s="343"/>
      <c r="I66" s="343"/>
      <c r="J66" s="343"/>
      <c r="K66" s="343"/>
      <c r="L66" s="343"/>
      <c r="M66" s="42"/>
    </row>
    <row r="67" spans="2:13" x14ac:dyDescent="0.35">
      <c r="B67" s="343" t="s">
        <v>327</v>
      </c>
      <c r="C67" s="343"/>
      <c r="D67" s="343"/>
      <c r="E67" s="343"/>
      <c r="F67" s="343"/>
      <c r="G67" s="343"/>
      <c r="H67" s="343"/>
      <c r="I67" s="343"/>
      <c r="J67" s="343"/>
      <c r="K67" s="343"/>
      <c r="L67" s="343"/>
      <c r="M67" s="42"/>
    </row>
    <row r="68" spans="2:13" ht="12.75" customHeight="1" x14ac:dyDescent="0.35"/>
    <row r="69" spans="2:13" x14ac:dyDescent="0.35">
      <c r="B69" s="45" t="s">
        <v>48</v>
      </c>
    </row>
    <row r="70" spans="2:13" x14ac:dyDescent="0.35">
      <c r="B70" s="7" t="s">
        <v>105</v>
      </c>
      <c r="C70" s="7"/>
      <c r="D70" s="7"/>
      <c r="E70" s="7"/>
      <c r="F70" s="7"/>
      <c r="G70" s="7"/>
      <c r="H70" s="7"/>
      <c r="I70" s="7"/>
      <c r="J70" s="7"/>
      <c r="K70" s="7"/>
    </row>
    <row r="71" spans="2:13" x14ac:dyDescent="0.35">
      <c r="B71" s="7" t="s">
        <v>92</v>
      </c>
      <c r="C71" s="7"/>
      <c r="D71" s="7"/>
      <c r="E71" s="7"/>
      <c r="F71" s="7"/>
      <c r="G71" s="7"/>
      <c r="H71" s="7"/>
      <c r="I71" s="7"/>
      <c r="J71" s="7"/>
      <c r="K71" s="7"/>
    </row>
    <row r="72" spans="2:13" x14ac:dyDescent="0.35">
      <c r="B72" s="7" t="s">
        <v>106</v>
      </c>
      <c r="C72" s="7"/>
      <c r="D72" s="7"/>
      <c r="E72" s="7"/>
      <c r="F72" s="7"/>
      <c r="G72" s="7"/>
      <c r="H72" s="7"/>
      <c r="I72" s="7"/>
      <c r="J72" s="7"/>
      <c r="K72" s="7"/>
    </row>
    <row r="73" spans="2:13" x14ac:dyDescent="0.35">
      <c r="B73" s="342" t="s">
        <v>307</v>
      </c>
      <c r="C73" s="7"/>
      <c r="D73" s="7"/>
      <c r="E73" s="7"/>
      <c r="F73" s="7"/>
      <c r="G73" s="7"/>
      <c r="H73" s="7"/>
      <c r="I73" s="7"/>
      <c r="J73" s="7"/>
      <c r="K73" s="7"/>
    </row>
    <row r="74" spans="2:13" x14ac:dyDescent="0.35">
      <c r="B74" s="7"/>
      <c r="C74" s="7"/>
      <c r="D74" s="7"/>
      <c r="E74" s="7"/>
      <c r="F74" s="7"/>
      <c r="G74" s="7"/>
      <c r="H74" s="7"/>
      <c r="I74" s="7"/>
      <c r="J74" s="7"/>
      <c r="K74" s="7"/>
    </row>
  </sheetData>
  <mergeCells count="8">
    <mergeCell ref="B48:W48"/>
    <mergeCell ref="B55:W55"/>
    <mergeCell ref="B5:L6"/>
    <mergeCell ref="B8:L15"/>
    <mergeCell ref="B19:W19"/>
    <mergeCell ref="B21:W21"/>
    <mergeCell ref="B32:W32"/>
    <mergeCell ref="B41:W41"/>
  </mergeCells>
  <printOptions horizontalCentered="1" headings="1"/>
  <pageMargins left="0.5" right="0.5" top="1.25" bottom="1" header="0.5" footer="0.5"/>
  <pageSetup scale="35" orientation="landscape" r:id="rId1"/>
  <headerFooter scaleWithDoc="0">
    <oddHeader>&amp;R&amp;"Arial,Bold"ICC Dkt. No. 17-0312
2019 Statewide Annual Report Template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E909-8636-4512-9B5F-5CEBDD17A2BB}">
  <sheetPr>
    <pageSetUpPr fitToPage="1"/>
  </sheetPr>
  <dimension ref="B1:W78"/>
  <sheetViews>
    <sheetView topLeftCell="A52" zoomScale="90" zoomScaleNormal="90" workbookViewId="0">
      <selection activeCell="B83" sqref="B83:G83"/>
    </sheetView>
  </sheetViews>
  <sheetFormatPr defaultRowHeight="14.5" x14ac:dyDescent="0.35"/>
  <cols>
    <col min="1" max="1" width="2.7265625" customWidth="1"/>
    <col min="2" max="2" width="40.54296875" customWidth="1"/>
    <col min="3" max="3" width="20.7265625" customWidth="1"/>
    <col min="4" max="4" width="17.26953125" customWidth="1"/>
    <col min="5" max="5" width="15.26953125" customWidth="1"/>
    <col min="6" max="6" width="16" customWidth="1"/>
    <col min="7" max="7" width="15" customWidth="1"/>
    <col min="8" max="8" width="12.453125" customWidth="1"/>
    <col min="9" max="9" width="14.453125" customWidth="1"/>
    <col min="10" max="10" width="15.453125" customWidth="1"/>
    <col min="11" max="11" width="17" customWidth="1"/>
    <col min="12" max="12" width="14.453125" customWidth="1"/>
    <col min="13" max="13" width="15" customWidth="1"/>
    <col min="14" max="14" width="14" customWidth="1"/>
    <col min="15" max="15" width="12" customWidth="1"/>
    <col min="16" max="16" width="14.26953125" customWidth="1"/>
    <col min="17" max="17" width="17" customWidth="1"/>
    <col min="18" max="18" width="15.7265625" customWidth="1"/>
    <col min="19" max="19" width="16.7265625" customWidth="1"/>
    <col min="20" max="22" width="14.26953125" customWidth="1"/>
    <col min="23" max="23" width="15.81640625" bestFit="1" customWidth="1"/>
  </cols>
  <sheetData>
    <row r="1" spans="2:12" x14ac:dyDescent="0.35">
      <c r="B1" s="6" t="s">
        <v>27</v>
      </c>
      <c r="C1" s="6"/>
      <c r="D1" s="6"/>
      <c r="E1" s="6"/>
    </row>
    <row r="2" spans="2:12" x14ac:dyDescent="0.35">
      <c r="B2" s="6" t="s">
        <v>374</v>
      </c>
      <c r="C2" s="6"/>
      <c r="D2" s="6"/>
      <c r="E2" s="6"/>
    </row>
    <row r="3" spans="2:12" x14ac:dyDescent="0.35">
      <c r="B3" s="6" t="s">
        <v>392</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177" customHeight="1" x14ac:dyDescent="0.35">
      <c r="B15" s="419"/>
      <c r="C15" s="420"/>
      <c r="D15" s="420"/>
      <c r="E15" s="420"/>
      <c r="F15" s="420"/>
      <c r="G15" s="420"/>
      <c r="H15" s="420"/>
      <c r="I15" s="420"/>
      <c r="J15" s="420"/>
      <c r="K15" s="420"/>
      <c r="L15" s="421"/>
    </row>
    <row r="16" spans="2:12" ht="17.649999999999999"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6.399999999999999" customHeight="1" x14ac:dyDescent="0.35">
      <c r="B18" s="21"/>
      <c r="C18" s="21"/>
      <c r="D18" s="21"/>
      <c r="E18" s="21"/>
      <c r="F18" s="21"/>
      <c r="G18" s="21"/>
      <c r="H18" s="21"/>
      <c r="I18" s="21"/>
      <c r="J18" s="21"/>
      <c r="K18" s="21"/>
      <c r="L18" s="21"/>
    </row>
    <row r="19" spans="2:23" ht="20.149999999999999" customHeight="1" x14ac:dyDescent="0.35">
      <c r="B19" s="430" t="s">
        <v>117</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107</v>
      </c>
      <c r="C22" s="53" t="s">
        <v>81</v>
      </c>
      <c r="D22" s="107">
        <v>1246</v>
      </c>
      <c r="E22" s="283">
        <f>F22/D22</f>
        <v>0.73547351524879612</v>
      </c>
      <c r="F22" s="108">
        <v>916.4</v>
      </c>
      <c r="G22" s="57" t="s">
        <v>82</v>
      </c>
      <c r="H22" s="60" t="s">
        <v>82</v>
      </c>
      <c r="I22" s="59" t="s">
        <v>82</v>
      </c>
      <c r="J22" s="59" t="s">
        <v>82</v>
      </c>
      <c r="K22" s="61" t="s">
        <v>82</v>
      </c>
      <c r="L22" s="61" t="s">
        <v>82</v>
      </c>
      <c r="M22" s="61" t="s">
        <v>82</v>
      </c>
      <c r="N22" s="61" t="s">
        <v>82</v>
      </c>
      <c r="O22" s="61" t="s">
        <v>82</v>
      </c>
      <c r="P22" s="61" t="s">
        <v>82</v>
      </c>
      <c r="Q22" s="61" t="s">
        <v>82</v>
      </c>
      <c r="R22" s="174" t="s">
        <v>82</v>
      </c>
      <c r="S22" s="174" t="s">
        <v>82</v>
      </c>
      <c r="T22" s="251" t="s">
        <v>82</v>
      </c>
      <c r="U22" s="55" t="s">
        <v>82</v>
      </c>
      <c r="V22" s="108">
        <v>5102</v>
      </c>
      <c r="W22" s="115" t="s">
        <v>141</v>
      </c>
    </row>
    <row r="23" spans="2:23" x14ac:dyDescent="0.35">
      <c r="B23" s="2" t="s">
        <v>101</v>
      </c>
      <c r="C23" s="53" t="s">
        <v>81</v>
      </c>
      <c r="D23" s="114">
        <v>5371</v>
      </c>
      <c r="E23" s="283">
        <f t="shared" ref="E23:E31" si="0">F23/D23</f>
        <v>0.56004468441630983</v>
      </c>
      <c r="F23" s="114">
        <v>3008</v>
      </c>
      <c r="G23" s="57" t="s">
        <v>82</v>
      </c>
      <c r="H23" s="57" t="s">
        <v>82</v>
      </c>
      <c r="I23" s="59" t="s">
        <v>82</v>
      </c>
      <c r="J23" s="59" t="s">
        <v>82</v>
      </c>
      <c r="K23" s="61" t="s">
        <v>82</v>
      </c>
      <c r="L23" s="61" t="s">
        <v>82</v>
      </c>
      <c r="M23" s="61" t="s">
        <v>82</v>
      </c>
      <c r="N23" s="61" t="s">
        <v>82</v>
      </c>
      <c r="O23" s="61" t="s">
        <v>82</v>
      </c>
      <c r="P23" s="61" t="s">
        <v>82</v>
      </c>
      <c r="Q23" s="61" t="s">
        <v>82</v>
      </c>
      <c r="R23" s="174" t="s">
        <v>82</v>
      </c>
      <c r="S23" s="174" t="s">
        <v>82</v>
      </c>
      <c r="T23" s="251" t="s">
        <v>82</v>
      </c>
      <c r="U23" s="55" t="s">
        <v>82</v>
      </c>
      <c r="V23" s="56" t="s">
        <v>82</v>
      </c>
      <c r="W23" s="115" t="s">
        <v>141</v>
      </c>
    </row>
    <row r="24" spans="2:23" x14ac:dyDescent="0.35">
      <c r="B24" s="2" t="s">
        <v>83</v>
      </c>
      <c r="C24" s="53" t="s">
        <v>81</v>
      </c>
      <c r="D24" s="109">
        <v>260237</v>
      </c>
      <c r="E24" s="283">
        <f t="shared" si="0"/>
        <v>0.72419755837947719</v>
      </c>
      <c r="F24" s="108">
        <v>188463</v>
      </c>
      <c r="G24" s="111">
        <v>12</v>
      </c>
      <c r="H24" s="112">
        <f>F24*G24</f>
        <v>2261556</v>
      </c>
      <c r="I24" s="194">
        <v>27384977.309999999</v>
      </c>
      <c r="J24" s="329">
        <f t="shared" ref="J24:J27" si="1">-PMT( 0.46%,G24,I24)/(F24*1000)</f>
        <v>1.2474012251669293E-2</v>
      </c>
      <c r="K24" s="61" t="s">
        <v>82</v>
      </c>
      <c r="L24" s="61" t="s">
        <v>82</v>
      </c>
      <c r="M24" s="61" t="s">
        <v>82</v>
      </c>
      <c r="N24" s="61" t="s">
        <v>82</v>
      </c>
      <c r="O24" s="61" t="s">
        <v>82</v>
      </c>
      <c r="P24" s="61" t="s">
        <v>82</v>
      </c>
      <c r="Q24" s="61" t="s">
        <v>82</v>
      </c>
      <c r="R24" s="75">
        <v>97670100</v>
      </c>
      <c r="S24" s="75">
        <v>92652008</v>
      </c>
      <c r="T24" s="125">
        <f>R24-S24</f>
        <v>5018092</v>
      </c>
      <c r="U24" s="336">
        <f>R24/S24</f>
        <v>1.0541606394542469</v>
      </c>
      <c r="V24" s="108">
        <v>3794</v>
      </c>
      <c r="W24" s="199" t="s">
        <v>235</v>
      </c>
    </row>
    <row r="25" spans="2:23" x14ac:dyDescent="0.35">
      <c r="B25" s="2" t="s">
        <v>84</v>
      </c>
      <c r="C25" s="53" t="s">
        <v>81</v>
      </c>
      <c r="D25" s="109">
        <v>47433</v>
      </c>
      <c r="E25" s="283">
        <f t="shared" si="0"/>
        <v>0.55729133725465396</v>
      </c>
      <c r="F25" s="108">
        <v>26434</v>
      </c>
      <c r="G25" s="111">
        <v>12</v>
      </c>
      <c r="H25" s="112">
        <f>F25*G25</f>
        <v>317208</v>
      </c>
      <c r="I25" s="133">
        <v>3543979.79</v>
      </c>
      <c r="J25" s="329">
        <f t="shared" si="1"/>
        <v>1.1509282014906854E-2</v>
      </c>
      <c r="K25" s="61" t="s">
        <v>82</v>
      </c>
      <c r="L25" s="61" t="s">
        <v>82</v>
      </c>
      <c r="M25" s="61" t="s">
        <v>82</v>
      </c>
      <c r="N25" s="61" t="s">
        <v>82</v>
      </c>
      <c r="O25" s="61" t="s">
        <v>82</v>
      </c>
      <c r="P25" s="61" t="s">
        <v>82</v>
      </c>
      <c r="Q25" s="61" t="s">
        <v>82</v>
      </c>
      <c r="R25" s="75">
        <v>12887082</v>
      </c>
      <c r="S25" s="75">
        <v>13001364</v>
      </c>
      <c r="T25" s="125">
        <f t="shared" ref="T25:T32" si="2">R25-S25</f>
        <v>-114282</v>
      </c>
      <c r="U25" s="336">
        <f t="shared" ref="U25:U32" si="3">R25/S25</f>
        <v>0.99120999919700736</v>
      </c>
      <c r="V25" s="108">
        <v>887</v>
      </c>
      <c r="W25" s="199" t="s">
        <v>235</v>
      </c>
    </row>
    <row r="26" spans="2:23" x14ac:dyDescent="0.35">
      <c r="B26" s="2" t="s">
        <v>85</v>
      </c>
      <c r="C26" s="53" t="s">
        <v>81</v>
      </c>
      <c r="D26" s="109">
        <v>21574</v>
      </c>
      <c r="E26" s="283">
        <f t="shared" si="0"/>
        <v>0.7129878557522944</v>
      </c>
      <c r="F26" s="108">
        <v>15382</v>
      </c>
      <c r="G26" s="111">
        <v>3</v>
      </c>
      <c r="H26" s="112">
        <f>F26*G26</f>
        <v>46146</v>
      </c>
      <c r="I26" s="75">
        <v>3433062</v>
      </c>
      <c r="J26" s="329">
        <f t="shared" si="1"/>
        <v>7.508114437319012E-2</v>
      </c>
      <c r="K26" s="61" t="s">
        <v>82</v>
      </c>
      <c r="L26" s="61" t="s">
        <v>82</v>
      </c>
      <c r="M26" s="61" t="s">
        <v>82</v>
      </c>
      <c r="N26" s="61" t="s">
        <v>82</v>
      </c>
      <c r="O26" s="61" t="s">
        <v>82</v>
      </c>
      <c r="P26" s="61" t="s">
        <v>82</v>
      </c>
      <c r="Q26" s="61" t="s">
        <v>82</v>
      </c>
      <c r="R26" s="75">
        <v>2325854</v>
      </c>
      <c r="S26" s="75">
        <v>3327207</v>
      </c>
      <c r="T26" s="125">
        <f t="shared" si="2"/>
        <v>-1001353</v>
      </c>
      <c r="U26" s="336">
        <f t="shared" si="3"/>
        <v>0.69904096739397337</v>
      </c>
      <c r="V26" s="108">
        <v>34</v>
      </c>
      <c r="W26" s="199" t="s">
        <v>235</v>
      </c>
    </row>
    <row r="27" spans="2:23" x14ac:dyDescent="0.35">
      <c r="B27" s="2" t="s">
        <v>86</v>
      </c>
      <c r="C27" s="53" t="s">
        <v>81</v>
      </c>
      <c r="D27" s="109">
        <v>9174</v>
      </c>
      <c r="E27" s="283">
        <f t="shared" si="0"/>
        <v>0.64998909962938745</v>
      </c>
      <c r="F27" s="108">
        <v>5963</v>
      </c>
      <c r="G27" s="111">
        <v>12</v>
      </c>
      <c r="H27" s="112">
        <f>F27*G27</f>
        <v>71556</v>
      </c>
      <c r="I27" s="75">
        <v>1402704</v>
      </c>
      <c r="J27" s="329">
        <f t="shared" si="1"/>
        <v>2.0193942112147277E-2</v>
      </c>
      <c r="K27" s="61" t="s">
        <v>82</v>
      </c>
      <c r="L27" s="61" t="s">
        <v>82</v>
      </c>
      <c r="M27" s="61" t="s">
        <v>82</v>
      </c>
      <c r="N27" s="61" t="s">
        <v>82</v>
      </c>
      <c r="O27" s="61" t="s">
        <v>82</v>
      </c>
      <c r="P27" s="61" t="s">
        <v>82</v>
      </c>
      <c r="Q27" s="61" t="s">
        <v>82</v>
      </c>
      <c r="R27" s="78">
        <v>2793842</v>
      </c>
      <c r="S27" s="78">
        <v>1978378</v>
      </c>
      <c r="T27" s="125">
        <f t="shared" si="2"/>
        <v>815464</v>
      </c>
      <c r="U27" s="336">
        <f t="shared" si="3"/>
        <v>1.4121881662654963</v>
      </c>
      <c r="V27" s="117">
        <v>37</v>
      </c>
      <c r="W27" s="199" t="s">
        <v>235</v>
      </c>
    </row>
    <row r="28" spans="2:23" x14ac:dyDescent="0.35">
      <c r="B28" s="288" t="s">
        <v>299</v>
      </c>
      <c r="C28" s="53" t="s">
        <v>295</v>
      </c>
      <c r="D28" s="109">
        <v>44264</v>
      </c>
      <c r="E28" s="283">
        <f>F28/D28</f>
        <v>0.65554400867522145</v>
      </c>
      <c r="F28" s="117">
        <v>29017</v>
      </c>
      <c r="G28" s="61" t="s">
        <v>82</v>
      </c>
      <c r="H28" s="61" t="s">
        <v>82</v>
      </c>
      <c r="I28" s="61" t="s">
        <v>82</v>
      </c>
      <c r="J28" s="61" t="s">
        <v>82</v>
      </c>
      <c r="K28" s="61" t="s">
        <v>82</v>
      </c>
      <c r="L28" s="61" t="s">
        <v>82</v>
      </c>
      <c r="M28" s="61" t="s">
        <v>82</v>
      </c>
      <c r="N28" s="61" t="s">
        <v>82</v>
      </c>
      <c r="O28" s="61" t="s">
        <v>82</v>
      </c>
      <c r="P28" s="61" t="s">
        <v>82</v>
      </c>
      <c r="Q28" s="61" t="s">
        <v>82</v>
      </c>
      <c r="R28" s="351">
        <f>11558000+6526000</f>
        <v>18084000</v>
      </c>
      <c r="S28" s="351">
        <v>15230000</v>
      </c>
      <c r="T28" s="125">
        <f t="shared" si="2"/>
        <v>2854000</v>
      </c>
      <c r="U28" s="336">
        <f t="shared" si="3"/>
        <v>1.1873933026920551</v>
      </c>
      <c r="V28" s="117">
        <v>291</v>
      </c>
      <c r="W28" s="199" t="s">
        <v>235</v>
      </c>
    </row>
    <row r="29" spans="2:23" x14ac:dyDescent="0.35">
      <c r="B29" s="288" t="s">
        <v>300</v>
      </c>
      <c r="C29" s="53" t="s">
        <v>295</v>
      </c>
      <c r="D29" s="109">
        <v>9045</v>
      </c>
      <c r="E29" s="283">
        <f t="shared" si="0"/>
        <v>0.74107241569928139</v>
      </c>
      <c r="F29" s="117">
        <v>6703</v>
      </c>
      <c r="G29" s="61" t="s">
        <v>82</v>
      </c>
      <c r="H29" s="61" t="s">
        <v>82</v>
      </c>
      <c r="I29" s="61" t="s">
        <v>82</v>
      </c>
      <c r="J29" s="61" t="s">
        <v>82</v>
      </c>
      <c r="K29" s="61" t="s">
        <v>82</v>
      </c>
      <c r="L29" s="61" t="s">
        <v>82</v>
      </c>
      <c r="M29" s="61" t="s">
        <v>82</v>
      </c>
      <c r="N29" s="61" t="s">
        <v>82</v>
      </c>
      <c r="O29" s="61" t="s">
        <v>82</v>
      </c>
      <c r="P29" s="61" t="s">
        <v>82</v>
      </c>
      <c r="Q29" s="61" t="s">
        <v>82</v>
      </c>
      <c r="R29" s="351">
        <f>2567000+6337000</f>
        <v>8904000</v>
      </c>
      <c r="S29" s="351">
        <v>3990000</v>
      </c>
      <c r="T29" s="125">
        <f t="shared" si="2"/>
        <v>4914000</v>
      </c>
      <c r="U29" s="336">
        <f t="shared" si="3"/>
        <v>2.2315789473684209</v>
      </c>
      <c r="V29" s="117">
        <v>87</v>
      </c>
      <c r="W29" s="199" t="s">
        <v>235</v>
      </c>
    </row>
    <row r="30" spans="2:23" x14ac:dyDescent="0.35">
      <c r="B30" s="2" t="s">
        <v>309</v>
      </c>
      <c r="C30" s="53" t="s">
        <v>295</v>
      </c>
      <c r="D30" s="109">
        <v>537</v>
      </c>
      <c r="E30" s="283">
        <f t="shared" si="0"/>
        <v>0.5009310986964618</v>
      </c>
      <c r="F30" s="117">
        <v>269</v>
      </c>
      <c r="G30" s="61" t="s">
        <v>82</v>
      </c>
      <c r="H30" s="61" t="s">
        <v>82</v>
      </c>
      <c r="I30" s="61" t="s">
        <v>82</v>
      </c>
      <c r="J30" s="61" t="s">
        <v>82</v>
      </c>
      <c r="K30" s="61" t="s">
        <v>82</v>
      </c>
      <c r="L30" s="61" t="s">
        <v>82</v>
      </c>
      <c r="M30" s="61" t="s">
        <v>82</v>
      </c>
      <c r="N30" s="61" t="s">
        <v>82</v>
      </c>
      <c r="O30" s="61" t="s">
        <v>82</v>
      </c>
      <c r="P30" s="61" t="s">
        <v>82</v>
      </c>
      <c r="Q30" s="61" t="s">
        <v>82</v>
      </c>
      <c r="R30" s="351">
        <f>113000+55000</f>
        <v>168000</v>
      </c>
      <c r="S30" s="351">
        <v>69000</v>
      </c>
      <c r="T30" s="125">
        <f t="shared" si="2"/>
        <v>99000</v>
      </c>
      <c r="U30" s="336">
        <f t="shared" si="3"/>
        <v>2.4347826086956523</v>
      </c>
      <c r="V30" s="117">
        <v>4</v>
      </c>
      <c r="W30" s="199" t="s">
        <v>235</v>
      </c>
    </row>
    <row r="31" spans="2:23" x14ac:dyDescent="0.35">
      <c r="B31" s="2" t="s">
        <v>319</v>
      </c>
      <c r="C31" s="53" t="s">
        <v>295</v>
      </c>
      <c r="D31" s="109">
        <v>1269</v>
      </c>
      <c r="E31" s="283">
        <f t="shared" si="0"/>
        <v>0.97951142631993693</v>
      </c>
      <c r="F31" s="117">
        <v>1243</v>
      </c>
      <c r="G31" s="61" t="s">
        <v>82</v>
      </c>
      <c r="H31" s="61" t="s">
        <v>82</v>
      </c>
      <c r="I31" s="61" t="s">
        <v>82</v>
      </c>
      <c r="J31" s="61" t="s">
        <v>82</v>
      </c>
      <c r="K31" s="61" t="s">
        <v>82</v>
      </c>
      <c r="L31" s="61" t="s">
        <v>82</v>
      </c>
      <c r="M31" s="61" t="s">
        <v>82</v>
      </c>
      <c r="N31" s="61" t="s">
        <v>82</v>
      </c>
      <c r="O31" s="61" t="s">
        <v>82</v>
      </c>
      <c r="P31" s="61" t="s">
        <v>82</v>
      </c>
      <c r="Q31" s="61" t="s">
        <v>82</v>
      </c>
      <c r="R31" s="351">
        <f>160000+289000</f>
        <v>449000</v>
      </c>
      <c r="S31" s="351">
        <v>327000</v>
      </c>
      <c r="T31" s="125">
        <f t="shared" si="2"/>
        <v>122000</v>
      </c>
      <c r="U31" s="336">
        <f t="shared" si="3"/>
        <v>1.3730886850152906</v>
      </c>
      <c r="V31" s="117">
        <v>4</v>
      </c>
      <c r="W31" s="199" t="s">
        <v>235</v>
      </c>
    </row>
    <row r="32" spans="2:23" x14ac:dyDescent="0.35">
      <c r="B32" s="2" t="s">
        <v>310</v>
      </c>
      <c r="C32" s="53" t="s">
        <v>295</v>
      </c>
      <c r="D32" s="62" t="s">
        <v>82</v>
      </c>
      <c r="E32" s="53" t="s">
        <v>82</v>
      </c>
      <c r="F32" s="117">
        <v>6830</v>
      </c>
      <c r="G32" s="61" t="s">
        <v>82</v>
      </c>
      <c r="H32" s="61" t="s">
        <v>82</v>
      </c>
      <c r="I32" s="61" t="s">
        <v>82</v>
      </c>
      <c r="J32" s="61" t="s">
        <v>82</v>
      </c>
      <c r="K32" s="61" t="s">
        <v>82</v>
      </c>
      <c r="L32" s="61" t="s">
        <v>82</v>
      </c>
      <c r="M32" s="61" t="s">
        <v>82</v>
      </c>
      <c r="N32" s="61" t="s">
        <v>82</v>
      </c>
      <c r="O32" s="61" t="s">
        <v>82</v>
      </c>
      <c r="P32" s="61" t="s">
        <v>82</v>
      </c>
      <c r="Q32" s="61" t="s">
        <v>82</v>
      </c>
      <c r="R32" s="351">
        <f>2262000+163000</f>
        <v>2425000</v>
      </c>
      <c r="S32" s="351">
        <v>2193000</v>
      </c>
      <c r="T32" s="125">
        <f t="shared" si="2"/>
        <v>232000</v>
      </c>
      <c r="U32" s="336">
        <f t="shared" si="3"/>
        <v>1.1057911536707707</v>
      </c>
      <c r="V32" s="117">
        <v>601</v>
      </c>
      <c r="W32" s="199" t="s">
        <v>193</v>
      </c>
    </row>
    <row r="33" spans="2:23" x14ac:dyDescent="0.35">
      <c r="B33" s="4" t="s">
        <v>7</v>
      </c>
      <c r="C33" s="4"/>
      <c r="D33" s="65">
        <f>SUM(D22:D32)</f>
        <v>400150</v>
      </c>
      <c r="E33" s="237">
        <f>F33/D33</f>
        <v>0.71030463576158942</v>
      </c>
      <c r="F33" s="65">
        <f>SUM(F22:F32)</f>
        <v>284228.40000000002</v>
      </c>
      <c r="G33" s="118">
        <f>H33/F33</f>
        <v>9.4869689306205842</v>
      </c>
      <c r="H33" s="65">
        <f>SUM(H22:H32)</f>
        <v>2696466</v>
      </c>
      <c r="I33" s="147">
        <f>SUM(I22:I32)</f>
        <v>35764723.099999994</v>
      </c>
      <c r="J33" s="248">
        <f t="shared" ref="J33:J34" si="4">-PMT( 0.46%,G33,I33)/(F33*1000)</f>
        <v>1.3585548325759892E-2</v>
      </c>
      <c r="K33" s="68" t="s">
        <v>82</v>
      </c>
      <c r="L33" s="68" t="s">
        <v>82</v>
      </c>
      <c r="M33" s="68" t="s">
        <v>82</v>
      </c>
      <c r="N33" s="68" t="s">
        <v>82</v>
      </c>
      <c r="O33" s="68" t="s">
        <v>82</v>
      </c>
      <c r="P33" s="68" t="s">
        <v>82</v>
      </c>
      <c r="Q33" s="68" t="s">
        <v>82</v>
      </c>
      <c r="R33" s="72">
        <f>SUM(R22:R32)</f>
        <v>145706878</v>
      </c>
      <c r="S33" s="72">
        <f t="shared" ref="S33:T33" si="5">SUM(S22:S32)</f>
        <v>132767957</v>
      </c>
      <c r="T33" s="72">
        <f t="shared" si="5"/>
        <v>12938921</v>
      </c>
      <c r="U33" s="73">
        <f t="shared" ref="U33" si="6">R33/S33</f>
        <v>1.0974551487600279</v>
      </c>
      <c r="V33" s="74">
        <f>SUM(V22:V32)</f>
        <v>10841</v>
      </c>
      <c r="W33" s="218" t="s">
        <v>82</v>
      </c>
    </row>
    <row r="34" spans="2:23" x14ac:dyDescent="0.35">
      <c r="B34" s="31" t="s">
        <v>14</v>
      </c>
      <c r="C34" s="31"/>
      <c r="D34" s="255">
        <f>SUM(D22:D27)</f>
        <v>345035</v>
      </c>
      <c r="E34" s="259">
        <f>F34/D34</f>
        <v>0.69606387757763699</v>
      </c>
      <c r="F34" s="255">
        <f>SUM(F22:F27)</f>
        <v>240166.39999999999</v>
      </c>
      <c r="G34" s="256">
        <f>H34/F34</f>
        <v>11.227490606512818</v>
      </c>
      <c r="H34" s="255">
        <f t="shared" ref="H34:I34" si="7">SUM(H22:H27)</f>
        <v>2696466</v>
      </c>
      <c r="I34" s="321">
        <f t="shared" si="7"/>
        <v>35764723.099999994</v>
      </c>
      <c r="J34" s="322">
        <f t="shared" si="4"/>
        <v>1.3639486219510106E-2</v>
      </c>
      <c r="K34" s="323" t="s">
        <v>82</v>
      </c>
      <c r="L34" s="323" t="s">
        <v>82</v>
      </c>
      <c r="M34" s="324" t="s">
        <v>82</v>
      </c>
      <c r="N34" s="324" t="s">
        <v>82</v>
      </c>
      <c r="O34" s="324" t="s">
        <v>82</v>
      </c>
      <c r="P34" s="323" t="s">
        <v>82</v>
      </c>
      <c r="Q34" s="323" t="s">
        <v>82</v>
      </c>
      <c r="R34" s="321">
        <f t="shared" ref="R34:S34" si="8">SUM(R22:R27)</f>
        <v>115676878</v>
      </c>
      <c r="S34" s="321">
        <f t="shared" si="8"/>
        <v>110958957</v>
      </c>
      <c r="T34" s="325">
        <f>R34-S34</f>
        <v>4717921</v>
      </c>
      <c r="U34" s="259">
        <f>R34/S34</f>
        <v>1.0425195146706363</v>
      </c>
      <c r="V34" s="326" t="s">
        <v>82</v>
      </c>
      <c r="W34" s="326" t="s">
        <v>82</v>
      </c>
    </row>
    <row r="35" spans="2:23" x14ac:dyDescent="0.35">
      <c r="B35" s="31" t="s">
        <v>15</v>
      </c>
      <c r="C35" s="31"/>
      <c r="D35" s="255">
        <f>SUM(D28:D32)</f>
        <v>55115</v>
      </c>
      <c r="E35" s="259">
        <f>F35/D35</f>
        <v>0.79945568357071572</v>
      </c>
      <c r="F35" s="255">
        <f>SUM(F28:F32)</f>
        <v>44062</v>
      </c>
      <c r="G35" s="323" t="s">
        <v>82</v>
      </c>
      <c r="H35" s="323" t="s">
        <v>82</v>
      </c>
      <c r="I35" s="323" t="s">
        <v>82</v>
      </c>
      <c r="J35" s="323" t="s">
        <v>82</v>
      </c>
      <c r="K35" s="323" t="s">
        <v>82</v>
      </c>
      <c r="L35" s="323" t="s">
        <v>82</v>
      </c>
      <c r="M35" s="324" t="s">
        <v>82</v>
      </c>
      <c r="N35" s="324" t="s">
        <v>82</v>
      </c>
      <c r="O35" s="324" t="s">
        <v>82</v>
      </c>
      <c r="P35" s="323" t="s">
        <v>82</v>
      </c>
      <c r="Q35" s="323" t="s">
        <v>82</v>
      </c>
      <c r="R35" s="29">
        <f>SUM(R28:R32)</f>
        <v>30030000</v>
      </c>
      <c r="S35" s="29">
        <f>SUM(S28:S32)</f>
        <v>21809000</v>
      </c>
      <c r="T35" s="325">
        <f>R35-S35</f>
        <v>8221000</v>
      </c>
      <c r="U35" s="259">
        <f>R35/S35</f>
        <v>1.3769544683387591</v>
      </c>
      <c r="V35" s="326" t="s">
        <v>82</v>
      </c>
      <c r="W35" s="326" t="s">
        <v>82</v>
      </c>
    </row>
    <row r="36" spans="2:23" ht="15.65" customHeight="1" x14ac:dyDescent="0.35">
      <c r="B36" s="409" t="s">
        <v>1</v>
      </c>
      <c r="C36" s="410"/>
      <c r="D36" s="410"/>
      <c r="E36" s="410"/>
      <c r="F36" s="410"/>
      <c r="G36" s="410"/>
      <c r="H36" s="410"/>
      <c r="I36" s="410"/>
      <c r="J36" s="410"/>
      <c r="K36" s="410"/>
      <c r="L36" s="410"/>
      <c r="M36" s="410"/>
      <c r="N36" s="410"/>
      <c r="O36" s="410"/>
      <c r="P36" s="410"/>
      <c r="Q36" s="410"/>
      <c r="R36" s="410"/>
      <c r="S36" s="410"/>
      <c r="T36" s="410"/>
      <c r="U36" s="410"/>
      <c r="V36" s="410"/>
      <c r="W36" s="411"/>
    </row>
    <row r="37" spans="2:23" x14ac:dyDescent="0.35">
      <c r="B37" s="2" t="s">
        <v>87</v>
      </c>
      <c r="C37" s="53" t="s">
        <v>81</v>
      </c>
      <c r="D37" s="109">
        <v>373991</v>
      </c>
      <c r="E37" s="239">
        <f>F37/D37</f>
        <v>0.70758654620030959</v>
      </c>
      <c r="F37" s="117">
        <v>264631</v>
      </c>
      <c r="G37" s="116">
        <v>9</v>
      </c>
      <c r="H37" s="119">
        <f>F37*G37</f>
        <v>2381679</v>
      </c>
      <c r="I37" s="78">
        <v>15581137.120000001</v>
      </c>
      <c r="J37" s="329">
        <f t="shared" ref="J37" si="9">-PMT( 0.46%,G37,I37)/(F37*1000)</f>
        <v>6.6934696698465615E-3</v>
      </c>
      <c r="K37" s="61" t="s">
        <v>82</v>
      </c>
      <c r="L37" s="61" t="s">
        <v>82</v>
      </c>
      <c r="M37" s="61" t="s">
        <v>82</v>
      </c>
      <c r="N37" s="61" t="s">
        <v>82</v>
      </c>
      <c r="O37" s="61" t="s">
        <v>82</v>
      </c>
      <c r="P37" s="61" t="s">
        <v>82</v>
      </c>
      <c r="Q37" s="61" t="s">
        <v>82</v>
      </c>
      <c r="R37" s="78">
        <v>106518136</v>
      </c>
      <c r="S37" s="78">
        <v>21979822</v>
      </c>
      <c r="T37" s="125">
        <f>R37-S37</f>
        <v>84538314</v>
      </c>
      <c r="U37" s="84">
        <v>4.8499999999999996</v>
      </c>
      <c r="V37" s="83">
        <v>11197862</v>
      </c>
      <c r="W37" s="115" t="s">
        <v>141</v>
      </c>
    </row>
    <row r="38" spans="2:23" x14ac:dyDescent="0.35">
      <c r="B38" s="2" t="s">
        <v>102</v>
      </c>
      <c r="C38" s="53" t="s">
        <v>81</v>
      </c>
      <c r="D38" s="120">
        <f>18761+49605.6</f>
        <v>68366.600000000006</v>
      </c>
      <c r="E38" s="239">
        <f t="shared" ref="E38:E42" si="10">F38/D38</f>
        <v>0.70492023883007193</v>
      </c>
      <c r="F38" s="114">
        <f>12973+35220</f>
        <v>48193</v>
      </c>
      <c r="G38" s="250">
        <v>9</v>
      </c>
      <c r="H38" s="112">
        <f>F38*G38</f>
        <v>433737</v>
      </c>
      <c r="I38" s="59" t="s">
        <v>82</v>
      </c>
      <c r="J38" s="59" t="s">
        <v>82</v>
      </c>
      <c r="K38" s="61" t="s">
        <v>82</v>
      </c>
      <c r="L38" s="61" t="s">
        <v>82</v>
      </c>
      <c r="M38" s="61" t="s">
        <v>82</v>
      </c>
      <c r="N38" s="61" t="s">
        <v>82</v>
      </c>
      <c r="O38" s="61" t="s">
        <v>82</v>
      </c>
      <c r="P38" s="61" t="s">
        <v>82</v>
      </c>
      <c r="Q38" s="61" t="s">
        <v>82</v>
      </c>
      <c r="R38" s="78">
        <v>21340</v>
      </c>
      <c r="S38" s="78">
        <v>14419</v>
      </c>
      <c r="T38" s="125">
        <f>R38-S38</f>
        <v>6921</v>
      </c>
      <c r="U38" s="84">
        <f>R38/S38</f>
        <v>1.4799916776475484</v>
      </c>
      <c r="V38" s="56" t="s">
        <v>82</v>
      </c>
      <c r="W38" s="115" t="s">
        <v>141</v>
      </c>
    </row>
    <row r="39" spans="2:23" x14ac:dyDescent="0.35">
      <c r="B39" s="2" t="s">
        <v>88</v>
      </c>
      <c r="C39" s="53" t="s">
        <v>81</v>
      </c>
      <c r="D39" s="109">
        <v>65592</v>
      </c>
      <c r="E39" s="239">
        <f t="shared" si="10"/>
        <v>0.68378765703134525</v>
      </c>
      <c r="F39" s="117">
        <v>44851</v>
      </c>
      <c r="G39" s="116">
        <v>8</v>
      </c>
      <c r="H39" s="119">
        <f t="shared" ref="H39:H43" si="11">F39*G39</f>
        <v>358808</v>
      </c>
      <c r="I39" s="78">
        <v>6071724.1699999999</v>
      </c>
      <c r="J39" s="329">
        <f t="shared" ref="J39:J43" si="12">-PMT( 0.46%,G39,I39)/(F39*1000)</f>
        <v>1.7274090338495342E-2</v>
      </c>
      <c r="K39" s="61" t="s">
        <v>82</v>
      </c>
      <c r="L39" s="61" t="s">
        <v>82</v>
      </c>
      <c r="M39" s="61" t="s">
        <v>82</v>
      </c>
      <c r="N39" s="61" t="s">
        <v>82</v>
      </c>
      <c r="O39" s="61" t="s">
        <v>82</v>
      </c>
      <c r="P39" s="61" t="s">
        <v>82</v>
      </c>
      <c r="Q39" s="61" t="s">
        <v>82</v>
      </c>
      <c r="R39" s="126">
        <v>18100895</v>
      </c>
      <c r="S39" s="126">
        <v>5134644</v>
      </c>
      <c r="T39" s="125">
        <f>R39-S39</f>
        <v>12966251</v>
      </c>
      <c r="U39" s="84">
        <v>3.53</v>
      </c>
      <c r="V39" s="83">
        <v>41024</v>
      </c>
      <c r="W39" s="115" t="s">
        <v>141</v>
      </c>
    </row>
    <row r="40" spans="2:23" ht="14.5" customHeight="1" x14ac:dyDescent="0.35">
      <c r="B40" s="2" t="s">
        <v>109</v>
      </c>
      <c r="C40" s="53" t="s">
        <v>81</v>
      </c>
      <c r="D40" s="83">
        <f>4678+7969</f>
        <v>12647</v>
      </c>
      <c r="E40" s="239">
        <f t="shared" si="10"/>
        <v>0.84375741282517591</v>
      </c>
      <c r="F40" s="117">
        <f>4216+6455</f>
        <v>10671</v>
      </c>
      <c r="G40" s="116">
        <v>9</v>
      </c>
      <c r="H40" s="119">
        <f t="shared" si="11"/>
        <v>96039</v>
      </c>
      <c r="I40" s="211">
        <v>1397401.54</v>
      </c>
      <c r="J40" s="329">
        <f t="shared" si="12"/>
        <v>1.4887060928685091E-2</v>
      </c>
      <c r="K40" s="61" t="s">
        <v>82</v>
      </c>
      <c r="L40" s="61" t="s">
        <v>82</v>
      </c>
      <c r="M40" s="61" t="s">
        <v>82</v>
      </c>
      <c r="N40" s="61" t="s">
        <v>82</v>
      </c>
      <c r="O40" s="61" t="s">
        <v>82</v>
      </c>
      <c r="P40" s="61" t="s">
        <v>82</v>
      </c>
      <c r="Q40" s="61" t="s">
        <v>82</v>
      </c>
      <c r="R40" s="212">
        <v>3713741</v>
      </c>
      <c r="S40" s="212">
        <v>1407813</v>
      </c>
      <c r="T40" s="154">
        <f t="shared" ref="T40:T43" si="13">R40-S40</f>
        <v>2305928</v>
      </c>
      <c r="U40" s="347">
        <v>2.64</v>
      </c>
      <c r="V40" s="213">
        <v>42231</v>
      </c>
      <c r="W40" s="202" t="s">
        <v>304</v>
      </c>
    </row>
    <row r="41" spans="2:23" ht="14.5" customHeight="1" x14ac:dyDescent="0.35">
      <c r="B41" s="2" t="s">
        <v>111</v>
      </c>
      <c r="C41" s="53" t="s">
        <v>81</v>
      </c>
      <c r="D41" s="83">
        <f>401+2680</f>
        <v>3081</v>
      </c>
      <c r="E41" s="239">
        <f t="shared" si="10"/>
        <v>0.81084063615709179</v>
      </c>
      <c r="F41" s="119">
        <f>368.5+2129.7</f>
        <v>2498.1999999999998</v>
      </c>
      <c r="G41" s="121">
        <v>9</v>
      </c>
      <c r="H41" s="119">
        <f t="shared" si="11"/>
        <v>22483.8</v>
      </c>
      <c r="I41" s="214">
        <v>826078.46</v>
      </c>
      <c r="J41" s="329">
        <f t="shared" si="12"/>
        <v>3.7591266874962087E-2</v>
      </c>
      <c r="K41" s="61" t="s">
        <v>82</v>
      </c>
      <c r="L41" s="61" t="s">
        <v>82</v>
      </c>
      <c r="M41" s="61" t="s">
        <v>82</v>
      </c>
      <c r="N41" s="61" t="s">
        <v>82</v>
      </c>
      <c r="O41" s="61" t="s">
        <v>82</v>
      </c>
      <c r="P41" s="61" t="s">
        <v>82</v>
      </c>
      <c r="Q41" s="61" t="s">
        <v>82</v>
      </c>
      <c r="R41" s="153">
        <v>931148</v>
      </c>
      <c r="S41" s="153">
        <v>753179</v>
      </c>
      <c r="T41" s="154">
        <f t="shared" si="13"/>
        <v>177969</v>
      </c>
      <c r="U41" s="347">
        <v>1.24</v>
      </c>
      <c r="V41" s="348">
        <v>7914</v>
      </c>
      <c r="W41" s="199" t="s">
        <v>193</v>
      </c>
    </row>
    <row r="42" spans="2:23" ht="14.5" customHeight="1" x14ac:dyDescent="0.35">
      <c r="B42" s="2" t="s">
        <v>113</v>
      </c>
      <c r="C42" s="53" t="s">
        <v>81</v>
      </c>
      <c r="D42" s="83">
        <v>2225</v>
      </c>
      <c r="E42" s="239">
        <f t="shared" si="10"/>
        <v>1</v>
      </c>
      <c r="F42" s="119">
        <v>2225</v>
      </c>
      <c r="G42" s="122">
        <v>1</v>
      </c>
      <c r="H42" s="119">
        <f t="shared" si="11"/>
        <v>2225</v>
      </c>
      <c r="I42" s="3">
        <v>2227567.9299999997</v>
      </c>
      <c r="J42" s="329">
        <f t="shared" si="12"/>
        <v>1.0057594348215728</v>
      </c>
      <c r="K42" s="61" t="s">
        <v>82</v>
      </c>
      <c r="L42" s="61" t="s">
        <v>82</v>
      </c>
      <c r="M42" s="61" t="s">
        <v>82</v>
      </c>
      <c r="N42" s="61" t="s">
        <v>82</v>
      </c>
      <c r="O42" s="61" t="s">
        <v>82</v>
      </c>
      <c r="P42" s="61" t="s">
        <v>82</v>
      </c>
      <c r="Q42" s="61" t="s">
        <v>82</v>
      </c>
      <c r="R42" s="3">
        <v>1233932</v>
      </c>
      <c r="S42" s="3">
        <v>2365043</v>
      </c>
      <c r="T42" s="125">
        <f t="shared" si="13"/>
        <v>-1131111</v>
      </c>
      <c r="U42" s="84">
        <v>0.52</v>
      </c>
      <c r="V42" s="114">
        <v>16237</v>
      </c>
      <c r="W42" s="199" t="s">
        <v>193</v>
      </c>
    </row>
    <row r="43" spans="2:23" x14ac:dyDescent="0.35">
      <c r="B43" s="2" t="s">
        <v>114</v>
      </c>
      <c r="C43" s="53" t="s">
        <v>81</v>
      </c>
      <c r="D43" s="83">
        <v>13479</v>
      </c>
      <c r="E43" s="284">
        <f>F43/D43</f>
        <v>1</v>
      </c>
      <c r="F43" s="119">
        <v>13479</v>
      </c>
      <c r="G43" s="122">
        <v>1</v>
      </c>
      <c r="H43" s="119">
        <f t="shared" si="11"/>
        <v>13479</v>
      </c>
      <c r="I43" s="3">
        <v>1749110</v>
      </c>
      <c r="J43" s="329">
        <f t="shared" si="12"/>
        <v>0.13036248282513541</v>
      </c>
      <c r="K43" s="61" t="s">
        <v>82</v>
      </c>
      <c r="L43" s="61" t="s">
        <v>82</v>
      </c>
      <c r="M43" s="61" t="s">
        <v>82</v>
      </c>
      <c r="N43" s="61" t="s">
        <v>82</v>
      </c>
      <c r="O43" s="61" t="s">
        <v>82</v>
      </c>
      <c r="P43" s="61" t="s">
        <v>82</v>
      </c>
      <c r="Q43" s="61" t="s">
        <v>82</v>
      </c>
      <c r="R43" s="3">
        <v>855662</v>
      </c>
      <c r="S43" s="3">
        <v>2174501</v>
      </c>
      <c r="T43" s="125">
        <f t="shared" si="13"/>
        <v>-1318839</v>
      </c>
      <c r="U43" s="84">
        <v>0.39</v>
      </c>
      <c r="V43" s="114">
        <v>263205</v>
      </c>
      <c r="W43" s="199" t="s">
        <v>193</v>
      </c>
    </row>
    <row r="44" spans="2:23" x14ac:dyDescent="0.35">
      <c r="B44" s="2" t="s">
        <v>298</v>
      </c>
      <c r="C44" s="53" t="s">
        <v>295</v>
      </c>
      <c r="D44" s="109">
        <v>791</v>
      </c>
      <c r="E44" s="284">
        <f t="shared" ref="E44" si="14">F44/D44</f>
        <v>0.80025284450063217</v>
      </c>
      <c r="F44" s="117">
        <v>633</v>
      </c>
      <c r="G44" s="61" t="s">
        <v>82</v>
      </c>
      <c r="H44" s="61" t="s">
        <v>82</v>
      </c>
      <c r="I44" s="61" t="s">
        <v>82</v>
      </c>
      <c r="J44" s="61" t="s">
        <v>82</v>
      </c>
      <c r="K44" s="61" t="s">
        <v>82</v>
      </c>
      <c r="L44" s="61" t="s">
        <v>82</v>
      </c>
      <c r="M44" s="61" t="s">
        <v>82</v>
      </c>
      <c r="N44" s="61" t="s">
        <v>82</v>
      </c>
      <c r="O44" s="61" t="s">
        <v>82</v>
      </c>
      <c r="P44" s="61" t="s">
        <v>82</v>
      </c>
      <c r="Q44" s="61" t="s">
        <v>82</v>
      </c>
      <c r="R44" s="351">
        <f>233000+49000</f>
        <v>282000</v>
      </c>
      <c r="S44" s="312">
        <v>277000</v>
      </c>
      <c r="T44" s="125">
        <f t="shared" ref="T44" si="15">R44-S44</f>
        <v>5000</v>
      </c>
      <c r="U44" s="336">
        <f>R44/S44</f>
        <v>1.0180505415162455</v>
      </c>
      <c r="V44" s="117">
        <v>29223</v>
      </c>
      <c r="W44" s="199" t="s">
        <v>141</v>
      </c>
    </row>
    <row r="45" spans="2:23" x14ac:dyDescent="0.35">
      <c r="B45" s="4" t="s">
        <v>8</v>
      </c>
      <c r="C45" s="4"/>
      <c r="D45" s="65">
        <f>SUM(D37:D44)</f>
        <v>540172.6</v>
      </c>
      <c r="E45" s="237">
        <f>F45/D45</f>
        <v>0.71677312029525386</v>
      </c>
      <c r="F45" s="65">
        <f>SUM(F37:F44)</f>
        <v>387181.2</v>
      </c>
      <c r="G45" s="118">
        <f>H45/F45</f>
        <v>8.5449675759050283</v>
      </c>
      <c r="H45" s="71">
        <f>SUM(H37:H44)</f>
        <v>3308450.8</v>
      </c>
      <c r="I45" s="67">
        <f>SUM(I37:I44)</f>
        <v>27853019.219999999</v>
      </c>
      <c r="J45" s="248">
        <f t="shared" ref="J45" si="16">-PMT( 0.46%,G45,I45)/(F45*1000)</f>
        <v>8.6046367159443495E-3</v>
      </c>
      <c r="K45" s="68" t="s">
        <v>82</v>
      </c>
      <c r="L45" s="68" t="s">
        <v>82</v>
      </c>
      <c r="M45" s="68" t="s">
        <v>82</v>
      </c>
      <c r="N45" s="68" t="s">
        <v>82</v>
      </c>
      <c r="O45" s="68" t="s">
        <v>82</v>
      </c>
      <c r="P45" s="68" t="s">
        <v>82</v>
      </c>
      <c r="Q45" s="68" t="s">
        <v>82</v>
      </c>
      <c r="R45" s="72">
        <f>SUM(R37:R44)</f>
        <v>131656854</v>
      </c>
      <c r="S45" s="72">
        <f>SUM(S37:S44)</f>
        <v>34106421</v>
      </c>
      <c r="T45" s="72">
        <f>SUM(T37:T44)</f>
        <v>97550433</v>
      </c>
      <c r="U45" s="73">
        <f t="shared" ref="U45" si="17">R45/S45</f>
        <v>3.8601779412738733</v>
      </c>
      <c r="V45" s="74">
        <f>SUM(V37:V44)</f>
        <v>11597696</v>
      </c>
      <c r="W45" s="218" t="s">
        <v>82</v>
      </c>
    </row>
    <row r="46" spans="2:23" ht="15.65" customHeight="1" x14ac:dyDescent="0.35">
      <c r="B46" s="425" t="s">
        <v>9</v>
      </c>
      <c r="C46" s="426"/>
      <c r="D46" s="426"/>
      <c r="E46" s="426"/>
      <c r="F46" s="426"/>
      <c r="G46" s="426"/>
      <c r="H46" s="426"/>
      <c r="I46" s="426"/>
      <c r="J46" s="426"/>
      <c r="K46" s="426"/>
      <c r="L46" s="426"/>
      <c r="M46" s="426"/>
      <c r="N46" s="426"/>
      <c r="O46" s="426"/>
      <c r="P46" s="426"/>
      <c r="Q46" s="426"/>
      <c r="R46" s="426"/>
      <c r="S46" s="426"/>
      <c r="T46" s="426"/>
      <c r="U46" s="426"/>
      <c r="V46" s="426"/>
      <c r="W46" s="427"/>
    </row>
    <row r="47" spans="2:23" x14ac:dyDescent="0.35">
      <c r="B47" s="288" t="s">
        <v>303</v>
      </c>
      <c r="C47" s="53" t="s">
        <v>295</v>
      </c>
      <c r="D47" s="109">
        <v>7438</v>
      </c>
      <c r="E47" s="284">
        <f t="shared" ref="E47:E49" si="18">F47/D47</f>
        <v>1</v>
      </c>
      <c r="F47" s="109">
        <v>7438</v>
      </c>
      <c r="G47" s="61" t="s">
        <v>82</v>
      </c>
      <c r="H47" s="61" t="s">
        <v>82</v>
      </c>
      <c r="I47" s="61" t="s">
        <v>82</v>
      </c>
      <c r="J47" s="61" t="s">
        <v>82</v>
      </c>
      <c r="K47" s="61" t="s">
        <v>82</v>
      </c>
      <c r="L47" s="61" t="s">
        <v>82</v>
      </c>
      <c r="M47" s="61" t="s">
        <v>82</v>
      </c>
      <c r="N47" s="61" t="s">
        <v>82</v>
      </c>
      <c r="O47" s="61" t="s">
        <v>82</v>
      </c>
      <c r="P47" s="61" t="s">
        <v>82</v>
      </c>
      <c r="Q47" s="61" t="s">
        <v>82</v>
      </c>
      <c r="R47" s="351">
        <f>2975000+2786000</f>
        <v>5761000</v>
      </c>
      <c r="S47" s="312">
        <v>7717000</v>
      </c>
      <c r="T47" s="125">
        <f t="shared" ref="T47:T49" si="19">R47-S47</f>
        <v>-1956000</v>
      </c>
      <c r="U47" s="336">
        <f>R47/S47</f>
        <v>0.74653362705714654</v>
      </c>
      <c r="V47" s="117">
        <v>154037</v>
      </c>
      <c r="W47" s="199" t="s">
        <v>141</v>
      </c>
    </row>
    <row r="48" spans="2:23" x14ac:dyDescent="0.35">
      <c r="B48" s="288" t="s">
        <v>301</v>
      </c>
      <c r="C48" s="53" t="s">
        <v>295</v>
      </c>
      <c r="D48" s="109">
        <v>1221</v>
      </c>
      <c r="E48" s="284">
        <f t="shared" si="18"/>
        <v>1</v>
      </c>
      <c r="F48" s="109">
        <v>1221</v>
      </c>
      <c r="G48" s="61" t="s">
        <v>82</v>
      </c>
      <c r="H48" s="61" t="s">
        <v>82</v>
      </c>
      <c r="I48" s="61" t="s">
        <v>82</v>
      </c>
      <c r="J48" s="61" t="s">
        <v>82</v>
      </c>
      <c r="K48" s="61" t="s">
        <v>82</v>
      </c>
      <c r="L48" s="61" t="s">
        <v>82</v>
      </c>
      <c r="M48" s="61" t="s">
        <v>82</v>
      </c>
      <c r="N48" s="61" t="s">
        <v>82</v>
      </c>
      <c r="O48" s="61" t="s">
        <v>82</v>
      </c>
      <c r="P48" s="61" t="s">
        <v>82</v>
      </c>
      <c r="Q48" s="61" t="s">
        <v>82</v>
      </c>
      <c r="R48" s="351">
        <f>512000+336000</f>
        <v>848000</v>
      </c>
      <c r="S48" s="312">
        <v>3455000</v>
      </c>
      <c r="T48" s="125">
        <f t="shared" si="19"/>
        <v>-2607000</v>
      </c>
      <c r="U48" s="336">
        <f>R48/S48</f>
        <v>0.24544138929088277</v>
      </c>
      <c r="V48" s="117">
        <v>829</v>
      </c>
      <c r="W48" s="199" t="s">
        <v>302</v>
      </c>
    </row>
    <row r="49" spans="2:23" x14ac:dyDescent="0.35">
      <c r="B49" s="2" t="s">
        <v>322</v>
      </c>
      <c r="C49" s="53" t="s">
        <v>295</v>
      </c>
      <c r="D49" s="109">
        <v>776</v>
      </c>
      <c r="E49" s="284">
        <f t="shared" si="18"/>
        <v>1</v>
      </c>
      <c r="F49" s="109">
        <v>776</v>
      </c>
      <c r="G49" s="61" t="s">
        <v>82</v>
      </c>
      <c r="H49" s="61" t="s">
        <v>82</v>
      </c>
      <c r="I49" s="61" t="s">
        <v>82</v>
      </c>
      <c r="J49" s="61" t="s">
        <v>82</v>
      </c>
      <c r="K49" s="61" t="s">
        <v>82</v>
      </c>
      <c r="L49" s="61" t="s">
        <v>82</v>
      </c>
      <c r="M49" s="61" t="s">
        <v>82</v>
      </c>
      <c r="N49" s="61" t="s">
        <v>82</v>
      </c>
      <c r="O49" s="61" t="s">
        <v>82</v>
      </c>
      <c r="P49" s="61" t="s">
        <v>82</v>
      </c>
      <c r="Q49" s="61" t="s">
        <v>82</v>
      </c>
      <c r="R49" s="351">
        <f>419000+360000</f>
        <v>779000</v>
      </c>
      <c r="S49" s="312">
        <v>1951000</v>
      </c>
      <c r="T49" s="125">
        <f t="shared" si="19"/>
        <v>-1172000</v>
      </c>
      <c r="U49" s="336">
        <f>R49/S49</f>
        <v>0.39928241927216812</v>
      </c>
      <c r="V49" s="108">
        <v>5227</v>
      </c>
      <c r="W49" s="115" t="s">
        <v>312</v>
      </c>
    </row>
    <row r="50" spans="2:23" hidden="1" x14ac:dyDescent="0.35">
      <c r="B50" s="2" t="s">
        <v>0</v>
      </c>
      <c r="C50" s="2"/>
      <c r="D50" s="2"/>
      <c r="E50" s="2"/>
      <c r="F50" s="3"/>
      <c r="G50" s="3"/>
      <c r="H50" s="3"/>
      <c r="I50" s="3"/>
      <c r="J50" s="60" t="e">
        <f t="shared" ref="J50:J63" si="20">-PMT( 0.46%,G50,I50)/F50*1000</f>
        <v>#NUM!</v>
      </c>
      <c r="K50" s="61" t="s">
        <v>82</v>
      </c>
      <c r="L50" s="61" t="s">
        <v>82</v>
      </c>
      <c r="M50" s="61" t="s">
        <v>82</v>
      </c>
      <c r="N50" s="61" t="s">
        <v>82</v>
      </c>
      <c r="O50" s="61" t="s">
        <v>82</v>
      </c>
      <c r="P50" s="61" t="s">
        <v>82</v>
      </c>
      <c r="Q50" s="61" t="s">
        <v>82</v>
      </c>
      <c r="R50" s="3"/>
      <c r="S50" s="3"/>
      <c r="T50" s="2"/>
      <c r="U50" s="55" t="e">
        <f t="shared" ref="U50:U52" si="21">R50/S50</f>
        <v>#DIV/0!</v>
      </c>
      <c r="V50" s="3"/>
      <c r="W50" s="3"/>
    </row>
    <row r="51" spans="2:23" hidden="1" x14ac:dyDescent="0.35">
      <c r="B51" s="2" t="s">
        <v>0</v>
      </c>
      <c r="C51" s="2"/>
      <c r="D51" s="2"/>
      <c r="E51" s="2"/>
      <c r="F51" s="3"/>
      <c r="G51" s="3"/>
      <c r="H51" s="3"/>
      <c r="I51" s="3"/>
      <c r="J51" s="60" t="e">
        <f t="shared" si="20"/>
        <v>#NUM!</v>
      </c>
      <c r="K51" s="61" t="s">
        <v>82</v>
      </c>
      <c r="L51" s="61" t="s">
        <v>82</v>
      </c>
      <c r="M51" s="61" t="s">
        <v>82</v>
      </c>
      <c r="N51" s="61" t="s">
        <v>82</v>
      </c>
      <c r="O51" s="61" t="s">
        <v>82</v>
      </c>
      <c r="P51" s="61" t="s">
        <v>82</v>
      </c>
      <c r="Q51" s="61" t="s">
        <v>82</v>
      </c>
      <c r="R51" s="3"/>
      <c r="S51" s="3"/>
      <c r="T51" s="2"/>
      <c r="U51" s="55" t="e">
        <f t="shared" si="21"/>
        <v>#DIV/0!</v>
      </c>
      <c r="V51" s="3"/>
      <c r="W51" s="3"/>
    </row>
    <row r="52" spans="2:23" ht="15.75" customHeight="1" x14ac:dyDescent="0.35">
      <c r="B52" s="4" t="s">
        <v>10</v>
      </c>
      <c r="C52" s="4"/>
      <c r="D52" s="65">
        <f>SUM(D47:D51)</f>
        <v>9435</v>
      </c>
      <c r="E52" s="69">
        <f>F52/D52</f>
        <v>1</v>
      </c>
      <c r="F52" s="65">
        <f>SUM(F47:F51)</f>
        <v>9435</v>
      </c>
      <c r="G52" s="68" t="s">
        <v>82</v>
      </c>
      <c r="H52" s="68" t="s">
        <v>82</v>
      </c>
      <c r="I52" s="68" t="s">
        <v>82</v>
      </c>
      <c r="J52" s="68" t="s">
        <v>82</v>
      </c>
      <c r="K52" s="68" t="s">
        <v>82</v>
      </c>
      <c r="L52" s="68" t="s">
        <v>82</v>
      </c>
      <c r="M52" s="68" t="s">
        <v>82</v>
      </c>
      <c r="N52" s="68" t="s">
        <v>82</v>
      </c>
      <c r="O52" s="68" t="s">
        <v>82</v>
      </c>
      <c r="P52" s="68" t="s">
        <v>82</v>
      </c>
      <c r="Q52" s="68" t="s">
        <v>82</v>
      </c>
      <c r="R52" s="72">
        <f>SUM(R47:R51)</f>
        <v>7388000</v>
      </c>
      <c r="S52" s="72">
        <f>SUM(S47:S51)</f>
        <v>13123000</v>
      </c>
      <c r="T52" s="72">
        <f>SUM(T47:T51)</f>
        <v>-5735000</v>
      </c>
      <c r="U52" s="73">
        <f t="shared" si="21"/>
        <v>0.56298102568010366</v>
      </c>
      <c r="V52" s="74">
        <f>SUM(V47:V51)</f>
        <v>160093</v>
      </c>
      <c r="W52" s="68" t="s">
        <v>82</v>
      </c>
    </row>
    <row r="53" spans="2:23" ht="15.65" hidden="1" customHeight="1" x14ac:dyDescent="0.35">
      <c r="B53" s="409" t="s">
        <v>11</v>
      </c>
      <c r="C53" s="410"/>
      <c r="D53" s="410"/>
      <c r="E53" s="410"/>
      <c r="F53" s="410"/>
      <c r="G53" s="410"/>
      <c r="H53" s="410"/>
      <c r="I53" s="410"/>
      <c r="J53" s="410"/>
      <c r="K53" s="410"/>
      <c r="L53" s="410"/>
      <c r="M53" s="410"/>
      <c r="N53" s="410"/>
      <c r="O53" s="410"/>
      <c r="P53" s="410"/>
      <c r="Q53" s="410"/>
      <c r="R53" s="410"/>
      <c r="S53" s="410"/>
      <c r="T53" s="410"/>
      <c r="U53" s="410"/>
      <c r="V53" s="410"/>
      <c r="W53" s="410"/>
    </row>
    <row r="54" spans="2:23" hidden="1" x14ac:dyDescent="0.35">
      <c r="B54" s="2" t="s">
        <v>0</v>
      </c>
      <c r="C54" s="2"/>
      <c r="D54" s="2"/>
      <c r="E54" s="2"/>
      <c r="F54" s="3"/>
      <c r="G54" s="3"/>
      <c r="H54" s="3"/>
      <c r="I54" s="3"/>
      <c r="J54" s="60" t="e">
        <f t="shared" si="20"/>
        <v>#NUM!</v>
      </c>
      <c r="K54" s="61" t="s">
        <v>82</v>
      </c>
      <c r="L54" s="61" t="s">
        <v>82</v>
      </c>
      <c r="M54" s="61" t="s">
        <v>82</v>
      </c>
      <c r="N54" s="61" t="s">
        <v>82</v>
      </c>
      <c r="O54" s="61" t="s">
        <v>82</v>
      </c>
      <c r="P54" s="61" t="s">
        <v>82</v>
      </c>
      <c r="Q54" s="61" t="s">
        <v>82</v>
      </c>
      <c r="R54" s="3"/>
      <c r="S54" s="3"/>
      <c r="T54" s="2"/>
      <c r="U54" s="55" t="e">
        <f>R54/S54</f>
        <v>#DIV/0!</v>
      </c>
      <c r="V54" s="3"/>
      <c r="W54" s="3"/>
    </row>
    <row r="55" spans="2:23" hidden="1" x14ac:dyDescent="0.35">
      <c r="B55" s="2" t="s">
        <v>0</v>
      </c>
      <c r="C55" s="2"/>
      <c r="D55" s="2"/>
      <c r="E55" s="2"/>
      <c r="F55" s="3"/>
      <c r="G55" s="3"/>
      <c r="H55" s="3"/>
      <c r="I55" s="3"/>
      <c r="J55" s="60" t="e">
        <f t="shared" si="20"/>
        <v>#NUM!</v>
      </c>
      <c r="K55" s="61" t="s">
        <v>82</v>
      </c>
      <c r="L55" s="61" t="s">
        <v>82</v>
      </c>
      <c r="M55" s="61" t="s">
        <v>82</v>
      </c>
      <c r="N55" s="61" t="s">
        <v>82</v>
      </c>
      <c r="O55" s="61" t="s">
        <v>82</v>
      </c>
      <c r="P55" s="61" t="s">
        <v>82</v>
      </c>
      <c r="Q55" s="61" t="s">
        <v>82</v>
      </c>
      <c r="R55" s="3"/>
      <c r="S55" s="3"/>
      <c r="T55" s="2"/>
      <c r="U55" s="55" t="e">
        <f t="shared" ref="U55:U59" si="22">R55/S55</f>
        <v>#DIV/0!</v>
      </c>
      <c r="V55" s="3"/>
      <c r="W55" s="3"/>
    </row>
    <row r="56" spans="2:23" hidden="1" x14ac:dyDescent="0.35">
      <c r="B56" s="2" t="s">
        <v>0</v>
      </c>
      <c r="C56" s="2"/>
      <c r="D56" s="18"/>
      <c r="E56" s="18"/>
      <c r="F56" s="19"/>
      <c r="G56" s="19"/>
      <c r="H56" s="19"/>
      <c r="I56" s="19"/>
      <c r="J56" s="60" t="e">
        <f t="shared" si="20"/>
        <v>#NUM!</v>
      </c>
      <c r="K56" s="61" t="s">
        <v>82</v>
      </c>
      <c r="L56" s="61" t="s">
        <v>82</v>
      </c>
      <c r="M56" s="61" t="s">
        <v>82</v>
      </c>
      <c r="N56" s="61" t="s">
        <v>82</v>
      </c>
      <c r="O56" s="61" t="s">
        <v>82</v>
      </c>
      <c r="P56" s="61" t="s">
        <v>82</v>
      </c>
      <c r="Q56" s="61" t="s">
        <v>82</v>
      </c>
      <c r="R56" s="19"/>
      <c r="S56" s="19"/>
      <c r="T56" s="18"/>
      <c r="U56" s="55" t="e">
        <f t="shared" si="22"/>
        <v>#DIV/0!</v>
      </c>
      <c r="V56" s="19"/>
      <c r="W56" s="19"/>
    </row>
    <row r="57" spans="2:23" hidden="1" x14ac:dyDescent="0.35">
      <c r="B57" s="2" t="s">
        <v>0</v>
      </c>
      <c r="C57" s="2"/>
      <c r="D57" s="18"/>
      <c r="E57" s="18"/>
      <c r="F57" s="19"/>
      <c r="G57" s="19"/>
      <c r="H57" s="19"/>
      <c r="I57" s="19"/>
      <c r="J57" s="60" t="e">
        <f t="shared" si="20"/>
        <v>#NUM!</v>
      </c>
      <c r="K57" s="61" t="s">
        <v>82</v>
      </c>
      <c r="L57" s="61" t="s">
        <v>82</v>
      </c>
      <c r="M57" s="61" t="s">
        <v>82</v>
      </c>
      <c r="N57" s="61" t="s">
        <v>82</v>
      </c>
      <c r="O57" s="61" t="s">
        <v>82</v>
      </c>
      <c r="P57" s="61" t="s">
        <v>82</v>
      </c>
      <c r="Q57" s="61" t="s">
        <v>82</v>
      </c>
      <c r="R57" s="19"/>
      <c r="S57" s="19"/>
      <c r="T57" s="18"/>
      <c r="U57" s="55" t="e">
        <f t="shared" si="22"/>
        <v>#DIV/0!</v>
      </c>
      <c r="V57" s="19"/>
      <c r="W57" s="19"/>
    </row>
    <row r="58" spans="2:23" hidden="1" x14ac:dyDescent="0.35">
      <c r="B58" s="2" t="s">
        <v>0</v>
      </c>
      <c r="C58" s="2"/>
      <c r="D58" s="18"/>
      <c r="E58" s="18"/>
      <c r="F58" s="19"/>
      <c r="G58" s="19"/>
      <c r="H58" s="19"/>
      <c r="I58" s="19"/>
      <c r="J58" s="60" t="e">
        <f t="shared" si="20"/>
        <v>#NUM!</v>
      </c>
      <c r="K58" s="61" t="s">
        <v>82</v>
      </c>
      <c r="L58" s="61" t="s">
        <v>82</v>
      </c>
      <c r="M58" s="61" t="s">
        <v>82</v>
      </c>
      <c r="N58" s="61" t="s">
        <v>82</v>
      </c>
      <c r="O58" s="61" t="s">
        <v>82</v>
      </c>
      <c r="P58" s="61" t="s">
        <v>82</v>
      </c>
      <c r="Q58" s="61" t="s">
        <v>82</v>
      </c>
      <c r="R58" s="19"/>
      <c r="S58" s="19"/>
      <c r="T58" s="18"/>
      <c r="U58" s="55" t="e">
        <f t="shared" si="22"/>
        <v>#DIV/0!</v>
      </c>
      <c r="V58" s="19"/>
      <c r="W58" s="19"/>
    </row>
    <row r="59" spans="2:23" ht="35.15" hidden="1" customHeight="1" x14ac:dyDescent="0.35">
      <c r="B59" s="24" t="s">
        <v>12</v>
      </c>
      <c r="C59" s="24"/>
      <c r="D59" s="65">
        <f>SUM(D54:D58)</f>
        <v>0</v>
      </c>
      <c r="E59" s="69" t="e">
        <f>F59/D59</f>
        <v>#DIV/0!</v>
      </c>
      <c r="F59" s="65">
        <f>SUM(F54:F58)</f>
        <v>0</v>
      </c>
      <c r="G59" s="70" t="e">
        <f>H59/F59</f>
        <v>#DIV/0!</v>
      </c>
      <c r="H59" s="65">
        <f>SUM(H54:H58)</f>
        <v>0</v>
      </c>
      <c r="I59" s="67">
        <f>SUM(I54:I58)</f>
        <v>0</v>
      </c>
      <c r="J59" s="88" t="e">
        <f>-PMT( 0.46%,G59,I59)/F59*1000</f>
        <v>#DIV/0!</v>
      </c>
      <c r="K59" s="68" t="s">
        <v>82</v>
      </c>
      <c r="L59" s="68" t="s">
        <v>82</v>
      </c>
      <c r="M59" s="68" t="s">
        <v>82</v>
      </c>
      <c r="N59" s="68" t="s">
        <v>82</v>
      </c>
      <c r="O59" s="68" t="s">
        <v>82</v>
      </c>
      <c r="P59" s="68" t="s">
        <v>82</v>
      </c>
      <c r="Q59" s="68" t="s">
        <v>82</v>
      </c>
      <c r="R59" s="72">
        <f>SUM(R54:R58)</f>
        <v>0</v>
      </c>
      <c r="S59" s="72">
        <f>SUM(S54:S58)</f>
        <v>0</v>
      </c>
      <c r="T59" s="72">
        <f>SUM(T54:T58)</f>
        <v>0</v>
      </c>
      <c r="U59" s="73" t="e">
        <f t="shared" si="22"/>
        <v>#DIV/0!</v>
      </c>
      <c r="V59" s="74">
        <f>SUM(V54:V58)</f>
        <v>0</v>
      </c>
      <c r="W59" s="68" t="s">
        <v>82</v>
      </c>
    </row>
    <row r="60" spans="2:23" hidden="1" x14ac:dyDescent="0.35">
      <c r="B60" s="409" t="s">
        <v>16</v>
      </c>
      <c r="C60" s="410"/>
      <c r="D60" s="410"/>
      <c r="E60" s="410"/>
      <c r="F60" s="410"/>
      <c r="G60" s="410"/>
      <c r="H60" s="410"/>
      <c r="I60" s="410"/>
      <c r="J60" s="410"/>
      <c r="K60" s="410"/>
      <c r="L60" s="410"/>
      <c r="M60" s="410"/>
      <c r="N60" s="410"/>
      <c r="O60" s="410"/>
      <c r="P60" s="410"/>
      <c r="Q60" s="410"/>
      <c r="R60" s="410"/>
      <c r="S60" s="410"/>
      <c r="T60" s="410"/>
      <c r="U60" s="410"/>
      <c r="V60" s="410"/>
      <c r="W60" s="411"/>
    </row>
    <row r="61" spans="2:23" ht="16.149999999999999" hidden="1" customHeight="1" x14ac:dyDescent="0.35">
      <c r="B61" s="32" t="s">
        <v>0</v>
      </c>
      <c r="C61" s="32"/>
      <c r="D61" s="18"/>
      <c r="E61" s="18"/>
      <c r="F61" s="19"/>
      <c r="G61" s="19"/>
      <c r="H61" s="19"/>
      <c r="I61" s="19"/>
      <c r="J61" s="60" t="e">
        <f t="shared" si="20"/>
        <v>#NUM!</v>
      </c>
      <c r="K61" s="61" t="s">
        <v>82</v>
      </c>
      <c r="L61" s="61" t="s">
        <v>82</v>
      </c>
      <c r="M61" s="61" t="s">
        <v>82</v>
      </c>
      <c r="N61" s="61" t="s">
        <v>82</v>
      </c>
      <c r="O61" s="61" t="s">
        <v>82</v>
      </c>
      <c r="P61" s="61" t="s">
        <v>82</v>
      </c>
      <c r="Q61" s="61" t="s">
        <v>82</v>
      </c>
      <c r="R61" s="19"/>
      <c r="S61" s="19"/>
      <c r="T61" s="18"/>
      <c r="U61" s="55" t="e">
        <f>R61/S61</f>
        <v>#DIV/0!</v>
      </c>
      <c r="V61" s="19"/>
      <c r="W61" s="19"/>
    </row>
    <row r="62" spans="2:23" ht="16.149999999999999" hidden="1" customHeight="1" x14ac:dyDescent="0.35">
      <c r="B62" s="32" t="s">
        <v>0</v>
      </c>
      <c r="C62" s="32"/>
      <c r="D62" s="18"/>
      <c r="E62" s="18"/>
      <c r="F62" s="19"/>
      <c r="G62" s="19"/>
      <c r="H62" s="19"/>
      <c r="I62" s="19"/>
      <c r="J62" s="60" t="e">
        <f t="shared" si="20"/>
        <v>#NUM!</v>
      </c>
      <c r="K62" s="61" t="s">
        <v>82</v>
      </c>
      <c r="L62" s="61" t="s">
        <v>82</v>
      </c>
      <c r="M62" s="61" t="s">
        <v>82</v>
      </c>
      <c r="N62" s="61" t="s">
        <v>82</v>
      </c>
      <c r="O62" s="61" t="s">
        <v>82</v>
      </c>
      <c r="P62" s="61" t="s">
        <v>82</v>
      </c>
      <c r="Q62" s="61" t="s">
        <v>82</v>
      </c>
      <c r="R62" s="19"/>
      <c r="S62" s="19"/>
      <c r="T62" s="18"/>
      <c r="U62" s="55" t="e">
        <f t="shared" ref="U62:U66" si="23">R62/S62</f>
        <v>#DIV/0!</v>
      </c>
      <c r="V62" s="19"/>
      <c r="W62" s="19"/>
    </row>
    <row r="63" spans="2:23" ht="16.149999999999999" hidden="1" customHeight="1" x14ac:dyDescent="0.35">
      <c r="B63" s="32" t="s">
        <v>0</v>
      </c>
      <c r="C63" s="32"/>
      <c r="D63" s="18"/>
      <c r="E63" s="18"/>
      <c r="F63" s="19"/>
      <c r="G63" s="19"/>
      <c r="H63" s="19"/>
      <c r="I63" s="19"/>
      <c r="J63" s="60" t="e">
        <f t="shared" si="20"/>
        <v>#NUM!</v>
      </c>
      <c r="K63" s="61" t="s">
        <v>82</v>
      </c>
      <c r="L63" s="61" t="s">
        <v>82</v>
      </c>
      <c r="M63" s="61" t="s">
        <v>82</v>
      </c>
      <c r="N63" s="61" t="s">
        <v>82</v>
      </c>
      <c r="O63" s="61" t="s">
        <v>82</v>
      </c>
      <c r="P63" s="61" t="s">
        <v>82</v>
      </c>
      <c r="Q63" s="61" t="s">
        <v>82</v>
      </c>
      <c r="R63" s="19"/>
      <c r="S63" s="19"/>
      <c r="T63" s="18"/>
      <c r="U63" s="55" t="e">
        <f t="shared" si="23"/>
        <v>#DIV/0!</v>
      </c>
      <c r="V63" s="19"/>
      <c r="W63" s="19"/>
    </row>
    <row r="64" spans="2:23" ht="31.5" hidden="1" customHeight="1" x14ac:dyDescent="0.35">
      <c r="B64" s="24" t="s">
        <v>17</v>
      </c>
      <c r="C64" s="24"/>
      <c r="D64" s="65">
        <f>SUM(D61:D63)</f>
        <v>0</v>
      </c>
      <c r="E64" s="69" t="e">
        <f>F64/D64</f>
        <v>#DIV/0!</v>
      </c>
      <c r="F64" s="65">
        <f>SUM(F61:F63)</f>
        <v>0</v>
      </c>
      <c r="G64" s="70" t="e">
        <f>H64/F64</f>
        <v>#DIV/0!</v>
      </c>
      <c r="H64" s="65">
        <f>SUM(H61:H63)</f>
        <v>0</v>
      </c>
      <c r="I64" s="67">
        <f>SUM(I61:I63)</f>
        <v>0</v>
      </c>
      <c r="J64" s="88" t="e">
        <f>-PMT( 0.46%,G64,I64)/F64*1000</f>
        <v>#DIV/0!</v>
      </c>
      <c r="K64" s="68" t="s">
        <v>82</v>
      </c>
      <c r="L64" s="68" t="s">
        <v>82</v>
      </c>
      <c r="M64" s="68" t="s">
        <v>82</v>
      </c>
      <c r="N64" s="68" t="s">
        <v>82</v>
      </c>
      <c r="O64" s="68" t="s">
        <v>82</v>
      </c>
      <c r="P64" s="68" t="s">
        <v>82</v>
      </c>
      <c r="Q64" s="68" t="s">
        <v>82</v>
      </c>
      <c r="R64" s="72">
        <f>SUM(R61:R63)</f>
        <v>0</v>
      </c>
      <c r="S64" s="72">
        <f>SUM(S61:S63)</f>
        <v>0</v>
      </c>
      <c r="T64" s="72">
        <f>SUM(T61:T63)</f>
        <v>0</v>
      </c>
      <c r="U64" s="73" t="e">
        <f t="shared" si="23"/>
        <v>#DIV/0!</v>
      </c>
      <c r="V64" s="74">
        <f>SUM(V61:V63)</f>
        <v>0</v>
      </c>
      <c r="W64" s="68" t="s">
        <v>82</v>
      </c>
    </row>
    <row r="65" spans="2:23" ht="40.5" customHeight="1" x14ac:dyDescent="0.35">
      <c r="B65" s="37" t="s">
        <v>32</v>
      </c>
      <c r="C65" s="37"/>
      <c r="D65" s="89" t="s">
        <v>82</v>
      </c>
      <c r="E65" s="89" t="s">
        <v>82</v>
      </c>
      <c r="F65" s="89" t="s">
        <v>82</v>
      </c>
      <c r="G65" s="89" t="s">
        <v>82</v>
      </c>
      <c r="H65" s="89" t="s">
        <v>82</v>
      </c>
      <c r="I65" s="38">
        <f>12073390.53+28659010.5</f>
        <v>40732401.030000001</v>
      </c>
      <c r="J65" s="89" t="s">
        <v>82</v>
      </c>
      <c r="K65" s="89" t="s">
        <v>82</v>
      </c>
      <c r="L65" s="89" t="s">
        <v>82</v>
      </c>
      <c r="M65" s="89" t="s">
        <v>82</v>
      </c>
      <c r="N65" s="89" t="s">
        <v>82</v>
      </c>
      <c r="O65" s="89" t="s">
        <v>82</v>
      </c>
      <c r="P65" s="89" t="s">
        <v>82</v>
      </c>
      <c r="Q65" s="89" t="s">
        <v>82</v>
      </c>
      <c r="R65" s="89" t="s">
        <v>82</v>
      </c>
      <c r="S65" s="89" t="s">
        <v>82</v>
      </c>
      <c r="T65" s="89" t="s">
        <v>82</v>
      </c>
      <c r="U65" s="89" t="s">
        <v>82</v>
      </c>
      <c r="V65" s="127" t="s">
        <v>82</v>
      </c>
      <c r="W65" s="89" t="s">
        <v>82</v>
      </c>
    </row>
    <row r="66" spans="2:23" ht="31.5" customHeight="1" x14ac:dyDescent="0.35">
      <c r="B66" s="30" t="s">
        <v>94</v>
      </c>
      <c r="C66" s="30"/>
      <c r="D66" s="79">
        <f>SUM(D33,D45,D52,D59,D64,D65)</f>
        <v>949757.6</v>
      </c>
      <c r="E66" s="230">
        <f>F66/D66</f>
        <v>0.71686143917142664</v>
      </c>
      <c r="F66" s="79">
        <f>SUM(F33,F45,F52,F59,F64,F65)</f>
        <v>680844.60000000009</v>
      </c>
      <c r="G66" s="230">
        <f>H66/F66</f>
        <v>8.8198052830264047</v>
      </c>
      <c r="H66" s="79">
        <f>SUM(H33,H45,H52,H59,H64,H65)</f>
        <v>6004916.7999999998</v>
      </c>
      <c r="I66" s="81">
        <f>SUM(I33,I45,I52,I59,I64,I65)</f>
        <v>104350143.34999999</v>
      </c>
      <c r="J66" s="249">
        <f t="shared" ref="J66" si="24">-PMT( 0.46%,G66,I66)/(F66*1000)</f>
        <v>1.7772277152877807E-2</v>
      </c>
      <c r="K66" s="82" t="s">
        <v>82</v>
      </c>
      <c r="L66" s="82" t="s">
        <v>82</v>
      </c>
      <c r="M66" s="82" t="s">
        <v>82</v>
      </c>
      <c r="N66" s="82" t="s">
        <v>82</v>
      </c>
      <c r="O66" s="82" t="s">
        <v>82</v>
      </c>
      <c r="P66" s="82" t="s">
        <v>82</v>
      </c>
      <c r="Q66" s="82" t="s">
        <v>82</v>
      </c>
      <c r="R66" s="81">
        <f>SUM(R33,R45,R52,R59,R64,R65)</f>
        <v>284751732</v>
      </c>
      <c r="S66" s="81">
        <f>SUM(S33,S45,S52,S59,S64,S65)</f>
        <v>179997378</v>
      </c>
      <c r="T66" s="81">
        <f>SUM(T33,T45,T52,T59,T64,T65)</f>
        <v>104754354</v>
      </c>
      <c r="U66" s="80">
        <f t="shared" si="23"/>
        <v>1.5819771107999139</v>
      </c>
      <c r="V66" s="128">
        <f>SUM(V33,V45,V52,V59,V64,V65)</f>
        <v>11768630</v>
      </c>
      <c r="W66" s="82" t="s">
        <v>82</v>
      </c>
    </row>
    <row r="67" spans="2:23" s="22" customFormat="1" ht="18" customHeight="1" x14ac:dyDescent="0.35">
      <c r="B67" s="26"/>
      <c r="C67" s="26"/>
      <c r="D67" s="129"/>
      <c r="E67" s="11"/>
      <c r="F67" s="12"/>
      <c r="G67" s="12"/>
      <c r="H67" s="12"/>
      <c r="I67" s="12"/>
      <c r="J67" s="12"/>
      <c r="K67" s="12"/>
      <c r="L67" s="12"/>
    </row>
    <row r="68" spans="2:23" x14ac:dyDescent="0.35">
      <c r="B68" s="344" t="s">
        <v>3</v>
      </c>
      <c r="C68" s="343"/>
      <c r="D68" s="343"/>
      <c r="E68" s="343"/>
      <c r="F68" s="343"/>
      <c r="G68" s="343"/>
      <c r="H68" s="343"/>
      <c r="I68" s="343"/>
      <c r="J68" s="343"/>
      <c r="K68" s="343"/>
      <c r="L68" s="343"/>
      <c r="M68" s="42"/>
    </row>
    <row r="69" spans="2:23" x14ac:dyDescent="0.35">
      <c r="B69" s="343" t="s">
        <v>308</v>
      </c>
      <c r="C69" s="343"/>
      <c r="D69" s="343"/>
      <c r="E69" s="343"/>
      <c r="F69" s="343"/>
      <c r="G69" s="343"/>
      <c r="H69" s="343"/>
      <c r="I69" s="343"/>
      <c r="J69" s="343"/>
      <c r="K69" s="343"/>
      <c r="L69" s="343"/>
      <c r="M69" s="42"/>
    </row>
    <row r="70" spans="2:23" x14ac:dyDescent="0.35">
      <c r="B70" s="343" t="s">
        <v>315</v>
      </c>
      <c r="C70" s="343"/>
      <c r="D70" s="343"/>
      <c r="E70" s="343"/>
      <c r="F70" s="343"/>
      <c r="G70" s="343"/>
      <c r="H70" s="343"/>
      <c r="I70" s="343"/>
      <c r="J70" s="343"/>
      <c r="K70" s="343"/>
      <c r="L70" s="343"/>
      <c r="M70" s="42"/>
    </row>
    <row r="71" spans="2:23" x14ac:dyDescent="0.35">
      <c r="B71" s="343" t="s">
        <v>328</v>
      </c>
      <c r="C71" s="343"/>
      <c r="D71" s="343"/>
      <c r="E71" s="343"/>
      <c r="F71" s="343"/>
      <c r="G71" s="343"/>
      <c r="H71" s="343"/>
      <c r="I71" s="343"/>
      <c r="J71" s="343"/>
      <c r="K71" s="343"/>
      <c r="L71" s="343"/>
      <c r="M71" s="42"/>
    </row>
    <row r="73" spans="2:23" x14ac:dyDescent="0.35">
      <c r="B73" s="45" t="s">
        <v>48</v>
      </c>
    </row>
    <row r="74" spans="2:23" x14ac:dyDescent="0.35">
      <c r="B74" s="7" t="s">
        <v>115</v>
      </c>
    </row>
    <row r="75" spans="2:23" x14ac:dyDescent="0.35">
      <c r="B75" s="7" t="s">
        <v>92</v>
      </c>
    </row>
    <row r="76" spans="2:23" x14ac:dyDescent="0.35">
      <c r="B76" s="7" t="s">
        <v>116</v>
      </c>
    </row>
    <row r="77" spans="2:23" x14ac:dyDescent="0.35">
      <c r="B77" s="7" t="s">
        <v>314</v>
      </c>
    </row>
    <row r="78" spans="2:23" x14ac:dyDescent="0.35">
      <c r="B78" s="342" t="s">
        <v>307</v>
      </c>
    </row>
  </sheetData>
  <mergeCells count="8">
    <mergeCell ref="B53:W53"/>
    <mergeCell ref="B60:W60"/>
    <mergeCell ref="B5:L6"/>
    <mergeCell ref="B8:L15"/>
    <mergeCell ref="B19:W19"/>
    <mergeCell ref="B21:W21"/>
    <mergeCell ref="B36:W36"/>
    <mergeCell ref="B46:W46"/>
  </mergeCells>
  <printOptions horizontalCentered="1" headings="1"/>
  <pageMargins left="0.5" right="0.5" top="1.25" bottom="1" header="0.5" footer="0.5"/>
  <pageSetup scale="35" orientation="landscape" r:id="rId1"/>
  <headerFooter scaleWithDoc="0">
    <oddHeader>&amp;R&amp;"Arial,Bold"ICC Dkt. No. 17-0312
2019 Statewide Annual Report Template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4AE3-D770-49BF-B73C-84E39C5D2AF7}">
  <sheetPr>
    <pageSetUpPr fitToPage="1"/>
  </sheetPr>
  <dimension ref="B1:W88"/>
  <sheetViews>
    <sheetView topLeftCell="A49" zoomScale="90" zoomScaleNormal="90" workbookViewId="0">
      <selection activeCell="B83" sqref="B83:G83"/>
    </sheetView>
  </sheetViews>
  <sheetFormatPr defaultRowHeight="14.5" x14ac:dyDescent="0.35"/>
  <cols>
    <col min="1" max="1" width="2.7265625" customWidth="1"/>
    <col min="2" max="2" width="39.26953125" customWidth="1"/>
    <col min="3" max="3" width="20.7265625" customWidth="1"/>
    <col min="4" max="4" width="17.26953125" customWidth="1"/>
    <col min="5" max="5" width="15.26953125" customWidth="1"/>
    <col min="6" max="6" width="16" customWidth="1"/>
    <col min="7" max="7" width="15" customWidth="1"/>
    <col min="8" max="8" width="12.453125" customWidth="1"/>
    <col min="9" max="9" width="14.453125" customWidth="1"/>
    <col min="10" max="10" width="15.453125" customWidth="1"/>
    <col min="11" max="11" width="17" customWidth="1"/>
    <col min="12" max="12" width="14.453125" customWidth="1"/>
    <col min="13" max="13" width="15" customWidth="1"/>
    <col min="14" max="14" width="14" customWidth="1"/>
    <col min="15" max="15" width="12" customWidth="1"/>
    <col min="16" max="16" width="14.26953125" customWidth="1"/>
    <col min="17" max="17" width="17" customWidth="1"/>
    <col min="18" max="18" width="16.1796875" customWidth="1"/>
    <col min="19" max="19" width="15.7265625" customWidth="1"/>
    <col min="20" max="22" width="14.26953125" customWidth="1"/>
    <col min="23" max="23" width="16.26953125" bestFit="1" customWidth="1"/>
  </cols>
  <sheetData>
    <row r="1" spans="2:12" x14ac:dyDescent="0.35">
      <c r="B1" s="6" t="s">
        <v>27</v>
      </c>
      <c r="C1" s="6"/>
      <c r="D1" s="6"/>
      <c r="E1" s="6"/>
    </row>
    <row r="2" spans="2:12" x14ac:dyDescent="0.35">
      <c r="B2" s="6" t="s">
        <v>375</v>
      </c>
      <c r="C2" s="6"/>
      <c r="D2" s="6"/>
      <c r="E2" s="6"/>
    </row>
    <row r="3" spans="2:12" x14ac:dyDescent="0.35">
      <c r="B3" s="6" t="s">
        <v>392</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186" customHeight="1" x14ac:dyDescent="0.35">
      <c r="B15" s="419"/>
      <c r="C15" s="420"/>
      <c r="D15" s="420"/>
      <c r="E15" s="420"/>
      <c r="F15" s="420"/>
      <c r="G15" s="420"/>
      <c r="H15" s="420"/>
      <c r="I15" s="420"/>
      <c r="J15" s="420"/>
      <c r="K15" s="420"/>
      <c r="L15" s="421"/>
    </row>
    <row r="16" spans="2:12" ht="12"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3.5" customHeight="1" x14ac:dyDescent="0.35">
      <c r="B18" s="21"/>
      <c r="C18" s="21"/>
      <c r="D18" s="21"/>
      <c r="E18" s="21"/>
      <c r="F18" s="21"/>
      <c r="G18" s="21"/>
      <c r="H18" s="21"/>
      <c r="I18" s="21"/>
      <c r="J18" s="21"/>
      <c r="K18" s="21"/>
      <c r="L18" s="21"/>
    </row>
    <row r="19" spans="2:23" ht="20.149999999999999" customHeight="1" x14ac:dyDescent="0.35">
      <c r="B19" s="430" t="s">
        <v>206</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83</v>
      </c>
      <c r="C22" s="53" t="s">
        <v>81</v>
      </c>
      <c r="D22" s="83">
        <v>316379</v>
      </c>
      <c r="E22" s="84">
        <f>F22/D22</f>
        <v>0.73999854604762005</v>
      </c>
      <c r="F22" s="114">
        <v>234120</v>
      </c>
      <c r="G22" s="57">
        <v>12</v>
      </c>
      <c r="H22" s="114">
        <f>F22*G22</f>
        <v>2809440</v>
      </c>
      <c r="I22" s="133">
        <v>35981556</v>
      </c>
      <c r="J22" s="329">
        <f>-PMT( 0.46%,G22,I22)/(F22*1000)</f>
        <v>1.3193539014457387E-2</v>
      </c>
      <c r="K22" s="61" t="s">
        <v>82</v>
      </c>
      <c r="L22" s="61" t="s">
        <v>82</v>
      </c>
      <c r="M22" s="61" t="s">
        <v>82</v>
      </c>
      <c r="N22" s="61" t="s">
        <v>82</v>
      </c>
      <c r="O22" s="61" t="s">
        <v>82</v>
      </c>
      <c r="P22" s="61" t="s">
        <v>82</v>
      </c>
      <c r="Q22" s="61" t="s">
        <v>82</v>
      </c>
      <c r="R22" s="75">
        <v>109350596</v>
      </c>
      <c r="S22" s="75">
        <v>84277437</v>
      </c>
      <c r="T22" s="75">
        <f t="shared" ref="T22:T29" si="0">R22-S22</f>
        <v>25073159</v>
      </c>
      <c r="U22" s="63">
        <f>R22/S22</f>
        <v>1.2975073743640306</v>
      </c>
      <c r="V22" s="120">
        <v>4603</v>
      </c>
      <c r="W22" s="115" t="s">
        <v>235</v>
      </c>
    </row>
    <row r="23" spans="2:23" x14ac:dyDescent="0.35">
      <c r="B23" s="2" t="s">
        <v>84</v>
      </c>
      <c r="C23" s="53" t="s">
        <v>81</v>
      </c>
      <c r="D23" s="83">
        <v>31436.881000000001</v>
      </c>
      <c r="E23" s="84">
        <f t="shared" ref="E23:E30" si="1">F23/D23</f>
        <v>0.76000001399629935</v>
      </c>
      <c r="F23" s="120">
        <f>23892.03</f>
        <v>23892.03</v>
      </c>
      <c r="G23" s="57">
        <v>12</v>
      </c>
      <c r="H23" s="114">
        <f t="shared" ref="H23:H29" si="2">F23*G23</f>
        <v>286704.36</v>
      </c>
      <c r="I23" s="133">
        <v>3214725</v>
      </c>
      <c r="J23" s="329">
        <f t="shared" ref="J23:J29" si="3">-PMT( 0.46%,G23,I23)/(F23*1000)</f>
        <v>1.1550762576336464E-2</v>
      </c>
      <c r="K23" s="61" t="s">
        <v>82</v>
      </c>
      <c r="L23" s="61" t="s">
        <v>82</v>
      </c>
      <c r="M23" s="61" t="s">
        <v>82</v>
      </c>
      <c r="N23" s="61" t="s">
        <v>82</v>
      </c>
      <c r="O23" s="61" t="s">
        <v>82</v>
      </c>
      <c r="P23" s="61" t="s">
        <v>82</v>
      </c>
      <c r="Q23" s="61" t="s">
        <v>82</v>
      </c>
      <c r="R23" s="75">
        <v>10328544</v>
      </c>
      <c r="S23" s="75">
        <v>8981182</v>
      </c>
      <c r="T23" s="75">
        <f t="shared" si="0"/>
        <v>1347362</v>
      </c>
      <c r="U23" s="63">
        <f>R23/S23</f>
        <v>1.1500205652218161</v>
      </c>
      <c r="V23" s="114">
        <v>366</v>
      </c>
      <c r="W23" s="115" t="s">
        <v>235</v>
      </c>
    </row>
    <row r="24" spans="2:23" x14ac:dyDescent="0.35">
      <c r="B24" s="2" t="s">
        <v>119</v>
      </c>
      <c r="C24" s="53" t="s">
        <v>81</v>
      </c>
      <c r="D24" s="83">
        <v>4323</v>
      </c>
      <c r="E24" s="84">
        <f t="shared" si="1"/>
        <v>0.42563034929447141</v>
      </c>
      <c r="F24" s="56">
        <v>1840</v>
      </c>
      <c r="G24" s="57">
        <v>12</v>
      </c>
      <c r="H24" s="114">
        <f t="shared" si="2"/>
        <v>22080</v>
      </c>
      <c r="I24" s="133">
        <v>288102</v>
      </c>
      <c r="J24" s="329">
        <f t="shared" si="3"/>
        <v>1.3441518404607533E-2</v>
      </c>
      <c r="K24" s="61" t="s">
        <v>82</v>
      </c>
      <c r="L24" s="61" t="s">
        <v>82</v>
      </c>
      <c r="M24" s="61" t="s">
        <v>82</v>
      </c>
      <c r="N24" s="61" t="s">
        <v>82</v>
      </c>
      <c r="O24" s="61" t="s">
        <v>82</v>
      </c>
      <c r="P24" s="61" t="s">
        <v>82</v>
      </c>
      <c r="Q24" s="61" t="s">
        <v>82</v>
      </c>
      <c r="R24" s="75">
        <v>732040</v>
      </c>
      <c r="S24" s="75">
        <v>453803</v>
      </c>
      <c r="T24" s="75">
        <f t="shared" si="0"/>
        <v>278237</v>
      </c>
      <c r="U24" s="63">
        <f t="shared" ref="U24:U29" si="4">R24/S24</f>
        <v>1.613122874903868</v>
      </c>
      <c r="V24" s="114">
        <v>2</v>
      </c>
      <c r="W24" s="115" t="s">
        <v>235</v>
      </c>
    </row>
    <row r="25" spans="2:23" x14ac:dyDescent="0.35">
      <c r="B25" s="2" t="s">
        <v>85</v>
      </c>
      <c r="C25" s="53" t="s">
        <v>81</v>
      </c>
      <c r="D25" s="83">
        <v>27315</v>
      </c>
      <c r="E25" s="84">
        <f t="shared" si="1"/>
        <v>0.91601684056379273</v>
      </c>
      <c r="F25" s="114">
        <v>25021</v>
      </c>
      <c r="G25" s="57">
        <v>5</v>
      </c>
      <c r="H25" s="114">
        <f t="shared" si="2"/>
        <v>125105</v>
      </c>
      <c r="I25" s="75">
        <v>4838230</v>
      </c>
      <c r="J25" s="329">
        <f t="shared" si="3"/>
        <v>3.920867956144302E-2</v>
      </c>
      <c r="K25" s="61" t="s">
        <v>82</v>
      </c>
      <c r="L25" s="61" t="s">
        <v>82</v>
      </c>
      <c r="M25" s="61" t="s">
        <v>82</v>
      </c>
      <c r="N25" s="61" t="s">
        <v>82</v>
      </c>
      <c r="O25" s="61" t="s">
        <v>82</v>
      </c>
      <c r="P25" s="61" t="s">
        <v>82</v>
      </c>
      <c r="Q25" s="61" t="s">
        <v>82</v>
      </c>
      <c r="R25" s="75">
        <v>3882345</v>
      </c>
      <c r="S25" s="75">
        <v>2593949</v>
      </c>
      <c r="T25" s="75">
        <f t="shared" si="0"/>
        <v>1288396</v>
      </c>
      <c r="U25" s="63">
        <f t="shared" si="4"/>
        <v>1.496692880237815</v>
      </c>
      <c r="V25" s="120">
        <f>V27</f>
        <v>50</v>
      </c>
      <c r="W25" s="115" t="s">
        <v>235</v>
      </c>
    </row>
    <row r="26" spans="2:23" x14ac:dyDescent="0.35">
      <c r="B26" s="224" t="s">
        <v>120</v>
      </c>
      <c r="C26" s="53" t="s">
        <v>81</v>
      </c>
      <c r="D26" s="83">
        <v>4473</v>
      </c>
      <c r="E26" s="84">
        <f t="shared" si="1"/>
        <v>0.67002012072434602</v>
      </c>
      <c r="F26" s="56">
        <v>2997</v>
      </c>
      <c r="G26" s="57">
        <v>15</v>
      </c>
      <c r="H26" s="114">
        <f t="shared" si="2"/>
        <v>44955</v>
      </c>
      <c r="I26" s="75">
        <v>1276441</v>
      </c>
      <c r="J26" s="329">
        <f t="shared" si="3"/>
        <v>2.9449827828010595E-2</v>
      </c>
      <c r="K26" s="61" t="s">
        <v>82</v>
      </c>
      <c r="L26" s="61" t="s">
        <v>82</v>
      </c>
      <c r="M26" s="61" t="s">
        <v>82</v>
      </c>
      <c r="N26" s="61" t="s">
        <v>82</v>
      </c>
      <c r="O26" s="61" t="s">
        <v>82</v>
      </c>
      <c r="P26" s="61" t="s">
        <v>82</v>
      </c>
      <c r="Q26" s="61" t="s">
        <v>82</v>
      </c>
      <c r="R26" s="75">
        <v>1576174</v>
      </c>
      <c r="S26" s="75">
        <v>2082119</v>
      </c>
      <c r="T26" s="75">
        <f t="shared" si="0"/>
        <v>-505945</v>
      </c>
      <c r="U26" s="63">
        <f t="shared" si="4"/>
        <v>0.75700476293622021</v>
      </c>
      <c r="V26" s="56">
        <v>9</v>
      </c>
      <c r="W26" s="115" t="s">
        <v>235</v>
      </c>
    </row>
    <row r="27" spans="2:23" x14ac:dyDescent="0.35">
      <c r="B27" s="2" t="s">
        <v>86</v>
      </c>
      <c r="C27" s="53" t="s">
        <v>81</v>
      </c>
      <c r="D27" s="83">
        <v>18200</v>
      </c>
      <c r="E27" s="84">
        <f t="shared" si="1"/>
        <v>0.5714285714285714</v>
      </c>
      <c r="F27" s="56">
        <v>10400</v>
      </c>
      <c r="G27" s="57">
        <v>12</v>
      </c>
      <c r="H27" s="114">
        <f t="shared" si="2"/>
        <v>124800</v>
      </c>
      <c r="I27" s="75">
        <v>2573760</v>
      </c>
      <c r="J27" s="329">
        <f t="shared" si="3"/>
        <v>2.1244894981317562E-2</v>
      </c>
      <c r="K27" s="61" t="s">
        <v>82</v>
      </c>
      <c r="L27" s="61" t="s">
        <v>82</v>
      </c>
      <c r="M27" s="61" t="s">
        <v>82</v>
      </c>
      <c r="N27" s="61" t="s">
        <v>82</v>
      </c>
      <c r="O27" s="61" t="s">
        <v>82</v>
      </c>
      <c r="P27" s="61" t="s">
        <v>82</v>
      </c>
      <c r="Q27" s="61" t="s">
        <v>82</v>
      </c>
      <c r="R27" s="75">
        <v>5011619</v>
      </c>
      <c r="S27" s="75">
        <v>2007640</v>
      </c>
      <c r="T27" s="75">
        <f t="shared" si="0"/>
        <v>3003979</v>
      </c>
      <c r="U27" s="63">
        <f t="shared" si="4"/>
        <v>2.4962737343348409</v>
      </c>
      <c r="V27" s="56">
        <v>50</v>
      </c>
      <c r="W27" s="115" t="s">
        <v>235</v>
      </c>
    </row>
    <row r="28" spans="2:23" x14ac:dyDescent="0.35">
      <c r="B28" s="2" t="s">
        <v>107</v>
      </c>
      <c r="C28" s="53" t="s">
        <v>81</v>
      </c>
      <c r="D28" s="83">
        <v>101230</v>
      </c>
      <c r="E28" s="84">
        <f t="shared" si="1"/>
        <v>0.6258816556356811</v>
      </c>
      <c r="F28" s="56">
        <v>63358</v>
      </c>
      <c r="G28" s="57">
        <v>3</v>
      </c>
      <c r="H28" s="114">
        <f t="shared" si="2"/>
        <v>190074</v>
      </c>
      <c r="I28" s="75">
        <v>2857974</v>
      </c>
      <c r="J28" s="329">
        <f t="shared" si="3"/>
        <v>1.5174656106047237E-2</v>
      </c>
      <c r="K28" s="61" t="s">
        <v>82</v>
      </c>
      <c r="L28" s="61" t="s">
        <v>82</v>
      </c>
      <c r="M28" s="61" t="s">
        <v>82</v>
      </c>
      <c r="N28" s="61" t="s">
        <v>82</v>
      </c>
      <c r="O28" s="61" t="s">
        <v>82</v>
      </c>
      <c r="P28" s="61" t="s">
        <v>82</v>
      </c>
      <c r="Q28" s="61" t="s">
        <v>82</v>
      </c>
      <c r="R28" s="75">
        <v>7138555</v>
      </c>
      <c r="S28" s="75">
        <v>1452039</v>
      </c>
      <c r="T28" s="75">
        <f t="shared" si="0"/>
        <v>5686516</v>
      </c>
      <c r="U28" s="63">
        <f t="shared" si="4"/>
        <v>4.9162281453872794</v>
      </c>
      <c r="V28" s="114">
        <v>575252</v>
      </c>
      <c r="W28" s="115" t="s">
        <v>235</v>
      </c>
    </row>
    <row r="29" spans="2:23" x14ac:dyDescent="0.35">
      <c r="B29" s="2" t="s">
        <v>121</v>
      </c>
      <c r="C29" s="53" t="s">
        <v>81</v>
      </c>
      <c r="D29" s="83">
        <v>9483</v>
      </c>
      <c r="E29" s="84">
        <f t="shared" si="1"/>
        <v>0.95001581777918376</v>
      </c>
      <c r="F29" s="56">
        <v>9009</v>
      </c>
      <c r="G29" s="57">
        <v>10</v>
      </c>
      <c r="H29" s="114">
        <f t="shared" si="2"/>
        <v>90090</v>
      </c>
      <c r="I29" s="75">
        <v>2577878</v>
      </c>
      <c r="J29" s="329">
        <f t="shared" si="3"/>
        <v>2.93434042153481E-2</v>
      </c>
      <c r="K29" s="61" t="s">
        <v>82</v>
      </c>
      <c r="L29" s="61" t="s">
        <v>82</v>
      </c>
      <c r="M29" s="61" t="s">
        <v>82</v>
      </c>
      <c r="N29" s="61" t="s">
        <v>82</v>
      </c>
      <c r="O29" s="61" t="s">
        <v>82</v>
      </c>
      <c r="P29" s="61" t="s">
        <v>82</v>
      </c>
      <c r="Q29" s="61" t="s">
        <v>82</v>
      </c>
      <c r="R29" s="75">
        <v>3890298</v>
      </c>
      <c r="S29" s="75">
        <v>1952235</v>
      </c>
      <c r="T29" s="75">
        <f t="shared" si="0"/>
        <v>1938063</v>
      </c>
      <c r="U29" s="63">
        <f t="shared" si="4"/>
        <v>1.9927406280493896</v>
      </c>
      <c r="V29" s="120">
        <v>690</v>
      </c>
      <c r="W29" s="115" t="s">
        <v>235</v>
      </c>
    </row>
    <row r="30" spans="2:23" x14ac:dyDescent="0.35">
      <c r="B30" s="2" t="s">
        <v>122</v>
      </c>
      <c r="C30" s="53" t="s">
        <v>81</v>
      </c>
      <c r="D30" s="83">
        <v>34</v>
      </c>
      <c r="E30" s="84">
        <f t="shared" si="1"/>
        <v>1</v>
      </c>
      <c r="F30" s="56">
        <v>34</v>
      </c>
      <c r="G30" s="57" t="s">
        <v>82</v>
      </c>
      <c r="H30" s="132" t="s">
        <v>82</v>
      </c>
      <c r="I30" s="132" t="s">
        <v>82</v>
      </c>
      <c r="J30" s="132" t="s">
        <v>82</v>
      </c>
      <c r="K30" s="61" t="s">
        <v>82</v>
      </c>
      <c r="L30" s="61" t="s">
        <v>82</v>
      </c>
      <c r="M30" s="61" t="s">
        <v>82</v>
      </c>
      <c r="N30" s="61" t="s">
        <v>82</v>
      </c>
      <c r="O30" s="61" t="s">
        <v>82</v>
      </c>
      <c r="P30" s="61" t="s">
        <v>82</v>
      </c>
      <c r="Q30" s="61" t="s">
        <v>82</v>
      </c>
      <c r="R30" s="312" t="s">
        <v>82</v>
      </c>
      <c r="S30" s="312" t="s">
        <v>82</v>
      </c>
      <c r="T30" s="312" t="s">
        <v>82</v>
      </c>
      <c r="U30" s="312" t="s">
        <v>82</v>
      </c>
      <c r="V30" s="312" t="s">
        <v>82</v>
      </c>
      <c r="W30" s="312" t="s">
        <v>82</v>
      </c>
    </row>
    <row r="31" spans="2:23" x14ac:dyDescent="0.35">
      <c r="B31" s="224" t="s">
        <v>123</v>
      </c>
      <c r="C31" s="53" t="s">
        <v>81</v>
      </c>
      <c r="D31" s="56" t="s">
        <v>82</v>
      </c>
      <c r="E31" s="84" t="s">
        <v>82</v>
      </c>
      <c r="F31" s="132" t="s">
        <v>82</v>
      </c>
      <c r="G31" s="57" t="s">
        <v>82</v>
      </c>
      <c r="H31" s="132" t="s">
        <v>82</v>
      </c>
      <c r="I31" s="75">
        <v>424543</v>
      </c>
      <c r="J31" s="132" t="s">
        <v>82</v>
      </c>
      <c r="K31" s="61" t="s">
        <v>82</v>
      </c>
      <c r="L31" s="61" t="s">
        <v>82</v>
      </c>
      <c r="M31" s="61" t="s">
        <v>82</v>
      </c>
      <c r="N31" s="61" t="s">
        <v>82</v>
      </c>
      <c r="O31" s="61" t="s">
        <v>82</v>
      </c>
      <c r="P31" s="61" t="s">
        <v>82</v>
      </c>
      <c r="Q31" s="61" t="s">
        <v>82</v>
      </c>
      <c r="R31" s="312" t="s">
        <v>82</v>
      </c>
      <c r="S31" s="312" t="s">
        <v>82</v>
      </c>
      <c r="T31" s="312" t="s">
        <v>82</v>
      </c>
      <c r="U31" s="312" t="s">
        <v>82</v>
      </c>
      <c r="V31" s="312" t="s">
        <v>82</v>
      </c>
      <c r="W31" s="312" t="s">
        <v>82</v>
      </c>
    </row>
    <row r="32" spans="2:23" x14ac:dyDescent="0.35">
      <c r="B32" s="288" t="s">
        <v>299</v>
      </c>
      <c r="C32" s="53" t="s">
        <v>295</v>
      </c>
      <c r="D32" s="109">
        <v>52236.241999999998</v>
      </c>
      <c r="E32" s="283">
        <f>F32/D32</f>
        <v>0.96510124139481557</v>
      </c>
      <c r="F32" s="117">
        <v>50413.262000000002</v>
      </c>
      <c r="G32" s="61" t="s">
        <v>82</v>
      </c>
      <c r="H32" s="61" t="s">
        <v>82</v>
      </c>
      <c r="I32" s="61" t="s">
        <v>82</v>
      </c>
      <c r="J32" s="61" t="s">
        <v>82</v>
      </c>
      <c r="K32" s="61" t="s">
        <v>82</v>
      </c>
      <c r="L32" s="61" t="s">
        <v>82</v>
      </c>
      <c r="M32" s="61" t="s">
        <v>82</v>
      </c>
      <c r="N32" s="61" t="s">
        <v>82</v>
      </c>
      <c r="O32" s="61" t="s">
        <v>82</v>
      </c>
      <c r="P32" s="61" t="s">
        <v>82</v>
      </c>
      <c r="Q32" s="61" t="s">
        <v>82</v>
      </c>
      <c r="R32" s="351">
        <v>36405457</v>
      </c>
      <c r="S32" s="312">
        <v>18575197</v>
      </c>
      <c r="T32" s="75">
        <f t="shared" ref="T32:T37" si="5">R32-S32</f>
        <v>17830260</v>
      </c>
      <c r="U32" s="63">
        <f t="shared" ref="U32:U37" si="6">R32/S32</f>
        <v>1.9598961453813921</v>
      </c>
      <c r="V32" s="108">
        <v>1168</v>
      </c>
      <c r="W32" s="115" t="s">
        <v>235</v>
      </c>
    </row>
    <row r="33" spans="2:23" x14ac:dyDescent="0.35">
      <c r="B33" s="288" t="s">
        <v>300</v>
      </c>
      <c r="C33" s="53" t="s">
        <v>295</v>
      </c>
      <c r="D33" s="109">
        <v>41155.148999999998</v>
      </c>
      <c r="E33" s="283">
        <f t="shared" ref="E33:E35" si="7">F33/D33</f>
        <v>0.9444996056265037</v>
      </c>
      <c r="F33" s="117">
        <v>38871.021999999997</v>
      </c>
      <c r="G33" s="61" t="s">
        <v>82</v>
      </c>
      <c r="H33" s="61" t="s">
        <v>82</v>
      </c>
      <c r="I33" s="61" t="s">
        <v>82</v>
      </c>
      <c r="J33" s="61" t="s">
        <v>82</v>
      </c>
      <c r="K33" s="61" t="s">
        <v>82</v>
      </c>
      <c r="L33" s="61" t="s">
        <v>82</v>
      </c>
      <c r="M33" s="61" t="s">
        <v>82</v>
      </c>
      <c r="N33" s="61" t="s">
        <v>82</v>
      </c>
      <c r="O33" s="61" t="s">
        <v>82</v>
      </c>
      <c r="P33" s="61" t="s">
        <v>82</v>
      </c>
      <c r="Q33" s="61" t="s">
        <v>82</v>
      </c>
      <c r="R33" s="351">
        <v>32474608</v>
      </c>
      <c r="S33" s="312">
        <v>12747054</v>
      </c>
      <c r="T33" s="75">
        <f t="shared" si="5"/>
        <v>19727554</v>
      </c>
      <c r="U33" s="63">
        <f t="shared" si="6"/>
        <v>2.5476167277552917</v>
      </c>
      <c r="V33" s="108">
        <v>400</v>
      </c>
      <c r="W33" s="115" t="s">
        <v>235</v>
      </c>
    </row>
    <row r="34" spans="2:23" x14ac:dyDescent="0.35">
      <c r="B34" s="2" t="s">
        <v>309</v>
      </c>
      <c r="C34" s="53" t="s">
        <v>295</v>
      </c>
      <c r="D34" s="109">
        <v>357.16500000000002</v>
      </c>
      <c r="E34" s="283">
        <f t="shared" si="7"/>
        <v>0.95307490935561978</v>
      </c>
      <c r="F34" s="117">
        <v>340.40499999999997</v>
      </c>
      <c r="G34" s="61" t="s">
        <v>82</v>
      </c>
      <c r="H34" s="61" t="s">
        <v>82</v>
      </c>
      <c r="I34" s="61" t="s">
        <v>82</v>
      </c>
      <c r="J34" s="61" t="s">
        <v>82</v>
      </c>
      <c r="K34" s="61" t="s">
        <v>82</v>
      </c>
      <c r="L34" s="61" t="s">
        <v>82</v>
      </c>
      <c r="M34" s="61" t="s">
        <v>82</v>
      </c>
      <c r="N34" s="61" t="s">
        <v>82</v>
      </c>
      <c r="O34" s="61" t="s">
        <v>82</v>
      </c>
      <c r="P34" s="61" t="s">
        <v>82</v>
      </c>
      <c r="Q34" s="61" t="s">
        <v>82</v>
      </c>
      <c r="R34" s="351">
        <v>523582</v>
      </c>
      <c r="S34" s="312">
        <v>121684</v>
      </c>
      <c r="T34" s="75">
        <f t="shared" si="5"/>
        <v>401898</v>
      </c>
      <c r="U34" s="63">
        <f t="shared" si="6"/>
        <v>4.3028006968870187</v>
      </c>
      <c r="V34" s="312" t="s">
        <v>82</v>
      </c>
      <c r="W34" s="115" t="s">
        <v>235</v>
      </c>
    </row>
    <row r="35" spans="2:23" x14ac:dyDescent="0.35">
      <c r="B35" s="2" t="s">
        <v>319</v>
      </c>
      <c r="C35" s="53" t="s">
        <v>295</v>
      </c>
      <c r="D35" s="117">
        <v>4874.259</v>
      </c>
      <c r="E35" s="283">
        <f t="shared" si="7"/>
        <v>1</v>
      </c>
      <c r="F35" s="117">
        <v>4874.259</v>
      </c>
      <c r="G35" s="61" t="s">
        <v>82</v>
      </c>
      <c r="H35" s="61" t="s">
        <v>82</v>
      </c>
      <c r="I35" s="61" t="s">
        <v>82</v>
      </c>
      <c r="J35" s="61" t="s">
        <v>82</v>
      </c>
      <c r="K35" s="61" t="s">
        <v>82</v>
      </c>
      <c r="L35" s="61" t="s">
        <v>82</v>
      </c>
      <c r="M35" s="61" t="s">
        <v>82</v>
      </c>
      <c r="N35" s="61" t="s">
        <v>82</v>
      </c>
      <c r="O35" s="61" t="s">
        <v>82</v>
      </c>
      <c r="P35" s="61" t="s">
        <v>82</v>
      </c>
      <c r="Q35" s="61" t="s">
        <v>82</v>
      </c>
      <c r="R35" s="351">
        <v>1662962</v>
      </c>
      <c r="S35" s="312">
        <v>938043</v>
      </c>
      <c r="T35" s="75">
        <f t="shared" si="5"/>
        <v>724919</v>
      </c>
      <c r="U35" s="63">
        <f t="shared" si="6"/>
        <v>1.7727993279625773</v>
      </c>
      <c r="V35" s="108">
        <v>13</v>
      </c>
      <c r="W35" s="115" t="s">
        <v>235</v>
      </c>
    </row>
    <row r="36" spans="2:23" x14ac:dyDescent="0.35">
      <c r="B36" s="2" t="s">
        <v>310</v>
      </c>
      <c r="C36" s="53" t="s">
        <v>295</v>
      </c>
      <c r="D36" s="62" t="s">
        <v>82</v>
      </c>
      <c r="E36" s="53" t="s">
        <v>82</v>
      </c>
      <c r="F36" s="117">
        <v>1343.2983999999999</v>
      </c>
      <c r="G36" s="61" t="s">
        <v>82</v>
      </c>
      <c r="H36" s="61" t="s">
        <v>82</v>
      </c>
      <c r="I36" s="61" t="s">
        <v>82</v>
      </c>
      <c r="J36" s="61" t="s">
        <v>82</v>
      </c>
      <c r="K36" s="61" t="s">
        <v>82</v>
      </c>
      <c r="L36" s="61" t="s">
        <v>82</v>
      </c>
      <c r="M36" s="61" t="s">
        <v>82</v>
      </c>
      <c r="N36" s="61" t="s">
        <v>82</v>
      </c>
      <c r="O36" s="61" t="s">
        <v>82</v>
      </c>
      <c r="P36" s="61" t="s">
        <v>82</v>
      </c>
      <c r="Q36" s="61" t="s">
        <v>82</v>
      </c>
      <c r="R36" s="351">
        <v>1159006</v>
      </c>
      <c r="S36" s="312">
        <v>310578</v>
      </c>
      <c r="T36" s="75">
        <f t="shared" si="5"/>
        <v>848428</v>
      </c>
      <c r="U36" s="63">
        <f t="shared" si="6"/>
        <v>3.7317710848804486</v>
      </c>
      <c r="V36" s="312" t="s">
        <v>82</v>
      </c>
      <c r="W36" s="312" t="s">
        <v>82</v>
      </c>
    </row>
    <row r="37" spans="2:23" x14ac:dyDescent="0.35">
      <c r="B37" s="288" t="s">
        <v>317</v>
      </c>
      <c r="C37" s="53" t="s">
        <v>295</v>
      </c>
      <c r="D37" s="62" t="s">
        <v>82</v>
      </c>
      <c r="E37" s="53" t="s">
        <v>82</v>
      </c>
      <c r="F37" s="346">
        <v>1165.402</v>
      </c>
      <c r="G37" s="61" t="s">
        <v>82</v>
      </c>
      <c r="H37" s="61" t="s">
        <v>82</v>
      </c>
      <c r="I37" s="61" t="s">
        <v>82</v>
      </c>
      <c r="J37" s="61" t="s">
        <v>82</v>
      </c>
      <c r="K37" s="61" t="s">
        <v>82</v>
      </c>
      <c r="L37" s="61" t="s">
        <v>82</v>
      </c>
      <c r="M37" s="61" t="s">
        <v>82</v>
      </c>
      <c r="N37" s="61" t="s">
        <v>82</v>
      </c>
      <c r="O37" s="61" t="s">
        <v>82</v>
      </c>
      <c r="P37" s="61" t="s">
        <v>82</v>
      </c>
      <c r="Q37" s="61" t="s">
        <v>82</v>
      </c>
      <c r="R37" s="352">
        <v>473834</v>
      </c>
      <c r="S37" s="353">
        <v>283527</v>
      </c>
      <c r="T37" s="75">
        <f t="shared" si="5"/>
        <v>190307</v>
      </c>
      <c r="U37" s="63">
        <f t="shared" si="6"/>
        <v>1.6712129708987151</v>
      </c>
      <c r="V37" s="345">
        <v>191</v>
      </c>
      <c r="W37" s="115" t="s">
        <v>235</v>
      </c>
    </row>
    <row r="38" spans="2:23" x14ac:dyDescent="0.35">
      <c r="B38" s="4" t="s">
        <v>7</v>
      </c>
      <c r="C38" s="4"/>
      <c r="D38" s="71">
        <f>SUM(D22:D37)</f>
        <v>611496.696</v>
      </c>
      <c r="E38" s="237">
        <f>F38/D38</f>
        <v>0.76480982065682346</v>
      </c>
      <c r="F38" s="71">
        <f>SUM(F22:F37)</f>
        <v>467678.67840000009</v>
      </c>
      <c r="G38" s="118">
        <f>H38/F38</f>
        <v>7.8969782685735526</v>
      </c>
      <c r="H38" s="65">
        <f>SUM(H22:H37)</f>
        <v>3693248.36</v>
      </c>
      <c r="I38" s="67">
        <f>SUM(I22:I37)</f>
        <v>54033209</v>
      </c>
      <c r="J38" s="88">
        <f>-PMT( 0.46%,G38,I38)/F38*1000</f>
        <v>14931.22607952613</v>
      </c>
      <c r="K38" s="68" t="s">
        <v>82</v>
      </c>
      <c r="L38" s="68" t="s">
        <v>82</v>
      </c>
      <c r="M38" s="68" t="s">
        <v>82</v>
      </c>
      <c r="N38" s="68" t="s">
        <v>82</v>
      </c>
      <c r="O38" s="68" t="s">
        <v>82</v>
      </c>
      <c r="P38" s="68" t="s">
        <v>82</v>
      </c>
      <c r="Q38" s="68" t="s">
        <v>82</v>
      </c>
      <c r="R38" s="72">
        <f>SUM(R22:R37)</f>
        <v>214609620</v>
      </c>
      <c r="S38" s="72">
        <f>SUM(S22:S37)</f>
        <v>136776487</v>
      </c>
      <c r="T38" s="72">
        <f>SUM(T22:T37)</f>
        <v>77833133</v>
      </c>
      <c r="U38" s="73">
        <f>R38/S38</f>
        <v>1.5690534587278879</v>
      </c>
      <c r="V38" s="74">
        <f>SUM(V22:V37)</f>
        <v>582794</v>
      </c>
      <c r="W38" s="218" t="s">
        <v>82</v>
      </c>
    </row>
    <row r="39" spans="2:23" x14ac:dyDescent="0.35">
      <c r="B39" s="31" t="s">
        <v>14</v>
      </c>
      <c r="C39" s="31"/>
      <c r="D39" s="255">
        <f>SUM(D22:D31)</f>
        <v>512873.88099999999</v>
      </c>
      <c r="E39" s="340">
        <f>F39/D39</f>
        <v>0.72273329512757944</v>
      </c>
      <c r="F39" s="255">
        <f>SUM(F22:F31)</f>
        <v>370671.03</v>
      </c>
      <c r="G39" s="256">
        <f>H39/F39</f>
        <v>9.9636822440642305</v>
      </c>
      <c r="H39" s="255">
        <f>SUM(H22:H31)</f>
        <v>3693248.36</v>
      </c>
      <c r="I39" s="321">
        <f>SUM(I22:I31)</f>
        <v>54033209</v>
      </c>
      <c r="J39" s="322">
        <f t="shared" ref="J39" si="8">-PMT( 0.46%,G39,I39)/(F39*1000)</f>
        <v>1.5001719907693853E-2</v>
      </c>
      <c r="K39" s="323" t="s">
        <v>82</v>
      </c>
      <c r="L39" s="323" t="s">
        <v>82</v>
      </c>
      <c r="M39" s="324" t="s">
        <v>82</v>
      </c>
      <c r="N39" s="324" t="s">
        <v>82</v>
      </c>
      <c r="O39" s="324" t="s">
        <v>82</v>
      </c>
      <c r="P39" s="323" t="s">
        <v>82</v>
      </c>
      <c r="Q39" s="323" t="s">
        <v>82</v>
      </c>
      <c r="R39" s="361">
        <f>SUM(R22:R30)</f>
        <v>141910171</v>
      </c>
      <c r="S39" s="321">
        <f>SUM(S22:S31)</f>
        <v>103800404</v>
      </c>
      <c r="T39" s="325">
        <f>R39-S39</f>
        <v>38109767</v>
      </c>
      <c r="U39" s="259">
        <f>R39/S39</f>
        <v>1.3671446885698055</v>
      </c>
      <c r="V39" s="326" t="s">
        <v>82</v>
      </c>
      <c r="W39" s="326" t="s">
        <v>82</v>
      </c>
    </row>
    <row r="40" spans="2:23" x14ac:dyDescent="0.35">
      <c r="B40" s="31" t="s">
        <v>15</v>
      </c>
      <c r="C40" s="31"/>
      <c r="D40" s="255">
        <f>SUM(D32:D37)</f>
        <v>98622.815000000002</v>
      </c>
      <c r="E40" s="340">
        <f>F40/D40</f>
        <v>0.98362278951376514</v>
      </c>
      <c r="F40" s="255">
        <f>SUM(F32:F37)</f>
        <v>97007.648400000005</v>
      </c>
      <c r="G40" s="323" t="s">
        <v>82</v>
      </c>
      <c r="H40" s="323" t="s">
        <v>82</v>
      </c>
      <c r="I40" s="323" t="s">
        <v>82</v>
      </c>
      <c r="J40" s="323" t="s">
        <v>82</v>
      </c>
      <c r="K40" s="323" t="s">
        <v>82</v>
      </c>
      <c r="L40" s="323" t="s">
        <v>82</v>
      </c>
      <c r="M40" s="324" t="s">
        <v>82</v>
      </c>
      <c r="N40" s="324" t="s">
        <v>82</v>
      </c>
      <c r="O40" s="324" t="s">
        <v>82</v>
      </c>
      <c r="P40" s="323" t="s">
        <v>82</v>
      </c>
      <c r="Q40" s="323" t="s">
        <v>82</v>
      </c>
      <c r="R40" s="29">
        <f>SUM(R32:R37)</f>
        <v>72699449</v>
      </c>
      <c r="S40" s="29">
        <f>SUM(S32:S37)</f>
        <v>32976083</v>
      </c>
      <c r="T40" s="325">
        <f>R40-S40</f>
        <v>39723366</v>
      </c>
      <c r="U40" s="259">
        <f>R40/S40</f>
        <v>2.2046114148851457</v>
      </c>
      <c r="V40" s="326" t="s">
        <v>82</v>
      </c>
      <c r="W40" s="326" t="s">
        <v>82</v>
      </c>
    </row>
    <row r="41" spans="2:23" ht="15.65" customHeight="1" x14ac:dyDescent="0.35">
      <c r="B41" s="409" t="s">
        <v>1</v>
      </c>
      <c r="C41" s="410"/>
      <c r="D41" s="410"/>
      <c r="E41" s="410"/>
      <c r="F41" s="410"/>
      <c r="G41" s="410"/>
      <c r="H41" s="410"/>
      <c r="I41" s="410"/>
      <c r="J41" s="410"/>
      <c r="K41" s="410"/>
      <c r="L41" s="410"/>
      <c r="M41" s="410"/>
      <c r="N41" s="410"/>
      <c r="O41" s="410"/>
      <c r="P41" s="410"/>
      <c r="Q41" s="410"/>
      <c r="R41" s="410"/>
      <c r="S41" s="410"/>
      <c r="T41" s="410"/>
      <c r="U41" s="410"/>
      <c r="V41" s="410"/>
      <c r="W41" s="411"/>
    </row>
    <row r="42" spans="2:23" x14ac:dyDescent="0.35">
      <c r="B42" s="2" t="s">
        <v>87</v>
      </c>
      <c r="C42" s="53" t="s">
        <v>81</v>
      </c>
      <c r="D42" s="114">
        <v>533162</v>
      </c>
      <c r="E42" s="84">
        <f>F42/D42</f>
        <v>0.59877298082008845</v>
      </c>
      <c r="F42" s="114">
        <v>319243</v>
      </c>
      <c r="G42" s="84">
        <v>8.65</v>
      </c>
      <c r="H42" s="114">
        <f>F42*G42</f>
        <v>2761451.95</v>
      </c>
      <c r="I42" s="75">
        <v>18880051</v>
      </c>
      <c r="J42" s="329">
        <f t="shared" ref="J42" si="9">-PMT( 0.46%,G42,I42)/(F42*1000)</f>
        <v>6.9896366355029337E-3</v>
      </c>
      <c r="K42" s="61" t="s">
        <v>82</v>
      </c>
      <c r="L42" s="61" t="s">
        <v>82</v>
      </c>
      <c r="M42" s="61" t="s">
        <v>82</v>
      </c>
      <c r="N42" s="61" t="s">
        <v>82</v>
      </c>
      <c r="O42" s="61" t="s">
        <v>82</v>
      </c>
      <c r="P42" s="61" t="s">
        <v>82</v>
      </c>
      <c r="Q42" s="61" t="s">
        <v>82</v>
      </c>
      <c r="R42" s="78">
        <v>101695000</v>
      </c>
      <c r="S42" s="78">
        <v>21628000</v>
      </c>
      <c r="T42" s="125">
        <f>R42-S42</f>
        <v>80067000</v>
      </c>
      <c r="U42" s="63">
        <f t="shared" ref="U42:U50" si="10">R42/S42</f>
        <v>4.702006658035879</v>
      </c>
      <c r="V42" s="83">
        <v>12649030</v>
      </c>
      <c r="W42" s="199" t="s">
        <v>141</v>
      </c>
    </row>
    <row r="43" spans="2:23" x14ac:dyDescent="0.35">
      <c r="B43" s="2" t="s">
        <v>102</v>
      </c>
      <c r="C43" s="53" t="s">
        <v>81</v>
      </c>
      <c r="D43" s="114">
        <f>67223+83712</f>
        <v>150935</v>
      </c>
      <c r="E43" s="84">
        <f>F43/D43</f>
        <v>0.66179481233643622</v>
      </c>
      <c r="F43" s="114">
        <v>99888</v>
      </c>
      <c r="G43" s="57" t="s">
        <v>82</v>
      </c>
      <c r="H43" s="57" t="s">
        <v>82</v>
      </c>
      <c r="I43" s="132" t="s">
        <v>82</v>
      </c>
      <c r="J43" s="132" t="s">
        <v>82</v>
      </c>
      <c r="K43" s="61" t="s">
        <v>82</v>
      </c>
      <c r="L43" s="61" t="s">
        <v>82</v>
      </c>
      <c r="M43" s="61" t="s">
        <v>82</v>
      </c>
      <c r="N43" s="61" t="s">
        <v>82</v>
      </c>
      <c r="O43" s="61" t="s">
        <v>82</v>
      </c>
      <c r="P43" s="61" t="s">
        <v>82</v>
      </c>
      <c r="Q43" s="61" t="s">
        <v>82</v>
      </c>
      <c r="R43" s="223" t="s">
        <v>82</v>
      </c>
      <c r="S43" s="223" t="s">
        <v>82</v>
      </c>
      <c r="T43" s="223" t="s">
        <v>82</v>
      </c>
      <c r="U43" s="179" t="s">
        <v>82</v>
      </c>
      <c r="V43" s="179" t="s">
        <v>82</v>
      </c>
      <c r="W43" s="199" t="s">
        <v>141</v>
      </c>
    </row>
    <row r="44" spans="2:23" x14ac:dyDescent="0.35">
      <c r="B44" s="2" t="s">
        <v>88</v>
      </c>
      <c r="C44" s="53" t="s">
        <v>81</v>
      </c>
      <c r="D44" s="114">
        <v>97039</v>
      </c>
      <c r="E44" s="84">
        <f t="shared" ref="E44:E51" si="11">F44/D44</f>
        <v>0.74508187429796269</v>
      </c>
      <c r="F44" s="114">
        <v>72302</v>
      </c>
      <c r="G44" s="84">
        <v>8</v>
      </c>
      <c r="H44" s="114">
        <f t="shared" ref="H44:H51" si="12">F44*G44</f>
        <v>578416</v>
      </c>
      <c r="I44" s="75">
        <v>8205237</v>
      </c>
      <c r="J44" s="329">
        <f t="shared" ref="J44:J51" si="13">-PMT( 0.46%,G44,I44)/(F44*1000)</f>
        <v>1.4480918257515343E-2</v>
      </c>
      <c r="K44" s="61" t="s">
        <v>82</v>
      </c>
      <c r="L44" s="61" t="s">
        <v>82</v>
      </c>
      <c r="M44" s="61" t="s">
        <v>82</v>
      </c>
      <c r="N44" s="61" t="s">
        <v>82</v>
      </c>
      <c r="O44" s="61" t="s">
        <v>82</v>
      </c>
      <c r="P44" s="61" t="s">
        <v>82</v>
      </c>
      <c r="Q44" s="61" t="s">
        <v>82</v>
      </c>
      <c r="R44" s="78">
        <v>23357206</v>
      </c>
      <c r="S44" s="78">
        <v>6270446</v>
      </c>
      <c r="T44" s="125">
        <f t="shared" ref="T44:T53" si="14">R44-S44</f>
        <v>17086760</v>
      </c>
      <c r="U44" s="63">
        <f t="shared" si="10"/>
        <v>3.7249672511333323</v>
      </c>
      <c r="V44" s="83">
        <v>51050</v>
      </c>
      <c r="W44" s="115" t="s">
        <v>141</v>
      </c>
    </row>
    <row r="45" spans="2:23" ht="13.15" customHeight="1" x14ac:dyDescent="0.35">
      <c r="B45" s="2" t="s">
        <v>110</v>
      </c>
      <c r="C45" s="53" t="s">
        <v>81</v>
      </c>
      <c r="D45" s="114">
        <v>11446</v>
      </c>
      <c r="E45" s="84">
        <f t="shared" si="11"/>
        <v>0.82614013629215444</v>
      </c>
      <c r="F45" s="114">
        <v>9456</v>
      </c>
      <c r="G45" s="84">
        <v>9</v>
      </c>
      <c r="H45" s="114">
        <f t="shared" si="12"/>
        <v>85104</v>
      </c>
      <c r="I45" s="161">
        <v>1599177</v>
      </c>
      <c r="J45" s="330">
        <f t="shared" si="13"/>
        <v>1.9225690188680276E-2</v>
      </c>
      <c r="K45" s="61" t="s">
        <v>82</v>
      </c>
      <c r="L45" s="61" t="s">
        <v>82</v>
      </c>
      <c r="M45" s="61" t="s">
        <v>82</v>
      </c>
      <c r="N45" s="61" t="s">
        <v>82</v>
      </c>
      <c r="O45" s="61" t="s">
        <v>82</v>
      </c>
      <c r="P45" s="61" t="s">
        <v>82</v>
      </c>
      <c r="Q45" s="61" t="s">
        <v>82</v>
      </c>
      <c r="R45" s="78">
        <v>2676000</v>
      </c>
      <c r="S45" s="78">
        <v>662000</v>
      </c>
      <c r="T45" s="125">
        <f t="shared" si="14"/>
        <v>2014000</v>
      </c>
      <c r="U45" s="63">
        <f t="shared" si="10"/>
        <v>4.0422960725075532</v>
      </c>
      <c r="V45" s="139">
        <v>47488</v>
      </c>
      <c r="W45" s="115" t="s">
        <v>312</v>
      </c>
    </row>
    <row r="46" spans="2:23" x14ac:dyDescent="0.35">
      <c r="B46" s="2" t="s">
        <v>112</v>
      </c>
      <c r="C46" s="53" t="s">
        <v>81</v>
      </c>
      <c r="D46" s="83">
        <v>574</v>
      </c>
      <c r="E46" s="84">
        <f t="shared" si="11"/>
        <v>0.81533101045296164</v>
      </c>
      <c r="F46" s="83">
        <v>468</v>
      </c>
      <c r="G46" s="84">
        <v>9</v>
      </c>
      <c r="H46" s="114">
        <f t="shared" si="12"/>
        <v>4212</v>
      </c>
      <c r="I46" s="370">
        <v>464795</v>
      </c>
      <c r="J46" s="329">
        <f t="shared" si="13"/>
        <v>0.11290377489432582</v>
      </c>
      <c r="K46" s="61" t="s">
        <v>82</v>
      </c>
      <c r="L46" s="61" t="s">
        <v>82</v>
      </c>
      <c r="M46" s="61" t="s">
        <v>82</v>
      </c>
      <c r="N46" s="61" t="s">
        <v>82</v>
      </c>
      <c r="O46" s="61" t="s">
        <v>82</v>
      </c>
      <c r="P46" s="61" t="s">
        <v>82</v>
      </c>
      <c r="Q46" s="61" t="s">
        <v>82</v>
      </c>
      <c r="R46" s="149">
        <v>154198</v>
      </c>
      <c r="S46" s="149">
        <v>453254</v>
      </c>
      <c r="T46" s="125">
        <f t="shared" si="14"/>
        <v>-299056</v>
      </c>
      <c r="U46" s="63">
        <f t="shared" si="10"/>
        <v>0.34020218244075068</v>
      </c>
      <c r="V46" s="156">
        <v>1080</v>
      </c>
      <c r="W46" s="199" t="s">
        <v>193</v>
      </c>
    </row>
    <row r="47" spans="2:23" x14ac:dyDescent="0.35">
      <c r="B47" s="2" t="s">
        <v>124</v>
      </c>
      <c r="C47" s="53" t="s">
        <v>81</v>
      </c>
      <c r="D47" s="83">
        <v>638</v>
      </c>
      <c r="E47" s="84">
        <f t="shared" si="11"/>
        <v>0.59090909090909094</v>
      </c>
      <c r="F47" s="83">
        <v>377</v>
      </c>
      <c r="G47" s="84">
        <v>18</v>
      </c>
      <c r="H47" s="114">
        <f t="shared" si="12"/>
        <v>6786</v>
      </c>
      <c r="I47" s="370">
        <v>1093333</v>
      </c>
      <c r="J47" s="329">
        <f t="shared" si="13"/>
        <v>0.16824828595037764</v>
      </c>
      <c r="K47" s="61" t="s">
        <v>82</v>
      </c>
      <c r="L47" s="61" t="s">
        <v>82</v>
      </c>
      <c r="M47" s="61" t="s">
        <v>82</v>
      </c>
      <c r="N47" s="61" t="s">
        <v>82</v>
      </c>
      <c r="O47" s="61" t="s">
        <v>82</v>
      </c>
      <c r="P47" s="61" t="s">
        <v>82</v>
      </c>
      <c r="Q47" s="61" t="s">
        <v>82</v>
      </c>
      <c r="R47" s="149">
        <v>658409</v>
      </c>
      <c r="S47" s="149">
        <v>595392</v>
      </c>
      <c r="T47" s="125">
        <f t="shared" si="14"/>
        <v>63017</v>
      </c>
      <c r="U47" s="63">
        <f t="shared" si="10"/>
        <v>1.1058411937009567</v>
      </c>
      <c r="V47" s="157">
        <v>2054</v>
      </c>
      <c r="W47" s="199" t="s">
        <v>193</v>
      </c>
    </row>
    <row r="48" spans="2:23" x14ac:dyDescent="0.35">
      <c r="B48" s="2" t="s">
        <v>114</v>
      </c>
      <c r="C48" s="53" t="s">
        <v>81</v>
      </c>
      <c r="D48" s="83">
        <v>66176</v>
      </c>
      <c r="E48" s="84">
        <f t="shared" si="11"/>
        <v>1</v>
      </c>
      <c r="F48" s="83">
        <v>66176</v>
      </c>
      <c r="G48" s="84">
        <v>1</v>
      </c>
      <c r="H48" s="114">
        <f t="shared" si="12"/>
        <v>66176</v>
      </c>
      <c r="I48" s="1">
        <v>2756209</v>
      </c>
      <c r="J48" s="329">
        <f t="shared" si="13"/>
        <v>4.1841265132374274E-2</v>
      </c>
      <c r="K48" s="61" t="s">
        <v>82</v>
      </c>
      <c r="L48" s="61" t="s">
        <v>82</v>
      </c>
      <c r="M48" s="61" t="s">
        <v>82</v>
      </c>
      <c r="N48" s="61" t="s">
        <v>82</v>
      </c>
      <c r="O48" s="61" t="s">
        <v>82</v>
      </c>
      <c r="P48" s="61" t="s">
        <v>82</v>
      </c>
      <c r="Q48" s="61" t="s">
        <v>82</v>
      </c>
      <c r="R48" s="3">
        <v>2612366</v>
      </c>
      <c r="S48" s="3">
        <v>2756209</v>
      </c>
      <c r="T48" s="125">
        <f t="shared" si="14"/>
        <v>-143843</v>
      </c>
      <c r="U48" s="63">
        <f t="shared" si="10"/>
        <v>0.94781128717016738</v>
      </c>
      <c r="V48" s="114">
        <v>263205</v>
      </c>
      <c r="W48" s="199" t="s">
        <v>193</v>
      </c>
    </row>
    <row r="49" spans="2:23" x14ac:dyDescent="0.35">
      <c r="B49" s="2" t="s">
        <v>125</v>
      </c>
      <c r="C49" s="53" t="s">
        <v>81</v>
      </c>
      <c r="D49" s="83">
        <v>3704</v>
      </c>
      <c r="E49" s="84">
        <f t="shared" si="11"/>
        <v>0.67791576673866094</v>
      </c>
      <c r="F49" s="83">
        <v>2511</v>
      </c>
      <c r="G49" s="84">
        <v>11</v>
      </c>
      <c r="H49" s="114">
        <f t="shared" si="12"/>
        <v>27621</v>
      </c>
      <c r="I49" s="1">
        <v>2072247</v>
      </c>
      <c r="J49" s="329">
        <f t="shared" si="13"/>
        <v>7.7110838872261889E-2</v>
      </c>
      <c r="K49" s="61" t="s">
        <v>82</v>
      </c>
      <c r="L49" s="61" t="s">
        <v>82</v>
      </c>
      <c r="M49" s="61" t="s">
        <v>82</v>
      </c>
      <c r="N49" s="61" t="s">
        <v>82</v>
      </c>
      <c r="O49" s="61" t="s">
        <v>82</v>
      </c>
      <c r="P49" s="61" t="s">
        <v>82</v>
      </c>
      <c r="Q49" s="61" t="s">
        <v>82</v>
      </c>
      <c r="R49" s="3">
        <v>6294154</v>
      </c>
      <c r="S49" s="3">
        <v>1917713</v>
      </c>
      <c r="T49" s="125">
        <f t="shared" si="14"/>
        <v>4376441</v>
      </c>
      <c r="U49" s="63">
        <f t="shared" si="10"/>
        <v>3.282114685565567</v>
      </c>
      <c r="V49" s="144">
        <v>21463</v>
      </c>
      <c r="W49" s="199" t="s">
        <v>313</v>
      </c>
    </row>
    <row r="50" spans="2:23" x14ac:dyDescent="0.35">
      <c r="B50" s="2" t="s">
        <v>126</v>
      </c>
      <c r="C50" s="53" t="s">
        <v>81</v>
      </c>
      <c r="D50" s="83">
        <v>634</v>
      </c>
      <c r="E50" s="84">
        <f t="shared" si="11"/>
        <v>0.75552050473186116</v>
      </c>
      <c r="F50" s="83">
        <v>479</v>
      </c>
      <c r="G50" s="84">
        <v>8</v>
      </c>
      <c r="H50" s="114">
        <f t="shared" si="12"/>
        <v>3832</v>
      </c>
      <c r="I50" s="1">
        <v>127055</v>
      </c>
      <c r="J50" s="329">
        <f t="shared" si="13"/>
        <v>3.3846325770980963E-2</v>
      </c>
      <c r="K50" s="61" t="s">
        <v>82</v>
      </c>
      <c r="L50" s="61" t="s">
        <v>82</v>
      </c>
      <c r="M50" s="61" t="s">
        <v>82</v>
      </c>
      <c r="N50" s="61" t="s">
        <v>82</v>
      </c>
      <c r="O50" s="61" t="s">
        <v>82</v>
      </c>
      <c r="P50" s="61" t="s">
        <v>82</v>
      </c>
      <c r="Q50" s="61" t="s">
        <v>82</v>
      </c>
      <c r="R50" s="3">
        <v>142946</v>
      </c>
      <c r="S50" s="3">
        <v>104815</v>
      </c>
      <c r="T50" s="125">
        <f t="shared" si="14"/>
        <v>38131</v>
      </c>
      <c r="U50" s="63">
        <f t="shared" si="10"/>
        <v>1.3637933501884272</v>
      </c>
      <c r="V50" s="120">
        <v>454</v>
      </c>
      <c r="W50" s="199" t="s">
        <v>238</v>
      </c>
    </row>
    <row r="51" spans="2:23" ht="16.149999999999999" customHeight="1" x14ac:dyDescent="0.35">
      <c r="B51" s="2" t="s">
        <v>113</v>
      </c>
      <c r="C51" s="53" t="s">
        <v>81</v>
      </c>
      <c r="D51" s="83">
        <v>2571</v>
      </c>
      <c r="E51" s="84">
        <f t="shared" si="11"/>
        <v>1</v>
      </c>
      <c r="F51" s="83">
        <v>2571</v>
      </c>
      <c r="G51" s="84">
        <v>5</v>
      </c>
      <c r="H51" s="114">
        <f t="shared" si="12"/>
        <v>12855</v>
      </c>
      <c r="I51" s="1">
        <v>1060472</v>
      </c>
      <c r="J51" s="329">
        <f t="shared" si="13"/>
        <v>8.3636817538678659E-2</v>
      </c>
      <c r="K51" s="61" t="s">
        <v>82</v>
      </c>
      <c r="L51" s="61" t="s">
        <v>82</v>
      </c>
      <c r="M51" s="61" t="s">
        <v>82</v>
      </c>
      <c r="N51" s="61" t="s">
        <v>82</v>
      </c>
      <c r="O51" s="61" t="s">
        <v>82</v>
      </c>
      <c r="P51" s="61" t="s">
        <v>82</v>
      </c>
      <c r="Q51" s="61" t="s">
        <v>82</v>
      </c>
      <c r="R51" s="3">
        <v>1304418</v>
      </c>
      <c r="S51" s="3">
        <v>1723647</v>
      </c>
      <c r="T51" s="125">
        <f t="shared" si="14"/>
        <v>-419229</v>
      </c>
      <c r="U51" s="63">
        <f>R51/S51</f>
        <v>0.75677792494634921</v>
      </c>
      <c r="V51" s="114">
        <v>9973</v>
      </c>
      <c r="W51" s="199" t="s">
        <v>193</v>
      </c>
    </row>
    <row r="52" spans="2:23" x14ac:dyDescent="0.35">
      <c r="B52" s="2" t="s">
        <v>127</v>
      </c>
      <c r="C52" s="53" t="s">
        <v>81</v>
      </c>
      <c r="D52" s="83" t="s">
        <v>82</v>
      </c>
      <c r="E52" s="84" t="s">
        <v>82</v>
      </c>
      <c r="F52" s="62" t="s">
        <v>82</v>
      </c>
      <c r="G52" s="84" t="s">
        <v>82</v>
      </c>
      <c r="H52" s="137" t="s">
        <v>82</v>
      </c>
      <c r="I52" s="1">
        <v>75622</v>
      </c>
      <c r="J52" s="331" t="s">
        <v>82</v>
      </c>
      <c r="K52" s="61" t="s">
        <v>82</v>
      </c>
      <c r="L52" s="61" t="s">
        <v>82</v>
      </c>
      <c r="M52" s="61" t="s">
        <v>82</v>
      </c>
      <c r="N52" s="61" t="s">
        <v>82</v>
      </c>
      <c r="O52" s="61" t="s">
        <v>82</v>
      </c>
      <c r="P52" s="61" t="s">
        <v>82</v>
      </c>
      <c r="Q52" s="61" t="s">
        <v>82</v>
      </c>
      <c r="R52" s="312" t="s">
        <v>82</v>
      </c>
      <c r="S52" s="312" t="s">
        <v>82</v>
      </c>
      <c r="T52" s="312" t="s">
        <v>82</v>
      </c>
      <c r="U52" s="312" t="s">
        <v>82</v>
      </c>
      <c r="V52" s="312" t="s">
        <v>82</v>
      </c>
      <c r="W52" s="312" t="s">
        <v>82</v>
      </c>
    </row>
    <row r="53" spans="2:23" x14ac:dyDescent="0.35">
      <c r="B53" s="2" t="s">
        <v>298</v>
      </c>
      <c r="C53" s="53" t="s">
        <v>295</v>
      </c>
      <c r="D53" s="109">
        <v>512.79300000000001</v>
      </c>
      <c r="E53" s="284">
        <f t="shared" ref="E53" si="15">F53/D53</f>
        <v>0.86999822540479299</v>
      </c>
      <c r="F53" s="109">
        <v>446.12900000000002</v>
      </c>
      <c r="G53" s="61" t="s">
        <v>82</v>
      </c>
      <c r="H53" s="61" t="s">
        <v>82</v>
      </c>
      <c r="I53" s="61" t="s">
        <v>82</v>
      </c>
      <c r="J53" s="61" t="s">
        <v>82</v>
      </c>
      <c r="K53" s="61" t="s">
        <v>82</v>
      </c>
      <c r="L53" s="61" t="s">
        <v>82</v>
      </c>
      <c r="M53" s="61" t="s">
        <v>82</v>
      </c>
      <c r="N53" s="61" t="s">
        <v>82</v>
      </c>
      <c r="O53" s="61" t="s">
        <v>82</v>
      </c>
      <c r="P53" s="61" t="s">
        <v>82</v>
      </c>
      <c r="Q53" s="61" t="s">
        <v>82</v>
      </c>
      <c r="R53" s="351">
        <v>146198</v>
      </c>
      <c r="S53" s="351">
        <v>140674</v>
      </c>
      <c r="T53" s="125">
        <f t="shared" si="14"/>
        <v>5524</v>
      </c>
      <c r="U53" s="63">
        <f t="shared" ref="U53" si="16">R53/S53</f>
        <v>1.0392680950282214</v>
      </c>
      <c r="V53" s="108">
        <v>16489</v>
      </c>
      <c r="W53" s="115" t="s">
        <v>141</v>
      </c>
    </row>
    <row r="54" spans="2:23" x14ac:dyDescent="0.35">
      <c r="B54" s="4" t="s">
        <v>8</v>
      </c>
      <c r="C54" s="4"/>
      <c r="D54" s="71">
        <f>SUM(D42:D53)</f>
        <v>867391.79299999995</v>
      </c>
      <c r="E54" s="237">
        <f>F54/D54</f>
        <v>0.6616584727128032</v>
      </c>
      <c r="F54" s="71">
        <f>SUM(F42:F53)</f>
        <v>573917.12899999996</v>
      </c>
      <c r="G54" s="118">
        <f>H54/F54</f>
        <v>6.1793833478700728</v>
      </c>
      <c r="H54" s="71">
        <f>SUM(H42:H53)</f>
        <v>3546453.95</v>
      </c>
      <c r="I54" s="147">
        <f>SUM(I42:I53)</f>
        <v>36334198</v>
      </c>
      <c r="J54" s="332">
        <f t="shared" ref="J54" si="17">-PMT( 0.46%,G54,I54)/(F54*1000)</f>
        <v>1.0415064411122832E-2</v>
      </c>
      <c r="K54" s="68" t="s">
        <v>82</v>
      </c>
      <c r="L54" s="68" t="s">
        <v>82</v>
      </c>
      <c r="M54" s="68" t="s">
        <v>82</v>
      </c>
      <c r="N54" s="68" t="s">
        <v>82</v>
      </c>
      <c r="O54" s="68" t="s">
        <v>82</v>
      </c>
      <c r="P54" s="68" t="s">
        <v>82</v>
      </c>
      <c r="Q54" s="68" t="s">
        <v>82</v>
      </c>
      <c r="R54" s="215">
        <f>SUM(R42:R53)</f>
        <v>139040895</v>
      </c>
      <c r="S54" s="215">
        <f>SUM(S42:S53)</f>
        <v>36252150</v>
      </c>
      <c r="T54" s="215">
        <f>SUM(T42:T53)</f>
        <v>102788745</v>
      </c>
      <c r="U54" s="73">
        <f t="shared" ref="U54" si="18">R54/S54</f>
        <v>3.8353834186386186</v>
      </c>
      <c r="V54" s="74">
        <f>SUM(V42:V53)</f>
        <v>13062286</v>
      </c>
      <c r="W54" s="218" t="s">
        <v>82</v>
      </c>
    </row>
    <row r="55" spans="2:23" ht="15.65" customHeight="1" x14ac:dyDescent="0.35">
      <c r="B55" s="425" t="s">
        <v>9</v>
      </c>
      <c r="C55" s="426"/>
      <c r="D55" s="426"/>
      <c r="E55" s="426"/>
      <c r="F55" s="426"/>
      <c r="G55" s="426"/>
      <c r="H55" s="426"/>
      <c r="I55" s="426"/>
      <c r="J55" s="426"/>
      <c r="K55" s="426"/>
      <c r="L55" s="426"/>
      <c r="M55" s="426"/>
      <c r="N55" s="426"/>
      <c r="O55" s="426"/>
      <c r="P55" s="426"/>
      <c r="Q55" s="426"/>
      <c r="R55" s="426"/>
      <c r="S55" s="426"/>
      <c r="T55" s="426"/>
      <c r="U55" s="426"/>
      <c r="V55" s="426"/>
      <c r="W55" s="427"/>
    </row>
    <row r="56" spans="2:23" x14ac:dyDescent="0.35">
      <c r="B56" s="288" t="s">
        <v>303</v>
      </c>
      <c r="C56" s="53" t="s">
        <v>295</v>
      </c>
      <c r="D56" s="109">
        <v>5843.0010000000002</v>
      </c>
      <c r="E56" s="284">
        <f t="shared" ref="E56:E58" si="19">F56/D56</f>
        <v>1</v>
      </c>
      <c r="F56" s="109">
        <v>5843.0010000000002</v>
      </c>
      <c r="G56" s="61" t="s">
        <v>82</v>
      </c>
      <c r="H56" s="61" t="s">
        <v>82</v>
      </c>
      <c r="I56" s="61" t="s">
        <v>82</v>
      </c>
      <c r="J56" s="61" t="s">
        <v>82</v>
      </c>
      <c r="K56" s="61" t="s">
        <v>82</v>
      </c>
      <c r="L56" s="61" t="s">
        <v>82</v>
      </c>
      <c r="M56" s="61" t="s">
        <v>82</v>
      </c>
      <c r="N56" s="61" t="s">
        <v>82</v>
      </c>
      <c r="O56" s="61" t="s">
        <v>82</v>
      </c>
      <c r="P56" s="61" t="s">
        <v>82</v>
      </c>
      <c r="Q56" s="61" t="s">
        <v>82</v>
      </c>
      <c r="R56" s="351">
        <v>4051412</v>
      </c>
      <c r="S56" s="351">
        <v>5153450</v>
      </c>
      <c r="T56" s="125">
        <f t="shared" ref="T56:T58" si="20">R56-S56</f>
        <v>-1102038</v>
      </c>
      <c r="U56" s="63">
        <f>R56/S56</f>
        <v>0.78615529402633189</v>
      </c>
      <c r="V56" s="117">
        <f>75539+1049</f>
        <v>76588</v>
      </c>
      <c r="W56" s="115" t="s">
        <v>141</v>
      </c>
    </row>
    <row r="57" spans="2:23" x14ac:dyDescent="0.35">
      <c r="B57" s="288" t="s">
        <v>301</v>
      </c>
      <c r="C57" s="53" t="s">
        <v>295</v>
      </c>
      <c r="D57" s="109">
        <v>3301.9569999999999</v>
      </c>
      <c r="E57" s="284">
        <f t="shared" si="19"/>
        <v>1</v>
      </c>
      <c r="F57" s="109">
        <v>3301.9569999999999</v>
      </c>
      <c r="G57" s="61" t="s">
        <v>82</v>
      </c>
      <c r="H57" s="61" t="s">
        <v>82</v>
      </c>
      <c r="I57" s="61" t="s">
        <v>82</v>
      </c>
      <c r="J57" s="61" t="s">
        <v>82</v>
      </c>
      <c r="K57" s="61" t="s">
        <v>82</v>
      </c>
      <c r="L57" s="61" t="s">
        <v>82</v>
      </c>
      <c r="M57" s="61" t="s">
        <v>82</v>
      </c>
      <c r="N57" s="61" t="s">
        <v>82</v>
      </c>
      <c r="O57" s="61" t="s">
        <v>82</v>
      </c>
      <c r="P57" s="61" t="s">
        <v>82</v>
      </c>
      <c r="Q57" s="61" t="s">
        <v>82</v>
      </c>
      <c r="R57" s="351">
        <v>4829837</v>
      </c>
      <c r="S57" s="351">
        <v>5068266</v>
      </c>
      <c r="T57" s="125">
        <f t="shared" si="20"/>
        <v>-238429</v>
      </c>
      <c r="U57" s="63">
        <f t="shared" ref="U57:U58" si="21">R57/S57</f>
        <v>0.95295649439078378</v>
      </c>
      <c r="V57" s="117">
        <v>1474</v>
      </c>
      <c r="W57" s="115" t="s">
        <v>312</v>
      </c>
    </row>
    <row r="58" spans="2:23" x14ac:dyDescent="0.35">
      <c r="B58" s="2" t="s">
        <v>322</v>
      </c>
      <c r="C58" s="53" t="s">
        <v>295</v>
      </c>
      <c r="D58" s="109">
        <v>1041.6120000000001</v>
      </c>
      <c r="E58" s="284">
        <f t="shared" si="19"/>
        <v>1</v>
      </c>
      <c r="F58" s="109">
        <v>1041.6120000000001</v>
      </c>
      <c r="G58" s="61" t="s">
        <v>82</v>
      </c>
      <c r="H58" s="61" t="s">
        <v>82</v>
      </c>
      <c r="I58" s="61" t="s">
        <v>82</v>
      </c>
      <c r="J58" s="61" t="s">
        <v>82</v>
      </c>
      <c r="K58" s="61" t="s">
        <v>82</v>
      </c>
      <c r="L58" s="61" t="s">
        <v>82</v>
      </c>
      <c r="M58" s="61" t="s">
        <v>82</v>
      </c>
      <c r="N58" s="61" t="s">
        <v>82</v>
      </c>
      <c r="O58" s="61" t="s">
        <v>82</v>
      </c>
      <c r="P58" s="61" t="s">
        <v>82</v>
      </c>
      <c r="Q58" s="61" t="s">
        <v>82</v>
      </c>
      <c r="R58" s="351">
        <v>868678</v>
      </c>
      <c r="S58" s="351">
        <v>1363546</v>
      </c>
      <c r="T58" s="125">
        <f t="shared" si="20"/>
        <v>-494868</v>
      </c>
      <c r="U58" s="63">
        <f t="shared" si="21"/>
        <v>0.63707275002090136</v>
      </c>
      <c r="V58" s="108">
        <v>8602</v>
      </c>
      <c r="W58" s="115" t="s">
        <v>312</v>
      </c>
    </row>
    <row r="59" spans="2:23" hidden="1" x14ac:dyDescent="0.35">
      <c r="B59" s="2" t="s">
        <v>0</v>
      </c>
      <c r="C59" s="2"/>
      <c r="D59" s="2"/>
      <c r="E59" s="2"/>
      <c r="F59" s="3"/>
      <c r="G59" s="3"/>
      <c r="H59" s="3"/>
      <c r="I59" s="3"/>
      <c r="J59" s="60" t="e">
        <f t="shared" ref="J59:J72" si="22">-PMT( 0.46%,G59,I59)/F59*1000</f>
        <v>#NUM!</v>
      </c>
      <c r="K59" s="61" t="s">
        <v>82</v>
      </c>
      <c r="L59" s="61" t="s">
        <v>82</v>
      </c>
      <c r="M59" s="61" t="s">
        <v>82</v>
      </c>
      <c r="N59" s="61" t="s">
        <v>82</v>
      </c>
      <c r="O59" s="61" t="s">
        <v>82</v>
      </c>
      <c r="P59" s="61" t="s">
        <v>82</v>
      </c>
      <c r="Q59" s="61" t="s">
        <v>82</v>
      </c>
      <c r="R59" s="3"/>
      <c r="S59" s="3"/>
      <c r="T59" s="2"/>
      <c r="U59" s="55" t="e">
        <f t="shared" ref="U59:U61" si="23">R59/S59</f>
        <v>#DIV/0!</v>
      </c>
      <c r="V59" s="3"/>
      <c r="W59" s="3"/>
    </row>
    <row r="60" spans="2:23" hidden="1" x14ac:dyDescent="0.35">
      <c r="B60" s="2" t="s">
        <v>0</v>
      </c>
      <c r="C60" s="2"/>
      <c r="D60" s="2"/>
      <c r="E60" s="2"/>
      <c r="F60" s="3"/>
      <c r="G60" s="3"/>
      <c r="H60" s="3"/>
      <c r="I60" s="3"/>
      <c r="J60" s="60" t="e">
        <f t="shared" si="22"/>
        <v>#NUM!</v>
      </c>
      <c r="K60" s="61" t="s">
        <v>82</v>
      </c>
      <c r="L60" s="61" t="s">
        <v>82</v>
      </c>
      <c r="M60" s="61" t="s">
        <v>82</v>
      </c>
      <c r="N60" s="61" t="s">
        <v>82</v>
      </c>
      <c r="O60" s="61" t="s">
        <v>82</v>
      </c>
      <c r="P60" s="61" t="s">
        <v>82</v>
      </c>
      <c r="Q60" s="61" t="s">
        <v>82</v>
      </c>
      <c r="R60" s="3"/>
      <c r="S60" s="3"/>
      <c r="T60" s="2"/>
      <c r="U60" s="55" t="e">
        <f t="shared" si="23"/>
        <v>#DIV/0!</v>
      </c>
      <c r="V60" s="3"/>
      <c r="W60" s="3"/>
    </row>
    <row r="61" spans="2:23" ht="15.75" customHeight="1" x14ac:dyDescent="0.35">
      <c r="B61" s="4" t="s">
        <v>10</v>
      </c>
      <c r="C61" s="4"/>
      <c r="D61" s="65">
        <f>SUM(D56:D60)</f>
        <v>10186.57</v>
      </c>
      <c r="E61" s="69">
        <f>F61/D61</f>
        <v>1</v>
      </c>
      <c r="F61" s="65">
        <f>SUM(F56:F60)</f>
        <v>10186.57</v>
      </c>
      <c r="G61" s="68" t="s">
        <v>82</v>
      </c>
      <c r="H61" s="68" t="s">
        <v>82</v>
      </c>
      <c r="I61" s="68" t="s">
        <v>82</v>
      </c>
      <c r="J61" s="68" t="s">
        <v>82</v>
      </c>
      <c r="K61" s="68" t="s">
        <v>82</v>
      </c>
      <c r="L61" s="68" t="s">
        <v>82</v>
      </c>
      <c r="M61" s="68" t="s">
        <v>82</v>
      </c>
      <c r="N61" s="68" t="s">
        <v>82</v>
      </c>
      <c r="O61" s="68" t="s">
        <v>82</v>
      </c>
      <c r="P61" s="68" t="s">
        <v>82</v>
      </c>
      <c r="Q61" s="68" t="s">
        <v>82</v>
      </c>
      <c r="R61" s="72">
        <f>SUM(R56:R60)</f>
        <v>9749927</v>
      </c>
      <c r="S61" s="72">
        <f>SUM(S56:S60)</f>
        <v>11585262</v>
      </c>
      <c r="T61" s="72">
        <f>SUM(T56:T60)</f>
        <v>-1835335</v>
      </c>
      <c r="U61" s="73">
        <f t="shared" si="23"/>
        <v>0.8415801904177912</v>
      </c>
      <c r="V61" s="74">
        <f>SUM(V56:V60)</f>
        <v>86664</v>
      </c>
      <c r="W61" s="68" t="s">
        <v>82</v>
      </c>
    </row>
    <row r="62" spans="2:23" ht="15.65" hidden="1" customHeight="1" x14ac:dyDescent="0.35">
      <c r="B62" s="409" t="s">
        <v>11</v>
      </c>
      <c r="C62" s="410"/>
      <c r="D62" s="410"/>
      <c r="E62" s="410"/>
      <c r="F62" s="410"/>
      <c r="G62" s="410"/>
      <c r="H62" s="410"/>
      <c r="I62" s="410"/>
      <c r="J62" s="410"/>
      <c r="K62" s="410"/>
      <c r="L62" s="410"/>
      <c r="M62" s="410"/>
      <c r="N62" s="410"/>
      <c r="O62" s="410"/>
      <c r="P62" s="410"/>
      <c r="Q62" s="410"/>
      <c r="R62" s="410"/>
      <c r="S62" s="410"/>
      <c r="T62" s="410"/>
      <c r="U62" s="410"/>
      <c r="V62" s="410"/>
      <c r="W62" s="410"/>
    </row>
    <row r="63" spans="2:23" hidden="1" x14ac:dyDescent="0.35">
      <c r="B63" s="2" t="s">
        <v>0</v>
      </c>
      <c r="C63" s="2"/>
      <c r="D63" s="2"/>
      <c r="E63" s="2"/>
      <c r="F63" s="3"/>
      <c r="G63" s="3"/>
      <c r="H63" s="3"/>
      <c r="I63" s="3"/>
      <c r="J63" s="60" t="e">
        <f t="shared" si="22"/>
        <v>#NUM!</v>
      </c>
      <c r="K63" s="61" t="s">
        <v>82</v>
      </c>
      <c r="L63" s="61" t="s">
        <v>82</v>
      </c>
      <c r="M63" s="61" t="s">
        <v>82</v>
      </c>
      <c r="N63" s="61" t="s">
        <v>82</v>
      </c>
      <c r="O63" s="61" t="s">
        <v>82</v>
      </c>
      <c r="P63" s="61" t="s">
        <v>82</v>
      </c>
      <c r="Q63" s="61" t="s">
        <v>82</v>
      </c>
      <c r="R63" s="3"/>
      <c r="S63" s="3"/>
      <c r="T63" s="2"/>
      <c r="U63" s="55" t="e">
        <f>R63/S63</f>
        <v>#DIV/0!</v>
      </c>
      <c r="V63" s="3"/>
      <c r="W63" s="3"/>
    </row>
    <row r="64" spans="2:23" hidden="1" x14ac:dyDescent="0.35">
      <c r="B64" s="2" t="s">
        <v>0</v>
      </c>
      <c r="C64" s="2"/>
      <c r="D64" s="2"/>
      <c r="E64" s="2"/>
      <c r="F64" s="3"/>
      <c r="G64" s="3"/>
      <c r="H64" s="3"/>
      <c r="I64" s="3"/>
      <c r="J64" s="60" t="e">
        <f t="shared" si="22"/>
        <v>#NUM!</v>
      </c>
      <c r="K64" s="61" t="s">
        <v>82</v>
      </c>
      <c r="L64" s="61" t="s">
        <v>82</v>
      </c>
      <c r="M64" s="61" t="s">
        <v>82</v>
      </c>
      <c r="N64" s="61" t="s">
        <v>82</v>
      </c>
      <c r="O64" s="61" t="s">
        <v>82</v>
      </c>
      <c r="P64" s="61" t="s">
        <v>82</v>
      </c>
      <c r="Q64" s="61" t="s">
        <v>82</v>
      </c>
      <c r="R64" s="3"/>
      <c r="S64" s="3"/>
      <c r="T64" s="2"/>
      <c r="U64" s="55" t="e">
        <f t="shared" ref="U64:U68" si="24">R64/S64</f>
        <v>#DIV/0!</v>
      </c>
      <c r="V64" s="3"/>
      <c r="W64" s="3"/>
    </row>
    <row r="65" spans="2:23" hidden="1" x14ac:dyDescent="0.35">
      <c r="B65" s="2" t="s">
        <v>0</v>
      </c>
      <c r="C65" s="2"/>
      <c r="D65" s="18"/>
      <c r="E65" s="18"/>
      <c r="F65" s="19"/>
      <c r="G65" s="19"/>
      <c r="H65" s="19"/>
      <c r="I65" s="19"/>
      <c r="J65" s="60" t="e">
        <f t="shared" si="22"/>
        <v>#NUM!</v>
      </c>
      <c r="K65" s="61" t="s">
        <v>82</v>
      </c>
      <c r="L65" s="61" t="s">
        <v>82</v>
      </c>
      <c r="M65" s="61" t="s">
        <v>82</v>
      </c>
      <c r="N65" s="61" t="s">
        <v>82</v>
      </c>
      <c r="O65" s="61" t="s">
        <v>82</v>
      </c>
      <c r="P65" s="61" t="s">
        <v>82</v>
      </c>
      <c r="Q65" s="61" t="s">
        <v>82</v>
      </c>
      <c r="R65" s="19"/>
      <c r="S65" s="19"/>
      <c r="T65" s="18"/>
      <c r="U65" s="55" t="e">
        <f t="shared" si="24"/>
        <v>#DIV/0!</v>
      </c>
      <c r="V65" s="19"/>
      <c r="W65" s="19"/>
    </row>
    <row r="66" spans="2:23" hidden="1" x14ac:dyDescent="0.35">
      <c r="B66" s="2" t="s">
        <v>0</v>
      </c>
      <c r="C66" s="2"/>
      <c r="D66" s="18"/>
      <c r="E66" s="18"/>
      <c r="F66" s="19"/>
      <c r="G66" s="19"/>
      <c r="H66" s="19"/>
      <c r="I66" s="19"/>
      <c r="J66" s="60" t="e">
        <f t="shared" si="22"/>
        <v>#NUM!</v>
      </c>
      <c r="K66" s="61" t="s">
        <v>82</v>
      </c>
      <c r="L66" s="61" t="s">
        <v>82</v>
      </c>
      <c r="M66" s="61" t="s">
        <v>82</v>
      </c>
      <c r="N66" s="61" t="s">
        <v>82</v>
      </c>
      <c r="O66" s="61" t="s">
        <v>82</v>
      </c>
      <c r="P66" s="61" t="s">
        <v>82</v>
      </c>
      <c r="Q66" s="61" t="s">
        <v>82</v>
      </c>
      <c r="R66" s="19"/>
      <c r="S66" s="19"/>
      <c r="T66" s="18"/>
      <c r="U66" s="55" t="e">
        <f t="shared" si="24"/>
        <v>#DIV/0!</v>
      </c>
      <c r="V66" s="19"/>
      <c r="W66" s="19"/>
    </row>
    <row r="67" spans="2:23" hidden="1" x14ac:dyDescent="0.35">
      <c r="B67" s="2" t="s">
        <v>0</v>
      </c>
      <c r="C67" s="2"/>
      <c r="D67" s="18"/>
      <c r="E67" s="18"/>
      <c r="F67" s="19"/>
      <c r="G67" s="19"/>
      <c r="H67" s="19"/>
      <c r="I67" s="19"/>
      <c r="J67" s="60" t="e">
        <f t="shared" si="22"/>
        <v>#NUM!</v>
      </c>
      <c r="K67" s="61" t="s">
        <v>82</v>
      </c>
      <c r="L67" s="61" t="s">
        <v>82</v>
      </c>
      <c r="M67" s="61" t="s">
        <v>82</v>
      </c>
      <c r="N67" s="61" t="s">
        <v>82</v>
      </c>
      <c r="O67" s="61" t="s">
        <v>82</v>
      </c>
      <c r="P67" s="61" t="s">
        <v>82</v>
      </c>
      <c r="Q67" s="61" t="s">
        <v>82</v>
      </c>
      <c r="R67" s="19"/>
      <c r="S67" s="19"/>
      <c r="T67" s="18"/>
      <c r="U67" s="55" t="e">
        <f t="shared" si="24"/>
        <v>#DIV/0!</v>
      </c>
      <c r="V67" s="19"/>
      <c r="W67" s="19"/>
    </row>
    <row r="68" spans="2:23" ht="35.15" hidden="1" customHeight="1" x14ac:dyDescent="0.35">
      <c r="B68" s="24" t="s">
        <v>12</v>
      </c>
      <c r="C68" s="24"/>
      <c r="D68" s="65">
        <f>SUM(D63:D67)</f>
        <v>0</v>
      </c>
      <c r="E68" s="69" t="e">
        <f>F68/D68</f>
        <v>#DIV/0!</v>
      </c>
      <c r="F68" s="65">
        <f>SUM(F63:F67)</f>
        <v>0</v>
      </c>
      <c r="G68" s="70" t="e">
        <f>H68/F68</f>
        <v>#DIV/0!</v>
      </c>
      <c r="H68" s="65">
        <f>SUM(H63:H67)</f>
        <v>0</v>
      </c>
      <c r="I68" s="67">
        <f>SUM(I63:I67)</f>
        <v>0</v>
      </c>
      <c r="J68" s="88" t="e">
        <f>-PMT( 0.46%,G68,I68)/F68*1000</f>
        <v>#DIV/0!</v>
      </c>
      <c r="K68" s="68" t="s">
        <v>82</v>
      </c>
      <c r="L68" s="68" t="s">
        <v>82</v>
      </c>
      <c r="M68" s="68" t="s">
        <v>82</v>
      </c>
      <c r="N68" s="68" t="s">
        <v>82</v>
      </c>
      <c r="O68" s="68" t="s">
        <v>82</v>
      </c>
      <c r="P68" s="68" t="s">
        <v>82</v>
      </c>
      <c r="Q68" s="68" t="s">
        <v>82</v>
      </c>
      <c r="R68" s="72">
        <f>SUM(R63:R67)</f>
        <v>0</v>
      </c>
      <c r="S68" s="72">
        <f>SUM(S63:S67)</f>
        <v>0</v>
      </c>
      <c r="T68" s="72">
        <f>SUM(T63:T67)</f>
        <v>0</v>
      </c>
      <c r="U68" s="73" t="e">
        <f t="shared" si="24"/>
        <v>#DIV/0!</v>
      </c>
      <c r="V68" s="74">
        <f>SUM(V63:V67)</f>
        <v>0</v>
      </c>
      <c r="W68" s="68" t="s">
        <v>82</v>
      </c>
    </row>
    <row r="69" spans="2:23" hidden="1" x14ac:dyDescent="0.35">
      <c r="B69" s="409" t="s">
        <v>16</v>
      </c>
      <c r="C69" s="410"/>
      <c r="D69" s="410"/>
      <c r="E69" s="410"/>
      <c r="F69" s="410"/>
      <c r="G69" s="410"/>
      <c r="H69" s="410"/>
      <c r="I69" s="410"/>
      <c r="J69" s="410"/>
      <c r="K69" s="410"/>
      <c r="L69" s="410"/>
      <c r="M69" s="410"/>
      <c r="N69" s="410"/>
      <c r="O69" s="410"/>
      <c r="P69" s="410"/>
      <c r="Q69" s="410"/>
      <c r="R69" s="410"/>
      <c r="S69" s="410"/>
      <c r="T69" s="410"/>
      <c r="U69" s="410"/>
      <c r="V69" s="410"/>
      <c r="W69" s="411"/>
    </row>
    <row r="70" spans="2:23" ht="16.149999999999999" hidden="1" customHeight="1" x14ac:dyDescent="0.35">
      <c r="B70" s="32" t="s">
        <v>0</v>
      </c>
      <c r="C70" s="32"/>
      <c r="D70" s="18"/>
      <c r="E70" s="18"/>
      <c r="F70" s="19"/>
      <c r="G70" s="19"/>
      <c r="H70" s="19"/>
      <c r="I70" s="19"/>
      <c r="J70" s="60" t="e">
        <f t="shared" si="22"/>
        <v>#NUM!</v>
      </c>
      <c r="K70" s="61" t="s">
        <v>82</v>
      </c>
      <c r="L70" s="61" t="s">
        <v>82</v>
      </c>
      <c r="M70" s="61" t="s">
        <v>82</v>
      </c>
      <c r="N70" s="61" t="s">
        <v>82</v>
      </c>
      <c r="O70" s="61" t="s">
        <v>82</v>
      </c>
      <c r="P70" s="61" t="s">
        <v>82</v>
      </c>
      <c r="Q70" s="61" t="s">
        <v>82</v>
      </c>
      <c r="R70" s="19"/>
      <c r="S70" s="19"/>
      <c r="T70" s="18"/>
      <c r="U70" s="55" t="e">
        <f>R70/S70</f>
        <v>#DIV/0!</v>
      </c>
      <c r="V70" s="19"/>
      <c r="W70" s="19"/>
    </row>
    <row r="71" spans="2:23" ht="16.149999999999999" hidden="1" customHeight="1" x14ac:dyDescent="0.35">
      <c r="B71" s="32" t="s">
        <v>0</v>
      </c>
      <c r="C71" s="32"/>
      <c r="D71" s="18"/>
      <c r="E71" s="18"/>
      <c r="F71" s="19"/>
      <c r="G71" s="19"/>
      <c r="H71" s="19"/>
      <c r="I71" s="19"/>
      <c r="J71" s="60" t="e">
        <f t="shared" si="22"/>
        <v>#NUM!</v>
      </c>
      <c r="K71" s="61" t="s">
        <v>82</v>
      </c>
      <c r="L71" s="61" t="s">
        <v>82</v>
      </c>
      <c r="M71" s="61" t="s">
        <v>82</v>
      </c>
      <c r="N71" s="61" t="s">
        <v>82</v>
      </c>
      <c r="O71" s="61" t="s">
        <v>82</v>
      </c>
      <c r="P71" s="61" t="s">
        <v>82</v>
      </c>
      <c r="Q71" s="61" t="s">
        <v>82</v>
      </c>
      <c r="R71" s="19"/>
      <c r="S71" s="19"/>
      <c r="T71" s="18"/>
      <c r="U71" s="55" t="e">
        <f t="shared" ref="U71:U75" si="25">R71/S71</f>
        <v>#DIV/0!</v>
      </c>
      <c r="V71" s="19"/>
      <c r="W71" s="19"/>
    </row>
    <row r="72" spans="2:23" ht="16.149999999999999" hidden="1" customHeight="1" x14ac:dyDescent="0.35">
      <c r="B72" s="32" t="s">
        <v>0</v>
      </c>
      <c r="C72" s="32"/>
      <c r="D72" s="18"/>
      <c r="E72" s="18"/>
      <c r="F72" s="19"/>
      <c r="G72" s="19"/>
      <c r="H72" s="19"/>
      <c r="I72" s="19"/>
      <c r="J72" s="60" t="e">
        <f t="shared" si="22"/>
        <v>#NUM!</v>
      </c>
      <c r="K72" s="61" t="s">
        <v>82</v>
      </c>
      <c r="L72" s="61" t="s">
        <v>82</v>
      </c>
      <c r="M72" s="61" t="s">
        <v>82</v>
      </c>
      <c r="N72" s="61" t="s">
        <v>82</v>
      </c>
      <c r="O72" s="61" t="s">
        <v>82</v>
      </c>
      <c r="P72" s="61" t="s">
        <v>82</v>
      </c>
      <c r="Q72" s="61" t="s">
        <v>82</v>
      </c>
      <c r="R72" s="19"/>
      <c r="S72" s="19"/>
      <c r="T72" s="18"/>
      <c r="U72" s="55" t="e">
        <f t="shared" si="25"/>
        <v>#DIV/0!</v>
      </c>
      <c r="V72" s="19"/>
      <c r="W72" s="19"/>
    </row>
    <row r="73" spans="2:23" ht="31.5" hidden="1" customHeight="1" x14ac:dyDescent="0.35">
      <c r="B73" s="24" t="s">
        <v>17</v>
      </c>
      <c r="C73" s="24"/>
      <c r="D73" s="65">
        <f>SUM(D70:D72)</f>
        <v>0</v>
      </c>
      <c r="E73" s="69" t="e">
        <f>F73/D73</f>
        <v>#DIV/0!</v>
      </c>
      <c r="F73" s="65">
        <f>SUM(F70:F72)</f>
        <v>0</v>
      </c>
      <c r="G73" s="70" t="e">
        <f>H73/F73</f>
        <v>#DIV/0!</v>
      </c>
      <c r="H73" s="65">
        <f>SUM(H70:H72)</f>
        <v>0</v>
      </c>
      <c r="I73" s="67">
        <f>SUM(I70:I72)</f>
        <v>0</v>
      </c>
      <c r="J73" s="88" t="e">
        <f>-PMT( 0.46%,G73,I73)/F73*1000</f>
        <v>#DIV/0!</v>
      </c>
      <c r="K73" s="68" t="s">
        <v>82</v>
      </c>
      <c r="L73" s="68" t="s">
        <v>82</v>
      </c>
      <c r="M73" s="68" t="s">
        <v>82</v>
      </c>
      <c r="N73" s="68" t="s">
        <v>82</v>
      </c>
      <c r="O73" s="68" t="s">
        <v>82</v>
      </c>
      <c r="P73" s="68" t="s">
        <v>82</v>
      </c>
      <c r="Q73" s="68" t="s">
        <v>82</v>
      </c>
      <c r="R73" s="72">
        <f>SUM(R70:R72)</f>
        <v>0</v>
      </c>
      <c r="S73" s="72">
        <f>SUM(S70:S72)</f>
        <v>0</v>
      </c>
      <c r="T73" s="72">
        <f>SUM(T70:T72)</f>
        <v>0</v>
      </c>
      <c r="U73" s="73" t="e">
        <f t="shared" si="25"/>
        <v>#DIV/0!</v>
      </c>
      <c r="V73" s="74">
        <f>SUM(V70:V72)</f>
        <v>0</v>
      </c>
      <c r="W73" s="68" t="s">
        <v>82</v>
      </c>
    </row>
    <row r="74" spans="2:23" ht="40.5" customHeight="1" x14ac:dyDescent="0.35">
      <c r="B74" s="37" t="s">
        <v>32</v>
      </c>
      <c r="C74" s="37"/>
      <c r="D74" s="89" t="s">
        <v>82</v>
      </c>
      <c r="E74" s="89" t="s">
        <v>82</v>
      </c>
      <c r="F74" s="89" t="s">
        <v>82</v>
      </c>
      <c r="G74" s="89" t="s">
        <v>82</v>
      </c>
      <c r="H74" s="89" t="s">
        <v>82</v>
      </c>
      <c r="I74" s="38">
        <f>1039262+1310922+4498945+3198828+5726336+173494.5+35049987</f>
        <v>50997774.5</v>
      </c>
      <c r="J74" s="89" t="s">
        <v>82</v>
      </c>
      <c r="K74" s="89" t="s">
        <v>82</v>
      </c>
      <c r="L74" s="89" t="s">
        <v>82</v>
      </c>
      <c r="M74" s="89" t="s">
        <v>82</v>
      </c>
      <c r="N74" s="89" t="s">
        <v>82</v>
      </c>
      <c r="O74" s="89" t="s">
        <v>82</v>
      </c>
      <c r="P74" s="89" t="s">
        <v>82</v>
      </c>
      <c r="Q74" s="89" t="s">
        <v>82</v>
      </c>
      <c r="R74" s="89" t="s">
        <v>82</v>
      </c>
      <c r="S74" s="89" t="s">
        <v>82</v>
      </c>
      <c r="T74" s="89" t="s">
        <v>82</v>
      </c>
      <c r="U74" s="89" t="s">
        <v>82</v>
      </c>
      <c r="V74" s="89" t="s">
        <v>82</v>
      </c>
      <c r="W74" s="221" t="s">
        <v>82</v>
      </c>
    </row>
    <row r="75" spans="2:23" ht="31.5" customHeight="1" x14ac:dyDescent="0.35">
      <c r="B75" s="30" t="s">
        <v>94</v>
      </c>
      <c r="C75" s="30"/>
      <c r="D75" s="128">
        <f>SUM(D38,D54,D61,D68,D73,D74)</f>
        <v>1489075.0590000001</v>
      </c>
      <c r="E75" s="230">
        <f>F75/D75</f>
        <v>0.70633268017149697</v>
      </c>
      <c r="F75" s="128">
        <f>SUM(F38,F54,F61,F68,F73,F74)</f>
        <v>1051782.3774000001</v>
      </c>
      <c r="G75" s="230">
        <f>H75/F75</f>
        <v>6.8832702140308744</v>
      </c>
      <c r="H75" s="79">
        <f>SUM(H38,H54,H61,H68,H73,H74)</f>
        <v>7239702.3100000005</v>
      </c>
      <c r="I75" s="81">
        <f>SUM(I38,I54,I61,I68,I73,I74)</f>
        <v>141365181.5</v>
      </c>
      <c r="J75" s="249">
        <f t="shared" ref="J75" si="26">-PMT( 0.46%,G75,I75)/(F75*1000)</f>
        <v>1.9882016640420289E-2</v>
      </c>
      <c r="K75" s="82" t="s">
        <v>82</v>
      </c>
      <c r="L75" s="82" t="s">
        <v>82</v>
      </c>
      <c r="M75" s="82" t="s">
        <v>82</v>
      </c>
      <c r="N75" s="82" t="s">
        <v>82</v>
      </c>
      <c r="O75" s="82" t="s">
        <v>82</v>
      </c>
      <c r="P75" s="82" t="s">
        <v>82</v>
      </c>
      <c r="Q75" s="82" t="s">
        <v>82</v>
      </c>
      <c r="R75" s="81">
        <f>SUM(R38,R54,R61,R68,R73,R74)</f>
        <v>363400442</v>
      </c>
      <c r="S75" s="81">
        <f>SUM(S38,S54,S61,S68,S73,S74)</f>
        <v>184613899</v>
      </c>
      <c r="T75" s="81">
        <f>SUM(T38,T54,T61,T68,T73,T74)</f>
        <v>178786543</v>
      </c>
      <c r="U75" s="80">
        <f t="shared" si="25"/>
        <v>1.9684349009930178</v>
      </c>
      <c r="V75" s="128">
        <f>SUM(V38,V54,V61,V68,V73,V74)</f>
        <v>13731744</v>
      </c>
      <c r="W75" s="222" t="s">
        <v>82</v>
      </c>
    </row>
    <row r="76" spans="2:23" s="22" customFormat="1" ht="13.5" customHeight="1" x14ac:dyDescent="0.35">
      <c r="B76" s="26"/>
      <c r="C76" s="26"/>
      <c r="D76" s="11"/>
      <c r="E76" s="11"/>
      <c r="F76" s="150"/>
      <c r="G76" s="12"/>
      <c r="H76" s="12"/>
      <c r="I76" s="12"/>
      <c r="J76" s="12"/>
      <c r="K76" s="12"/>
      <c r="L76" s="12"/>
    </row>
    <row r="77" spans="2:23" x14ac:dyDescent="0.35">
      <c r="B77" s="344" t="s">
        <v>3</v>
      </c>
      <c r="C77" s="343"/>
      <c r="D77" s="343"/>
      <c r="E77" s="343"/>
      <c r="F77" s="343"/>
      <c r="G77" s="343"/>
      <c r="H77" s="343"/>
      <c r="I77" s="343"/>
      <c r="J77" s="343"/>
      <c r="K77" s="343"/>
      <c r="L77" s="343"/>
      <c r="M77" s="42"/>
    </row>
    <row r="78" spans="2:23" x14ac:dyDescent="0.35">
      <c r="B78" s="343" t="s">
        <v>308</v>
      </c>
      <c r="C78" s="343"/>
      <c r="D78" s="343"/>
      <c r="E78" s="343"/>
      <c r="F78" s="343"/>
      <c r="G78" s="343"/>
      <c r="H78" s="343"/>
      <c r="I78" s="343"/>
      <c r="J78" s="343"/>
      <c r="K78" s="343"/>
      <c r="L78" s="343"/>
      <c r="M78" s="42"/>
    </row>
    <row r="79" spans="2:23" x14ac:dyDescent="0.35">
      <c r="B79" s="343" t="s">
        <v>366</v>
      </c>
      <c r="C79" s="343"/>
      <c r="D79" s="343"/>
      <c r="E79" s="343"/>
      <c r="F79" s="343"/>
      <c r="G79" s="343"/>
      <c r="H79" s="343"/>
      <c r="I79" s="343"/>
      <c r="J79" s="343"/>
      <c r="K79" s="343"/>
      <c r="L79" s="343"/>
      <c r="M79" s="42"/>
    </row>
    <row r="80" spans="2:23" x14ac:dyDescent="0.35">
      <c r="B80" s="343" t="s">
        <v>326</v>
      </c>
      <c r="C80" s="343"/>
      <c r="D80" s="343"/>
      <c r="E80" s="343"/>
      <c r="F80" s="343"/>
      <c r="G80" s="343"/>
      <c r="H80" s="343"/>
      <c r="I80" s="343"/>
      <c r="J80" s="343"/>
      <c r="K80" s="343"/>
      <c r="L80" s="343"/>
      <c r="M80" s="42"/>
    </row>
    <row r="81" spans="2:13" ht="26.5" customHeight="1" x14ac:dyDescent="0.35">
      <c r="B81" s="431" t="s">
        <v>384</v>
      </c>
      <c r="C81" s="431"/>
      <c r="D81" s="431"/>
      <c r="E81" s="431"/>
      <c r="F81" s="431"/>
      <c r="G81" s="431"/>
      <c r="H81" s="431"/>
      <c r="I81" s="431"/>
      <c r="J81" s="431"/>
      <c r="K81" s="431"/>
      <c r="L81" s="431"/>
      <c r="M81" s="431"/>
    </row>
    <row r="83" spans="2:13" x14ac:dyDescent="0.35">
      <c r="B83" s="45" t="s">
        <v>48</v>
      </c>
    </row>
    <row r="84" spans="2:13" x14ac:dyDescent="0.35">
      <c r="B84" s="7" t="s">
        <v>130</v>
      </c>
    </row>
    <row r="85" spans="2:13" x14ac:dyDescent="0.35">
      <c r="B85" s="7" t="s">
        <v>92</v>
      </c>
    </row>
    <row r="86" spans="2:13" x14ac:dyDescent="0.35">
      <c r="B86" s="7" t="s">
        <v>131</v>
      </c>
    </row>
    <row r="87" spans="2:13" x14ac:dyDescent="0.35">
      <c r="B87" s="7" t="s">
        <v>316</v>
      </c>
    </row>
    <row r="88" spans="2:13" x14ac:dyDescent="0.35">
      <c r="B88" s="342" t="s">
        <v>307</v>
      </c>
    </row>
  </sheetData>
  <mergeCells count="9">
    <mergeCell ref="B81:M81"/>
    <mergeCell ref="B62:W62"/>
    <mergeCell ref="B69:W69"/>
    <mergeCell ref="B5:L6"/>
    <mergeCell ref="B8:L15"/>
    <mergeCell ref="B19:W19"/>
    <mergeCell ref="B21:W21"/>
    <mergeCell ref="B41:W41"/>
    <mergeCell ref="B55:W55"/>
  </mergeCells>
  <printOptions horizontalCentered="1" headings="1"/>
  <pageMargins left="0.5" right="0.5" top="1.25" bottom="1" header="0.5" footer="0.5"/>
  <pageSetup scale="31" orientation="landscape" r:id="rId1"/>
  <headerFooter scaleWithDoc="0">
    <oddHeader>&amp;R&amp;"Arial,Bold"ICC Dkt. No. 17-0312
2019 Statewide Annual Report Template
Tab: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39640-101C-4318-882C-6481431B68B6}">
  <sheetPr>
    <pageSetUpPr fitToPage="1"/>
  </sheetPr>
  <dimension ref="B1:W89"/>
  <sheetViews>
    <sheetView zoomScale="90" zoomScaleNormal="90" workbookViewId="0">
      <selection activeCell="B83" sqref="B83:G83"/>
    </sheetView>
  </sheetViews>
  <sheetFormatPr defaultRowHeight="14.5" x14ac:dyDescent="0.35"/>
  <cols>
    <col min="1" max="1" width="2.26953125" customWidth="1"/>
    <col min="2" max="2" width="37.26953125" customWidth="1"/>
    <col min="3" max="3" width="20.7265625" customWidth="1"/>
    <col min="4" max="4" width="17.26953125" customWidth="1"/>
    <col min="5" max="5" width="15.26953125" customWidth="1"/>
    <col min="6" max="6" width="16" customWidth="1"/>
    <col min="7" max="7" width="15" customWidth="1"/>
    <col min="8" max="8" width="12.453125" customWidth="1"/>
    <col min="9" max="9" width="14" customWidth="1"/>
    <col min="10" max="10" width="15.453125" customWidth="1"/>
    <col min="11" max="11" width="17" customWidth="1"/>
    <col min="12" max="12" width="14.453125" customWidth="1"/>
    <col min="13" max="13" width="15" customWidth="1"/>
    <col min="14" max="14" width="14" customWidth="1"/>
    <col min="15" max="15" width="12" customWidth="1"/>
    <col min="16" max="16" width="14.26953125" customWidth="1"/>
    <col min="17" max="17" width="17" customWidth="1"/>
    <col min="18" max="18" width="14.7265625" customWidth="1"/>
    <col min="19" max="19" width="16.26953125" customWidth="1"/>
    <col min="20" max="20" width="15.453125" customWidth="1"/>
    <col min="21" max="22" width="14.26953125" customWidth="1"/>
    <col min="23" max="23" width="15.81640625" bestFit="1" customWidth="1"/>
  </cols>
  <sheetData>
    <row r="1" spans="2:12" x14ac:dyDescent="0.35">
      <c r="B1" s="6" t="s">
        <v>27</v>
      </c>
      <c r="C1" s="6"/>
      <c r="D1" s="6"/>
      <c r="E1" s="6"/>
    </row>
    <row r="2" spans="2:12" x14ac:dyDescent="0.35">
      <c r="B2" s="6" t="s">
        <v>376</v>
      </c>
      <c r="C2" s="6"/>
      <c r="D2" s="6"/>
      <c r="E2" s="6"/>
    </row>
    <row r="3" spans="2:12" x14ac:dyDescent="0.35">
      <c r="B3" s="6" t="s">
        <v>392</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ht="12.75" customHeight="1"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194.25" customHeight="1" x14ac:dyDescent="0.35">
      <c r="B15" s="419"/>
      <c r="C15" s="420"/>
      <c r="D15" s="420"/>
      <c r="E15" s="420"/>
      <c r="F15" s="420"/>
      <c r="G15" s="420"/>
      <c r="H15" s="420"/>
      <c r="I15" s="420"/>
      <c r="J15" s="420"/>
      <c r="K15" s="420"/>
      <c r="L15" s="421"/>
    </row>
    <row r="16" spans="2:12" ht="17.649999999999999"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1.25" customHeight="1" x14ac:dyDescent="0.35">
      <c r="B18" s="21"/>
      <c r="C18" s="21"/>
      <c r="D18" s="21"/>
      <c r="E18" s="21"/>
      <c r="F18" s="21"/>
      <c r="G18" s="21"/>
      <c r="H18" s="21"/>
      <c r="I18" s="21"/>
      <c r="J18" s="21"/>
      <c r="K18" s="21"/>
      <c r="L18" s="21"/>
    </row>
    <row r="19" spans="2:23" ht="20.149999999999999" customHeight="1" x14ac:dyDescent="0.35">
      <c r="B19" s="430" t="s">
        <v>132</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83</v>
      </c>
      <c r="C22" s="53" t="s">
        <v>81</v>
      </c>
      <c r="D22" s="117">
        <v>261525</v>
      </c>
      <c r="E22" s="110">
        <v>0.71</v>
      </c>
      <c r="F22" s="108">
        <v>186433</v>
      </c>
      <c r="G22" s="111">
        <v>12</v>
      </c>
      <c r="H22" s="108">
        <f>F22*G22</f>
        <v>2237196</v>
      </c>
      <c r="I22" s="133">
        <v>25027730</v>
      </c>
      <c r="J22" s="329">
        <f>-PMT( 0.46%,G22,I22)/(F22*1000)</f>
        <v>1.1524406106912181E-2</v>
      </c>
      <c r="K22" s="61" t="s">
        <v>82</v>
      </c>
      <c r="L22" s="61" t="s">
        <v>82</v>
      </c>
      <c r="M22" s="61" t="s">
        <v>82</v>
      </c>
      <c r="N22" s="61" t="s">
        <v>82</v>
      </c>
      <c r="O22" s="61" t="s">
        <v>82</v>
      </c>
      <c r="P22" s="61" t="s">
        <v>82</v>
      </c>
      <c r="Q22" s="61" t="s">
        <v>82</v>
      </c>
      <c r="R22" s="75">
        <v>109350596</v>
      </c>
      <c r="S22" s="75">
        <v>84277437</v>
      </c>
      <c r="T22" s="75">
        <f>R22-S22</f>
        <v>25073159</v>
      </c>
      <c r="U22" s="63">
        <v>1.3</v>
      </c>
      <c r="V22" s="114">
        <v>3544</v>
      </c>
      <c r="W22" s="115" t="s">
        <v>235</v>
      </c>
    </row>
    <row r="23" spans="2:23" x14ac:dyDescent="0.35">
      <c r="B23" s="2" t="s">
        <v>84</v>
      </c>
      <c r="C23" s="53" t="s">
        <v>81</v>
      </c>
      <c r="D23" s="362">
        <v>40345.625999999997</v>
      </c>
      <c r="E23" s="110">
        <v>0.56000000000000005</v>
      </c>
      <c r="F23" s="225">
        <v>22593.55</v>
      </c>
      <c r="G23" s="111">
        <v>12</v>
      </c>
      <c r="H23" s="108">
        <f t="shared" ref="H23:H30" si="0">F23*G23</f>
        <v>271122.59999999998</v>
      </c>
      <c r="I23" s="133">
        <v>4404792</v>
      </c>
      <c r="J23" s="329">
        <f t="shared" ref="J23:J30" si="1">-PMT( 0.46%,G23,I23)/(F23*1000)</f>
        <v>1.6736352392855269E-2</v>
      </c>
      <c r="K23" s="61" t="s">
        <v>82</v>
      </c>
      <c r="L23" s="61" t="s">
        <v>82</v>
      </c>
      <c r="M23" s="61" t="s">
        <v>82</v>
      </c>
      <c r="N23" s="61" t="s">
        <v>82</v>
      </c>
      <c r="O23" s="61" t="s">
        <v>82</v>
      </c>
      <c r="P23" s="61" t="s">
        <v>82</v>
      </c>
      <c r="Q23" s="61" t="s">
        <v>82</v>
      </c>
      <c r="R23" s="75">
        <v>10328544</v>
      </c>
      <c r="S23" s="75">
        <v>8981182</v>
      </c>
      <c r="T23" s="75">
        <f t="shared" ref="T23:T30" si="2">R23-S23</f>
        <v>1347362</v>
      </c>
      <c r="U23" s="63">
        <v>1.1499999999999999</v>
      </c>
      <c r="V23" s="114">
        <v>137</v>
      </c>
      <c r="W23" s="115" t="s">
        <v>235</v>
      </c>
    </row>
    <row r="24" spans="2:23" x14ac:dyDescent="0.35">
      <c r="B24" s="2" t="s">
        <v>119</v>
      </c>
      <c r="C24" s="53" t="s">
        <v>81</v>
      </c>
      <c r="D24" s="108">
        <v>10726</v>
      </c>
      <c r="E24" s="151">
        <v>0.56000000000000005</v>
      </c>
      <c r="F24" s="56">
        <v>6006</v>
      </c>
      <c r="G24" s="111">
        <v>12</v>
      </c>
      <c r="H24" s="108">
        <f t="shared" si="0"/>
        <v>72072</v>
      </c>
      <c r="I24" s="161">
        <v>1541150</v>
      </c>
      <c r="J24" s="329">
        <f t="shared" si="1"/>
        <v>2.2028222963676271E-2</v>
      </c>
      <c r="K24" s="61" t="s">
        <v>82</v>
      </c>
      <c r="L24" s="61" t="s">
        <v>82</v>
      </c>
      <c r="M24" s="61" t="s">
        <v>82</v>
      </c>
      <c r="N24" s="61" t="s">
        <v>82</v>
      </c>
      <c r="O24" s="61" t="s">
        <v>82</v>
      </c>
      <c r="P24" s="61" t="s">
        <v>82</v>
      </c>
      <c r="Q24" s="61" t="s">
        <v>82</v>
      </c>
      <c r="R24" s="75">
        <v>4776142</v>
      </c>
      <c r="S24" s="75">
        <v>3019741</v>
      </c>
      <c r="T24" s="75">
        <f t="shared" si="2"/>
        <v>1756401</v>
      </c>
      <c r="U24" s="63">
        <v>1.58</v>
      </c>
      <c r="V24" s="114">
        <v>11</v>
      </c>
      <c r="W24" s="115" t="s">
        <v>235</v>
      </c>
    </row>
    <row r="25" spans="2:23" x14ac:dyDescent="0.35">
      <c r="B25" s="2" t="s">
        <v>85</v>
      </c>
      <c r="C25" s="53" t="s">
        <v>81</v>
      </c>
      <c r="D25" s="117">
        <v>24788</v>
      </c>
      <c r="E25" s="110">
        <v>0.71</v>
      </c>
      <c r="F25" s="108">
        <v>17599</v>
      </c>
      <c r="G25" s="111">
        <v>5</v>
      </c>
      <c r="H25" s="108">
        <f t="shared" si="0"/>
        <v>87995</v>
      </c>
      <c r="I25" s="75">
        <v>2004008</v>
      </c>
      <c r="J25" s="329">
        <f t="shared" si="1"/>
        <v>2.3089356495031198E-2</v>
      </c>
      <c r="K25" s="61" t="s">
        <v>82</v>
      </c>
      <c r="L25" s="61" t="s">
        <v>82</v>
      </c>
      <c r="M25" s="61" t="s">
        <v>82</v>
      </c>
      <c r="N25" s="61" t="s">
        <v>82</v>
      </c>
      <c r="O25" s="61" t="s">
        <v>82</v>
      </c>
      <c r="P25" s="61" t="s">
        <v>82</v>
      </c>
      <c r="Q25" s="61" t="s">
        <v>82</v>
      </c>
      <c r="R25" s="75">
        <v>6434798</v>
      </c>
      <c r="S25" s="75">
        <v>1713319</v>
      </c>
      <c r="T25" s="75">
        <f t="shared" si="2"/>
        <v>4721479</v>
      </c>
      <c r="U25" s="63">
        <v>3.76</v>
      </c>
      <c r="V25" s="120">
        <v>46</v>
      </c>
      <c r="W25" s="115" t="s">
        <v>235</v>
      </c>
    </row>
    <row r="26" spans="2:23" x14ac:dyDescent="0.35">
      <c r="B26" s="224" t="s">
        <v>133</v>
      </c>
      <c r="C26" s="53" t="s">
        <v>81</v>
      </c>
      <c r="D26" s="117">
        <v>11578</v>
      </c>
      <c r="E26" s="110">
        <v>0.67</v>
      </c>
      <c r="F26" s="108">
        <v>7757</v>
      </c>
      <c r="G26" s="111">
        <v>15</v>
      </c>
      <c r="H26" s="108">
        <f t="shared" si="0"/>
        <v>116355</v>
      </c>
      <c r="I26" s="75">
        <v>5098141</v>
      </c>
      <c r="J26" s="329">
        <f t="shared" si="1"/>
        <v>4.5445073351312031E-2</v>
      </c>
      <c r="K26" s="61" t="s">
        <v>82</v>
      </c>
      <c r="L26" s="61" t="s">
        <v>82</v>
      </c>
      <c r="M26" s="61" t="s">
        <v>82</v>
      </c>
      <c r="N26" s="61" t="s">
        <v>82</v>
      </c>
      <c r="O26" s="61" t="s">
        <v>82</v>
      </c>
      <c r="P26" s="61" t="s">
        <v>82</v>
      </c>
      <c r="Q26" s="61" t="s">
        <v>82</v>
      </c>
      <c r="R26" s="75">
        <v>7704184</v>
      </c>
      <c r="S26" s="75">
        <v>3394885</v>
      </c>
      <c r="T26" s="75">
        <f t="shared" si="2"/>
        <v>4309299</v>
      </c>
      <c r="U26" s="63">
        <v>2.27</v>
      </c>
      <c r="V26" s="56">
        <v>21</v>
      </c>
      <c r="W26" s="115" t="s">
        <v>235</v>
      </c>
    </row>
    <row r="27" spans="2:23" x14ac:dyDescent="0.35">
      <c r="B27" s="2" t="s">
        <v>86</v>
      </c>
      <c r="C27" s="53" t="s">
        <v>81</v>
      </c>
      <c r="D27" s="117">
        <v>34138</v>
      </c>
      <c r="E27" s="110">
        <v>0.65</v>
      </c>
      <c r="F27" s="108">
        <v>22190</v>
      </c>
      <c r="G27" s="111">
        <v>12</v>
      </c>
      <c r="H27" s="108">
        <f t="shared" si="0"/>
        <v>266280</v>
      </c>
      <c r="I27" s="75">
        <v>4139767</v>
      </c>
      <c r="J27" s="329">
        <f t="shared" si="1"/>
        <v>1.6015425328881103E-2</v>
      </c>
      <c r="K27" s="61" t="s">
        <v>82</v>
      </c>
      <c r="L27" s="61" t="s">
        <v>82</v>
      </c>
      <c r="M27" s="61" t="s">
        <v>82</v>
      </c>
      <c r="N27" s="61" t="s">
        <v>82</v>
      </c>
      <c r="O27" s="61" t="s">
        <v>82</v>
      </c>
      <c r="P27" s="61" t="s">
        <v>82</v>
      </c>
      <c r="Q27" s="61" t="s">
        <v>82</v>
      </c>
      <c r="R27" s="75">
        <v>21715193</v>
      </c>
      <c r="S27" s="75">
        <v>2661867</v>
      </c>
      <c r="T27" s="75">
        <f t="shared" si="2"/>
        <v>19053326</v>
      </c>
      <c r="U27" s="63">
        <v>8.16</v>
      </c>
      <c r="V27" s="56">
        <v>111</v>
      </c>
      <c r="W27" s="115" t="s">
        <v>235</v>
      </c>
    </row>
    <row r="28" spans="2:23" x14ac:dyDescent="0.35">
      <c r="B28" s="2" t="s">
        <v>134</v>
      </c>
      <c r="C28" s="53" t="s">
        <v>81</v>
      </c>
      <c r="D28" s="117">
        <v>124093</v>
      </c>
      <c r="E28" s="110">
        <v>0.74</v>
      </c>
      <c r="F28" s="108">
        <v>91829</v>
      </c>
      <c r="G28" s="111">
        <v>3.83</v>
      </c>
      <c r="H28" s="108">
        <f t="shared" si="0"/>
        <v>351705.07</v>
      </c>
      <c r="I28" s="75">
        <v>4832229</v>
      </c>
      <c r="J28" s="329">
        <f t="shared" si="1"/>
        <v>1.3892396929729324E-2</v>
      </c>
      <c r="K28" s="61" t="s">
        <v>82</v>
      </c>
      <c r="L28" s="61" t="s">
        <v>82</v>
      </c>
      <c r="M28" s="61" t="s">
        <v>82</v>
      </c>
      <c r="N28" s="61" t="s">
        <v>82</v>
      </c>
      <c r="O28" s="61" t="s">
        <v>82</v>
      </c>
      <c r="P28" s="61" t="s">
        <v>82</v>
      </c>
      <c r="Q28" s="61" t="s">
        <v>82</v>
      </c>
      <c r="R28" s="75">
        <v>45279864</v>
      </c>
      <c r="S28" s="75">
        <v>19205928</v>
      </c>
      <c r="T28" s="75">
        <f t="shared" si="2"/>
        <v>26073936</v>
      </c>
      <c r="U28" s="63">
        <v>2.36</v>
      </c>
      <c r="V28" s="120">
        <v>1315819</v>
      </c>
      <c r="W28" s="115" t="s">
        <v>141</v>
      </c>
    </row>
    <row r="29" spans="2:23" x14ac:dyDescent="0.35">
      <c r="B29" s="2" t="s">
        <v>108</v>
      </c>
      <c r="C29" s="53" t="s">
        <v>81</v>
      </c>
      <c r="D29" s="117">
        <v>12850</v>
      </c>
      <c r="E29" s="110">
        <v>0.74</v>
      </c>
      <c r="F29" s="108">
        <v>8043</v>
      </c>
      <c r="G29" s="57" t="s">
        <v>82</v>
      </c>
      <c r="H29" s="57" t="s">
        <v>82</v>
      </c>
      <c r="I29" s="57" t="s">
        <v>82</v>
      </c>
      <c r="J29" s="57" t="s">
        <v>82</v>
      </c>
      <c r="K29" s="61" t="s">
        <v>82</v>
      </c>
      <c r="L29" s="61" t="s">
        <v>82</v>
      </c>
      <c r="M29" s="61" t="s">
        <v>82</v>
      </c>
      <c r="N29" s="61" t="s">
        <v>82</v>
      </c>
      <c r="O29" s="61" t="s">
        <v>82</v>
      </c>
      <c r="P29" s="61" t="s">
        <v>82</v>
      </c>
      <c r="Q29" s="61" t="s">
        <v>82</v>
      </c>
      <c r="R29" s="132" t="s">
        <v>82</v>
      </c>
      <c r="S29" s="132" t="s">
        <v>82</v>
      </c>
      <c r="T29" s="132" t="s">
        <v>82</v>
      </c>
      <c r="U29" s="132" t="s">
        <v>82</v>
      </c>
      <c r="V29" s="132" t="s">
        <v>82</v>
      </c>
      <c r="W29" s="132" t="s">
        <v>82</v>
      </c>
    </row>
    <row r="30" spans="2:23" x14ac:dyDescent="0.35">
      <c r="B30" s="2" t="s">
        <v>121</v>
      </c>
      <c r="C30" s="53" t="s">
        <v>81</v>
      </c>
      <c r="D30" s="117">
        <v>37303</v>
      </c>
      <c r="E30" s="110">
        <v>0.9</v>
      </c>
      <c r="F30" s="108">
        <v>33573</v>
      </c>
      <c r="G30" s="111">
        <v>11.92</v>
      </c>
      <c r="H30" s="108">
        <f t="shared" si="0"/>
        <v>400190.16</v>
      </c>
      <c r="I30" s="75">
        <v>7494245</v>
      </c>
      <c r="J30" s="329">
        <f t="shared" si="1"/>
        <v>1.9287840690010594E-2</v>
      </c>
      <c r="K30" s="61" t="s">
        <v>82</v>
      </c>
      <c r="L30" s="61" t="s">
        <v>82</v>
      </c>
      <c r="M30" s="61" t="s">
        <v>82</v>
      </c>
      <c r="N30" s="61" t="s">
        <v>82</v>
      </c>
      <c r="O30" s="61" t="s">
        <v>82</v>
      </c>
      <c r="P30" s="61" t="s">
        <v>82</v>
      </c>
      <c r="Q30" s="61" t="s">
        <v>82</v>
      </c>
      <c r="R30" s="75">
        <v>17022130</v>
      </c>
      <c r="S30" s="75">
        <v>11190294</v>
      </c>
      <c r="T30" s="75">
        <f t="shared" si="2"/>
        <v>5831836</v>
      </c>
      <c r="U30" s="63">
        <v>1.52</v>
      </c>
      <c r="V30" s="120">
        <v>1881</v>
      </c>
      <c r="W30" s="115" t="s">
        <v>235</v>
      </c>
    </row>
    <row r="31" spans="2:23" x14ac:dyDescent="0.35">
      <c r="B31" s="2" t="s">
        <v>123</v>
      </c>
      <c r="C31" s="53" t="s">
        <v>81</v>
      </c>
      <c r="D31" s="179" t="s">
        <v>82</v>
      </c>
      <c r="E31" s="132" t="s">
        <v>82</v>
      </c>
      <c r="F31" s="132" t="s">
        <v>82</v>
      </c>
      <c r="G31" s="132" t="s">
        <v>82</v>
      </c>
      <c r="H31" s="151" t="s">
        <v>82</v>
      </c>
      <c r="I31" s="75">
        <v>1031909</v>
      </c>
      <c r="J31" s="57" t="s">
        <v>82</v>
      </c>
      <c r="K31" s="61" t="s">
        <v>82</v>
      </c>
      <c r="L31" s="61" t="s">
        <v>82</v>
      </c>
      <c r="M31" s="61" t="s">
        <v>82</v>
      </c>
      <c r="N31" s="61" t="s">
        <v>82</v>
      </c>
      <c r="O31" s="61" t="s">
        <v>82</v>
      </c>
      <c r="P31" s="61" t="s">
        <v>82</v>
      </c>
      <c r="Q31" s="61" t="s">
        <v>82</v>
      </c>
      <c r="R31" s="132" t="s">
        <v>82</v>
      </c>
      <c r="S31" s="132" t="s">
        <v>82</v>
      </c>
      <c r="T31" s="132" t="s">
        <v>82</v>
      </c>
      <c r="U31" s="132" t="s">
        <v>82</v>
      </c>
      <c r="V31" s="132" t="s">
        <v>82</v>
      </c>
      <c r="W31" s="132" t="s">
        <v>82</v>
      </c>
    </row>
    <row r="32" spans="2:23" x14ac:dyDescent="0.35">
      <c r="B32" s="288" t="s">
        <v>299</v>
      </c>
      <c r="C32" s="53" t="s">
        <v>295</v>
      </c>
      <c r="D32" s="117">
        <v>62741.258999999998</v>
      </c>
      <c r="E32" s="283">
        <f>F32/D32</f>
        <v>0.95937746483538056</v>
      </c>
      <c r="F32" s="117">
        <v>60192.55</v>
      </c>
      <c r="G32" s="61" t="s">
        <v>82</v>
      </c>
      <c r="H32" s="61" t="s">
        <v>82</v>
      </c>
      <c r="I32" s="61" t="s">
        <v>82</v>
      </c>
      <c r="J32" s="61" t="s">
        <v>82</v>
      </c>
      <c r="K32" s="61" t="s">
        <v>82</v>
      </c>
      <c r="L32" s="61" t="s">
        <v>82</v>
      </c>
      <c r="M32" s="61" t="s">
        <v>82</v>
      </c>
      <c r="N32" s="61" t="s">
        <v>82</v>
      </c>
      <c r="O32" s="61" t="s">
        <v>82</v>
      </c>
      <c r="P32" s="61" t="s">
        <v>82</v>
      </c>
      <c r="Q32" s="61" t="s">
        <v>82</v>
      </c>
      <c r="R32" s="351">
        <v>47710746</v>
      </c>
      <c r="S32" s="312">
        <v>22036621</v>
      </c>
      <c r="T32" s="75">
        <f t="shared" ref="T32:T38" si="3">R32-S32</f>
        <v>25674125</v>
      </c>
      <c r="U32" s="63">
        <f t="shared" ref="U32:U38" si="4">R32/S32</f>
        <v>2.1650663230084142</v>
      </c>
      <c r="V32" s="108">
        <v>1373</v>
      </c>
      <c r="W32" s="115" t="s">
        <v>235</v>
      </c>
    </row>
    <row r="33" spans="2:23" x14ac:dyDescent="0.35">
      <c r="B33" s="288" t="s">
        <v>300</v>
      </c>
      <c r="C33" s="53" t="s">
        <v>295</v>
      </c>
      <c r="D33" s="117">
        <v>19377.083999999999</v>
      </c>
      <c r="E33" s="283">
        <f t="shared" ref="E33:E36" si="5">F33/D33</f>
        <v>0.93591904746864918</v>
      </c>
      <c r="F33" s="117">
        <v>18135.382000000001</v>
      </c>
      <c r="G33" s="61" t="s">
        <v>82</v>
      </c>
      <c r="H33" s="61" t="s">
        <v>82</v>
      </c>
      <c r="I33" s="61" t="s">
        <v>82</v>
      </c>
      <c r="J33" s="61" t="s">
        <v>82</v>
      </c>
      <c r="K33" s="61" t="s">
        <v>82</v>
      </c>
      <c r="L33" s="61" t="s">
        <v>82</v>
      </c>
      <c r="M33" s="61" t="s">
        <v>82</v>
      </c>
      <c r="N33" s="61" t="s">
        <v>82</v>
      </c>
      <c r="O33" s="61" t="s">
        <v>82</v>
      </c>
      <c r="P33" s="61" t="s">
        <v>82</v>
      </c>
      <c r="Q33" s="61" t="s">
        <v>82</v>
      </c>
      <c r="R33" s="351">
        <v>14123217</v>
      </c>
      <c r="S33" s="312">
        <v>7754973</v>
      </c>
      <c r="T33" s="75">
        <f t="shared" si="3"/>
        <v>6368244</v>
      </c>
      <c r="U33" s="63">
        <f t="shared" si="4"/>
        <v>1.821181969298926</v>
      </c>
      <c r="V33" s="108">
        <v>441</v>
      </c>
      <c r="W33" s="115" t="s">
        <v>235</v>
      </c>
    </row>
    <row r="34" spans="2:23" x14ac:dyDescent="0.35">
      <c r="B34" s="2" t="s">
        <v>309</v>
      </c>
      <c r="C34" s="53" t="s">
        <v>295</v>
      </c>
      <c r="D34" s="117">
        <v>1991.479</v>
      </c>
      <c r="E34" s="283">
        <f t="shared" si="5"/>
        <v>0.48777315753768929</v>
      </c>
      <c r="F34" s="117">
        <v>971.39</v>
      </c>
      <c r="G34" s="61" t="s">
        <v>82</v>
      </c>
      <c r="H34" s="61" t="s">
        <v>82</v>
      </c>
      <c r="I34" s="61" t="s">
        <v>82</v>
      </c>
      <c r="J34" s="61" t="s">
        <v>82</v>
      </c>
      <c r="K34" s="61" t="s">
        <v>82</v>
      </c>
      <c r="L34" s="61" t="s">
        <v>82</v>
      </c>
      <c r="M34" s="61" t="s">
        <v>82</v>
      </c>
      <c r="N34" s="61" t="s">
        <v>82</v>
      </c>
      <c r="O34" s="61" t="s">
        <v>82</v>
      </c>
      <c r="P34" s="61" t="s">
        <v>82</v>
      </c>
      <c r="Q34" s="61" t="s">
        <v>82</v>
      </c>
      <c r="R34" s="351">
        <v>1675813</v>
      </c>
      <c r="S34" s="312">
        <v>444573</v>
      </c>
      <c r="T34" s="75">
        <f t="shared" si="3"/>
        <v>1231240</v>
      </c>
      <c r="U34" s="63">
        <f t="shared" si="4"/>
        <v>3.7694889253283486</v>
      </c>
      <c r="V34" s="108">
        <v>5</v>
      </c>
      <c r="W34" s="115" t="s">
        <v>235</v>
      </c>
    </row>
    <row r="35" spans="2:23" ht="14.5" customHeight="1" x14ac:dyDescent="0.35">
      <c r="B35" s="2" t="s">
        <v>319</v>
      </c>
      <c r="C35" s="53" t="s">
        <v>295</v>
      </c>
      <c r="D35" s="117">
        <v>9727.6509999999998</v>
      </c>
      <c r="E35" s="283">
        <f t="shared" si="5"/>
        <v>0.929303384753421</v>
      </c>
      <c r="F35" s="117">
        <v>9039.9390000000003</v>
      </c>
      <c r="G35" s="61" t="s">
        <v>82</v>
      </c>
      <c r="H35" s="61" t="s">
        <v>82</v>
      </c>
      <c r="I35" s="61" t="s">
        <v>82</v>
      </c>
      <c r="J35" s="61" t="s">
        <v>82</v>
      </c>
      <c r="K35" s="61" t="s">
        <v>82</v>
      </c>
      <c r="L35" s="61" t="s">
        <v>82</v>
      </c>
      <c r="M35" s="61" t="s">
        <v>82</v>
      </c>
      <c r="N35" s="61" t="s">
        <v>82</v>
      </c>
      <c r="O35" s="61" t="s">
        <v>82</v>
      </c>
      <c r="P35" s="61" t="s">
        <v>82</v>
      </c>
      <c r="Q35" s="61" t="s">
        <v>82</v>
      </c>
      <c r="R35" s="351">
        <v>4252066</v>
      </c>
      <c r="S35" s="312">
        <v>1717262</v>
      </c>
      <c r="T35" s="75">
        <f t="shared" si="3"/>
        <v>2534804</v>
      </c>
      <c r="U35" s="63">
        <f t="shared" si="4"/>
        <v>2.4760729579994201</v>
      </c>
      <c r="V35" s="108">
        <v>34</v>
      </c>
      <c r="W35" s="115" t="s">
        <v>235</v>
      </c>
    </row>
    <row r="36" spans="2:23" ht="14.5" customHeight="1" x14ac:dyDescent="0.35">
      <c r="B36" s="2" t="s">
        <v>318</v>
      </c>
      <c r="C36" s="53" t="s">
        <v>295</v>
      </c>
      <c r="D36" s="117">
        <v>83.873000000000005</v>
      </c>
      <c r="E36" s="283">
        <f t="shared" si="5"/>
        <v>1</v>
      </c>
      <c r="F36" s="117">
        <v>83.873000000000005</v>
      </c>
      <c r="G36" s="61" t="s">
        <v>82</v>
      </c>
      <c r="H36" s="61" t="s">
        <v>82</v>
      </c>
      <c r="I36" s="61" t="s">
        <v>82</v>
      </c>
      <c r="J36" s="61" t="s">
        <v>82</v>
      </c>
      <c r="K36" s="61" t="s">
        <v>82</v>
      </c>
      <c r="L36" s="61" t="s">
        <v>82</v>
      </c>
      <c r="M36" s="61" t="s">
        <v>82</v>
      </c>
      <c r="N36" s="61" t="s">
        <v>82</v>
      </c>
      <c r="O36" s="61" t="s">
        <v>82</v>
      </c>
      <c r="P36" s="61" t="s">
        <v>82</v>
      </c>
      <c r="Q36" s="61" t="s">
        <v>82</v>
      </c>
      <c r="R36" s="351">
        <v>45708</v>
      </c>
      <c r="S36" s="312">
        <v>58414</v>
      </c>
      <c r="T36" s="75">
        <f t="shared" ref="T36" si="6">R36-S36</f>
        <v>-12706</v>
      </c>
      <c r="U36" s="63">
        <f t="shared" ref="U36" si="7">R36/S36</f>
        <v>0.7824836511795118</v>
      </c>
      <c r="V36" s="335">
        <v>2614</v>
      </c>
      <c r="W36" s="115" t="s">
        <v>141</v>
      </c>
    </row>
    <row r="37" spans="2:23" ht="14.5" customHeight="1" x14ac:dyDescent="0.35">
      <c r="B37" s="2" t="s">
        <v>310</v>
      </c>
      <c r="C37" s="53" t="s">
        <v>295</v>
      </c>
      <c r="D37" s="327" t="s">
        <v>82</v>
      </c>
      <c r="E37" s="53" t="s">
        <v>82</v>
      </c>
      <c r="F37" s="117">
        <v>452.60300000000001</v>
      </c>
      <c r="G37" s="61" t="s">
        <v>82</v>
      </c>
      <c r="H37" s="61" t="s">
        <v>82</v>
      </c>
      <c r="I37" s="61" t="s">
        <v>82</v>
      </c>
      <c r="J37" s="61" t="s">
        <v>82</v>
      </c>
      <c r="K37" s="61" t="s">
        <v>82</v>
      </c>
      <c r="L37" s="61" t="s">
        <v>82</v>
      </c>
      <c r="M37" s="61" t="s">
        <v>82</v>
      </c>
      <c r="N37" s="61" t="s">
        <v>82</v>
      </c>
      <c r="O37" s="61" t="s">
        <v>82</v>
      </c>
      <c r="P37" s="61" t="s">
        <v>82</v>
      </c>
      <c r="Q37" s="61" t="s">
        <v>82</v>
      </c>
      <c r="R37" s="351">
        <v>256024</v>
      </c>
      <c r="S37" s="312">
        <v>292049</v>
      </c>
      <c r="T37" s="75">
        <f t="shared" si="3"/>
        <v>-36025</v>
      </c>
      <c r="U37" s="63">
        <f t="shared" si="4"/>
        <v>0.87664741190690598</v>
      </c>
      <c r="V37" s="312" t="s">
        <v>82</v>
      </c>
      <c r="W37" s="203" t="s">
        <v>193</v>
      </c>
    </row>
    <row r="38" spans="2:23" ht="14.5" customHeight="1" x14ac:dyDescent="0.35">
      <c r="B38" s="288" t="s">
        <v>317</v>
      </c>
      <c r="C38" s="53" t="s">
        <v>295</v>
      </c>
      <c r="D38" s="327" t="s">
        <v>82</v>
      </c>
      <c r="E38" s="53" t="s">
        <v>82</v>
      </c>
      <c r="F38" s="346">
        <v>1210.654</v>
      </c>
      <c r="G38" s="61" t="s">
        <v>82</v>
      </c>
      <c r="H38" s="61" t="s">
        <v>82</v>
      </c>
      <c r="I38" s="61" t="s">
        <v>82</v>
      </c>
      <c r="J38" s="61" t="s">
        <v>82</v>
      </c>
      <c r="K38" s="61" t="s">
        <v>82</v>
      </c>
      <c r="L38" s="61" t="s">
        <v>82</v>
      </c>
      <c r="M38" s="61" t="s">
        <v>82</v>
      </c>
      <c r="N38" s="61" t="s">
        <v>82</v>
      </c>
      <c r="O38" s="61" t="s">
        <v>82</v>
      </c>
      <c r="P38" s="61" t="s">
        <v>82</v>
      </c>
      <c r="Q38" s="61" t="s">
        <v>82</v>
      </c>
      <c r="R38" s="352">
        <v>532788</v>
      </c>
      <c r="S38" s="353">
        <v>115578</v>
      </c>
      <c r="T38" s="75">
        <f t="shared" si="3"/>
        <v>417210</v>
      </c>
      <c r="U38" s="63">
        <f t="shared" si="4"/>
        <v>4.609770025437367</v>
      </c>
      <c r="V38" s="345">
        <v>237</v>
      </c>
      <c r="W38" s="115" t="s">
        <v>235</v>
      </c>
    </row>
    <row r="39" spans="2:23" x14ac:dyDescent="0.35">
      <c r="B39" s="4" t="s">
        <v>7</v>
      </c>
      <c r="C39" s="4"/>
      <c r="D39" s="65">
        <f>SUM(D22:D38)</f>
        <v>651267.97199999995</v>
      </c>
      <c r="E39" s="69">
        <f>F39/D39</f>
        <v>0.7464054151276458</v>
      </c>
      <c r="F39" s="65">
        <f>SUM(F22:F38)</f>
        <v>486109.94099999999</v>
      </c>
      <c r="G39" s="118">
        <f>H39/F39</f>
        <v>7.8231599670165979</v>
      </c>
      <c r="H39" s="235">
        <f>SUM(H22:H38)</f>
        <v>3802915.83</v>
      </c>
      <c r="I39" s="67">
        <f>SUM(I22:I38)</f>
        <v>55573971</v>
      </c>
      <c r="J39" s="248">
        <f>-PMT( 0.46%,G39,I39)/(F39*1000)</f>
        <v>1.4911619627387301E-2</v>
      </c>
      <c r="K39" s="68" t="s">
        <v>82</v>
      </c>
      <c r="L39" s="68" t="s">
        <v>82</v>
      </c>
      <c r="M39" s="68" t="s">
        <v>82</v>
      </c>
      <c r="N39" s="68" t="s">
        <v>82</v>
      </c>
      <c r="O39" s="68" t="s">
        <v>82</v>
      </c>
      <c r="P39" s="68" t="s">
        <v>82</v>
      </c>
      <c r="Q39" s="68" t="s">
        <v>82</v>
      </c>
      <c r="R39" s="72">
        <f>SUM(R22:R38)</f>
        <v>291207813</v>
      </c>
      <c r="S39" s="72">
        <f t="shared" ref="S39:T39" si="8">SUM(S22:S38)</f>
        <v>166864123</v>
      </c>
      <c r="T39" s="72">
        <f t="shared" si="8"/>
        <v>124343690</v>
      </c>
      <c r="U39" s="73">
        <f t="shared" ref="U39" si="9">R39/S39</f>
        <v>1.7451792977691196</v>
      </c>
      <c r="V39" s="74">
        <f>SUM(V22:V38)</f>
        <v>1326274</v>
      </c>
      <c r="W39" s="68" t="s">
        <v>82</v>
      </c>
    </row>
    <row r="40" spans="2:23" x14ac:dyDescent="0.35">
      <c r="B40" s="31" t="s">
        <v>14</v>
      </c>
      <c r="C40" s="31"/>
      <c r="D40" s="255">
        <f>SUM(D22:D31)</f>
        <v>557346.62599999993</v>
      </c>
      <c r="E40" s="340">
        <f>F40/D40</f>
        <v>0.71055162357796353</v>
      </c>
      <c r="F40" s="255">
        <f>SUM(F22:F31)</f>
        <v>396023.55</v>
      </c>
      <c r="G40" s="256">
        <f>H40/F40</f>
        <v>9.6027517302948269</v>
      </c>
      <c r="H40" s="369">
        <f>SUM(H22:H31)</f>
        <v>3802915.83</v>
      </c>
      <c r="I40" s="321">
        <f>SUM(I22:I31)</f>
        <v>55573971</v>
      </c>
      <c r="J40" s="322">
        <f>-PMT( 0.46%,G40,I40)/(F40*1000)</f>
        <v>1.4972230872167668E-2</v>
      </c>
      <c r="K40" s="323" t="s">
        <v>82</v>
      </c>
      <c r="L40" s="323" t="s">
        <v>82</v>
      </c>
      <c r="M40" s="324" t="s">
        <v>82</v>
      </c>
      <c r="N40" s="324" t="s">
        <v>82</v>
      </c>
      <c r="O40" s="324" t="s">
        <v>82</v>
      </c>
      <c r="P40" s="323" t="s">
        <v>82</v>
      </c>
      <c r="Q40" s="323" t="s">
        <v>82</v>
      </c>
      <c r="R40" s="361">
        <f>SUM(R22:R30)</f>
        <v>222611451</v>
      </c>
      <c r="S40" s="321">
        <f>SUM(S22:S31)</f>
        <v>134444653</v>
      </c>
      <c r="T40" s="325">
        <f>R40-S40</f>
        <v>88166798</v>
      </c>
      <c r="U40" s="259">
        <f>R40/S40</f>
        <v>1.6557850835466101</v>
      </c>
      <c r="V40" s="326" t="s">
        <v>82</v>
      </c>
      <c r="W40" s="326" t="s">
        <v>82</v>
      </c>
    </row>
    <row r="41" spans="2:23" x14ac:dyDescent="0.35">
      <c r="B41" s="31" t="s">
        <v>15</v>
      </c>
      <c r="C41" s="31"/>
      <c r="D41" s="255">
        <f>SUM(D32:D38)</f>
        <v>93921.346000000005</v>
      </c>
      <c r="E41" s="340">
        <f>F41/D41</f>
        <v>0.95916844079300134</v>
      </c>
      <c r="F41" s="255">
        <f>SUM(F32:F38)</f>
        <v>90086.391000000003</v>
      </c>
      <c r="G41" s="323" t="s">
        <v>82</v>
      </c>
      <c r="H41" s="323" t="s">
        <v>82</v>
      </c>
      <c r="I41" s="323" t="s">
        <v>82</v>
      </c>
      <c r="J41" s="323" t="s">
        <v>82</v>
      </c>
      <c r="K41" s="323" t="s">
        <v>82</v>
      </c>
      <c r="L41" s="323" t="s">
        <v>82</v>
      </c>
      <c r="M41" s="324" t="s">
        <v>82</v>
      </c>
      <c r="N41" s="324" t="s">
        <v>82</v>
      </c>
      <c r="O41" s="324" t="s">
        <v>82</v>
      </c>
      <c r="P41" s="323" t="s">
        <v>82</v>
      </c>
      <c r="Q41" s="323" t="s">
        <v>82</v>
      </c>
      <c r="R41" s="29">
        <f>SUM(R32:R38)</f>
        <v>68596362</v>
      </c>
      <c r="S41" s="29">
        <f>SUM(S32:S38)</f>
        <v>32419470</v>
      </c>
      <c r="T41" s="325">
        <f>R41-S41</f>
        <v>36176892</v>
      </c>
      <c r="U41" s="259">
        <f>R41/S41</f>
        <v>2.1159001673994053</v>
      </c>
      <c r="V41" s="326" t="s">
        <v>82</v>
      </c>
      <c r="W41" s="326" t="s">
        <v>82</v>
      </c>
    </row>
    <row r="42" spans="2:23" ht="15.65" customHeight="1" x14ac:dyDescent="0.35">
      <c r="B42" s="409" t="s">
        <v>1</v>
      </c>
      <c r="C42" s="410"/>
      <c r="D42" s="410"/>
      <c r="E42" s="410"/>
      <c r="F42" s="410"/>
      <c r="G42" s="410"/>
      <c r="H42" s="410"/>
      <c r="I42" s="410"/>
      <c r="J42" s="410"/>
      <c r="K42" s="410"/>
      <c r="L42" s="410"/>
      <c r="M42" s="410"/>
      <c r="N42" s="410"/>
      <c r="O42" s="410"/>
      <c r="P42" s="410"/>
      <c r="Q42" s="410"/>
      <c r="R42" s="410"/>
      <c r="S42" s="410"/>
      <c r="T42" s="410"/>
      <c r="U42" s="410"/>
      <c r="V42" s="410"/>
      <c r="W42" s="411"/>
    </row>
    <row r="43" spans="2:23" x14ac:dyDescent="0.35">
      <c r="B43" s="2" t="s">
        <v>87</v>
      </c>
      <c r="C43" s="53" t="s">
        <v>81</v>
      </c>
      <c r="D43" s="117">
        <v>394595</v>
      </c>
      <c r="E43" s="110">
        <f>F43/D43</f>
        <v>0.72767014280464781</v>
      </c>
      <c r="F43" s="117">
        <v>287135</v>
      </c>
      <c r="G43" s="116">
        <v>5.37</v>
      </c>
      <c r="H43" s="117">
        <f>F43*G43</f>
        <v>1541914.95</v>
      </c>
      <c r="I43" s="78">
        <v>16357006</v>
      </c>
      <c r="J43" s="329">
        <f t="shared" ref="J43" si="10">-PMT( 0.46%,G43,I43)/(F43*1000)</f>
        <v>1.0764182253463072E-2</v>
      </c>
      <c r="K43" s="61" t="s">
        <v>82</v>
      </c>
      <c r="L43" s="61" t="s">
        <v>82</v>
      </c>
      <c r="M43" s="61" t="s">
        <v>82</v>
      </c>
      <c r="N43" s="61" t="s">
        <v>82</v>
      </c>
      <c r="O43" s="61" t="s">
        <v>82</v>
      </c>
      <c r="P43" s="61" t="s">
        <v>82</v>
      </c>
      <c r="Q43" s="61" t="s">
        <v>82</v>
      </c>
      <c r="R43" s="78">
        <v>118007566</v>
      </c>
      <c r="S43" s="78">
        <v>24529406</v>
      </c>
      <c r="T43" s="125">
        <f>R43-S43</f>
        <v>93478160</v>
      </c>
      <c r="U43" s="63">
        <v>4.8099999999999996</v>
      </c>
      <c r="V43" s="83">
        <v>10897894</v>
      </c>
      <c r="W43" s="115" t="s">
        <v>141</v>
      </c>
    </row>
    <row r="44" spans="2:23" x14ac:dyDescent="0.35">
      <c r="B44" s="2" t="s">
        <v>102</v>
      </c>
      <c r="C44" s="53" t="s">
        <v>81</v>
      </c>
      <c r="D44" s="197">
        <v>187018</v>
      </c>
      <c r="E44" s="110">
        <f>F44/D44</f>
        <v>0.62224491760151435</v>
      </c>
      <c r="F44" s="252">
        <v>116371</v>
      </c>
      <c r="G44" s="61" t="s">
        <v>82</v>
      </c>
      <c r="H44" s="61" t="s">
        <v>82</v>
      </c>
      <c r="I44" s="61" t="s">
        <v>82</v>
      </c>
      <c r="J44" s="61" t="s">
        <v>82</v>
      </c>
      <c r="K44" s="61" t="s">
        <v>82</v>
      </c>
      <c r="L44" s="61" t="s">
        <v>82</v>
      </c>
      <c r="M44" s="61" t="s">
        <v>82</v>
      </c>
      <c r="N44" s="61" t="s">
        <v>82</v>
      </c>
      <c r="O44" s="61" t="s">
        <v>82</v>
      </c>
      <c r="P44" s="61" t="s">
        <v>82</v>
      </c>
      <c r="Q44" s="61" t="s">
        <v>82</v>
      </c>
      <c r="R44" s="78">
        <v>0</v>
      </c>
      <c r="S44" s="78">
        <v>0</v>
      </c>
      <c r="T44" s="78">
        <v>0</v>
      </c>
      <c r="U44" s="63" t="s">
        <v>82</v>
      </c>
      <c r="V44" s="83" t="s">
        <v>82</v>
      </c>
      <c r="W44" s="115" t="s">
        <v>141</v>
      </c>
    </row>
    <row r="45" spans="2:23" x14ac:dyDescent="0.35">
      <c r="B45" s="2" t="s">
        <v>88</v>
      </c>
      <c r="C45" s="53" t="s">
        <v>81</v>
      </c>
      <c r="D45" s="117">
        <v>44674</v>
      </c>
      <c r="E45" s="110">
        <f t="shared" ref="E45:E52" si="11">F45/D45</f>
        <v>0.68341764784886061</v>
      </c>
      <c r="F45" s="117">
        <v>30531</v>
      </c>
      <c r="G45" s="116">
        <v>8</v>
      </c>
      <c r="H45" s="117">
        <f t="shared" ref="H45:H52" si="12">F45*G45</f>
        <v>244248</v>
      </c>
      <c r="I45" s="78">
        <v>7252552</v>
      </c>
      <c r="J45" s="329">
        <f t="shared" ref="J45:J52" si="13">-PMT( 0.46%,G45,I45)/(F45*1000)</f>
        <v>3.0311337847783604E-2</v>
      </c>
      <c r="K45" s="61" t="s">
        <v>82</v>
      </c>
      <c r="L45" s="61" t="s">
        <v>82</v>
      </c>
      <c r="M45" s="61" t="s">
        <v>82</v>
      </c>
      <c r="N45" s="61" t="s">
        <v>82</v>
      </c>
      <c r="O45" s="61" t="s">
        <v>82</v>
      </c>
      <c r="P45" s="61" t="s">
        <v>82</v>
      </c>
      <c r="Q45" s="61" t="s">
        <v>82</v>
      </c>
      <c r="R45" s="216">
        <v>12239006</v>
      </c>
      <c r="S45" s="216">
        <v>5592927</v>
      </c>
      <c r="T45" s="125">
        <f t="shared" ref="T45:T51" si="14">R45-S45</f>
        <v>6646079</v>
      </c>
      <c r="U45" s="63">
        <v>2.19</v>
      </c>
      <c r="V45" s="83">
        <v>48658</v>
      </c>
      <c r="W45" s="200" t="s">
        <v>237</v>
      </c>
    </row>
    <row r="46" spans="2:23" ht="15" customHeight="1" x14ac:dyDescent="0.35">
      <c r="B46" s="2" t="s">
        <v>110</v>
      </c>
      <c r="C46" s="53" t="s">
        <v>81</v>
      </c>
      <c r="D46" s="117">
        <v>13706</v>
      </c>
      <c r="E46" s="110">
        <f t="shared" si="11"/>
        <v>0.82336203122719975</v>
      </c>
      <c r="F46" s="117">
        <v>11285</v>
      </c>
      <c r="G46" s="158">
        <v>5.42</v>
      </c>
      <c r="H46" s="117">
        <f t="shared" si="12"/>
        <v>61164.7</v>
      </c>
      <c r="I46" s="148">
        <v>2056179</v>
      </c>
      <c r="J46" s="329">
        <f t="shared" si="13"/>
        <v>3.4115154447619617E-2</v>
      </c>
      <c r="K46" s="61" t="s">
        <v>82</v>
      </c>
      <c r="L46" s="61" t="s">
        <v>82</v>
      </c>
      <c r="M46" s="61" t="s">
        <v>82</v>
      </c>
      <c r="N46" s="61" t="s">
        <v>82</v>
      </c>
      <c r="O46" s="61" t="s">
        <v>82</v>
      </c>
      <c r="P46" s="61" t="s">
        <v>82</v>
      </c>
      <c r="Q46" s="61" t="s">
        <v>82</v>
      </c>
      <c r="R46" s="78">
        <v>4524056</v>
      </c>
      <c r="S46" s="78">
        <v>1260885</v>
      </c>
      <c r="T46" s="125">
        <f t="shared" si="14"/>
        <v>3263171</v>
      </c>
      <c r="U46" s="138">
        <v>3.59</v>
      </c>
      <c r="V46" s="139">
        <v>39429</v>
      </c>
      <c r="W46" s="202" t="s">
        <v>312</v>
      </c>
    </row>
    <row r="47" spans="2:23" x14ac:dyDescent="0.35">
      <c r="B47" s="2" t="s">
        <v>112</v>
      </c>
      <c r="C47" s="53" t="s">
        <v>81</v>
      </c>
      <c r="D47" s="117">
        <v>1121</v>
      </c>
      <c r="E47" s="110">
        <f t="shared" si="11"/>
        <v>0.86797502230151646</v>
      </c>
      <c r="F47" s="119">
        <v>973</v>
      </c>
      <c r="G47" s="159">
        <v>5.62</v>
      </c>
      <c r="H47" s="117">
        <f t="shared" si="12"/>
        <v>5468.26</v>
      </c>
      <c r="I47" s="146">
        <v>692252</v>
      </c>
      <c r="J47" s="329">
        <f t="shared" si="13"/>
        <v>0.12852890616252247</v>
      </c>
      <c r="K47" s="61" t="s">
        <v>82</v>
      </c>
      <c r="L47" s="61" t="s">
        <v>82</v>
      </c>
      <c r="M47" s="61" t="s">
        <v>82</v>
      </c>
      <c r="N47" s="61" t="s">
        <v>82</v>
      </c>
      <c r="O47" s="61" t="s">
        <v>82</v>
      </c>
      <c r="P47" s="61" t="s">
        <v>82</v>
      </c>
      <c r="Q47" s="61" t="s">
        <v>82</v>
      </c>
      <c r="R47" s="149">
        <v>470129</v>
      </c>
      <c r="S47" s="149">
        <v>710140</v>
      </c>
      <c r="T47" s="125">
        <f t="shared" si="14"/>
        <v>-240011</v>
      </c>
      <c r="U47" s="141">
        <v>0.66</v>
      </c>
      <c r="V47" s="156">
        <v>2760</v>
      </c>
      <c r="W47" s="203" t="s">
        <v>193</v>
      </c>
    </row>
    <row r="48" spans="2:23" x14ac:dyDescent="0.35">
      <c r="B48" s="2" t="s">
        <v>124</v>
      </c>
      <c r="C48" s="53" t="s">
        <v>81</v>
      </c>
      <c r="D48" s="117">
        <v>3109</v>
      </c>
      <c r="E48" s="110">
        <f t="shared" si="11"/>
        <v>0.98970730138308138</v>
      </c>
      <c r="F48" s="119">
        <v>3077</v>
      </c>
      <c r="G48" s="159">
        <v>18</v>
      </c>
      <c r="H48" s="117">
        <f t="shared" si="12"/>
        <v>55386</v>
      </c>
      <c r="I48" s="146">
        <v>1942137</v>
      </c>
      <c r="J48" s="329">
        <f t="shared" si="13"/>
        <v>3.6617771308570551E-2</v>
      </c>
      <c r="K48" s="61" t="s">
        <v>82</v>
      </c>
      <c r="L48" s="61" t="s">
        <v>82</v>
      </c>
      <c r="M48" s="61" t="s">
        <v>82</v>
      </c>
      <c r="N48" s="61" t="s">
        <v>82</v>
      </c>
      <c r="O48" s="61" t="s">
        <v>82</v>
      </c>
      <c r="P48" s="61" t="s">
        <v>82</v>
      </c>
      <c r="Q48" s="61" t="s">
        <v>82</v>
      </c>
      <c r="R48" s="149">
        <v>5860846</v>
      </c>
      <c r="S48" s="149">
        <v>1927976</v>
      </c>
      <c r="T48" s="125">
        <f t="shared" si="14"/>
        <v>3932870</v>
      </c>
      <c r="U48" s="141">
        <v>3.04</v>
      </c>
      <c r="V48" s="120">
        <v>4521</v>
      </c>
      <c r="W48" s="203" t="s">
        <v>193</v>
      </c>
    </row>
    <row r="49" spans="2:23" x14ac:dyDescent="0.35">
      <c r="B49" s="2" t="s">
        <v>114</v>
      </c>
      <c r="C49" s="53" t="s">
        <v>81</v>
      </c>
      <c r="D49" s="362">
        <v>97746</v>
      </c>
      <c r="E49" s="110">
        <f t="shared" si="11"/>
        <v>0.99688989830785912</v>
      </c>
      <c r="F49" s="119">
        <v>97442</v>
      </c>
      <c r="G49" s="159">
        <v>1</v>
      </c>
      <c r="H49" s="117">
        <f t="shared" si="12"/>
        <v>97442</v>
      </c>
      <c r="I49" s="3">
        <v>3450807</v>
      </c>
      <c r="J49" s="329">
        <f t="shared" si="13"/>
        <v>3.5576863284825844E-2</v>
      </c>
      <c r="K49" s="61" t="s">
        <v>82</v>
      </c>
      <c r="L49" s="61" t="s">
        <v>82</v>
      </c>
      <c r="M49" s="61" t="s">
        <v>82</v>
      </c>
      <c r="N49" s="61" t="s">
        <v>82</v>
      </c>
      <c r="O49" s="61" t="s">
        <v>82</v>
      </c>
      <c r="P49" s="61" t="s">
        <v>82</v>
      </c>
      <c r="Q49" s="61" t="s">
        <v>82</v>
      </c>
      <c r="R49" s="3">
        <v>3992541</v>
      </c>
      <c r="S49" s="3">
        <v>3450807</v>
      </c>
      <c r="T49" s="125">
        <f t="shared" si="14"/>
        <v>541734</v>
      </c>
      <c r="U49" s="53">
        <v>1.1599999999999999</v>
      </c>
      <c r="V49" s="114">
        <v>284006</v>
      </c>
      <c r="W49" s="203" t="s">
        <v>193</v>
      </c>
    </row>
    <row r="50" spans="2:23" x14ac:dyDescent="0.35">
      <c r="B50" s="2" t="s">
        <v>125</v>
      </c>
      <c r="C50" s="53" t="s">
        <v>81</v>
      </c>
      <c r="D50" s="117">
        <v>1774</v>
      </c>
      <c r="E50" s="110">
        <f t="shared" si="11"/>
        <v>0.6781285231116122</v>
      </c>
      <c r="F50" s="119">
        <v>1203</v>
      </c>
      <c r="G50" s="159">
        <v>14</v>
      </c>
      <c r="H50" s="117">
        <f t="shared" si="12"/>
        <v>16842</v>
      </c>
      <c r="I50" s="3">
        <v>2652437</v>
      </c>
      <c r="J50" s="329">
        <f t="shared" si="13"/>
        <v>0.16297684139395255</v>
      </c>
      <c r="K50" s="61" t="s">
        <v>82</v>
      </c>
      <c r="L50" s="61" t="s">
        <v>82</v>
      </c>
      <c r="M50" s="61" t="s">
        <v>82</v>
      </c>
      <c r="N50" s="61" t="s">
        <v>82</v>
      </c>
      <c r="O50" s="61" t="s">
        <v>82</v>
      </c>
      <c r="P50" s="61" t="s">
        <v>82</v>
      </c>
      <c r="Q50" s="61" t="s">
        <v>82</v>
      </c>
      <c r="R50" s="3">
        <v>10659186</v>
      </c>
      <c r="S50" s="3">
        <v>8309369</v>
      </c>
      <c r="T50" s="125">
        <f t="shared" si="14"/>
        <v>2349817</v>
      </c>
      <c r="U50" s="53">
        <v>1.28</v>
      </c>
      <c r="V50" s="144">
        <v>29961</v>
      </c>
      <c r="W50" s="199" t="s">
        <v>313</v>
      </c>
    </row>
    <row r="51" spans="2:23" x14ac:dyDescent="0.35">
      <c r="B51" s="2" t="s">
        <v>126</v>
      </c>
      <c r="C51" s="53" t="s">
        <v>81</v>
      </c>
      <c r="D51" s="117">
        <v>2942</v>
      </c>
      <c r="E51" s="110">
        <f t="shared" si="11"/>
        <v>0.76002719238613192</v>
      </c>
      <c r="F51" s="119">
        <v>2236</v>
      </c>
      <c r="G51" s="159">
        <v>7.85</v>
      </c>
      <c r="H51" s="117">
        <f t="shared" si="12"/>
        <v>17552.599999999999</v>
      </c>
      <c r="I51" s="3">
        <v>322119</v>
      </c>
      <c r="J51" s="329">
        <f t="shared" si="13"/>
        <v>1.872714505579302E-2</v>
      </c>
      <c r="K51" s="61" t="s">
        <v>82</v>
      </c>
      <c r="L51" s="61" t="s">
        <v>82</v>
      </c>
      <c r="M51" s="61" t="s">
        <v>82</v>
      </c>
      <c r="N51" s="61" t="s">
        <v>82</v>
      </c>
      <c r="O51" s="61" t="s">
        <v>82</v>
      </c>
      <c r="P51" s="61" t="s">
        <v>82</v>
      </c>
      <c r="Q51" s="61" t="s">
        <v>82</v>
      </c>
      <c r="R51" s="153">
        <v>785235</v>
      </c>
      <c r="S51" s="153">
        <v>320082</v>
      </c>
      <c r="T51" s="154">
        <f t="shared" si="14"/>
        <v>465153</v>
      </c>
      <c r="U51" s="152">
        <v>2.4500000000000002</v>
      </c>
      <c r="V51" s="172">
        <v>13997</v>
      </c>
      <c r="W51" s="199" t="s">
        <v>238</v>
      </c>
    </row>
    <row r="52" spans="2:23" x14ac:dyDescent="0.35">
      <c r="B52" s="2" t="s">
        <v>127</v>
      </c>
      <c r="C52" s="53" t="s">
        <v>81</v>
      </c>
      <c r="D52" s="108">
        <v>251</v>
      </c>
      <c r="E52" s="110">
        <f t="shared" si="11"/>
        <v>0.80079681274900394</v>
      </c>
      <c r="F52" s="112">
        <v>201</v>
      </c>
      <c r="G52" s="121">
        <v>9.8000000000000007</v>
      </c>
      <c r="H52" s="117">
        <f t="shared" si="12"/>
        <v>1969.8000000000002</v>
      </c>
      <c r="I52" s="3">
        <v>66746</v>
      </c>
      <c r="J52" s="329">
        <f t="shared" si="13"/>
        <v>3.4732018675211321E-2</v>
      </c>
      <c r="K52" s="61" t="s">
        <v>82</v>
      </c>
      <c r="L52" s="61" t="s">
        <v>82</v>
      </c>
      <c r="M52" s="61" t="s">
        <v>82</v>
      </c>
      <c r="N52" s="61" t="s">
        <v>82</v>
      </c>
      <c r="O52" s="61" t="s">
        <v>82</v>
      </c>
      <c r="P52" s="61" t="s">
        <v>82</v>
      </c>
      <c r="Q52" s="61" t="s">
        <v>82</v>
      </c>
      <c r="R52" s="3">
        <v>121000</v>
      </c>
      <c r="S52" s="3">
        <v>94000</v>
      </c>
      <c r="T52" s="125">
        <f>R52-S52</f>
        <v>27000</v>
      </c>
      <c r="U52" s="53">
        <v>1.28</v>
      </c>
      <c r="V52" s="56">
        <v>492</v>
      </c>
      <c r="W52" s="199" t="s">
        <v>235</v>
      </c>
    </row>
    <row r="53" spans="2:23" x14ac:dyDescent="0.35">
      <c r="B53" s="2" t="s">
        <v>138</v>
      </c>
      <c r="C53" s="53" t="s">
        <v>81</v>
      </c>
      <c r="D53" s="108">
        <v>2914</v>
      </c>
      <c r="E53" s="110">
        <f>F53/D53</f>
        <v>1</v>
      </c>
      <c r="F53" s="112">
        <v>2914</v>
      </c>
      <c r="G53" s="61" t="s">
        <v>82</v>
      </c>
      <c r="H53" s="61" t="s">
        <v>82</v>
      </c>
      <c r="I53" s="1">
        <v>31329</v>
      </c>
      <c r="J53" s="61" t="s">
        <v>82</v>
      </c>
      <c r="K53" s="132" t="s">
        <v>82</v>
      </c>
      <c r="L53" s="132" t="s">
        <v>82</v>
      </c>
      <c r="M53" s="132" t="s">
        <v>82</v>
      </c>
      <c r="N53" s="132" t="s">
        <v>82</v>
      </c>
      <c r="O53" s="132" t="s">
        <v>82</v>
      </c>
      <c r="P53" s="132" t="s">
        <v>82</v>
      </c>
      <c r="Q53" s="61" t="s">
        <v>82</v>
      </c>
      <c r="R53" s="132" t="s">
        <v>82</v>
      </c>
      <c r="S53" s="132" t="s">
        <v>82</v>
      </c>
      <c r="T53" s="132" t="s">
        <v>82</v>
      </c>
      <c r="U53" s="132" t="s">
        <v>82</v>
      </c>
      <c r="V53" s="56">
        <v>8113</v>
      </c>
      <c r="W53" s="203" t="s">
        <v>193</v>
      </c>
    </row>
    <row r="54" spans="2:23" x14ac:dyDescent="0.35">
      <c r="B54" s="2" t="s">
        <v>298</v>
      </c>
      <c r="C54" s="53" t="s">
        <v>295</v>
      </c>
      <c r="D54" s="117">
        <v>588.14200000000005</v>
      </c>
      <c r="E54" s="284">
        <f t="shared" ref="E54" si="15">F54/D54</f>
        <v>0.86999908185438202</v>
      </c>
      <c r="F54" s="109">
        <v>511.68299999999999</v>
      </c>
      <c r="G54" s="61" t="s">
        <v>82</v>
      </c>
      <c r="H54" s="61" t="s">
        <v>82</v>
      </c>
      <c r="I54" s="61" t="s">
        <v>82</v>
      </c>
      <c r="J54" s="61" t="s">
        <v>82</v>
      </c>
      <c r="K54" s="61" t="s">
        <v>82</v>
      </c>
      <c r="L54" s="61" t="s">
        <v>82</v>
      </c>
      <c r="M54" s="61" t="s">
        <v>82</v>
      </c>
      <c r="N54" s="61" t="s">
        <v>82</v>
      </c>
      <c r="O54" s="61" t="s">
        <v>82</v>
      </c>
      <c r="P54" s="61" t="s">
        <v>82</v>
      </c>
      <c r="Q54" s="61" t="s">
        <v>82</v>
      </c>
      <c r="R54" s="351">
        <v>162032.4</v>
      </c>
      <c r="S54" s="351">
        <v>181813</v>
      </c>
      <c r="T54" s="125">
        <f t="shared" ref="T54" si="16">R54-S54</f>
        <v>-19780.600000000006</v>
      </c>
      <c r="U54" s="63">
        <f t="shared" ref="U54" si="17">R54/S54</f>
        <v>0.89120359930258009</v>
      </c>
      <c r="V54" s="108">
        <v>18233</v>
      </c>
      <c r="W54" s="115" t="s">
        <v>141</v>
      </c>
    </row>
    <row r="55" spans="2:23" x14ac:dyDescent="0.35">
      <c r="B55" s="4" t="s">
        <v>8</v>
      </c>
      <c r="C55" s="4"/>
      <c r="D55" s="65">
        <f>SUM(D43:D54)</f>
        <v>750438.14199999999</v>
      </c>
      <c r="E55" s="69">
        <f>F55/D55</f>
        <v>0.73807506841783099</v>
      </c>
      <c r="F55" s="65">
        <f>SUM(F43:F54)</f>
        <v>553879.68299999996</v>
      </c>
      <c r="G55" s="118">
        <f>H55/F55</f>
        <v>3.686700149281338</v>
      </c>
      <c r="H55" s="235">
        <f>SUM(H43:H54)</f>
        <v>2041988.31</v>
      </c>
      <c r="I55" s="67">
        <f>SUM(I43:I54)</f>
        <v>34823564</v>
      </c>
      <c r="J55" s="248">
        <f t="shared" ref="J55" si="18">-PMT( 0.46%,G55,I55)/(F55*1000)</f>
        <v>1.7237960051264021E-2</v>
      </c>
      <c r="K55" s="68" t="s">
        <v>82</v>
      </c>
      <c r="L55" s="68" t="s">
        <v>82</v>
      </c>
      <c r="M55" s="68" t="s">
        <v>82</v>
      </c>
      <c r="N55" s="68" t="s">
        <v>82</v>
      </c>
      <c r="O55" s="68" t="s">
        <v>82</v>
      </c>
      <c r="P55" s="68" t="s">
        <v>82</v>
      </c>
      <c r="Q55" s="68" t="s">
        <v>82</v>
      </c>
      <c r="R55" s="72">
        <f>SUM(R43:R54)</f>
        <v>156821597.40000001</v>
      </c>
      <c r="S55" s="72">
        <f>SUM(S43:S54)</f>
        <v>46377405</v>
      </c>
      <c r="T55" s="72">
        <f>SUM(T43:T54)</f>
        <v>110444192.40000001</v>
      </c>
      <c r="U55" s="73">
        <f t="shared" ref="U55" si="19">R55/S55</f>
        <v>3.3814224275808447</v>
      </c>
      <c r="V55" s="74">
        <f>SUM(V43:V54)</f>
        <v>11348064</v>
      </c>
      <c r="W55" s="68" t="s">
        <v>82</v>
      </c>
    </row>
    <row r="56" spans="2:23" ht="15.65" customHeight="1" x14ac:dyDescent="0.35">
      <c r="B56" s="425" t="s">
        <v>9</v>
      </c>
      <c r="C56" s="426"/>
      <c r="D56" s="426"/>
      <c r="E56" s="426"/>
      <c r="F56" s="426"/>
      <c r="G56" s="426"/>
      <c r="H56" s="426"/>
      <c r="I56" s="426"/>
      <c r="J56" s="426"/>
      <c r="K56" s="426"/>
      <c r="L56" s="426"/>
      <c r="M56" s="426"/>
      <c r="N56" s="426"/>
      <c r="O56" s="426"/>
      <c r="P56" s="426"/>
      <c r="Q56" s="426"/>
      <c r="R56" s="426"/>
      <c r="S56" s="426"/>
      <c r="T56" s="426"/>
      <c r="U56" s="426"/>
      <c r="V56" s="426"/>
      <c r="W56" s="427"/>
    </row>
    <row r="57" spans="2:23" x14ac:dyDescent="0.35">
      <c r="B57" s="288" t="s">
        <v>303</v>
      </c>
      <c r="C57" s="53" t="s">
        <v>295</v>
      </c>
      <c r="D57" s="117">
        <v>3123.2919999999999</v>
      </c>
      <c r="E57" s="284">
        <f t="shared" ref="E57:E59" si="20">F57/D57</f>
        <v>1</v>
      </c>
      <c r="F57" s="117">
        <v>3123.2919999999999</v>
      </c>
      <c r="G57" s="61" t="s">
        <v>82</v>
      </c>
      <c r="H57" s="61" t="s">
        <v>82</v>
      </c>
      <c r="I57" s="61" t="s">
        <v>82</v>
      </c>
      <c r="J57" s="61" t="s">
        <v>82</v>
      </c>
      <c r="K57" s="61" t="s">
        <v>82</v>
      </c>
      <c r="L57" s="61" t="s">
        <v>82</v>
      </c>
      <c r="M57" s="61" t="s">
        <v>82</v>
      </c>
      <c r="N57" s="61" t="s">
        <v>82</v>
      </c>
      <c r="O57" s="61" t="s">
        <v>82</v>
      </c>
      <c r="P57" s="61" t="s">
        <v>82</v>
      </c>
      <c r="Q57" s="61" t="s">
        <v>82</v>
      </c>
      <c r="R57" s="351">
        <v>2120885</v>
      </c>
      <c r="S57" s="351">
        <v>7326240</v>
      </c>
      <c r="T57" s="125">
        <f t="shared" ref="T57:T59" si="21">R57-S57</f>
        <v>-5205355</v>
      </c>
      <c r="U57" s="63">
        <f>R57/S57</f>
        <v>0.28949160824652209</v>
      </c>
      <c r="V57" s="117">
        <v>40695</v>
      </c>
      <c r="W57" s="115" t="s">
        <v>141</v>
      </c>
    </row>
    <row r="58" spans="2:23" x14ac:dyDescent="0.35">
      <c r="B58" s="288" t="s">
        <v>301</v>
      </c>
      <c r="C58" s="53" t="s">
        <v>295</v>
      </c>
      <c r="D58" s="117">
        <v>1856.6469999999999</v>
      </c>
      <c r="E58" s="284">
        <f t="shared" si="20"/>
        <v>1</v>
      </c>
      <c r="F58" s="117">
        <v>1856.6469999999999</v>
      </c>
      <c r="G58" s="61" t="s">
        <v>82</v>
      </c>
      <c r="H58" s="61" t="s">
        <v>82</v>
      </c>
      <c r="I58" s="61" t="s">
        <v>82</v>
      </c>
      <c r="J58" s="61" t="s">
        <v>82</v>
      </c>
      <c r="K58" s="61" t="s">
        <v>82</v>
      </c>
      <c r="L58" s="61" t="s">
        <v>82</v>
      </c>
      <c r="M58" s="61" t="s">
        <v>82</v>
      </c>
      <c r="N58" s="61" t="s">
        <v>82</v>
      </c>
      <c r="O58" s="61" t="s">
        <v>82</v>
      </c>
      <c r="P58" s="61" t="s">
        <v>82</v>
      </c>
      <c r="Q58" s="61" t="s">
        <v>82</v>
      </c>
      <c r="R58" s="351">
        <v>1585448</v>
      </c>
      <c r="S58" s="351">
        <v>4947705</v>
      </c>
      <c r="T58" s="125">
        <f t="shared" si="21"/>
        <v>-3362257</v>
      </c>
      <c r="U58" s="63">
        <f t="shared" ref="U58:U59" si="22">R58/S58</f>
        <v>0.32044109339582694</v>
      </c>
      <c r="V58" s="117">
        <v>1411</v>
      </c>
      <c r="W58" s="202" t="s">
        <v>312</v>
      </c>
    </row>
    <row r="59" spans="2:23" x14ac:dyDescent="0.35">
      <c r="B59" s="2" t="s">
        <v>322</v>
      </c>
      <c r="C59" s="53" t="s">
        <v>295</v>
      </c>
      <c r="D59" s="117">
        <v>3365.8110000000001</v>
      </c>
      <c r="E59" s="284">
        <f t="shared" si="20"/>
        <v>1</v>
      </c>
      <c r="F59" s="117">
        <v>3365.8110000000001</v>
      </c>
      <c r="G59" s="61" t="s">
        <v>82</v>
      </c>
      <c r="H59" s="61" t="s">
        <v>82</v>
      </c>
      <c r="I59" s="61" t="s">
        <v>82</v>
      </c>
      <c r="J59" s="61" t="s">
        <v>82</v>
      </c>
      <c r="K59" s="61" t="s">
        <v>82</v>
      </c>
      <c r="L59" s="61" t="s">
        <v>82</v>
      </c>
      <c r="M59" s="61" t="s">
        <v>82</v>
      </c>
      <c r="N59" s="61" t="s">
        <v>82</v>
      </c>
      <c r="O59" s="61" t="s">
        <v>82</v>
      </c>
      <c r="P59" s="61" t="s">
        <v>82</v>
      </c>
      <c r="Q59" s="61" t="s">
        <v>82</v>
      </c>
      <c r="R59" s="351">
        <v>2027478.4</v>
      </c>
      <c r="S59" s="351">
        <v>1968683</v>
      </c>
      <c r="T59" s="125">
        <f t="shared" si="21"/>
        <v>58795.399999999907</v>
      </c>
      <c r="U59" s="63">
        <f t="shared" si="22"/>
        <v>1.0298653465286183</v>
      </c>
      <c r="V59" s="108">
        <v>7410</v>
      </c>
      <c r="W59" s="202" t="s">
        <v>312</v>
      </c>
    </row>
    <row r="60" spans="2:23" hidden="1" x14ac:dyDescent="0.35">
      <c r="B60" s="2" t="s">
        <v>0</v>
      </c>
      <c r="C60" s="2"/>
      <c r="D60" s="2"/>
      <c r="E60" s="2"/>
      <c r="F60" s="3"/>
      <c r="G60" s="3"/>
      <c r="H60" s="3"/>
      <c r="I60" s="3"/>
      <c r="J60" s="60" t="e">
        <f t="shared" ref="J60:J73" si="23">-PMT( 0.46%,G60,I60)/F60*1000</f>
        <v>#NUM!</v>
      </c>
      <c r="K60" s="61" t="s">
        <v>82</v>
      </c>
      <c r="L60" s="61" t="s">
        <v>82</v>
      </c>
      <c r="M60" s="61" t="s">
        <v>82</v>
      </c>
      <c r="N60" s="61" t="s">
        <v>82</v>
      </c>
      <c r="O60" s="61" t="s">
        <v>82</v>
      </c>
      <c r="P60" s="61" t="s">
        <v>82</v>
      </c>
      <c r="Q60" s="61" t="s">
        <v>82</v>
      </c>
      <c r="R60" s="3"/>
      <c r="S60" s="3"/>
      <c r="T60" s="2"/>
      <c r="U60" s="55" t="e">
        <f t="shared" ref="U60:U62" si="24">R60/S60</f>
        <v>#DIV/0!</v>
      </c>
      <c r="V60" s="3"/>
      <c r="W60" s="3"/>
    </row>
    <row r="61" spans="2:23" hidden="1" x14ac:dyDescent="0.35">
      <c r="B61" s="2" t="s">
        <v>0</v>
      </c>
      <c r="C61" s="2"/>
      <c r="D61" s="2"/>
      <c r="E61" s="2"/>
      <c r="F61" s="3"/>
      <c r="G61" s="3"/>
      <c r="H61" s="3"/>
      <c r="I61" s="3"/>
      <c r="J61" s="60" t="e">
        <f t="shared" si="23"/>
        <v>#NUM!</v>
      </c>
      <c r="K61" s="61" t="s">
        <v>82</v>
      </c>
      <c r="L61" s="61" t="s">
        <v>82</v>
      </c>
      <c r="M61" s="61" t="s">
        <v>82</v>
      </c>
      <c r="N61" s="61" t="s">
        <v>82</v>
      </c>
      <c r="O61" s="61" t="s">
        <v>82</v>
      </c>
      <c r="P61" s="61" t="s">
        <v>82</v>
      </c>
      <c r="Q61" s="61" t="s">
        <v>82</v>
      </c>
      <c r="R61" s="3"/>
      <c r="S61" s="3"/>
      <c r="T61" s="2"/>
      <c r="U61" s="55" t="e">
        <f t="shared" si="24"/>
        <v>#DIV/0!</v>
      </c>
      <c r="V61" s="3"/>
      <c r="W61" s="3"/>
    </row>
    <row r="62" spans="2:23" ht="15.75" customHeight="1" x14ac:dyDescent="0.35">
      <c r="B62" s="4" t="s">
        <v>10</v>
      </c>
      <c r="C62" s="4"/>
      <c r="D62" s="65">
        <f>SUM(D57:D61)</f>
        <v>8345.75</v>
      </c>
      <c r="E62" s="69">
        <f>F62/D62</f>
        <v>1</v>
      </c>
      <c r="F62" s="65">
        <f>SUM(F57:F61)</f>
        <v>8345.75</v>
      </c>
      <c r="G62" s="68" t="s">
        <v>82</v>
      </c>
      <c r="H62" s="68" t="s">
        <v>82</v>
      </c>
      <c r="I62" s="68" t="s">
        <v>82</v>
      </c>
      <c r="J62" s="68" t="s">
        <v>82</v>
      </c>
      <c r="K62" s="68" t="s">
        <v>82</v>
      </c>
      <c r="L62" s="68" t="s">
        <v>82</v>
      </c>
      <c r="M62" s="68" t="s">
        <v>82</v>
      </c>
      <c r="N62" s="68" t="s">
        <v>82</v>
      </c>
      <c r="O62" s="68" t="s">
        <v>82</v>
      </c>
      <c r="P62" s="68" t="s">
        <v>82</v>
      </c>
      <c r="Q62" s="68" t="s">
        <v>82</v>
      </c>
      <c r="R62" s="72">
        <f>SUM(R57:R61)</f>
        <v>5733811.4000000004</v>
      </c>
      <c r="S62" s="72">
        <f>SUM(S57:S61)</f>
        <v>14242628</v>
      </c>
      <c r="T62" s="72">
        <f>SUM(T57:T61)</f>
        <v>-8508816.5999999996</v>
      </c>
      <c r="U62" s="73">
        <f t="shared" si="24"/>
        <v>0.40258099839439748</v>
      </c>
      <c r="V62" s="74">
        <f>SUM(V57:V61)</f>
        <v>49516</v>
      </c>
      <c r="W62" s="68" t="s">
        <v>82</v>
      </c>
    </row>
    <row r="63" spans="2:23" ht="15.65" hidden="1" customHeight="1" x14ac:dyDescent="0.35">
      <c r="B63" s="409" t="s">
        <v>11</v>
      </c>
      <c r="C63" s="410"/>
      <c r="D63" s="410"/>
      <c r="E63" s="410"/>
      <c r="F63" s="410"/>
      <c r="G63" s="410"/>
      <c r="H63" s="410"/>
      <c r="I63" s="410"/>
      <c r="J63" s="410"/>
      <c r="K63" s="410"/>
      <c r="L63" s="410"/>
      <c r="M63" s="410"/>
      <c r="N63" s="410"/>
      <c r="O63" s="410"/>
      <c r="P63" s="410"/>
      <c r="Q63" s="410"/>
      <c r="R63" s="410"/>
      <c r="S63" s="410"/>
      <c r="T63" s="410"/>
      <c r="U63" s="410"/>
      <c r="V63" s="410"/>
      <c r="W63" s="410"/>
    </row>
    <row r="64" spans="2:23" hidden="1" x14ac:dyDescent="0.35">
      <c r="B64" s="2" t="s">
        <v>0</v>
      </c>
      <c r="C64" s="2"/>
      <c r="D64" s="2"/>
      <c r="E64" s="2"/>
      <c r="F64" s="3"/>
      <c r="G64" s="3"/>
      <c r="H64" s="3"/>
      <c r="I64" s="3"/>
      <c r="J64" s="60" t="e">
        <f t="shared" si="23"/>
        <v>#NUM!</v>
      </c>
      <c r="K64" s="61" t="s">
        <v>82</v>
      </c>
      <c r="L64" s="61" t="s">
        <v>82</v>
      </c>
      <c r="M64" s="61" t="s">
        <v>82</v>
      </c>
      <c r="N64" s="61" t="s">
        <v>82</v>
      </c>
      <c r="O64" s="61" t="s">
        <v>82</v>
      </c>
      <c r="P64" s="61" t="s">
        <v>82</v>
      </c>
      <c r="Q64" s="61" t="s">
        <v>82</v>
      </c>
      <c r="R64" s="3"/>
      <c r="S64" s="3"/>
      <c r="T64" s="2"/>
      <c r="U64" s="55" t="e">
        <f>R64/S64</f>
        <v>#DIV/0!</v>
      </c>
      <c r="V64" s="3"/>
      <c r="W64" s="3"/>
    </row>
    <row r="65" spans="2:23" hidden="1" x14ac:dyDescent="0.35">
      <c r="B65" s="2" t="s">
        <v>0</v>
      </c>
      <c r="C65" s="2"/>
      <c r="D65" s="2"/>
      <c r="E65" s="2"/>
      <c r="F65" s="3"/>
      <c r="G65" s="3"/>
      <c r="H65" s="3"/>
      <c r="I65" s="3"/>
      <c r="J65" s="60" t="e">
        <f t="shared" si="23"/>
        <v>#NUM!</v>
      </c>
      <c r="K65" s="61" t="s">
        <v>82</v>
      </c>
      <c r="L65" s="61" t="s">
        <v>82</v>
      </c>
      <c r="M65" s="61" t="s">
        <v>82</v>
      </c>
      <c r="N65" s="61" t="s">
        <v>82</v>
      </c>
      <c r="O65" s="61" t="s">
        <v>82</v>
      </c>
      <c r="P65" s="61" t="s">
        <v>82</v>
      </c>
      <c r="Q65" s="61" t="s">
        <v>82</v>
      </c>
      <c r="R65" s="3"/>
      <c r="S65" s="3"/>
      <c r="T65" s="2"/>
      <c r="U65" s="55" t="e">
        <f t="shared" ref="U65:U69" si="25">R65/S65</f>
        <v>#DIV/0!</v>
      </c>
      <c r="V65" s="3"/>
      <c r="W65" s="3"/>
    </row>
    <row r="66" spans="2:23" hidden="1" x14ac:dyDescent="0.35">
      <c r="B66" s="2" t="s">
        <v>0</v>
      </c>
      <c r="C66" s="2"/>
      <c r="D66" s="18"/>
      <c r="E66" s="18"/>
      <c r="F66" s="19"/>
      <c r="G66" s="19"/>
      <c r="H66" s="19"/>
      <c r="I66" s="19"/>
      <c r="J66" s="60" t="e">
        <f t="shared" si="23"/>
        <v>#NUM!</v>
      </c>
      <c r="K66" s="61" t="s">
        <v>82</v>
      </c>
      <c r="L66" s="61" t="s">
        <v>82</v>
      </c>
      <c r="M66" s="61" t="s">
        <v>82</v>
      </c>
      <c r="N66" s="61" t="s">
        <v>82</v>
      </c>
      <c r="O66" s="61" t="s">
        <v>82</v>
      </c>
      <c r="P66" s="61" t="s">
        <v>82</v>
      </c>
      <c r="Q66" s="61" t="s">
        <v>82</v>
      </c>
      <c r="R66" s="19"/>
      <c r="S66" s="19"/>
      <c r="T66" s="18"/>
      <c r="U66" s="55" t="e">
        <f t="shared" si="25"/>
        <v>#DIV/0!</v>
      </c>
      <c r="V66" s="19"/>
      <c r="W66" s="19"/>
    </row>
    <row r="67" spans="2:23" hidden="1" x14ac:dyDescent="0.35">
      <c r="B67" s="2" t="s">
        <v>0</v>
      </c>
      <c r="C67" s="2"/>
      <c r="D67" s="18"/>
      <c r="E67" s="18"/>
      <c r="F67" s="19"/>
      <c r="G67" s="19"/>
      <c r="H67" s="19"/>
      <c r="I67" s="19"/>
      <c r="J67" s="60" t="e">
        <f t="shared" si="23"/>
        <v>#NUM!</v>
      </c>
      <c r="K67" s="61" t="s">
        <v>82</v>
      </c>
      <c r="L67" s="61" t="s">
        <v>82</v>
      </c>
      <c r="M67" s="61" t="s">
        <v>82</v>
      </c>
      <c r="N67" s="61" t="s">
        <v>82</v>
      </c>
      <c r="O67" s="61" t="s">
        <v>82</v>
      </c>
      <c r="P67" s="61" t="s">
        <v>82</v>
      </c>
      <c r="Q67" s="61" t="s">
        <v>82</v>
      </c>
      <c r="R67" s="19"/>
      <c r="S67" s="19"/>
      <c r="T67" s="18"/>
      <c r="U67" s="55" t="e">
        <f t="shared" si="25"/>
        <v>#DIV/0!</v>
      </c>
      <c r="V67" s="19"/>
      <c r="W67" s="19"/>
    </row>
    <row r="68" spans="2:23" hidden="1" x14ac:dyDescent="0.35">
      <c r="B68" s="2" t="s">
        <v>0</v>
      </c>
      <c r="C68" s="2"/>
      <c r="D68" s="18"/>
      <c r="E68" s="18"/>
      <c r="F68" s="19"/>
      <c r="G68" s="19"/>
      <c r="H68" s="19"/>
      <c r="I68" s="19"/>
      <c r="J68" s="60" t="e">
        <f t="shared" si="23"/>
        <v>#NUM!</v>
      </c>
      <c r="K68" s="61" t="s">
        <v>82</v>
      </c>
      <c r="L68" s="61" t="s">
        <v>82</v>
      </c>
      <c r="M68" s="61" t="s">
        <v>82</v>
      </c>
      <c r="N68" s="61" t="s">
        <v>82</v>
      </c>
      <c r="O68" s="61" t="s">
        <v>82</v>
      </c>
      <c r="P68" s="61" t="s">
        <v>82</v>
      </c>
      <c r="Q68" s="61" t="s">
        <v>82</v>
      </c>
      <c r="R68" s="19"/>
      <c r="S68" s="19"/>
      <c r="T68" s="18"/>
      <c r="U68" s="55" t="e">
        <f t="shared" si="25"/>
        <v>#DIV/0!</v>
      </c>
      <c r="V68" s="19"/>
      <c r="W68" s="19"/>
    </row>
    <row r="69" spans="2:23" ht="35.15" hidden="1" customHeight="1" x14ac:dyDescent="0.35">
      <c r="B69" s="24" t="s">
        <v>12</v>
      </c>
      <c r="C69" s="24"/>
      <c r="D69" s="65">
        <f>SUM(D64:D68)</f>
        <v>0</v>
      </c>
      <c r="E69" s="69" t="e">
        <f>F69/D69</f>
        <v>#DIV/0!</v>
      </c>
      <c r="F69" s="65">
        <f>SUM(F64:F68)</f>
        <v>0</v>
      </c>
      <c r="G69" s="70" t="e">
        <f>H69/F69</f>
        <v>#DIV/0!</v>
      </c>
      <c r="H69" s="65">
        <f>SUM(H64:H68)</f>
        <v>0</v>
      </c>
      <c r="I69" s="67">
        <f>SUM(I64:I68)</f>
        <v>0</v>
      </c>
      <c r="J69" s="88" t="e">
        <f>-PMT( 0.46%,G69,I69)/F69*1000</f>
        <v>#DIV/0!</v>
      </c>
      <c r="K69" s="68" t="s">
        <v>82</v>
      </c>
      <c r="L69" s="68" t="s">
        <v>82</v>
      </c>
      <c r="M69" s="68" t="s">
        <v>82</v>
      </c>
      <c r="N69" s="68" t="s">
        <v>82</v>
      </c>
      <c r="O69" s="68" t="s">
        <v>82</v>
      </c>
      <c r="P69" s="68" t="s">
        <v>82</v>
      </c>
      <c r="Q69" s="68" t="s">
        <v>82</v>
      </c>
      <c r="R69" s="72">
        <f>SUM(R64:R68)</f>
        <v>0</v>
      </c>
      <c r="S69" s="72">
        <f>SUM(S64:S68)</f>
        <v>0</v>
      </c>
      <c r="T69" s="72">
        <f>SUM(T64:T68)</f>
        <v>0</v>
      </c>
      <c r="U69" s="73" t="e">
        <f t="shared" si="25"/>
        <v>#DIV/0!</v>
      </c>
      <c r="V69" s="74">
        <f>SUM(V64:V68)</f>
        <v>0</v>
      </c>
      <c r="W69" s="68" t="s">
        <v>82</v>
      </c>
    </row>
    <row r="70" spans="2:23" hidden="1" x14ac:dyDescent="0.35">
      <c r="B70" s="409" t="s">
        <v>16</v>
      </c>
      <c r="C70" s="410"/>
      <c r="D70" s="410"/>
      <c r="E70" s="410"/>
      <c r="F70" s="410"/>
      <c r="G70" s="410"/>
      <c r="H70" s="410"/>
      <c r="I70" s="410"/>
      <c r="J70" s="410"/>
      <c r="K70" s="410"/>
      <c r="L70" s="410"/>
      <c r="M70" s="410"/>
      <c r="N70" s="410"/>
      <c r="O70" s="410"/>
      <c r="P70" s="410"/>
      <c r="Q70" s="410"/>
      <c r="R70" s="410"/>
      <c r="S70" s="410"/>
      <c r="T70" s="410"/>
      <c r="U70" s="410"/>
      <c r="V70" s="410"/>
      <c r="W70" s="411"/>
    </row>
    <row r="71" spans="2:23" ht="16.149999999999999" hidden="1" customHeight="1" x14ac:dyDescent="0.35">
      <c r="B71" s="32" t="s">
        <v>0</v>
      </c>
      <c r="C71" s="32"/>
      <c r="D71" s="18"/>
      <c r="E71" s="18"/>
      <c r="F71" s="19"/>
      <c r="G71" s="19"/>
      <c r="H71" s="19"/>
      <c r="I71" s="19"/>
      <c r="J71" s="60" t="e">
        <f t="shared" si="23"/>
        <v>#NUM!</v>
      </c>
      <c r="K71" s="61" t="s">
        <v>82</v>
      </c>
      <c r="L71" s="61" t="s">
        <v>82</v>
      </c>
      <c r="M71" s="61" t="s">
        <v>82</v>
      </c>
      <c r="N71" s="61" t="s">
        <v>82</v>
      </c>
      <c r="O71" s="61" t="s">
        <v>82</v>
      </c>
      <c r="P71" s="61" t="s">
        <v>82</v>
      </c>
      <c r="Q71" s="61" t="s">
        <v>82</v>
      </c>
      <c r="R71" s="19"/>
      <c r="S71" s="19"/>
      <c r="T71" s="18"/>
      <c r="U71" s="55" t="e">
        <f>R71/S71</f>
        <v>#DIV/0!</v>
      </c>
      <c r="V71" s="19"/>
      <c r="W71" s="19"/>
    </row>
    <row r="72" spans="2:23" ht="16.149999999999999" hidden="1" customHeight="1" x14ac:dyDescent="0.35">
      <c r="B72" s="32" t="s">
        <v>0</v>
      </c>
      <c r="C72" s="32"/>
      <c r="D72" s="18"/>
      <c r="E72" s="18"/>
      <c r="F72" s="19"/>
      <c r="G72" s="19"/>
      <c r="H72" s="19"/>
      <c r="I72" s="19"/>
      <c r="J72" s="60" t="e">
        <f t="shared" si="23"/>
        <v>#NUM!</v>
      </c>
      <c r="K72" s="61" t="s">
        <v>82</v>
      </c>
      <c r="L72" s="61" t="s">
        <v>82</v>
      </c>
      <c r="M72" s="61" t="s">
        <v>82</v>
      </c>
      <c r="N72" s="61" t="s">
        <v>82</v>
      </c>
      <c r="O72" s="61" t="s">
        <v>82</v>
      </c>
      <c r="P72" s="61" t="s">
        <v>82</v>
      </c>
      <c r="Q72" s="61" t="s">
        <v>82</v>
      </c>
      <c r="R72" s="19"/>
      <c r="S72" s="19"/>
      <c r="T72" s="18"/>
      <c r="U72" s="55" t="e">
        <f t="shared" ref="U72:U76" si="26">R72/S72</f>
        <v>#DIV/0!</v>
      </c>
      <c r="V72" s="19"/>
      <c r="W72" s="19"/>
    </row>
    <row r="73" spans="2:23" ht="16.149999999999999" hidden="1" customHeight="1" x14ac:dyDescent="0.35">
      <c r="B73" s="32" t="s">
        <v>0</v>
      </c>
      <c r="C73" s="32"/>
      <c r="D73" s="18"/>
      <c r="E73" s="18"/>
      <c r="F73" s="19"/>
      <c r="G73" s="19"/>
      <c r="H73" s="19"/>
      <c r="I73" s="19"/>
      <c r="J73" s="60" t="e">
        <f t="shared" si="23"/>
        <v>#NUM!</v>
      </c>
      <c r="K73" s="61" t="s">
        <v>82</v>
      </c>
      <c r="L73" s="61" t="s">
        <v>82</v>
      </c>
      <c r="M73" s="61" t="s">
        <v>82</v>
      </c>
      <c r="N73" s="61" t="s">
        <v>82</v>
      </c>
      <c r="O73" s="61" t="s">
        <v>82</v>
      </c>
      <c r="P73" s="61" t="s">
        <v>82</v>
      </c>
      <c r="Q73" s="61" t="s">
        <v>82</v>
      </c>
      <c r="R73" s="19"/>
      <c r="S73" s="19"/>
      <c r="T73" s="18"/>
      <c r="U73" s="55" t="e">
        <f t="shared" si="26"/>
        <v>#DIV/0!</v>
      </c>
      <c r="V73" s="19"/>
      <c r="W73" s="19"/>
    </row>
    <row r="74" spans="2:23" ht="31.5" hidden="1" customHeight="1" x14ac:dyDescent="0.35">
      <c r="B74" s="24" t="s">
        <v>17</v>
      </c>
      <c r="C74" s="24"/>
      <c r="D74" s="65">
        <f>SUM(D71:D73)</f>
        <v>0</v>
      </c>
      <c r="E74" s="69" t="e">
        <f>F74/D74</f>
        <v>#DIV/0!</v>
      </c>
      <c r="F74" s="65">
        <f>SUM(F71:F73)</f>
        <v>0</v>
      </c>
      <c r="G74" s="70" t="e">
        <f>H74/F74</f>
        <v>#DIV/0!</v>
      </c>
      <c r="H74" s="65">
        <f>SUM(H71:H73)</f>
        <v>0</v>
      </c>
      <c r="I74" s="67">
        <f>SUM(I71:I73)</f>
        <v>0</v>
      </c>
      <c r="J74" s="88" t="e">
        <f>-PMT( 0.46%,G74,I74)/F74*1000</f>
        <v>#DIV/0!</v>
      </c>
      <c r="K74" s="68" t="s">
        <v>82</v>
      </c>
      <c r="L74" s="68" t="s">
        <v>82</v>
      </c>
      <c r="M74" s="68" t="s">
        <v>82</v>
      </c>
      <c r="N74" s="68" t="s">
        <v>82</v>
      </c>
      <c r="O74" s="68" t="s">
        <v>82</v>
      </c>
      <c r="P74" s="68" t="s">
        <v>82</v>
      </c>
      <c r="Q74" s="68" t="s">
        <v>82</v>
      </c>
      <c r="R74" s="72">
        <f>SUM(R71:R73)</f>
        <v>0</v>
      </c>
      <c r="S74" s="72">
        <f>SUM(S71:S73)</f>
        <v>0</v>
      </c>
      <c r="T74" s="72">
        <f>SUM(T71:T73)</f>
        <v>0</v>
      </c>
      <c r="U74" s="73" t="e">
        <f t="shared" si="26"/>
        <v>#DIV/0!</v>
      </c>
      <c r="V74" s="74">
        <f>SUM(V71:V73)</f>
        <v>0</v>
      </c>
      <c r="W74" s="68" t="s">
        <v>82</v>
      </c>
    </row>
    <row r="75" spans="2:23" ht="40.5" customHeight="1" x14ac:dyDescent="0.35">
      <c r="B75" s="37" t="s">
        <v>32</v>
      </c>
      <c r="C75" s="37"/>
      <c r="D75" s="89" t="s">
        <v>82</v>
      </c>
      <c r="E75" s="89" t="s">
        <v>82</v>
      </c>
      <c r="F75" s="89" t="s">
        <v>82</v>
      </c>
      <c r="G75" s="89" t="s">
        <v>82</v>
      </c>
      <c r="H75" s="89" t="s">
        <v>82</v>
      </c>
      <c r="I75" s="38">
        <f>16988758.08+33565649.33</f>
        <v>50554407.409999996</v>
      </c>
      <c r="J75" s="89" t="s">
        <v>82</v>
      </c>
      <c r="K75" s="89" t="s">
        <v>82</v>
      </c>
      <c r="L75" s="89" t="s">
        <v>82</v>
      </c>
      <c r="M75" s="89" t="s">
        <v>82</v>
      </c>
      <c r="N75" s="89" t="s">
        <v>82</v>
      </c>
      <c r="O75" s="89" t="s">
        <v>82</v>
      </c>
      <c r="P75" s="89" t="s">
        <v>82</v>
      </c>
      <c r="Q75" s="89" t="s">
        <v>82</v>
      </c>
      <c r="R75" s="89" t="s">
        <v>82</v>
      </c>
      <c r="S75" s="89" t="s">
        <v>82</v>
      </c>
      <c r="T75" s="89" t="s">
        <v>82</v>
      </c>
      <c r="U75" s="89" t="s">
        <v>82</v>
      </c>
      <c r="V75" s="89" t="s">
        <v>82</v>
      </c>
      <c r="W75" s="221" t="s">
        <v>82</v>
      </c>
    </row>
    <row r="76" spans="2:23" ht="31.5" customHeight="1" x14ac:dyDescent="0.35">
      <c r="B76" s="30" t="s">
        <v>94</v>
      </c>
      <c r="C76" s="30"/>
      <c r="D76" s="79">
        <f>SUM(D39,D55,D62,D69,D74,D75)</f>
        <v>1410051.8640000001</v>
      </c>
      <c r="E76" s="80">
        <f>F76/D76</f>
        <v>0.74347291809969895</v>
      </c>
      <c r="F76" s="79">
        <f>SUM(F39,F55,F62,F69,F74,F75)</f>
        <v>1048335.374</v>
      </c>
      <c r="G76" s="80">
        <f>H76/F76</f>
        <v>5.5754143997815726</v>
      </c>
      <c r="H76" s="79">
        <f>SUM(H39,H55,H62,H69,H74,H75)</f>
        <v>5844904.1400000006</v>
      </c>
      <c r="I76" s="81">
        <f>SUM(I39,I55,I62,I69,I74,I75)</f>
        <v>140951942.41</v>
      </c>
      <c r="J76" s="249">
        <f t="shared" ref="J76" si="27">-PMT( 0.46%,G76,I76)/(F76*1000)</f>
        <v>2.4481339538015436E-2</v>
      </c>
      <c r="K76" s="82" t="s">
        <v>82</v>
      </c>
      <c r="L76" s="82" t="s">
        <v>82</v>
      </c>
      <c r="M76" s="82" t="s">
        <v>82</v>
      </c>
      <c r="N76" s="82" t="s">
        <v>82</v>
      </c>
      <c r="O76" s="82" t="s">
        <v>82</v>
      </c>
      <c r="P76" s="82" t="s">
        <v>82</v>
      </c>
      <c r="Q76" s="82" t="s">
        <v>82</v>
      </c>
      <c r="R76" s="81">
        <f>SUM(R39,R55,R62,R69,R74,R75)</f>
        <v>453763221.79999995</v>
      </c>
      <c r="S76" s="81">
        <f>SUM(S39,S55,S62,S69,S74,S75)</f>
        <v>227484156</v>
      </c>
      <c r="T76" s="81">
        <f>SUM(T39,T55,T62,T69,T74,T75)</f>
        <v>226279065.80000001</v>
      </c>
      <c r="U76" s="80">
        <f t="shared" si="26"/>
        <v>1.9947025312831015</v>
      </c>
      <c r="V76" s="128">
        <f>SUM(V39,V55,V62,V69,V74,V75)</f>
        <v>12723854</v>
      </c>
      <c r="W76" s="222" t="s">
        <v>82</v>
      </c>
    </row>
    <row r="77" spans="2:23" s="22" customFormat="1" ht="13.5" customHeight="1" x14ac:dyDescent="0.35">
      <c r="B77" s="26"/>
      <c r="C77" s="26"/>
      <c r="D77" s="11"/>
      <c r="E77" s="11"/>
      <c r="F77" s="12"/>
      <c r="G77" s="12"/>
      <c r="H77" s="12"/>
      <c r="I77" s="12"/>
      <c r="J77" s="12"/>
      <c r="K77" s="12"/>
      <c r="L77" s="12"/>
    </row>
    <row r="78" spans="2:23" x14ac:dyDescent="0.35">
      <c r="B78" s="344" t="s">
        <v>3</v>
      </c>
      <c r="C78" s="343"/>
      <c r="D78" s="343"/>
      <c r="E78" s="343"/>
      <c r="F78" s="343"/>
      <c r="G78" s="343"/>
      <c r="H78" s="343"/>
      <c r="I78" s="343"/>
      <c r="J78" s="343"/>
      <c r="K78" s="343"/>
      <c r="L78" s="343"/>
      <c r="M78" s="42"/>
    </row>
    <row r="79" spans="2:23" x14ac:dyDescent="0.35">
      <c r="B79" s="343" t="s">
        <v>308</v>
      </c>
      <c r="C79" s="343"/>
      <c r="D79" s="343"/>
      <c r="E79" s="343"/>
      <c r="F79" s="343"/>
      <c r="G79" s="343"/>
      <c r="H79" s="343"/>
      <c r="I79" s="343"/>
      <c r="J79" s="343"/>
      <c r="K79" s="343"/>
      <c r="L79" s="343"/>
      <c r="M79" s="42"/>
    </row>
    <row r="80" spans="2:23" x14ac:dyDescent="0.35">
      <c r="B80" s="343" t="s">
        <v>367</v>
      </c>
      <c r="C80" s="343"/>
      <c r="D80" s="343"/>
      <c r="E80" s="343"/>
      <c r="F80" s="343"/>
      <c r="G80" s="343"/>
      <c r="H80" s="343"/>
      <c r="I80" s="343"/>
      <c r="J80" s="343"/>
      <c r="K80" s="343"/>
      <c r="L80" s="343"/>
      <c r="M80" s="42"/>
    </row>
    <row r="81" spans="2:13" x14ac:dyDescent="0.35">
      <c r="B81" s="343" t="s">
        <v>325</v>
      </c>
      <c r="C81" s="343"/>
      <c r="D81" s="343"/>
      <c r="E81" s="343"/>
      <c r="F81" s="343"/>
      <c r="G81" s="343"/>
      <c r="H81" s="343"/>
      <c r="I81" s="343"/>
      <c r="J81" s="343"/>
      <c r="K81" s="343"/>
      <c r="L81" s="343"/>
      <c r="M81" s="42"/>
    </row>
    <row r="82" spans="2:13" ht="27.65" customHeight="1" x14ac:dyDescent="0.35">
      <c r="B82" s="432" t="s">
        <v>383</v>
      </c>
      <c r="C82" s="432"/>
      <c r="D82" s="432"/>
      <c r="E82" s="432"/>
      <c r="F82" s="432"/>
      <c r="G82" s="432"/>
      <c r="H82" s="432"/>
      <c r="I82" s="432"/>
      <c r="J82" s="432"/>
      <c r="K82" s="432"/>
      <c r="L82" s="432"/>
      <c r="M82" s="432"/>
    </row>
    <row r="84" spans="2:13" x14ac:dyDescent="0.35">
      <c r="B84" s="45" t="s">
        <v>48</v>
      </c>
    </row>
    <row r="85" spans="2:13" x14ac:dyDescent="0.35">
      <c r="B85" s="7" t="s">
        <v>135</v>
      </c>
    </row>
    <row r="86" spans="2:13" x14ac:dyDescent="0.35">
      <c r="B86" s="7" t="s">
        <v>92</v>
      </c>
    </row>
    <row r="87" spans="2:13" x14ac:dyDescent="0.35">
      <c r="B87" s="7" t="s">
        <v>136</v>
      </c>
    </row>
    <row r="88" spans="2:13" x14ac:dyDescent="0.35">
      <c r="B88" s="7" t="s">
        <v>321</v>
      </c>
    </row>
    <row r="89" spans="2:13" x14ac:dyDescent="0.35">
      <c r="B89" s="342" t="s">
        <v>307</v>
      </c>
    </row>
  </sheetData>
  <mergeCells count="9">
    <mergeCell ref="B82:M82"/>
    <mergeCell ref="B63:W63"/>
    <mergeCell ref="B70:W70"/>
    <mergeCell ref="B5:L6"/>
    <mergeCell ref="B8:L15"/>
    <mergeCell ref="B19:W19"/>
    <mergeCell ref="B21:W21"/>
    <mergeCell ref="B42:W42"/>
    <mergeCell ref="B56:W56"/>
  </mergeCells>
  <printOptions horizontalCentered="1" headings="1"/>
  <pageMargins left="0.5" right="0.5" top="1.25" bottom="1" header="0.5" footer="0.5"/>
  <pageSetup scale="31" orientation="landscape" r:id="rId1"/>
  <headerFooter scaleWithDoc="0">
    <oddHeader>&amp;R&amp;"Arial,Bold"ICC Dkt. No. 17-0312
2019 Statewide Annual Report Template
Tab: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24A18-5B59-41B3-9632-60A1379FC0AF}">
  <sheetPr>
    <pageSetUpPr fitToPage="1"/>
  </sheetPr>
  <dimension ref="B1:W98"/>
  <sheetViews>
    <sheetView zoomScale="90" zoomScaleNormal="90" workbookViewId="0">
      <selection activeCell="B83" sqref="B83:G83"/>
    </sheetView>
  </sheetViews>
  <sheetFormatPr defaultRowHeight="14.5" x14ac:dyDescent="0.35"/>
  <cols>
    <col min="1" max="1" width="2.7265625" customWidth="1"/>
    <col min="2" max="2" width="41.453125" customWidth="1"/>
    <col min="3" max="3" width="20.7265625" customWidth="1"/>
    <col min="4" max="4" width="17.26953125" customWidth="1"/>
    <col min="5" max="5" width="15.26953125" customWidth="1"/>
    <col min="6" max="6" width="16" customWidth="1"/>
    <col min="7" max="7" width="15" customWidth="1"/>
    <col min="8" max="8" width="12.453125" customWidth="1"/>
    <col min="9" max="9" width="15.1796875" customWidth="1"/>
    <col min="10" max="10" width="15.453125" customWidth="1"/>
    <col min="11" max="11" width="17" customWidth="1"/>
    <col min="12" max="12" width="14.453125" customWidth="1"/>
    <col min="13" max="13" width="15" customWidth="1"/>
    <col min="14" max="14" width="14" customWidth="1"/>
    <col min="15" max="15" width="12" customWidth="1"/>
    <col min="16" max="16" width="14.26953125" customWidth="1"/>
    <col min="17" max="17" width="17" customWidth="1"/>
    <col min="18" max="19" width="15.7265625" customWidth="1"/>
    <col min="20" max="20" width="15.81640625" customWidth="1"/>
    <col min="21" max="22" width="14.26953125" customWidth="1"/>
    <col min="23" max="23" width="20.26953125" customWidth="1"/>
  </cols>
  <sheetData>
    <row r="1" spans="2:12" x14ac:dyDescent="0.35">
      <c r="B1" s="6" t="s">
        <v>27</v>
      </c>
      <c r="C1" s="6"/>
      <c r="D1" s="6"/>
      <c r="E1" s="6"/>
    </row>
    <row r="2" spans="2:12" x14ac:dyDescent="0.35">
      <c r="B2" s="6" t="s">
        <v>377</v>
      </c>
      <c r="C2" s="6"/>
      <c r="D2" s="6"/>
      <c r="E2" s="6"/>
    </row>
    <row r="3" spans="2:12" x14ac:dyDescent="0.35">
      <c r="B3" s="6" t="s">
        <v>392</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ht="13.5" customHeight="1"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178.5" customHeight="1" x14ac:dyDescent="0.35">
      <c r="B15" s="419"/>
      <c r="C15" s="420"/>
      <c r="D15" s="420"/>
      <c r="E15" s="420"/>
      <c r="F15" s="420"/>
      <c r="G15" s="420"/>
      <c r="H15" s="420"/>
      <c r="I15" s="420"/>
      <c r="J15" s="420"/>
      <c r="K15" s="420"/>
      <c r="L15" s="421"/>
    </row>
    <row r="16" spans="2:12" ht="17.649999999999999"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3.5" customHeight="1" x14ac:dyDescent="0.35">
      <c r="B18" s="21"/>
      <c r="C18" s="21"/>
      <c r="D18" s="21"/>
      <c r="E18" s="21"/>
      <c r="F18" s="21"/>
      <c r="G18" s="21"/>
      <c r="H18" s="21"/>
      <c r="I18" s="21"/>
      <c r="J18" s="21"/>
      <c r="K18" s="21"/>
      <c r="L18" s="21"/>
    </row>
    <row r="19" spans="2:23" ht="20.149999999999999" customHeight="1" x14ac:dyDescent="0.35">
      <c r="B19" s="430" t="s">
        <v>261</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83</v>
      </c>
      <c r="C22" s="53" t="s">
        <v>81</v>
      </c>
      <c r="D22" s="62">
        <v>268982</v>
      </c>
      <c r="E22" s="63">
        <f>F22/D22</f>
        <v>0.68664817720144844</v>
      </c>
      <c r="F22" s="56">
        <v>184696</v>
      </c>
      <c r="G22" s="57">
        <v>12</v>
      </c>
      <c r="H22" s="56">
        <f>F22*G22</f>
        <v>2216352</v>
      </c>
      <c r="I22" s="130">
        <v>31556869</v>
      </c>
      <c r="J22" s="287">
        <f>-PMT( 0.46%,G22,I22)/(F22*1000)</f>
        <v>1.4667506789585292E-2</v>
      </c>
      <c r="K22" s="61" t="s">
        <v>82</v>
      </c>
      <c r="L22" s="61" t="s">
        <v>82</v>
      </c>
      <c r="M22" s="61" t="s">
        <v>82</v>
      </c>
      <c r="N22" s="61" t="s">
        <v>82</v>
      </c>
      <c r="O22" s="61" t="s">
        <v>82</v>
      </c>
      <c r="P22" s="61" t="s">
        <v>82</v>
      </c>
      <c r="Q22" s="61" t="s">
        <v>82</v>
      </c>
      <c r="R22" s="59">
        <v>189962452</v>
      </c>
      <c r="S22" s="59">
        <v>155146498</v>
      </c>
      <c r="T22" s="59">
        <f>R22-S22</f>
        <v>34815954</v>
      </c>
      <c r="U22" s="63">
        <f t="shared" ref="U22:U28" si="0">R22/S22</f>
        <v>1.2244069601880412</v>
      </c>
      <c r="V22" s="114">
        <v>3736</v>
      </c>
      <c r="W22" s="115" t="s">
        <v>235</v>
      </c>
    </row>
    <row r="23" spans="2:23" x14ac:dyDescent="0.35">
      <c r="B23" s="2" t="s">
        <v>84</v>
      </c>
      <c r="C23" s="53" t="s">
        <v>81</v>
      </c>
      <c r="D23" s="62">
        <v>26587.599999999999</v>
      </c>
      <c r="E23" s="63">
        <f t="shared" ref="E23:E34" si="1">F23/D23</f>
        <v>0.61000616828897691</v>
      </c>
      <c r="F23" s="56">
        <v>16218.6</v>
      </c>
      <c r="G23" s="57">
        <v>12</v>
      </c>
      <c r="H23" s="56">
        <f t="shared" ref="H23:H30" si="2">F23*G23</f>
        <v>194623.2</v>
      </c>
      <c r="I23" s="130">
        <v>4405094.1399999997</v>
      </c>
      <c r="J23" s="287">
        <f>-PMT( 0.46%,G23,I23)/(F23*1000)</f>
        <v>2.3316411533985636E-2</v>
      </c>
      <c r="K23" s="61" t="s">
        <v>82</v>
      </c>
      <c r="L23" s="61" t="s">
        <v>82</v>
      </c>
      <c r="M23" s="61" t="s">
        <v>82</v>
      </c>
      <c r="N23" s="61" t="s">
        <v>82</v>
      </c>
      <c r="O23" s="61" t="s">
        <v>82</v>
      </c>
      <c r="P23" s="61" t="s">
        <v>82</v>
      </c>
      <c r="Q23" s="61" t="s">
        <v>82</v>
      </c>
      <c r="R23" s="59">
        <v>14930093</v>
      </c>
      <c r="S23" s="59">
        <v>13084887</v>
      </c>
      <c r="T23" s="59">
        <f t="shared" ref="T23:T32" si="3">R23-S23</f>
        <v>1845206</v>
      </c>
      <c r="U23" s="63">
        <f t="shared" si="0"/>
        <v>1.1410181073783825</v>
      </c>
      <c r="V23" s="114">
        <v>93</v>
      </c>
      <c r="W23" s="115" t="s">
        <v>235</v>
      </c>
    </row>
    <row r="24" spans="2:23" x14ac:dyDescent="0.35">
      <c r="B24" s="2" t="s">
        <v>119</v>
      </c>
      <c r="C24" s="53" t="s">
        <v>81</v>
      </c>
      <c r="D24" s="162">
        <v>21333</v>
      </c>
      <c r="E24" s="63">
        <f t="shared" si="1"/>
        <v>0.60652510195471809</v>
      </c>
      <c r="F24" s="163">
        <v>12939</v>
      </c>
      <c r="G24" s="57">
        <v>16</v>
      </c>
      <c r="H24" s="56">
        <f t="shared" si="2"/>
        <v>207024</v>
      </c>
      <c r="I24" s="113">
        <v>1000608.99</v>
      </c>
      <c r="J24" s="287">
        <f t="shared" ref="J24:J30" si="4">-PMT( 0.46%,G24,I24)/(F24*1000)</f>
        <v>5.0244495961104417E-3</v>
      </c>
      <c r="K24" s="61" t="s">
        <v>82</v>
      </c>
      <c r="L24" s="61" t="s">
        <v>82</v>
      </c>
      <c r="M24" s="61" t="s">
        <v>82</v>
      </c>
      <c r="N24" s="61" t="s">
        <v>82</v>
      </c>
      <c r="O24" s="61" t="s">
        <v>82</v>
      </c>
      <c r="P24" s="61" t="s">
        <v>82</v>
      </c>
      <c r="Q24" s="61" t="s">
        <v>82</v>
      </c>
      <c r="R24" s="59">
        <v>11611392</v>
      </c>
      <c r="S24" s="59">
        <v>3950389</v>
      </c>
      <c r="T24" s="59">
        <f t="shared" si="3"/>
        <v>7661003</v>
      </c>
      <c r="U24" s="63">
        <f t="shared" si="0"/>
        <v>2.9393034458125515</v>
      </c>
      <c r="V24" s="114">
        <v>16</v>
      </c>
      <c r="W24" s="115" t="s">
        <v>235</v>
      </c>
    </row>
    <row r="25" spans="2:23" x14ac:dyDescent="0.35">
      <c r="B25" s="2" t="s">
        <v>85</v>
      </c>
      <c r="C25" s="53" t="s">
        <v>81</v>
      </c>
      <c r="D25" s="114">
        <v>25303</v>
      </c>
      <c r="E25" s="63">
        <f t="shared" si="1"/>
        <v>1.0399557364739358</v>
      </c>
      <c r="F25" s="114">
        <v>26314</v>
      </c>
      <c r="G25" s="57">
        <v>5</v>
      </c>
      <c r="H25" s="56">
        <f t="shared" si="2"/>
        <v>131570</v>
      </c>
      <c r="I25" s="59">
        <v>4568932.05</v>
      </c>
      <c r="J25" s="287">
        <f t="shared" si="4"/>
        <v>3.5206933376690307E-2</v>
      </c>
      <c r="K25" s="61" t="s">
        <v>82</v>
      </c>
      <c r="L25" s="61" t="s">
        <v>82</v>
      </c>
      <c r="M25" s="61" t="s">
        <v>82</v>
      </c>
      <c r="N25" s="61" t="s">
        <v>82</v>
      </c>
      <c r="O25" s="61" t="s">
        <v>82</v>
      </c>
      <c r="P25" s="61" t="s">
        <v>82</v>
      </c>
      <c r="Q25" s="61" t="s">
        <v>82</v>
      </c>
      <c r="R25" s="59">
        <v>9952020</v>
      </c>
      <c r="S25" s="59">
        <v>5683268</v>
      </c>
      <c r="T25" s="59">
        <f t="shared" si="3"/>
        <v>4268752</v>
      </c>
      <c r="U25" s="63">
        <f t="shared" si="0"/>
        <v>1.7511086930969999</v>
      </c>
      <c r="V25" s="120">
        <v>49</v>
      </c>
      <c r="W25" s="115" t="s">
        <v>235</v>
      </c>
    </row>
    <row r="26" spans="2:23" x14ac:dyDescent="0.35">
      <c r="B26" s="224" t="s">
        <v>133</v>
      </c>
      <c r="C26" s="53" t="s">
        <v>81</v>
      </c>
      <c r="D26" s="62">
        <v>24121</v>
      </c>
      <c r="E26" s="63">
        <f t="shared" si="1"/>
        <v>0.74217486837195801</v>
      </c>
      <c r="F26" s="56">
        <v>17902</v>
      </c>
      <c r="G26" s="57">
        <v>15</v>
      </c>
      <c r="H26" s="56">
        <f t="shared" si="2"/>
        <v>268530</v>
      </c>
      <c r="I26" s="59">
        <v>4391116.95</v>
      </c>
      <c r="J26" s="287">
        <f t="shared" si="4"/>
        <v>1.6960638930952791E-2</v>
      </c>
      <c r="K26" s="61" t="s">
        <v>82</v>
      </c>
      <c r="L26" s="61" t="s">
        <v>82</v>
      </c>
      <c r="M26" s="61" t="s">
        <v>82</v>
      </c>
      <c r="N26" s="61" t="s">
        <v>82</v>
      </c>
      <c r="O26" s="61" t="s">
        <v>82</v>
      </c>
      <c r="P26" s="61" t="s">
        <v>82</v>
      </c>
      <c r="Q26" s="61" t="s">
        <v>82</v>
      </c>
      <c r="R26" s="59">
        <v>22538912</v>
      </c>
      <c r="S26" s="59">
        <v>5540910</v>
      </c>
      <c r="T26" s="59">
        <f t="shared" si="3"/>
        <v>16998002</v>
      </c>
      <c r="U26" s="63">
        <f t="shared" si="0"/>
        <v>4.0677275032440523</v>
      </c>
      <c r="V26" s="165">
        <v>24</v>
      </c>
      <c r="W26" s="115" t="s">
        <v>235</v>
      </c>
    </row>
    <row r="27" spans="2:23" x14ac:dyDescent="0.35">
      <c r="B27" s="2" t="s">
        <v>86</v>
      </c>
      <c r="C27" s="53" t="s">
        <v>81</v>
      </c>
      <c r="D27" s="62">
        <v>27518</v>
      </c>
      <c r="E27" s="63">
        <f t="shared" si="1"/>
        <v>0.5200232575041791</v>
      </c>
      <c r="F27" s="56">
        <v>14310</v>
      </c>
      <c r="G27" s="57">
        <v>12</v>
      </c>
      <c r="H27" s="56">
        <f t="shared" si="2"/>
        <v>171720</v>
      </c>
      <c r="I27" s="59">
        <v>4906210.7699999996</v>
      </c>
      <c r="J27" s="287">
        <f t="shared" si="4"/>
        <v>2.9432452284188445E-2</v>
      </c>
      <c r="K27" s="61" t="s">
        <v>82</v>
      </c>
      <c r="L27" s="61" t="s">
        <v>82</v>
      </c>
      <c r="M27" s="61" t="s">
        <v>82</v>
      </c>
      <c r="N27" s="61" t="s">
        <v>82</v>
      </c>
      <c r="O27" s="61" t="s">
        <v>82</v>
      </c>
      <c r="P27" s="61" t="s">
        <v>82</v>
      </c>
      <c r="Q27" s="61" t="s">
        <v>82</v>
      </c>
      <c r="R27" s="59">
        <v>15772144</v>
      </c>
      <c r="S27" s="59">
        <v>4830386</v>
      </c>
      <c r="T27" s="59">
        <f t="shared" si="3"/>
        <v>10941758</v>
      </c>
      <c r="U27" s="63">
        <f t="shared" si="0"/>
        <v>3.2651932992518611</v>
      </c>
      <c r="V27" s="56">
        <v>59</v>
      </c>
      <c r="W27" s="115" t="s">
        <v>235</v>
      </c>
    </row>
    <row r="28" spans="2:23" x14ac:dyDescent="0.35">
      <c r="B28" s="2" t="s">
        <v>134</v>
      </c>
      <c r="C28" s="53" t="s">
        <v>81</v>
      </c>
      <c r="D28" s="62">
        <v>265158</v>
      </c>
      <c r="E28" s="63">
        <f t="shared" si="1"/>
        <v>0.62999796347837889</v>
      </c>
      <c r="F28" s="56">
        <v>167049</v>
      </c>
      <c r="G28" s="57">
        <v>3</v>
      </c>
      <c r="H28" s="56">
        <f>F28*G28</f>
        <v>501147</v>
      </c>
      <c r="I28" s="59">
        <v>11966763.43</v>
      </c>
      <c r="J28" s="287">
        <f t="shared" si="4"/>
        <v>2.4098769576648155E-2</v>
      </c>
      <c r="K28" s="61" t="s">
        <v>82</v>
      </c>
      <c r="L28" s="61" t="s">
        <v>82</v>
      </c>
      <c r="M28" s="61" t="s">
        <v>82</v>
      </c>
      <c r="N28" s="61" t="s">
        <v>82</v>
      </c>
      <c r="O28" s="61" t="s">
        <v>82</v>
      </c>
      <c r="P28" s="61" t="s">
        <v>82</v>
      </c>
      <c r="Q28" s="61" t="s">
        <v>82</v>
      </c>
      <c r="R28" s="59">
        <v>90575830</v>
      </c>
      <c r="S28" s="59">
        <v>46488366</v>
      </c>
      <c r="T28" s="59">
        <f t="shared" si="3"/>
        <v>44087464</v>
      </c>
      <c r="U28" s="63">
        <f t="shared" si="0"/>
        <v>1.9483547776232875</v>
      </c>
      <c r="V28" s="120">
        <v>2421109</v>
      </c>
      <c r="W28" s="115" t="s">
        <v>141</v>
      </c>
    </row>
    <row r="29" spans="2:23" x14ac:dyDescent="0.35">
      <c r="B29" s="2" t="s">
        <v>108</v>
      </c>
      <c r="C29" s="53" t="s">
        <v>81</v>
      </c>
      <c r="D29" s="62">
        <v>28119</v>
      </c>
      <c r="E29" s="63">
        <f t="shared" si="1"/>
        <v>0.62587574238059673</v>
      </c>
      <c r="F29" s="56">
        <v>17599</v>
      </c>
      <c r="G29" s="57" t="s">
        <v>82</v>
      </c>
      <c r="H29" s="56" t="s">
        <v>82</v>
      </c>
      <c r="I29" s="57" t="s">
        <v>82</v>
      </c>
      <c r="J29" s="57" t="s">
        <v>82</v>
      </c>
      <c r="K29" s="61" t="s">
        <v>82</v>
      </c>
      <c r="L29" s="61" t="s">
        <v>82</v>
      </c>
      <c r="M29" s="61" t="s">
        <v>82</v>
      </c>
      <c r="N29" s="61" t="s">
        <v>82</v>
      </c>
      <c r="O29" s="61" t="s">
        <v>82</v>
      </c>
      <c r="P29" s="61" t="s">
        <v>82</v>
      </c>
      <c r="Q29" s="61" t="s">
        <v>82</v>
      </c>
      <c r="R29" s="227" t="s">
        <v>82</v>
      </c>
      <c r="S29" s="227" t="s">
        <v>82</v>
      </c>
      <c r="T29" s="227" t="s">
        <v>82</v>
      </c>
      <c r="U29" s="227" t="s">
        <v>82</v>
      </c>
      <c r="V29" s="227" t="s">
        <v>82</v>
      </c>
      <c r="W29" s="59" t="s">
        <v>82</v>
      </c>
    </row>
    <row r="30" spans="2:23" x14ac:dyDescent="0.35">
      <c r="B30" s="2" t="s">
        <v>121</v>
      </c>
      <c r="C30" s="53" t="s">
        <v>81</v>
      </c>
      <c r="D30" s="62">
        <v>63739</v>
      </c>
      <c r="E30" s="63">
        <f t="shared" si="1"/>
        <v>0.95000549114356991</v>
      </c>
      <c r="F30" s="56">
        <v>60552.4</v>
      </c>
      <c r="G30" s="57">
        <v>12</v>
      </c>
      <c r="H30" s="56">
        <f t="shared" si="2"/>
        <v>726628.8</v>
      </c>
      <c r="I30" s="59">
        <v>11180835.119999999</v>
      </c>
      <c r="J30" s="287">
        <f t="shared" si="4"/>
        <v>1.5851222528487557E-2</v>
      </c>
      <c r="K30" s="61" t="s">
        <v>82</v>
      </c>
      <c r="L30" s="61" t="s">
        <v>82</v>
      </c>
      <c r="M30" s="61" t="s">
        <v>82</v>
      </c>
      <c r="N30" s="61" t="s">
        <v>82</v>
      </c>
      <c r="O30" s="61" t="s">
        <v>82</v>
      </c>
      <c r="P30" s="61" t="s">
        <v>82</v>
      </c>
      <c r="Q30" s="61" t="s">
        <v>82</v>
      </c>
      <c r="R30" s="59">
        <v>31987029</v>
      </c>
      <c r="S30" s="59">
        <v>10476296</v>
      </c>
      <c r="T30" s="59">
        <f t="shared" si="3"/>
        <v>21510733</v>
      </c>
      <c r="U30" s="63">
        <f>R30/S30</f>
        <v>3.0532765588142983</v>
      </c>
      <c r="V30" s="120">
        <v>7515</v>
      </c>
      <c r="W30" s="115" t="s">
        <v>235</v>
      </c>
    </row>
    <row r="31" spans="2:23" x14ac:dyDescent="0.35">
      <c r="B31" s="224" t="s">
        <v>217</v>
      </c>
      <c r="C31" s="53" t="s">
        <v>81</v>
      </c>
      <c r="D31" s="160">
        <v>98.9</v>
      </c>
      <c r="E31" s="63">
        <f t="shared" si="1"/>
        <v>1</v>
      </c>
      <c r="F31" s="164">
        <v>98.9</v>
      </c>
      <c r="G31" s="57" t="s">
        <v>82</v>
      </c>
      <c r="H31" s="56" t="s">
        <v>82</v>
      </c>
      <c r="I31" s="57" t="s">
        <v>82</v>
      </c>
      <c r="J31" s="57" t="s">
        <v>82</v>
      </c>
      <c r="K31" s="61" t="s">
        <v>82</v>
      </c>
      <c r="L31" s="61" t="s">
        <v>82</v>
      </c>
      <c r="M31" s="61" t="s">
        <v>82</v>
      </c>
      <c r="N31" s="61" t="s">
        <v>82</v>
      </c>
      <c r="O31" s="61" t="s">
        <v>82</v>
      </c>
      <c r="P31" s="61" t="s">
        <v>82</v>
      </c>
      <c r="Q31" s="61" t="s">
        <v>82</v>
      </c>
      <c r="R31" s="275" t="s">
        <v>270</v>
      </c>
      <c r="S31" s="275" t="s">
        <v>270</v>
      </c>
      <c r="T31" s="275" t="s">
        <v>270</v>
      </c>
      <c r="U31" s="227" t="s">
        <v>82</v>
      </c>
      <c r="V31" s="59" t="s">
        <v>82</v>
      </c>
      <c r="W31" s="59" t="s">
        <v>82</v>
      </c>
    </row>
    <row r="32" spans="2:23" ht="14.5" customHeight="1" x14ac:dyDescent="0.35">
      <c r="B32" s="2" t="s">
        <v>216</v>
      </c>
      <c r="C32" s="53" t="s">
        <v>81</v>
      </c>
      <c r="D32" s="137">
        <v>2347.8000000000002</v>
      </c>
      <c r="E32" s="63">
        <f t="shared" si="1"/>
        <v>0.95485135020018741</v>
      </c>
      <c r="F32" s="164">
        <v>2241.8000000000002</v>
      </c>
      <c r="G32" s="57" t="s">
        <v>82</v>
      </c>
      <c r="H32" s="56" t="s">
        <v>82</v>
      </c>
      <c r="I32" s="57" t="s">
        <v>82</v>
      </c>
      <c r="J32" s="57" t="s">
        <v>82</v>
      </c>
      <c r="K32" s="61" t="s">
        <v>82</v>
      </c>
      <c r="L32" s="61" t="s">
        <v>82</v>
      </c>
      <c r="M32" s="61" t="s">
        <v>82</v>
      </c>
      <c r="N32" s="61" t="s">
        <v>82</v>
      </c>
      <c r="O32" s="61" t="s">
        <v>82</v>
      </c>
      <c r="P32" s="61" t="s">
        <v>82</v>
      </c>
      <c r="Q32" s="61" t="s">
        <v>82</v>
      </c>
      <c r="R32" s="227">
        <v>243799</v>
      </c>
      <c r="S32" s="227">
        <v>460042</v>
      </c>
      <c r="T32" s="227">
        <f t="shared" si="3"/>
        <v>-216243</v>
      </c>
      <c r="U32" s="63">
        <f>R32/S32</f>
        <v>0.5299494393990114</v>
      </c>
      <c r="V32" s="59" t="s">
        <v>82</v>
      </c>
      <c r="W32" s="59" t="s">
        <v>82</v>
      </c>
    </row>
    <row r="33" spans="2:23" x14ac:dyDescent="0.35">
      <c r="B33" s="2" t="s">
        <v>123</v>
      </c>
      <c r="C33" s="53" t="s">
        <v>81</v>
      </c>
      <c r="D33" s="57" t="s">
        <v>82</v>
      </c>
      <c r="E33" s="57" t="s">
        <v>82</v>
      </c>
      <c r="F33" s="57" t="s">
        <v>82</v>
      </c>
      <c r="G33" s="57" t="s">
        <v>82</v>
      </c>
      <c r="H33" s="56" t="s">
        <v>82</v>
      </c>
      <c r="I33" s="59">
        <v>555352.49</v>
      </c>
      <c r="J33" s="57" t="s">
        <v>82</v>
      </c>
      <c r="K33" s="61" t="s">
        <v>82</v>
      </c>
      <c r="L33" s="61" t="s">
        <v>82</v>
      </c>
      <c r="M33" s="61" t="s">
        <v>82</v>
      </c>
      <c r="N33" s="61" t="s">
        <v>82</v>
      </c>
      <c r="O33" s="61" t="s">
        <v>82</v>
      </c>
      <c r="P33" s="61" t="s">
        <v>82</v>
      </c>
      <c r="Q33" s="61" t="s">
        <v>82</v>
      </c>
      <c r="R33" s="227" t="s">
        <v>82</v>
      </c>
      <c r="S33" s="227" t="s">
        <v>82</v>
      </c>
      <c r="T33" s="227" t="s">
        <v>82</v>
      </c>
      <c r="U33" s="227" t="s">
        <v>82</v>
      </c>
      <c r="V33" s="227" t="s">
        <v>82</v>
      </c>
      <c r="W33" s="227" t="s">
        <v>82</v>
      </c>
    </row>
    <row r="34" spans="2:23" x14ac:dyDescent="0.35">
      <c r="B34" s="2" t="s">
        <v>264</v>
      </c>
      <c r="C34" s="53" t="s">
        <v>137</v>
      </c>
      <c r="D34" s="160">
        <v>2083</v>
      </c>
      <c r="E34" s="63">
        <f t="shared" si="1"/>
        <v>0.95007201152184351</v>
      </c>
      <c r="F34" s="164">
        <v>1979</v>
      </c>
      <c r="G34" s="57" t="s">
        <v>82</v>
      </c>
      <c r="H34" s="56" t="s">
        <v>82</v>
      </c>
      <c r="I34" s="227">
        <v>800000</v>
      </c>
      <c r="J34" s="57" t="s">
        <v>82</v>
      </c>
      <c r="K34" s="61" t="s">
        <v>82</v>
      </c>
      <c r="L34" s="61" t="s">
        <v>82</v>
      </c>
      <c r="M34" s="61" t="s">
        <v>82</v>
      </c>
      <c r="N34" s="61" t="s">
        <v>82</v>
      </c>
      <c r="O34" s="61" t="s">
        <v>82</v>
      </c>
      <c r="P34" s="61" t="s">
        <v>82</v>
      </c>
      <c r="Q34" s="61" t="s">
        <v>82</v>
      </c>
      <c r="R34" s="275" t="s">
        <v>251</v>
      </c>
      <c r="S34" s="275" t="s">
        <v>251</v>
      </c>
      <c r="T34" s="275" t="s">
        <v>251</v>
      </c>
      <c r="U34" s="227" t="s">
        <v>82</v>
      </c>
      <c r="V34" s="120">
        <v>74</v>
      </c>
      <c r="W34" s="115" t="s">
        <v>235</v>
      </c>
    </row>
    <row r="35" spans="2:23" x14ac:dyDescent="0.35">
      <c r="B35" s="2" t="s">
        <v>121</v>
      </c>
      <c r="C35" s="53" t="s">
        <v>137</v>
      </c>
      <c r="D35" s="160">
        <v>71564</v>
      </c>
      <c r="E35" s="166">
        <f>F35/D35</f>
        <v>0.95000279470124649</v>
      </c>
      <c r="F35" s="112">
        <v>67986</v>
      </c>
      <c r="G35" s="60" t="s">
        <v>82</v>
      </c>
      <c r="H35" s="56" t="s">
        <v>82</v>
      </c>
      <c r="I35" s="1">
        <v>19503901</v>
      </c>
      <c r="J35" s="57" t="s">
        <v>82</v>
      </c>
      <c r="K35" s="61" t="s">
        <v>82</v>
      </c>
      <c r="L35" s="61" t="s">
        <v>82</v>
      </c>
      <c r="M35" s="61" t="s">
        <v>82</v>
      </c>
      <c r="N35" s="61" t="s">
        <v>82</v>
      </c>
      <c r="O35" s="61" t="s">
        <v>82</v>
      </c>
      <c r="P35" s="61" t="s">
        <v>82</v>
      </c>
      <c r="Q35" s="61" t="s">
        <v>82</v>
      </c>
      <c r="R35" s="227" t="s">
        <v>82</v>
      </c>
      <c r="S35" s="227" t="s">
        <v>82</v>
      </c>
      <c r="T35" s="227" t="s">
        <v>82</v>
      </c>
      <c r="U35" s="227" t="s">
        <v>82</v>
      </c>
      <c r="V35" s="167">
        <v>7515</v>
      </c>
      <c r="W35" s="115" t="s">
        <v>235</v>
      </c>
    </row>
    <row r="36" spans="2:23" x14ac:dyDescent="0.35">
      <c r="B36" s="288" t="s">
        <v>299</v>
      </c>
      <c r="C36" s="53" t="s">
        <v>295</v>
      </c>
      <c r="D36" s="117">
        <v>72727.154999999999</v>
      </c>
      <c r="E36" s="283">
        <f>F36/D36</f>
        <v>0.84487230388704193</v>
      </c>
      <c r="F36" s="117">
        <v>61445.159</v>
      </c>
      <c r="G36" s="61" t="s">
        <v>82</v>
      </c>
      <c r="H36" s="61" t="s">
        <v>82</v>
      </c>
      <c r="I36" s="61" t="s">
        <v>82</v>
      </c>
      <c r="J36" s="61" t="s">
        <v>82</v>
      </c>
      <c r="K36" s="61" t="s">
        <v>82</v>
      </c>
      <c r="L36" s="61" t="s">
        <v>82</v>
      </c>
      <c r="M36" s="61" t="s">
        <v>82</v>
      </c>
      <c r="N36" s="61" t="s">
        <v>82</v>
      </c>
      <c r="O36" s="61" t="s">
        <v>82</v>
      </c>
      <c r="P36" s="61" t="s">
        <v>82</v>
      </c>
      <c r="Q36" s="61" t="s">
        <v>82</v>
      </c>
      <c r="R36" s="351">
        <v>50457603</v>
      </c>
      <c r="S36" s="312">
        <v>23123299</v>
      </c>
      <c r="T36" s="75">
        <f t="shared" ref="T36:T42" si="5">R36-S36</f>
        <v>27334304</v>
      </c>
      <c r="U36" s="63">
        <f t="shared" ref="U36:U42" si="6">R36/S36</f>
        <v>2.1821109090013495</v>
      </c>
      <c r="V36" s="108">
        <v>923</v>
      </c>
      <c r="W36" s="115" t="s">
        <v>235</v>
      </c>
    </row>
    <row r="37" spans="2:23" x14ac:dyDescent="0.35">
      <c r="B37" s="288" t="s">
        <v>300</v>
      </c>
      <c r="C37" s="53" t="s">
        <v>295</v>
      </c>
      <c r="D37" s="117">
        <v>12494.107</v>
      </c>
      <c r="E37" s="283">
        <f t="shared" ref="E37:E40" si="7">F37/D37</f>
        <v>0.68004420003766575</v>
      </c>
      <c r="F37" s="117">
        <v>8496.5450000000001</v>
      </c>
      <c r="G37" s="61" t="s">
        <v>82</v>
      </c>
      <c r="H37" s="61" t="s">
        <v>82</v>
      </c>
      <c r="I37" s="61" t="s">
        <v>82</v>
      </c>
      <c r="J37" s="61" t="s">
        <v>82</v>
      </c>
      <c r="K37" s="61" t="s">
        <v>82</v>
      </c>
      <c r="L37" s="61" t="s">
        <v>82</v>
      </c>
      <c r="M37" s="61" t="s">
        <v>82</v>
      </c>
      <c r="N37" s="61" t="s">
        <v>82</v>
      </c>
      <c r="O37" s="61" t="s">
        <v>82</v>
      </c>
      <c r="P37" s="61" t="s">
        <v>82</v>
      </c>
      <c r="Q37" s="61" t="s">
        <v>82</v>
      </c>
      <c r="R37" s="351">
        <v>6531326</v>
      </c>
      <c r="S37" s="312">
        <v>3006448</v>
      </c>
      <c r="T37" s="75">
        <f t="shared" si="5"/>
        <v>3524878</v>
      </c>
      <c r="U37" s="63">
        <f t="shared" si="6"/>
        <v>2.1724393703134064</v>
      </c>
      <c r="V37" s="108">
        <v>179</v>
      </c>
      <c r="W37" s="115" t="s">
        <v>235</v>
      </c>
    </row>
    <row r="38" spans="2:23" x14ac:dyDescent="0.35">
      <c r="B38" s="2" t="s">
        <v>309</v>
      </c>
      <c r="C38" s="53" t="s">
        <v>295</v>
      </c>
      <c r="D38" s="117">
        <v>848.39300000000003</v>
      </c>
      <c r="E38" s="283">
        <f t="shared" si="7"/>
        <v>0.76556501527004583</v>
      </c>
      <c r="F38" s="117">
        <v>649.5</v>
      </c>
      <c r="G38" s="61" t="s">
        <v>82</v>
      </c>
      <c r="H38" s="61" t="s">
        <v>82</v>
      </c>
      <c r="I38" s="61" t="s">
        <v>82</v>
      </c>
      <c r="J38" s="61" t="s">
        <v>82</v>
      </c>
      <c r="K38" s="61" t="s">
        <v>82</v>
      </c>
      <c r="L38" s="61" t="s">
        <v>82</v>
      </c>
      <c r="M38" s="61" t="s">
        <v>82</v>
      </c>
      <c r="N38" s="61" t="s">
        <v>82</v>
      </c>
      <c r="O38" s="61" t="s">
        <v>82</v>
      </c>
      <c r="P38" s="61" t="s">
        <v>82</v>
      </c>
      <c r="Q38" s="61" t="s">
        <v>82</v>
      </c>
      <c r="R38" s="351">
        <v>1021484</v>
      </c>
      <c r="S38" s="312">
        <v>340852</v>
      </c>
      <c r="T38" s="75">
        <f t="shared" si="5"/>
        <v>680632</v>
      </c>
      <c r="U38" s="63">
        <f t="shared" si="6"/>
        <v>2.9968549399739475</v>
      </c>
      <c r="V38" s="108">
        <v>8</v>
      </c>
      <c r="W38" s="115" t="s">
        <v>235</v>
      </c>
    </row>
    <row r="39" spans="2:23" ht="14.5" customHeight="1" x14ac:dyDescent="0.35">
      <c r="B39" s="2" t="s">
        <v>319</v>
      </c>
      <c r="C39" s="53" t="s">
        <v>295</v>
      </c>
      <c r="D39" s="117">
        <v>5094.8490000000002</v>
      </c>
      <c r="E39" s="283">
        <f t="shared" si="7"/>
        <v>0.97306102693131824</v>
      </c>
      <c r="F39" s="117">
        <v>4957.5990000000002</v>
      </c>
      <c r="G39" s="61" t="s">
        <v>82</v>
      </c>
      <c r="H39" s="61" t="s">
        <v>82</v>
      </c>
      <c r="I39" s="61" t="s">
        <v>82</v>
      </c>
      <c r="J39" s="61" t="s">
        <v>82</v>
      </c>
      <c r="K39" s="61" t="s">
        <v>82</v>
      </c>
      <c r="L39" s="61" t="s">
        <v>82</v>
      </c>
      <c r="M39" s="61" t="s">
        <v>82</v>
      </c>
      <c r="N39" s="61" t="s">
        <v>82</v>
      </c>
      <c r="O39" s="61" t="s">
        <v>82</v>
      </c>
      <c r="P39" s="61" t="s">
        <v>82</v>
      </c>
      <c r="Q39" s="61" t="s">
        <v>82</v>
      </c>
      <c r="R39" s="351">
        <v>3480123</v>
      </c>
      <c r="S39" s="312">
        <v>2050748</v>
      </c>
      <c r="T39" s="75">
        <f t="shared" si="5"/>
        <v>1429375</v>
      </c>
      <c r="U39" s="63">
        <f t="shared" si="6"/>
        <v>1.6970017769126191</v>
      </c>
      <c r="V39" s="108">
        <v>33</v>
      </c>
      <c r="W39" s="115" t="s">
        <v>235</v>
      </c>
    </row>
    <row r="40" spans="2:23" ht="14.5" customHeight="1" x14ac:dyDescent="0.35">
      <c r="B40" s="2" t="s">
        <v>318</v>
      </c>
      <c r="C40" s="53" t="s">
        <v>295</v>
      </c>
      <c r="D40" s="117">
        <v>2483.9569999999999</v>
      </c>
      <c r="E40" s="283">
        <f t="shared" si="7"/>
        <v>0.97564651884070464</v>
      </c>
      <c r="F40" s="117">
        <v>2423.4639999999999</v>
      </c>
      <c r="G40" s="61" t="s">
        <v>82</v>
      </c>
      <c r="H40" s="61" t="s">
        <v>82</v>
      </c>
      <c r="I40" s="61" t="s">
        <v>82</v>
      </c>
      <c r="J40" s="61" t="s">
        <v>82</v>
      </c>
      <c r="K40" s="61" t="s">
        <v>82</v>
      </c>
      <c r="L40" s="61" t="s">
        <v>82</v>
      </c>
      <c r="M40" s="61" t="s">
        <v>82</v>
      </c>
      <c r="N40" s="61" t="s">
        <v>82</v>
      </c>
      <c r="O40" s="61" t="s">
        <v>82</v>
      </c>
      <c r="P40" s="61" t="s">
        <v>82</v>
      </c>
      <c r="Q40" s="61" t="s">
        <v>82</v>
      </c>
      <c r="R40" s="351">
        <v>731954</v>
      </c>
      <c r="S40" s="312">
        <v>689342</v>
      </c>
      <c r="T40" s="75">
        <f t="shared" si="5"/>
        <v>42612</v>
      </c>
      <c r="U40" s="63">
        <f t="shared" si="6"/>
        <v>1.061815470405111</v>
      </c>
      <c r="V40" s="335">
        <v>9427</v>
      </c>
      <c r="W40" s="115" t="s">
        <v>141</v>
      </c>
    </row>
    <row r="41" spans="2:23" ht="14.5" customHeight="1" x14ac:dyDescent="0.35">
      <c r="B41" s="2" t="s">
        <v>310</v>
      </c>
      <c r="C41" s="53" t="s">
        <v>295</v>
      </c>
      <c r="D41" s="327" t="s">
        <v>82</v>
      </c>
      <c r="E41" s="53" t="s">
        <v>82</v>
      </c>
      <c r="F41" s="117">
        <v>59.960999999999999</v>
      </c>
      <c r="G41" s="61" t="s">
        <v>82</v>
      </c>
      <c r="H41" s="61" t="s">
        <v>82</v>
      </c>
      <c r="I41" s="61" t="s">
        <v>82</v>
      </c>
      <c r="J41" s="61" t="s">
        <v>82</v>
      </c>
      <c r="K41" s="61" t="s">
        <v>82</v>
      </c>
      <c r="L41" s="61" t="s">
        <v>82</v>
      </c>
      <c r="M41" s="61" t="s">
        <v>82</v>
      </c>
      <c r="N41" s="61" t="s">
        <v>82</v>
      </c>
      <c r="O41" s="61" t="s">
        <v>82</v>
      </c>
      <c r="P41" s="61" t="s">
        <v>82</v>
      </c>
      <c r="Q41" s="61" t="s">
        <v>82</v>
      </c>
      <c r="R41" s="351">
        <v>43664</v>
      </c>
      <c r="S41" s="312">
        <v>128546</v>
      </c>
      <c r="T41" s="75">
        <f t="shared" si="5"/>
        <v>-84882</v>
      </c>
      <c r="U41" s="63">
        <f t="shared" si="6"/>
        <v>0.33967606926703281</v>
      </c>
      <c r="V41" s="345">
        <v>82</v>
      </c>
      <c r="W41" s="203" t="s">
        <v>193</v>
      </c>
    </row>
    <row r="42" spans="2:23" ht="14.5" customHeight="1" x14ac:dyDescent="0.35">
      <c r="B42" s="288" t="s">
        <v>317</v>
      </c>
      <c r="C42" s="53" t="s">
        <v>295</v>
      </c>
      <c r="D42" s="327" t="s">
        <v>82</v>
      </c>
      <c r="E42" s="53" t="s">
        <v>82</v>
      </c>
      <c r="F42" s="346">
        <v>1028.569</v>
      </c>
      <c r="G42" s="61" t="s">
        <v>82</v>
      </c>
      <c r="H42" s="61" t="s">
        <v>82</v>
      </c>
      <c r="I42" s="61" t="s">
        <v>82</v>
      </c>
      <c r="J42" s="61" t="s">
        <v>82</v>
      </c>
      <c r="K42" s="61" t="s">
        <v>82</v>
      </c>
      <c r="L42" s="61" t="s">
        <v>82</v>
      </c>
      <c r="M42" s="61" t="s">
        <v>82</v>
      </c>
      <c r="N42" s="61" t="s">
        <v>82</v>
      </c>
      <c r="O42" s="61" t="s">
        <v>82</v>
      </c>
      <c r="P42" s="61" t="s">
        <v>82</v>
      </c>
      <c r="Q42" s="61" t="s">
        <v>82</v>
      </c>
      <c r="R42" s="352">
        <v>767321</v>
      </c>
      <c r="S42" s="353">
        <v>383927</v>
      </c>
      <c r="T42" s="75">
        <f t="shared" si="5"/>
        <v>383394</v>
      </c>
      <c r="U42" s="63">
        <f t="shared" si="6"/>
        <v>1.9986117152479508</v>
      </c>
      <c r="V42" s="345">
        <v>247</v>
      </c>
      <c r="W42" s="115" t="s">
        <v>235</v>
      </c>
    </row>
    <row r="43" spans="2:23" x14ac:dyDescent="0.35">
      <c r="B43" s="4" t="s">
        <v>7</v>
      </c>
      <c r="C43" s="4"/>
      <c r="D43" s="65">
        <f>SUM(D22:D42)</f>
        <v>920602.76100000017</v>
      </c>
      <c r="E43" s="69">
        <f>F43/D43</f>
        <v>0.72663968145539803</v>
      </c>
      <c r="F43" s="65">
        <f>SUM(F22:F42)</f>
        <v>668946.49700000009</v>
      </c>
      <c r="G43" s="118">
        <f>H43/F43</f>
        <v>6.6038091533649208</v>
      </c>
      <c r="H43" s="65">
        <f>SUM(H22:H42)</f>
        <v>4417595</v>
      </c>
      <c r="I43" s="67">
        <f>SUM(I22:I42)</f>
        <v>94835683.939999998</v>
      </c>
      <c r="J43" s="248">
        <f t="shared" ref="J43" si="8">-PMT( 0.46%,G43,I43)/(F43*1000)</f>
        <v>2.1844771124144183E-2</v>
      </c>
      <c r="K43" s="68" t="s">
        <v>82</v>
      </c>
      <c r="L43" s="68" t="s">
        <v>82</v>
      </c>
      <c r="M43" s="68" t="s">
        <v>82</v>
      </c>
      <c r="N43" s="68" t="s">
        <v>82</v>
      </c>
      <c r="O43" s="68" t="s">
        <v>82</v>
      </c>
      <c r="P43" s="68" t="s">
        <v>82</v>
      </c>
      <c r="Q43" s="68" t="s">
        <v>82</v>
      </c>
      <c r="R43" s="72">
        <f>SUM(R22:R42)</f>
        <v>450607146</v>
      </c>
      <c r="S43" s="72">
        <f>SUM(S22:S42)</f>
        <v>275384204</v>
      </c>
      <c r="T43" s="72">
        <f>SUM(T22:T42)</f>
        <v>175222942</v>
      </c>
      <c r="U43" s="73">
        <f t="shared" ref="U43" si="9">R43/S43</f>
        <v>1.6362853767749148</v>
      </c>
      <c r="V43" s="74">
        <f>SUM(V22:V42)</f>
        <v>2451089</v>
      </c>
      <c r="W43" s="68" t="s">
        <v>82</v>
      </c>
    </row>
    <row r="44" spans="2:23" x14ac:dyDescent="0.35">
      <c r="B44" s="31" t="s">
        <v>14</v>
      </c>
      <c r="C44" s="31"/>
      <c r="D44" s="255">
        <f>SUM(D22:D35)</f>
        <v>826954.3</v>
      </c>
      <c r="E44" s="340">
        <f>F44/D44</f>
        <v>0.71332321507972074</v>
      </c>
      <c r="F44" s="255">
        <f>SUM(F22:F35)</f>
        <v>589885.69999999995</v>
      </c>
      <c r="G44" s="256">
        <f>H44/F44</f>
        <v>7.488899968248087</v>
      </c>
      <c r="H44" s="255">
        <f>SUM(H22:H35)</f>
        <v>4417595</v>
      </c>
      <c r="I44" s="321">
        <f>SUM(I22:I35)</f>
        <v>94835683.939999998</v>
      </c>
      <c r="J44" s="322">
        <f t="shared" ref="J44" si="10">-PMT( 0.46%,G44,I44)/(F44*1000)</f>
        <v>2.1888944223729632E-2</v>
      </c>
      <c r="K44" s="323" t="s">
        <v>82</v>
      </c>
      <c r="L44" s="323" t="s">
        <v>82</v>
      </c>
      <c r="M44" s="324" t="s">
        <v>82</v>
      </c>
      <c r="N44" s="324" t="s">
        <v>82</v>
      </c>
      <c r="O44" s="324" t="s">
        <v>82</v>
      </c>
      <c r="P44" s="323" t="s">
        <v>82</v>
      </c>
      <c r="Q44" s="323" t="s">
        <v>82</v>
      </c>
      <c r="R44" s="361">
        <f>SUM(R26:R34)</f>
        <v>161117714</v>
      </c>
      <c r="S44" s="321">
        <f>SUM(S26:S35)</f>
        <v>67796000</v>
      </c>
      <c r="T44" s="325">
        <f>R44-S44</f>
        <v>93321714</v>
      </c>
      <c r="U44" s="259">
        <f>R44/S44</f>
        <v>2.3765076700690306</v>
      </c>
      <c r="V44" s="326" t="s">
        <v>82</v>
      </c>
      <c r="W44" s="326" t="s">
        <v>82</v>
      </c>
    </row>
    <row r="45" spans="2:23" x14ac:dyDescent="0.35">
      <c r="B45" s="31" t="s">
        <v>15</v>
      </c>
      <c r="C45" s="31"/>
      <c r="D45" s="255">
        <f>SUM(D36:D42)</f>
        <v>93648.460999999996</v>
      </c>
      <c r="E45" s="340">
        <f>F45/D45</f>
        <v>0.84422953837970705</v>
      </c>
      <c r="F45" s="255">
        <f>SUM(F36:F42)</f>
        <v>79060.796999999991</v>
      </c>
      <c r="G45" s="323" t="s">
        <v>82</v>
      </c>
      <c r="H45" s="323" t="s">
        <v>82</v>
      </c>
      <c r="I45" s="323" t="s">
        <v>82</v>
      </c>
      <c r="J45" s="323" t="s">
        <v>82</v>
      </c>
      <c r="K45" s="323" t="s">
        <v>82</v>
      </c>
      <c r="L45" s="323" t="s">
        <v>82</v>
      </c>
      <c r="M45" s="324" t="s">
        <v>82</v>
      </c>
      <c r="N45" s="324" t="s">
        <v>82</v>
      </c>
      <c r="O45" s="324" t="s">
        <v>82</v>
      </c>
      <c r="P45" s="323" t="s">
        <v>82</v>
      </c>
      <c r="Q45" s="323" t="s">
        <v>82</v>
      </c>
      <c r="R45" s="29">
        <f>SUM(R36:R42)</f>
        <v>63033475</v>
      </c>
      <c r="S45" s="29">
        <f>SUM(S36:S42)</f>
        <v>29723162</v>
      </c>
      <c r="T45" s="325">
        <f>R45-S45</f>
        <v>33310313</v>
      </c>
      <c r="U45" s="259">
        <f>R45/S45</f>
        <v>2.1206853766096621</v>
      </c>
      <c r="V45" s="326" t="s">
        <v>82</v>
      </c>
      <c r="W45" s="326" t="s">
        <v>82</v>
      </c>
    </row>
    <row r="46" spans="2:23" ht="15.65" customHeight="1" x14ac:dyDescent="0.35">
      <c r="B46" s="409" t="s">
        <v>1</v>
      </c>
      <c r="C46" s="410"/>
      <c r="D46" s="410"/>
      <c r="E46" s="410"/>
      <c r="F46" s="410"/>
      <c r="G46" s="410"/>
      <c r="H46" s="410"/>
      <c r="I46" s="410"/>
      <c r="J46" s="410"/>
      <c r="K46" s="410"/>
      <c r="L46" s="410"/>
      <c r="M46" s="410"/>
      <c r="N46" s="410"/>
      <c r="O46" s="410"/>
      <c r="P46" s="410"/>
      <c r="Q46" s="410"/>
      <c r="R46" s="410"/>
      <c r="S46" s="410"/>
      <c r="T46" s="410"/>
      <c r="U46" s="410"/>
      <c r="V46" s="410"/>
      <c r="W46" s="411"/>
    </row>
    <row r="47" spans="2:23" x14ac:dyDescent="0.35">
      <c r="B47" s="2" t="s">
        <v>263</v>
      </c>
      <c r="C47" s="271" t="s">
        <v>81</v>
      </c>
      <c r="D47" s="273">
        <v>340774</v>
      </c>
      <c r="E47" s="63">
        <f>F47/D47</f>
        <v>0.5400001173798471</v>
      </c>
      <c r="F47" s="83">
        <v>184018</v>
      </c>
      <c r="G47" s="84">
        <v>5.2</v>
      </c>
      <c r="H47" s="83">
        <f>F47*G47</f>
        <v>956893.6</v>
      </c>
      <c r="I47" s="86">
        <v>13782316.16</v>
      </c>
      <c r="J47" s="287">
        <f t="shared" ref="J47" si="11">-PMT( 0.46%,G47,I47)/(F47*1000)</f>
        <v>1.4609234899782097E-2</v>
      </c>
      <c r="K47" s="61" t="s">
        <v>82</v>
      </c>
      <c r="L47" s="61" t="s">
        <v>82</v>
      </c>
      <c r="M47" s="61" t="s">
        <v>82</v>
      </c>
      <c r="N47" s="61" t="s">
        <v>82</v>
      </c>
      <c r="O47" s="61" t="s">
        <v>82</v>
      </c>
      <c r="P47" s="61" t="s">
        <v>82</v>
      </c>
      <c r="Q47" s="61" t="s">
        <v>82</v>
      </c>
      <c r="R47" s="78">
        <v>67812105</v>
      </c>
      <c r="S47" s="78">
        <v>9321442</v>
      </c>
      <c r="T47" s="78">
        <f>R47-S47</f>
        <v>58490663</v>
      </c>
      <c r="U47" s="63">
        <v>7.27</v>
      </c>
      <c r="V47" s="83">
        <v>8965546</v>
      </c>
      <c r="W47" s="115" t="s">
        <v>141</v>
      </c>
    </row>
    <row r="48" spans="2:23" x14ac:dyDescent="0.35">
      <c r="B48" s="2" t="s">
        <v>258</v>
      </c>
      <c r="C48" s="271" t="s">
        <v>81</v>
      </c>
      <c r="D48" s="272">
        <v>176194</v>
      </c>
      <c r="E48" s="63">
        <f t="shared" ref="E48:E55" si="12">F48/D48</f>
        <v>0.5402283846214968</v>
      </c>
      <c r="F48" s="165">
        <v>95185</v>
      </c>
      <c r="G48" s="84">
        <v>5.2</v>
      </c>
      <c r="H48" s="83">
        <f>F48*G48</f>
        <v>494962</v>
      </c>
      <c r="I48" s="57" t="s">
        <v>82</v>
      </c>
      <c r="J48" s="57" t="s">
        <v>82</v>
      </c>
      <c r="K48" s="61" t="s">
        <v>82</v>
      </c>
      <c r="L48" s="61" t="s">
        <v>82</v>
      </c>
      <c r="M48" s="61" t="s">
        <v>82</v>
      </c>
      <c r="N48" s="61" t="s">
        <v>82</v>
      </c>
      <c r="O48" s="61" t="s">
        <v>82</v>
      </c>
      <c r="P48" s="61" t="s">
        <v>82</v>
      </c>
      <c r="Q48" s="61" t="s">
        <v>82</v>
      </c>
      <c r="R48" s="61" t="s">
        <v>82</v>
      </c>
      <c r="S48" s="61" t="s">
        <v>82</v>
      </c>
      <c r="T48" s="61" t="s">
        <v>82</v>
      </c>
      <c r="U48" s="55" t="s">
        <v>82</v>
      </c>
      <c r="V48" s="54" t="s">
        <v>82</v>
      </c>
      <c r="W48" s="204" t="s">
        <v>82</v>
      </c>
    </row>
    <row r="49" spans="2:23" x14ac:dyDescent="0.35">
      <c r="B49" s="2" t="s">
        <v>88</v>
      </c>
      <c r="C49" s="53" t="s">
        <v>81</v>
      </c>
      <c r="D49" s="273">
        <v>35478</v>
      </c>
      <c r="E49" s="63">
        <f t="shared" si="12"/>
        <v>0.71399176954732513</v>
      </c>
      <c r="F49" s="83">
        <v>25331</v>
      </c>
      <c r="G49" s="84">
        <v>8</v>
      </c>
      <c r="H49" s="83">
        <f t="shared" ref="H49:H55" si="13">F49*G49</f>
        <v>202648</v>
      </c>
      <c r="I49" s="86">
        <v>6817035.8600000003</v>
      </c>
      <c r="J49" s="287">
        <f t="shared" ref="J49:J55" si="14">-PMT( 0.46%,G49,I49)/(F49*1000)</f>
        <v>3.433986051230814E-2</v>
      </c>
      <c r="K49" s="61" t="s">
        <v>82</v>
      </c>
      <c r="L49" s="61" t="s">
        <v>82</v>
      </c>
      <c r="M49" s="61" t="s">
        <v>82</v>
      </c>
      <c r="N49" s="61" t="s">
        <v>82</v>
      </c>
      <c r="O49" s="61" t="s">
        <v>82</v>
      </c>
      <c r="P49" s="61" t="s">
        <v>82</v>
      </c>
      <c r="Q49" s="61" t="s">
        <v>82</v>
      </c>
      <c r="R49" s="78">
        <v>12623132</v>
      </c>
      <c r="S49" s="78">
        <v>5385526</v>
      </c>
      <c r="T49" s="78">
        <f t="shared" ref="T49:T55" si="15">R49-S49</f>
        <v>7237606</v>
      </c>
      <c r="U49" s="63">
        <v>2.34</v>
      </c>
      <c r="V49" s="83">
        <v>42313</v>
      </c>
      <c r="W49" s="115" t="s">
        <v>141</v>
      </c>
    </row>
    <row r="50" spans="2:23" ht="29.25" customHeight="1" x14ac:dyDescent="0.35">
      <c r="B50" s="2" t="s">
        <v>266</v>
      </c>
      <c r="C50" s="53" t="s">
        <v>81</v>
      </c>
      <c r="D50" s="273">
        <v>21974</v>
      </c>
      <c r="E50" s="63">
        <f t="shared" si="12"/>
        <v>0.93150996632383731</v>
      </c>
      <c r="F50" s="83">
        <v>20469</v>
      </c>
      <c r="G50" s="169">
        <v>5.2</v>
      </c>
      <c r="H50" s="83">
        <f t="shared" si="13"/>
        <v>106438.8</v>
      </c>
      <c r="I50" s="134">
        <v>4815027.7</v>
      </c>
      <c r="J50" s="287">
        <f t="shared" si="14"/>
        <v>4.5884682826767387E-2</v>
      </c>
      <c r="K50" s="61" t="s">
        <v>82</v>
      </c>
      <c r="L50" s="61" t="s">
        <v>82</v>
      </c>
      <c r="M50" s="61" t="s">
        <v>82</v>
      </c>
      <c r="N50" s="61" t="s">
        <v>82</v>
      </c>
      <c r="O50" s="61" t="s">
        <v>82</v>
      </c>
      <c r="P50" s="61" t="s">
        <v>82</v>
      </c>
      <c r="Q50" s="61" t="s">
        <v>82</v>
      </c>
      <c r="R50" s="78">
        <v>8620368</v>
      </c>
      <c r="S50" s="78">
        <v>4662083</v>
      </c>
      <c r="T50" s="78">
        <f t="shared" si="15"/>
        <v>3958285</v>
      </c>
      <c r="U50" s="138">
        <v>1.85</v>
      </c>
      <c r="V50" s="139">
        <v>41457</v>
      </c>
      <c r="W50" s="207" t="s">
        <v>312</v>
      </c>
    </row>
    <row r="51" spans="2:23" ht="14.5" customHeight="1" x14ac:dyDescent="0.35">
      <c r="B51" s="2" t="s">
        <v>269</v>
      </c>
      <c r="C51" s="53" t="s">
        <v>81</v>
      </c>
      <c r="D51" s="273">
        <v>4902</v>
      </c>
      <c r="E51" s="63">
        <f t="shared" si="12"/>
        <v>0.79436964504283969</v>
      </c>
      <c r="F51" s="135">
        <f>973+2921</f>
        <v>3894</v>
      </c>
      <c r="G51" s="170">
        <v>5.2</v>
      </c>
      <c r="H51" s="83">
        <f t="shared" si="13"/>
        <v>20248.8</v>
      </c>
      <c r="I51" s="136">
        <v>1405687.4</v>
      </c>
      <c r="J51" s="287">
        <f t="shared" si="14"/>
        <v>7.0413896078743696E-2</v>
      </c>
      <c r="K51" s="61" t="s">
        <v>82</v>
      </c>
      <c r="L51" s="61" t="s">
        <v>82</v>
      </c>
      <c r="M51" s="61" t="s">
        <v>82</v>
      </c>
      <c r="N51" s="61" t="s">
        <v>82</v>
      </c>
      <c r="O51" s="61" t="s">
        <v>82</v>
      </c>
      <c r="P51" s="61" t="s">
        <v>82</v>
      </c>
      <c r="Q51" s="61" t="s">
        <v>82</v>
      </c>
      <c r="R51" s="149">
        <v>4569189</v>
      </c>
      <c r="S51" s="149">
        <v>2217782</v>
      </c>
      <c r="T51" s="78">
        <f t="shared" si="15"/>
        <v>2351407</v>
      </c>
      <c r="U51" s="138">
        <v>2.06</v>
      </c>
      <c r="V51" s="156">
        <v>9575</v>
      </c>
      <c r="W51" s="115" t="s">
        <v>193</v>
      </c>
    </row>
    <row r="52" spans="2:23" x14ac:dyDescent="0.35">
      <c r="B52" s="224" t="s">
        <v>265</v>
      </c>
      <c r="C52" s="53" t="s">
        <v>81</v>
      </c>
      <c r="D52" s="273">
        <v>5515</v>
      </c>
      <c r="E52" s="63">
        <f t="shared" si="12"/>
        <v>0.59002719854941066</v>
      </c>
      <c r="F52" s="135">
        <v>3254</v>
      </c>
      <c r="G52" s="170">
        <v>18</v>
      </c>
      <c r="H52" s="83">
        <f t="shared" si="13"/>
        <v>58572</v>
      </c>
      <c r="I52" s="136">
        <v>4858147.18</v>
      </c>
      <c r="J52" s="287">
        <f t="shared" si="14"/>
        <v>8.6614910577353696E-2</v>
      </c>
      <c r="K52" s="61" t="s">
        <v>82</v>
      </c>
      <c r="L52" s="61" t="s">
        <v>82</v>
      </c>
      <c r="M52" s="61" t="s">
        <v>82</v>
      </c>
      <c r="N52" s="61" t="s">
        <v>82</v>
      </c>
      <c r="O52" s="61" t="s">
        <v>82</v>
      </c>
      <c r="P52" s="61" t="s">
        <v>82</v>
      </c>
      <c r="Q52" s="61" t="s">
        <v>82</v>
      </c>
      <c r="R52" s="149">
        <v>6929283</v>
      </c>
      <c r="S52" s="149">
        <v>8732780</v>
      </c>
      <c r="T52" s="78">
        <f t="shared" si="15"/>
        <v>-1803497</v>
      </c>
      <c r="U52" s="138">
        <v>0.79</v>
      </c>
      <c r="V52" s="120">
        <v>10706</v>
      </c>
      <c r="W52" s="115" t="s">
        <v>193</v>
      </c>
    </row>
    <row r="53" spans="2:23" x14ac:dyDescent="0.35">
      <c r="B53" s="2" t="s">
        <v>114</v>
      </c>
      <c r="C53" s="53" t="s">
        <v>81</v>
      </c>
      <c r="D53" s="270">
        <v>129244</v>
      </c>
      <c r="E53" s="63">
        <f t="shared" si="12"/>
        <v>0.99859954814149976</v>
      </c>
      <c r="F53" s="135">
        <v>129063</v>
      </c>
      <c r="G53" s="170">
        <v>1</v>
      </c>
      <c r="H53" s="83">
        <f t="shared" si="13"/>
        <v>129063</v>
      </c>
      <c r="I53" s="87">
        <v>1788260.03</v>
      </c>
      <c r="J53" s="287">
        <f t="shared" si="14"/>
        <v>1.3919450393513244E-2</v>
      </c>
      <c r="K53" s="61" t="s">
        <v>82</v>
      </c>
      <c r="L53" s="61" t="s">
        <v>82</v>
      </c>
      <c r="M53" s="61" t="s">
        <v>82</v>
      </c>
      <c r="N53" s="61" t="s">
        <v>82</v>
      </c>
      <c r="O53" s="61" t="s">
        <v>82</v>
      </c>
      <c r="P53" s="61" t="s">
        <v>82</v>
      </c>
      <c r="Q53" s="61" t="s">
        <v>82</v>
      </c>
      <c r="R53" s="3">
        <v>5719277</v>
      </c>
      <c r="S53" s="3">
        <v>1788260</v>
      </c>
      <c r="T53" s="78">
        <f t="shared" si="15"/>
        <v>3931017</v>
      </c>
      <c r="U53" s="63">
        <v>3.2</v>
      </c>
      <c r="V53" s="114">
        <v>446587</v>
      </c>
      <c r="W53" s="115" t="s">
        <v>193</v>
      </c>
    </row>
    <row r="54" spans="2:23" x14ac:dyDescent="0.35">
      <c r="B54" s="2" t="s">
        <v>126</v>
      </c>
      <c r="C54" s="53" t="s">
        <v>81</v>
      </c>
      <c r="D54" s="273">
        <v>4162</v>
      </c>
      <c r="E54" s="63">
        <f t="shared" si="12"/>
        <v>0.7599711677078328</v>
      </c>
      <c r="F54" s="135">
        <v>3163</v>
      </c>
      <c r="G54" s="170">
        <v>5.2</v>
      </c>
      <c r="H54" s="83">
        <f t="shared" si="13"/>
        <v>16447.600000000002</v>
      </c>
      <c r="I54" s="87">
        <v>813434.07</v>
      </c>
      <c r="J54" s="287">
        <f t="shared" si="14"/>
        <v>5.0163604686543545E-2</v>
      </c>
      <c r="K54" s="61" t="s">
        <v>82</v>
      </c>
      <c r="L54" s="61" t="s">
        <v>82</v>
      </c>
      <c r="M54" s="61" t="s">
        <v>82</v>
      </c>
      <c r="N54" s="61" t="s">
        <v>82</v>
      </c>
      <c r="O54" s="61" t="s">
        <v>82</v>
      </c>
      <c r="P54" s="61" t="s">
        <v>82</v>
      </c>
      <c r="Q54" s="61" t="s">
        <v>82</v>
      </c>
      <c r="R54" s="153">
        <v>1706442</v>
      </c>
      <c r="S54" s="153">
        <v>797868</v>
      </c>
      <c r="T54" s="78">
        <f t="shared" si="15"/>
        <v>908574</v>
      </c>
      <c r="U54" s="184">
        <v>2.14</v>
      </c>
      <c r="V54" s="172">
        <v>26497</v>
      </c>
      <c r="W54" s="199" t="s">
        <v>238</v>
      </c>
    </row>
    <row r="55" spans="2:23" x14ac:dyDescent="0.35">
      <c r="B55" s="2" t="s">
        <v>127</v>
      </c>
      <c r="C55" s="53" t="s">
        <v>81</v>
      </c>
      <c r="D55" s="274">
        <v>508</v>
      </c>
      <c r="E55" s="63">
        <f t="shared" si="12"/>
        <v>0.79921259842519687</v>
      </c>
      <c r="F55" s="164">
        <v>406</v>
      </c>
      <c r="G55" s="171">
        <v>15</v>
      </c>
      <c r="H55" s="83">
        <f t="shared" si="13"/>
        <v>6090</v>
      </c>
      <c r="I55" s="87">
        <v>22874.83</v>
      </c>
      <c r="J55" s="287">
        <f t="shared" si="14"/>
        <v>3.8958353964153743E-3</v>
      </c>
      <c r="K55" s="61" t="s">
        <v>82</v>
      </c>
      <c r="L55" s="61" t="s">
        <v>82</v>
      </c>
      <c r="M55" s="61" t="s">
        <v>82</v>
      </c>
      <c r="N55" s="61" t="s">
        <v>82</v>
      </c>
      <c r="O55" s="61" t="s">
        <v>82</v>
      </c>
      <c r="P55" s="61" t="s">
        <v>82</v>
      </c>
      <c r="Q55" s="61" t="s">
        <v>82</v>
      </c>
      <c r="R55" s="3">
        <v>511641</v>
      </c>
      <c r="S55" s="3">
        <v>85113</v>
      </c>
      <c r="T55" s="78">
        <f t="shared" si="15"/>
        <v>426528</v>
      </c>
      <c r="U55" s="63">
        <v>6.01</v>
      </c>
      <c r="V55" s="56">
        <v>798</v>
      </c>
      <c r="W55" s="115" t="s">
        <v>235</v>
      </c>
    </row>
    <row r="56" spans="2:23" x14ac:dyDescent="0.35">
      <c r="B56" s="224" t="s">
        <v>138</v>
      </c>
      <c r="C56" s="53" t="s">
        <v>81</v>
      </c>
      <c r="D56" s="56">
        <v>1610</v>
      </c>
      <c r="E56" s="166">
        <f t="shared" ref="E56:E63" si="16">F56/D56</f>
        <v>1</v>
      </c>
      <c r="F56" s="164">
        <v>1610</v>
      </c>
      <c r="G56" s="60" t="s">
        <v>82</v>
      </c>
      <c r="H56" s="56" t="s">
        <v>82</v>
      </c>
      <c r="I56" s="56" t="s">
        <v>82</v>
      </c>
      <c r="J56" s="56" t="s">
        <v>82</v>
      </c>
      <c r="K56" s="61" t="s">
        <v>82</v>
      </c>
      <c r="L56" s="61" t="s">
        <v>82</v>
      </c>
      <c r="M56" s="61" t="s">
        <v>82</v>
      </c>
      <c r="N56" s="61" t="s">
        <v>82</v>
      </c>
      <c r="O56" s="61" t="s">
        <v>82</v>
      </c>
      <c r="P56" s="61" t="s">
        <v>82</v>
      </c>
      <c r="Q56" s="61" t="s">
        <v>82</v>
      </c>
      <c r="R56" s="61" t="s">
        <v>82</v>
      </c>
      <c r="S56" s="61" t="s">
        <v>82</v>
      </c>
      <c r="T56" s="61" t="s">
        <v>82</v>
      </c>
      <c r="U56" s="55" t="s">
        <v>82</v>
      </c>
      <c r="V56" s="56">
        <v>8793</v>
      </c>
      <c r="W56" s="115" t="s">
        <v>193</v>
      </c>
    </row>
    <row r="57" spans="2:23" x14ac:dyDescent="0.35">
      <c r="B57" s="2" t="s">
        <v>152</v>
      </c>
      <c r="C57" s="53" t="s">
        <v>137</v>
      </c>
      <c r="D57" s="56">
        <v>80258</v>
      </c>
      <c r="E57" s="166">
        <f>F57/D57</f>
        <v>0.50999277330608783</v>
      </c>
      <c r="F57" s="164">
        <v>40931</v>
      </c>
      <c r="G57" s="57">
        <v>5.2</v>
      </c>
      <c r="H57" s="56">
        <f>F57*G57</f>
        <v>212841.2</v>
      </c>
      <c r="I57" s="60">
        <v>5230561.29</v>
      </c>
      <c r="J57" s="287">
        <f t="shared" ref="J57:J58" si="17">-PMT( 0.46%,G57,I57)/(F57*1000)</f>
        <v>2.492651194250221E-2</v>
      </c>
      <c r="K57" s="61" t="s">
        <v>82</v>
      </c>
      <c r="L57" s="61" t="s">
        <v>82</v>
      </c>
      <c r="M57" s="61" t="s">
        <v>82</v>
      </c>
      <c r="N57" s="61" t="s">
        <v>82</v>
      </c>
      <c r="O57" s="61" t="s">
        <v>82</v>
      </c>
      <c r="P57" s="61" t="s">
        <v>82</v>
      </c>
      <c r="Q57" s="61" t="s">
        <v>82</v>
      </c>
      <c r="R57" s="61" t="s">
        <v>82</v>
      </c>
      <c r="S57" s="61" t="s">
        <v>82</v>
      </c>
      <c r="T57" s="61" t="s">
        <v>82</v>
      </c>
      <c r="U57" s="55" t="s">
        <v>82</v>
      </c>
      <c r="V57" s="56">
        <v>2125179</v>
      </c>
      <c r="W57" s="115" t="s">
        <v>141</v>
      </c>
    </row>
    <row r="58" spans="2:23" x14ac:dyDescent="0.35">
      <c r="B58" s="224" t="s">
        <v>215</v>
      </c>
      <c r="C58" s="53" t="s">
        <v>137</v>
      </c>
      <c r="D58" s="56">
        <v>3908</v>
      </c>
      <c r="E58" s="166">
        <f t="shared" si="16"/>
        <v>0.59774820880245649</v>
      </c>
      <c r="F58" s="164">
        <v>2336</v>
      </c>
      <c r="G58" s="57">
        <v>5.2</v>
      </c>
      <c r="H58" s="56">
        <f>F58*G58</f>
        <v>12147.2</v>
      </c>
      <c r="I58" s="1">
        <v>500000</v>
      </c>
      <c r="J58" s="287">
        <f t="shared" si="17"/>
        <v>4.1750601433344872E-2</v>
      </c>
      <c r="K58" s="61" t="s">
        <v>82</v>
      </c>
      <c r="L58" s="61" t="s">
        <v>82</v>
      </c>
      <c r="M58" s="61" t="s">
        <v>82</v>
      </c>
      <c r="N58" s="61" t="s">
        <v>82</v>
      </c>
      <c r="O58" s="61" t="s">
        <v>82</v>
      </c>
      <c r="P58" s="61" t="s">
        <v>82</v>
      </c>
      <c r="Q58" s="61" t="s">
        <v>82</v>
      </c>
      <c r="R58" s="61" t="s">
        <v>82</v>
      </c>
      <c r="S58" s="61" t="s">
        <v>82</v>
      </c>
      <c r="T58" s="61" t="s">
        <v>82</v>
      </c>
      <c r="U58" s="55" t="s">
        <v>82</v>
      </c>
      <c r="V58" s="120">
        <v>115329</v>
      </c>
      <c r="W58" s="115" t="s">
        <v>141</v>
      </c>
    </row>
    <row r="59" spans="2:23" ht="14.5" customHeight="1" x14ac:dyDescent="0.35">
      <c r="B59" s="224" t="s">
        <v>160</v>
      </c>
      <c r="C59" s="53" t="s">
        <v>137</v>
      </c>
      <c r="D59" s="166" t="s">
        <v>82</v>
      </c>
      <c r="E59" s="166" t="s">
        <v>82</v>
      </c>
      <c r="F59" s="132" t="s">
        <v>82</v>
      </c>
      <c r="G59" s="60" t="s">
        <v>82</v>
      </c>
      <c r="H59" s="56" t="s">
        <v>82</v>
      </c>
      <c r="I59" s="1">
        <v>60000</v>
      </c>
      <c r="J59" s="166" t="s">
        <v>82</v>
      </c>
      <c r="K59" s="61" t="s">
        <v>82</v>
      </c>
      <c r="L59" s="61" t="s">
        <v>82</v>
      </c>
      <c r="M59" s="61" t="s">
        <v>82</v>
      </c>
      <c r="N59" s="61" t="s">
        <v>82</v>
      </c>
      <c r="O59" s="61" t="s">
        <v>82</v>
      </c>
      <c r="P59" s="61" t="s">
        <v>82</v>
      </c>
      <c r="Q59" s="61" t="s">
        <v>82</v>
      </c>
      <c r="R59" s="61" t="s">
        <v>82</v>
      </c>
      <c r="S59" s="61" t="s">
        <v>82</v>
      </c>
      <c r="T59" s="61" t="s">
        <v>82</v>
      </c>
      <c r="U59" s="55" t="s">
        <v>82</v>
      </c>
      <c r="V59" s="253">
        <v>716</v>
      </c>
      <c r="W59" s="115" t="s">
        <v>193</v>
      </c>
    </row>
    <row r="60" spans="2:23" x14ac:dyDescent="0.35">
      <c r="B60" s="2" t="s">
        <v>268</v>
      </c>
      <c r="C60" s="53" t="s">
        <v>137</v>
      </c>
      <c r="D60" s="56">
        <v>103</v>
      </c>
      <c r="E60" s="166">
        <f t="shared" si="16"/>
        <v>0.79611650485436891</v>
      </c>
      <c r="F60" s="164">
        <v>82</v>
      </c>
      <c r="G60" s="170">
        <v>5.2</v>
      </c>
      <c r="H60" s="83">
        <f>F60*G60</f>
        <v>426.40000000000003</v>
      </c>
      <c r="I60" s="60" t="s">
        <v>82</v>
      </c>
      <c r="J60" s="60" t="s">
        <v>82</v>
      </c>
      <c r="K60" s="61" t="s">
        <v>82</v>
      </c>
      <c r="L60" s="61" t="s">
        <v>82</v>
      </c>
      <c r="M60" s="61" t="s">
        <v>82</v>
      </c>
      <c r="N60" s="61" t="s">
        <v>82</v>
      </c>
      <c r="O60" s="61" t="s">
        <v>82</v>
      </c>
      <c r="P60" s="61" t="s">
        <v>82</v>
      </c>
      <c r="Q60" s="61" t="s">
        <v>82</v>
      </c>
      <c r="R60" s="61" t="s">
        <v>82</v>
      </c>
      <c r="S60" s="61" t="s">
        <v>82</v>
      </c>
      <c r="T60" s="61" t="s">
        <v>82</v>
      </c>
      <c r="U60" s="55" t="s">
        <v>82</v>
      </c>
      <c r="V60" s="56">
        <v>105</v>
      </c>
      <c r="W60" s="115" t="s">
        <v>235</v>
      </c>
    </row>
    <row r="61" spans="2:23" ht="27.75" customHeight="1" x14ac:dyDescent="0.35">
      <c r="B61" s="2" t="s">
        <v>267</v>
      </c>
      <c r="C61" s="53" t="s">
        <v>137</v>
      </c>
      <c r="D61" s="56">
        <v>23776</v>
      </c>
      <c r="E61" s="166">
        <f t="shared" ref="E61:E62" si="18">F61/D61</f>
        <v>0.80000841184387617</v>
      </c>
      <c r="F61" s="112">
        <v>19021</v>
      </c>
      <c r="G61" s="169">
        <v>5.2</v>
      </c>
      <c r="H61" s="83">
        <f>F61*G61</f>
        <v>98909.2</v>
      </c>
      <c r="I61" s="1">
        <v>2829875</v>
      </c>
      <c r="J61" s="287">
        <f t="shared" ref="J61" si="19">-PMT( 0.46%,G61,I61)/(F61*1000)</f>
        <v>2.9020138250150086E-2</v>
      </c>
      <c r="K61" s="61" t="s">
        <v>82</v>
      </c>
      <c r="L61" s="61" t="s">
        <v>82</v>
      </c>
      <c r="M61" s="61" t="s">
        <v>82</v>
      </c>
      <c r="N61" s="61" t="s">
        <v>82</v>
      </c>
      <c r="O61" s="61" t="s">
        <v>82</v>
      </c>
      <c r="P61" s="61" t="s">
        <v>82</v>
      </c>
      <c r="Q61" s="61" t="s">
        <v>82</v>
      </c>
      <c r="R61" s="55" t="s">
        <v>82</v>
      </c>
      <c r="S61" s="60" t="s">
        <v>82</v>
      </c>
      <c r="T61" s="55" t="s">
        <v>82</v>
      </c>
      <c r="U61" s="55" t="s">
        <v>82</v>
      </c>
      <c r="V61" s="120">
        <v>41457</v>
      </c>
      <c r="W61" s="207" t="s">
        <v>312</v>
      </c>
    </row>
    <row r="62" spans="2:23" x14ac:dyDescent="0.35">
      <c r="B62" s="2" t="s">
        <v>298</v>
      </c>
      <c r="C62" s="53" t="s">
        <v>295</v>
      </c>
      <c r="D62" s="363">
        <v>374.44400000000002</v>
      </c>
      <c r="E62" s="284">
        <f t="shared" si="18"/>
        <v>0.92000138872568382</v>
      </c>
      <c r="F62" s="109">
        <v>344.48899999999998</v>
      </c>
      <c r="G62" s="61" t="s">
        <v>82</v>
      </c>
      <c r="H62" s="61" t="s">
        <v>82</v>
      </c>
      <c r="I62" s="61" t="s">
        <v>82</v>
      </c>
      <c r="J62" s="61" t="s">
        <v>82</v>
      </c>
      <c r="K62" s="61" t="s">
        <v>82</v>
      </c>
      <c r="L62" s="61" t="s">
        <v>82</v>
      </c>
      <c r="M62" s="61" t="s">
        <v>82</v>
      </c>
      <c r="N62" s="61" t="s">
        <v>82</v>
      </c>
      <c r="O62" s="61" t="s">
        <v>82</v>
      </c>
      <c r="P62" s="61" t="s">
        <v>82</v>
      </c>
      <c r="Q62" s="61" t="s">
        <v>82</v>
      </c>
      <c r="R62" s="133">
        <v>76487</v>
      </c>
      <c r="S62" s="133">
        <v>312094.40000000002</v>
      </c>
      <c r="T62" s="78">
        <f t="shared" ref="T62" si="20">R62-S62</f>
        <v>-235607.40000000002</v>
      </c>
      <c r="U62" s="63">
        <f t="shared" ref="U62" si="21">R62/S62</f>
        <v>0.24507648967748219</v>
      </c>
      <c r="V62" s="108">
        <v>12558</v>
      </c>
      <c r="W62" s="115" t="s">
        <v>141</v>
      </c>
    </row>
    <row r="63" spans="2:23" x14ac:dyDescent="0.35">
      <c r="B63" s="4" t="s">
        <v>8</v>
      </c>
      <c r="C63" s="4"/>
      <c r="D63" s="71">
        <f>SUM(D47:D62)</f>
        <v>828780.44400000002</v>
      </c>
      <c r="E63" s="69">
        <f t="shared" si="16"/>
        <v>0.6384169569039686</v>
      </c>
      <c r="F63" s="65">
        <f>SUM(F47:F62)</f>
        <v>529107.48899999994</v>
      </c>
      <c r="G63" s="118">
        <f>H63/F63</f>
        <v>4.3765923713848647</v>
      </c>
      <c r="H63" s="71">
        <f>SUM(H47:H62)</f>
        <v>2315687.8000000007</v>
      </c>
      <c r="I63" s="67">
        <f>SUM(I47:I62)</f>
        <v>42923219.519999996</v>
      </c>
      <c r="J63" s="248">
        <f t="shared" ref="J63" si="22">-PMT( 0.46%,G63,I63)/(F63*1000)</f>
        <v>1.8765649646981034E-2</v>
      </c>
      <c r="K63" s="68" t="s">
        <v>82</v>
      </c>
      <c r="L63" s="68" t="s">
        <v>82</v>
      </c>
      <c r="M63" s="68" t="s">
        <v>82</v>
      </c>
      <c r="N63" s="68" t="s">
        <v>82</v>
      </c>
      <c r="O63" s="68" t="s">
        <v>82</v>
      </c>
      <c r="P63" s="68" t="s">
        <v>82</v>
      </c>
      <c r="Q63" s="68" t="s">
        <v>82</v>
      </c>
      <c r="R63" s="215">
        <f>SUM(R47:R62)</f>
        <v>108567924</v>
      </c>
      <c r="S63" s="215">
        <f>SUM(S47:S62)</f>
        <v>33302948.399999999</v>
      </c>
      <c r="T63" s="215">
        <f>SUM(T47:T62)</f>
        <v>75264975.599999994</v>
      </c>
      <c r="U63" s="73">
        <f t="shared" ref="U63" si="23">R63/S63</f>
        <v>3.2600093750257861</v>
      </c>
      <c r="V63" s="74">
        <f>SUM(V47:V62)</f>
        <v>11847616</v>
      </c>
      <c r="W63" s="68" t="s">
        <v>82</v>
      </c>
    </row>
    <row r="64" spans="2:23" ht="15.65" customHeight="1" x14ac:dyDescent="0.35">
      <c r="B64" s="425" t="s">
        <v>9</v>
      </c>
      <c r="C64" s="426"/>
      <c r="D64" s="426"/>
      <c r="E64" s="426"/>
      <c r="F64" s="426"/>
      <c r="G64" s="426"/>
      <c r="H64" s="426"/>
      <c r="I64" s="426"/>
      <c r="J64" s="426"/>
      <c r="K64" s="426"/>
      <c r="L64" s="426"/>
      <c r="M64" s="426"/>
      <c r="N64" s="426"/>
      <c r="O64" s="426"/>
      <c r="P64" s="426"/>
      <c r="Q64" s="426"/>
      <c r="R64" s="426"/>
      <c r="S64" s="426"/>
      <c r="T64" s="426"/>
      <c r="U64" s="426"/>
      <c r="V64" s="426"/>
      <c r="W64" s="427"/>
    </row>
    <row r="65" spans="2:23" x14ac:dyDescent="0.35">
      <c r="B65" s="288" t="s">
        <v>303</v>
      </c>
      <c r="C65" s="53" t="s">
        <v>295</v>
      </c>
      <c r="D65" s="117">
        <v>3608.5259999999998</v>
      </c>
      <c r="E65" s="284">
        <f t="shared" ref="E65:E67" si="24">F65/D65</f>
        <v>1</v>
      </c>
      <c r="F65" s="117">
        <v>3608.5259999999998</v>
      </c>
      <c r="G65" s="61" t="s">
        <v>82</v>
      </c>
      <c r="H65" s="61" t="s">
        <v>82</v>
      </c>
      <c r="I65" s="61" t="s">
        <v>82</v>
      </c>
      <c r="J65" s="61" t="s">
        <v>82</v>
      </c>
      <c r="K65" s="61" t="s">
        <v>82</v>
      </c>
      <c r="L65" s="61" t="s">
        <v>82</v>
      </c>
      <c r="M65" s="61" t="s">
        <v>82</v>
      </c>
      <c r="N65" s="61" t="s">
        <v>82</v>
      </c>
      <c r="O65" s="61" t="s">
        <v>82</v>
      </c>
      <c r="P65" s="61" t="s">
        <v>82</v>
      </c>
      <c r="Q65" s="61" t="s">
        <v>82</v>
      </c>
      <c r="R65" s="133">
        <v>7245609</v>
      </c>
      <c r="S65" s="133">
        <v>4217048</v>
      </c>
      <c r="T65" s="78">
        <f t="shared" ref="T65:T67" si="25">R65-S65</f>
        <v>3028561</v>
      </c>
      <c r="U65" s="63">
        <f>R65/S65</f>
        <v>1.7181708626508401</v>
      </c>
      <c r="V65" s="83" t="s">
        <v>82</v>
      </c>
      <c r="W65" s="115" t="s">
        <v>141</v>
      </c>
    </row>
    <row r="66" spans="2:23" x14ac:dyDescent="0.35">
      <c r="B66" s="288" t="s">
        <v>301</v>
      </c>
      <c r="C66" s="53" t="s">
        <v>295</v>
      </c>
      <c r="D66" s="117">
        <v>1559.6130000000001</v>
      </c>
      <c r="E66" s="284">
        <f t="shared" si="24"/>
        <v>1</v>
      </c>
      <c r="F66" s="117">
        <v>1559.6130000000001</v>
      </c>
      <c r="G66" s="61" t="s">
        <v>82</v>
      </c>
      <c r="H66" s="61" t="s">
        <v>82</v>
      </c>
      <c r="I66" s="61" t="s">
        <v>82</v>
      </c>
      <c r="J66" s="61" t="s">
        <v>82</v>
      </c>
      <c r="K66" s="61" t="s">
        <v>82</v>
      </c>
      <c r="L66" s="61" t="s">
        <v>82</v>
      </c>
      <c r="M66" s="61" t="s">
        <v>82</v>
      </c>
      <c r="N66" s="61" t="s">
        <v>82</v>
      </c>
      <c r="O66" s="61" t="s">
        <v>82</v>
      </c>
      <c r="P66" s="61" t="s">
        <v>82</v>
      </c>
      <c r="Q66" s="61" t="s">
        <v>82</v>
      </c>
      <c r="R66" s="133">
        <v>1118839</v>
      </c>
      <c r="S66" s="133">
        <v>1918821</v>
      </c>
      <c r="T66" s="78">
        <f t="shared" si="25"/>
        <v>-799982</v>
      </c>
      <c r="U66" s="63">
        <f t="shared" ref="U66:U67" si="26">R66/S66</f>
        <v>0.58308669750852216</v>
      </c>
      <c r="V66" s="117">
        <v>679</v>
      </c>
      <c r="W66" s="202" t="s">
        <v>312</v>
      </c>
    </row>
    <row r="67" spans="2:23" x14ac:dyDescent="0.35">
      <c r="B67" s="2" t="s">
        <v>322</v>
      </c>
      <c r="C67" s="53" t="s">
        <v>295</v>
      </c>
      <c r="D67" s="117">
        <v>1865.2639999999999</v>
      </c>
      <c r="E67" s="284">
        <f t="shared" si="24"/>
        <v>1</v>
      </c>
      <c r="F67" s="117">
        <v>1865.2639999999999</v>
      </c>
      <c r="G67" s="61" t="s">
        <v>82</v>
      </c>
      <c r="H67" s="61" t="s">
        <v>82</v>
      </c>
      <c r="I67" s="61" t="s">
        <v>82</v>
      </c>
      <c r="J67" s="61" t="s">
        <v>82</v>
      </c>
      <c r="K67" s="61" t="s">
        <v>82</v>
      </c>
      <c r="L67" s="61" t="s">
        <v>82</v>
      </c>
      <c r="M67" s="61" t="s">
        <v>82</v>
      </c>
      <c r="N67" s="61" t="s">
        <v>82</v>
      </c>
      <c r="O67" s="61" t="s">
        <v>82</v>
      </c>
      <c r="P67" s="61" t="s">
        <v>82</v>
      </c>
      <c r="Q67" s="61" t="s">
        <v>82</v>
      </c>
      <c r="R67" s="133">
        <v>910653</v>
      </c>
      <c r="S67" s="133">
        <v>1884624.4</v>
      </c>
      <c r="T67" s="78">
        <f t="shared" si="25"/>
        <v>-973971.39999999991</v>
      </c>
      <c r="U67" s="63">
        <f t="shared" si="26"/>
        <v>0.48320132117572079</v>
      </c>
      <c r="V67" s="108">
        <v>10821</v>
      </c>
      <c r="W67" s="202" t="s">
        <v>312</v>
      </c>
    </row>
    <row r="68" spans="2:23" hidden="1" x14ac:dyDescent="0.35">
      <c r="B68" s="2" t="s">
        <v>0</v>
      </c>
      <c r="C68" s="2"/>
      <c r="D68" s="2"/>
      <c r="E68" s="2"/>
      <c r="F68" s="3"/>
      <c r="G68" s="3"/>
      <c r="H68" s="3"/>
      <c r="I68" s="3"/>
      <c r="J68" s="60" t="e">
        <f t="shared" ref="J68:J81" si="27">-PMT( 0.46%,G68,I68)/F68*1000</f>
        <v>#NUM!</v>
      </c>
      <c r="K68" s="61" t="s">
        <v>82</v>
      </c>
      <c r="L68" s="61" t="s">
        <v>82</v>
      </c>
      <c r="M68" s="61" t="s">
        <v>82</v>
      </c>
      <c r="N68" s="61" t="s">
        <v>82</v>
      </c>
      <c r="O68" s="61" t="s">
        <v>82</v>
      </c>
      <c r="P68" s="61" t="s">
        <v>82</v>
      </c>
      <c r="Q68" s="61" t="s">
        <v>82</v>
      </c>
      <c r="R68" s="3"/>
      <c r="S68" s="3"/>
      <c r="T68" s="2"/>
      <c r="U68" s="55" t="e">
        <f t="shared" ref="U68:U70" si="28">R68/S68</f>
        <v>#DIV/0!</v>
      </c>
      <c r="V68" s="3"/>
      <c r="W68" s="3"/>
    </row>
    <row r="69" spans="2:23" hidden="1" x14ac:dyDescent="0.35">
      <c r="B69" s="2" t="s">
        <v>0</v>
      </c>
      <c r="C69" s="2"/>
      <c r="D69" s="2"/>
      <c r="E69" s="2"/>
      <c r="F69" s="3"/>
      <c r="G69" s="3"/>
      <c r="H69" s="3"/>
      <c r="I69" s="3"/>
      <c r="J69" s="60" t="e">
        <f t="shared" si="27"/>
        <v>#NUM!</v>
      </c>
      <c r="K69" s="61" t="s">
        <v>82</v>
      </c>
      <c r="L69" s="61" t="s">
        <v>82</v>
      </c>
      <c r="M69" s="61" t="s">
        <v>82</v>
      </c>
      <c r="N69" s="61" t="s">
        <v>82</v>
      </c>
      <c r="O69" s="61" t="s">
        <v>82</v>
      </c>
      <c r="P69" s="61" t="s">
        <v>82</v>
      </c>
      <c r="Q69" s="61" t="s">
        <v>82</v>
      </c>
      <c r="R69" s="3"/>
      <c r="S69" s="3"/>
      <c r="T69" s="2"/>
      <c r="U69" s="55" t="e">
        <f t="shared" si="28"/>
        <v>#DIV/0!</v>
      </c>
      <c r="V69" s="3"/>
      <c r="W69" s="3"/>
    </row>
    <row r="70" spans="2:23" ht="15.75" customHeight="1" x14ac:dyDescent="0.35">
      <c r="B70" s="4" t="s">
        <v>10</v>
      </c>
      <c r="C70" s="4"/>
      <c r="D70" s="65">
        <f>SUM(D65:D69)</f>
        <v>7033.4030000000002</v>
      </c>
      <c r="E70" s="69">
        <f>F70/D70</f>
        <v>1</v>
      </c>
      <c r="F70" s="65">
        <f>SUM(F65:F69)</f>
        <v>7033.4030000000002</v>
      </c>
      <c r="G70" s="68" t="s">
        <v>82</v>
      </c>
      <c r="H70" s="68" t="s">
        <v>82</v>
      </c>
      <c r="I70" s="68" t="s">
        <v>82</v>
      </c>
      <c r="J70" s="68" t="s">
        <v>82</v>
      </c>
      <c r="K70" s="68" t="s">
        <v>82</v>
      </c>
      <c r="L70" s="68" t="s">
        <v>82</v>
      </c>
      <c r="M70" s="68" t="s">
        <v>82</v>
      </c>
      <c r="N70" s="68" t="s">
        <v>82</v>
      </c>
      <c r="O70" s="68" t="s">
        <v>82</v>
      </c>
      <c r="P70" s="68" t="s">
        <v>82</v>
      </c>
      <c r="Q70" s="68" t="s">
        <v>82</v>
      </c>
      <c r="R70" s="72">
        <f>SUM(R65:R69)</f>
        <v>9275101</v>
      </c>
      <c r="S70" s="72">
        <f>SUM(S65:S69)</f>
        <v>8020493.4000000004</v>
      </c>
      <c r="T70" s="72">
        <f>SUM(T65:T69)</f>
        <v>1254607.6000000001</v>
      </c>
      <c r="U70" s="73">
        <f t="shared" si="28"/>
        <v>1.1564252393749241</v>
      </c>
      <c r="V70" s="74">
        <f>SUM(V65:V69)</f>
        <v>11500</v>
      </c>
      <c r="W70" s="68" t="s">
        <v>82</v>
      </c>
    </row>
    <row r="71" spans="2:23" ht="15.65" hidden="1" customHeight="1" x14ac:dyDescent="0.35">
      <c r="B71" s="409" t="s">
        <v>11</v>
      </c>
      <c r="C71" s="410"/>
      <c r="D71" s="410"/>
      <c r="E71" s="410"/>
      <c r="F71" s="410"/>
      <c r="G71" s="410"/>
      <c r="H71" s="410"/>
      <c r="I71" s="410"/>
      <c r="J71" s="410"/>
      <c r="K71" s="410"/>
      <c r="L71" s="410"/>
      <c r="M71" s="410"/>
      <c r="N71" s="410"/>
      <c r="O71" s="410"/>
      <c r="P71" s="410"/>
      <c r="Q71" s="410"/>
      <c r="R71" s="410"/>
      <c r="S71" s="410"/>
      <c r="T71" s="410"/>
      <c r="U71" s="410"/>
      <c r="V71" s="410"/>
      <c r="W71" s="410"/>
    </row>
    <row r="72" spans="2:23" hidden="1" x14ac:dyDescent="0.35">
      <c r="B72" s="2" t="s">
        <v>0</v>
      </c>
      <c r="C72" s="2"/>
      <c r="D72" s="2"/>
      <c r="E72" s="2"/>
      <c r="F72" s="3"/>
      <c r="G72" s="3"/>
      <c r="H72" s="3"/>
      <c r="I72" s="3"/>
      <c r="J72" s="60" t="e">
        <f t="shared" si="27"/>
        <v>#NUM!</v>
      </c>
      <c r="K72" s="61" t="s">
        <v>82</v>
      </c>
      <c r="L72" s="61" t="s">
        <v>82</v>
      </c>
      <c r="M72" s="61" t="s">
        <v>82</v>
      </c>
      <c r="N72" s="61" t="s">
        <v>82</v>
      </c>
      <c r="O72" s="61" t="s">
        <v>82</v>
      </c>
      <c r="P72" s="61" t="s">
        <v>82</v>
      </c>
      <c r="Q72" s="61" t="s">
        <v>82</v>
      </c>
      <c r="R72" s="3"/>
      <c r="S72" s="3"/>
      <c r="T72" s="2"/>
      <c r="U72" s="55" t="e">
        <f>R72/S72</f>
        <v>#DIV/0!</v>
      </c>
      <c r="V72" s="3"/>
      <c r="W72" s="3"/>
    </row>
    <row r="73" spans="2:23" hidden="1" x14ac:dyDescent="0.35">
      <c r="B73" s="2" t="s">
        <v>0</v>
      </c>
      <c r="C73" s="2"/>
      <c r="D73" s="2"/>
      <c r="E73" s="2"/>
      <c r="F73" s="3"/>
      <c r="G73" s="3"/>
      <c r="H73" s="3"/>
      <c r="I73" s="3"/>
      <c r="J73" s="60" t="e">
        <f t="shared" si="27"/>
        <v>#NUM!</v>
      </c>
      <c r="K73" s="61" t="s">
        <v>82</v>
      </c>
      <c r="L73" s="61" t="s">
        <v>82</v>
      </c>
      <c r="M73" s="61" t="s">
        <v>82</v>
      </c>
      <c r="N73" s="61" t="s">
        <v>82</v>
      </c>
      <c r="O73" s="61" t="s">
        <v>82</v>
      </c>
      <c r="P73" s="61" t="s">
        <v>82</v>
      </c>
      <c r="Q73" s="61" t="s">
        <v>82</v>
      </c>
      <c r="R73" s="3"/>
      <c r="S73" s="3"/>
      <c r="T73" s="2"/>
      <c r="U73" s="55" t="e">
        <f t="shared" ref="U73:U77" si="29">R73/S73</f>
        <v>#DIV/0!</v>
      </c>
      <c r="V73" s="3"/>
      <c r="W73" s="3"/>
    </row>
    <row r="74" spans="2:23" hidden="1" x14ac:dyDescent="0.35">
      <c r="B74" s="2" t="s">
        <v>0</v>
      </c>
      <c r="C74" s="2"/>
      <c r="D74" s="18"/>
      <c r="E74" s="18"/>
      <c r="F74" s="19"/>
      <c r="G74" s="19"/>
      <c r="H74" s="19"/>
      <c r="I74" s="19"/>
      <c r="J74" s="60" t="e">
        <f t="shared" si="27"/>
        <v>#NUM!</v>
      </c>
      <c r="K74" s="61" t="s">
        <v>82</v>
      </c>
      <c r="L74" s="61" t="s">
        <v>82</v>
      </c>
      <c r="M74" s="61" t="s">
        <v>82</v>
      </c>
      <c r="N74" s="61" t="s">
        <v>82</v>
      </c>
      <c r="O74" s="61" t="s">
        <v>82</v>
      </c>
      <c r="P74" s="61" t="s">
        <v>82</v>
      </c>
      <c r="Q74" s="61" t="s">
        <v>82</v>
      </c>
      <c r="R74" s="19"/>
      <c r="S74" s="19"/>
      <c r="T74" s="18"/>
      <c r="U74" s="55" t="e">
        <f t="shared" si="29"/>
        <v>#DIV/0!</v>
      </c>
      <c r="V74" s="19"/>
      <c r="W74" s="19"/>
    </row>
    <row r="75" spans="2:23" hidden="1" x14ac:dyDescent="0.35">
      <c r="B75" s="2" t="s">
        <v>0</v>
      </c>
      <c r="C75" s="2"/>
      <c r="D75" s="18"/>
      <c r="E75" s="18"/>
      <c r="F75" s="19"/>
      <c r="G75" s="19"/>
      <c r="H75" s="19"/>
      <c r="I75" s="19"/>
      <c r="J75" s="60" t="e">
        <f t="shared" si="27"/>
        <v>#NUM!</v>
      </c>
      <c r="K75" s="61" t="s">
        <v>82</v>
      </c>
      <c r="L75" s="61" t="s">
        <v>82</v>
      </c>
      <c r="M75" s="61" t="s">
        <v>82</v>
      </c>
      <c r="N75" s="61" t="s">
        <v>82</v>
      </c>
      <c r="O75" s="61" t="s">
        <v>82</v>
      </c>
      <c r="P75" s="61" t="s">
        <v>82</v>
      </c>
      <c r="Q75" s="61" t="s">
        <v>82</v>
      </c>
      <c r="R75" s="19"/>
      <c r="S75" s="19"/>
      <c r="T75" s="18"/>
      <c r="U75" s="55" t="e">
        <f t="shared" si="29"/>
        <v>#DIV/0!</v>
      </c>
      <c r="V75" s="19"/>
      <c r="W75" s="19"/>
    </row>
    <row r="76" spans="2:23" hidden="1" x14ac:dyDescent="0.35">
      <c r="B76" s="2" t="s">
        <v>0</v>
      </c>
      <c r="C76" s="2"/>
      <c r="D76" s="18"/>
      <c r="E76" s="18"/>
      <c r="F76" s="19"/>
      <c r="G76" s="19"/>
      <c r="H76" s="19"/>
      <c r="I76" s="19"/>
      <c r="J76" s="60" t="e">
        <f t="shared" si="27"/>
        <v>#NUM!</v>
      </c>
      <c r="K76" s="61" t="s">
        <v>82</v>
      </c>
      <c r="L76" s="61" t="s">
        <v>82</v>
      </c>
      <c r="M76" s="61" t="s">
        <v>82</v>
      </c>
      <c r="N76" s="61" t="s">
        <v>82</v>
      </c>
      <c r="O76" s="61" t="s">
        <v>82</v>
      </c>
      <c r="P76" s="61" t="s">
        <v>82</v>
      </c>
      <c r="Q76" s="61" t="s">
        <v>82</v>
      </c>
      <c r="R76" s="19"/>
      <c r="S76" s="19"/>
      <c r="T76" s="18"/>
      <c r="U76" s="55" t="e">
        <f t="shared" si="29"/>
        <v>#DIV/0!</v>
      </c>
      <c r="V76" s="19"/>
      <c r="W76" s="19"/>
    </row>
    <row r="77" spans="2:23" ht="35.15" hidden="1" customHeight="1" x14ac:dyDescent="0.35">
      <c r="B77" s="24" t="s">
        <v>12</v>
      </c>
      <c r="C77" s="24"/>
      <c r="D77" s="65">
        <f>SUM(D72:D76)</f>
        <v>0</v>
      </c>
      <c r="E77" s="69" t="e">
        <f>F77/D77</f>
        <v>#DIV/0!</v>
      </c>
      <c r="F77" s="65">
        <f>SUM(F72:F76)</f>
        <v>0</v>
      </c>
      <c r="G77" s="70" t="e">
        <f>H77/F77</f>
        <v>#DIV/0!</v>
      </c>
      <c r="H77" s="65">
        <f>SUM(H72:H76)</f>
        <v>0</v>
      </c>
      <c r="I77" s="67">
        <f>SUM(I72:I76)</f>
        <v>0</v>
      </c>
      <c r="J77" s="88" t="e">
        <f>-PMT( 0.46%,G77,I77)/F77*1000</f>
        <v>#DIV/0!</v>
      </c>
      <c r="K77" s="68" t="s">
        <v>82</v>
      </c>
      <c r="L77" s="68" t="s">
        <v>82</v>
      </c>
      <c r="M77" s="68" t="s">
        <v>82</v>
      </c>
      <c r="N77" s="68" t="s">
        <v>82</v>
      </c>
      <c r="O77" s="68" t="s">
        <v>82</v>
      </c>
      <c r="P77" s="68" t="s">
        <v>82</v>
      </c>
      <c r="Q77" s="68" t="s">
        <v>82</v>
      </c>
      <c r="R77" s="72">
        <f>SUM(R72:R76)</f>
        <v>0</v>
      </c>
      <c r="S77" s="72">
        <f>SUM(S72:S76)</f>
        <v>0</v>
      </c>
      <c r="T77" s="72">
        <f>SUM(T72:T76)</f>
        <v>0</v>
      </c>
      <c r="U77" s="73" t="e">
        <f t="shared" si="29"/>
        <v>#DIV/0!</v>
      </c>
      <c r="V77" s="74">
        <f>SUM(V72:V76)</f>
        <v>0</v>
      </c>
      <c r="W77" s="68" t="s">
        <v>82</v>
      </c>
    </row>
    <row r="78" spans="2:23" hidden="1" x14ac:dyDescent="0.35">
      <c r="B78" s="409" t="s">
        <v>16</v>
      </c>
      <c r="C78" s="410"/>
      <c r="D78" s="410"/>
      <c r="E78" s="410"/>
      <c r="F78" s="410"/>
      <c r="G78" s="410"/>
      <c r="H78" s="410"/>
      <c r="I78" s="410"/>
      <c r="J78" s="410"/>
      <c r="K78" s="410"/>
      <c r="L78" s="410"/>
      <c r="M78" s="410"/>
      <c r="N78" s="410"/>
      <c r="O78" s="410"/>
      <c r="P78" s="410"/>
      <c r="Q78" s="410"/>
      <c r="R78" s="410"/>
      <c r="S78" s="410"/>
      <c r="T78" s="410"/>
      <c r="U78" s="410"/>
      <c r="V78" s="410"/>
      <c r="W78" s="411"/>
    </row>
    <row r="79" spans="2:23" ht="16.149999999999999" hidden="1" customHeight="1" x14ac:dyDescent="0.35">
      <c r="B79" s="32" t="s">
        <v>0</v>
      </c>
      <c r="C79" s="32"/>
      <c r="D79" s="18"/>
      <c r="E79" s="18"/>
      <c r="F79" s="19"/>
      <c r="G79" s="19"/>
      <c r="H79" s="19"/>
      <c r="I79" s="19"/>
      <c r="J79" s="60" t="e">
        <f t="shared" si="27"/>
        <v>#NUM!</v>
      </c>
      <c r="K79" s="61" t="s">
        <v>82</v>
      </c>
      <c r="L79" s="61" t="s">
        <v>82</v>
      </c>
      <c r="M79" s="61" t="s">
        <v>82</v>
      </c>
      <c r="N79" s="61" t="s">
        <v>82</v>
      </c>
      <c r="O79" s="61" t="s">
        <v>82</v>
      </c>
      <c r="P79" s="61" t="s">
        <v>82</v>
      </c>
      <c r="Q79" s="61" t="s">
        <v>82</v>
      </c>
      <c r="R79" s="19"/>
      <c r="S79" s="19"/>
      <c r="T79" s="18"/>
      <c r="U79" s="55" t="e">
        <f>R79/S79</f>
        <v>#DIV/0!</v>
      </c>
      <c r="V79" s="19"/>
      <c r="W79" s="19"/>
    </row>
    <row r="80" spans="2:23" ht="16.149999999999999" hidden="1" customHeight="1" x14ac:dyDescent="0.35">
      <c r="B80" s="32" t="s">
        <v>0</v>
      </c>
      <c r="C80" s="32"/>
      <c r="D80" s="18"/>
      <c r="E80" s="18"/>
      <c r="F80" s="19"/>
      <c r="G80" s="19"/>
      <c r="H80" s="19"/>
      <c r="I80" s="19"/>
      <c r="J80" s="60" t="e">
        <f t="shared" si="27"/>
        <v>#NUM!</v>
      </c>
      <c r="K80" s="61" t="s">
        <v>82</v>
      </c>
      <c r="L80" s="61" t="s">
        <v>82</v>
      </c>
      <c r="M80" s="61" t="s">
        <v>82</v>
      </c>
      <c r="N80" s="61" t="s">
        <v>82</v>
      </c>
      <c r="O80" s="61" t="s">
        <v>82</v>
      </c>
      <c r="P80" s="61" t="s">
        <v>82</v>
      </c>
      <c r="Q80" s="61" t="s">
        <v>82</v>
      </c>
      <c r="R80" s="19"/>
      <c r="S80" s="19"/>
      <c r="T80" s="18"/>
      <c r="U80" s="55" t="e">
        <f t="shared" ref="U80:U84" si="30">R80/S80</f>
        <v>#DIV/0!</v>
      </c>
      <c r="V80" s="19"/>
      <c r="W80" s="19"/>
    </row>
    <row r="81" spans="2:23" ht="16.149999999999999" hidden="1" customHeight="1" x14ac:dyDescent="0.35">
      <c r="B81" s="32" t="s">
        <v>0</v>
      </c>
      <c r="C81" s="32"/>
      <c r="D81" s="18"/>
      <c r="E81" s="18"/>
      <c r="F81" s="19"/>
      <c r="G81" s="19"/>
      <c r="H81" s="19"/>
      <c r="I81" s="19"/>
      <c r="J81" s="60" t="e">
        <f t="shared" si="27"/>
        <v>#NUM!</v>
      </c>
      <c r="K81" s="61" t="s">
        <v>82</v>
      </c>
      <c r="L81" s="61" t="s">
        <v>82</v>
      </c>
      <c r="M81" s="61" t="s">
        <v>82</v>
      </c>
      <c r="N81" s="61" t="s">
        <v>82</v>
      </c>
      <c r="O81" s="61" t="s">
        <v>82</v>
      </c>
      <c r="P81" s="61" t="s">
        <v>82</v>
      </c>
      <c r="Q81" s="61" t="s">
        <v>82</v>
      </c>
      <c r="R81" s="19"/>
      <c r="S81" s="19"/>
      <c r="T81" s="18"/>
      <c r="U81" s="55" t="e">
        <f t="shared" si="30"/>
        <v>#DIV/0!</v>
      </c>
      <c r="V81" s="19"/>
      <c r="W81" s="19"/>
    </row>
    <row r="82" spans="2:23" ht="31.5" hidden="1" customHeight="1" x14ac:dyDescent="0.35">
      <c r="B82" s="24" t="s">
        <v>17</v>
      </c>
      <c r="C82" s="24"/>
      <c r="D82" s="65">
        <f>SUM(D79:D81)</f>
        <v>0</v>
      </c>
      <c r="E82" s="69" t="e">
        <f>F82/D82</f>
        <v>#DIV/0!</v>
      </c>
      <c r="F82" s="65">
        <f>SUM(F79:F81)</f>
        <v>0</v>
      </c>
      <c r="G82" s="70" t="e">
        <f>H82/F82</f>
        <v>#DIV/0!</v>
      </c>
      <c r="H82" s="65">
        <f>SUM(H79:H81)</f>
        <v>0</v>
      </c>
      <c r="I82" s="67">
        <f>SUM(I79:I81)</f>
        <v>0</v>
      </c>
      <c r="J82" s="88" t="e">
        <f>-PMT( 0.46%,G82,I82)/F82*1000</f>
        <v>#DIV/0!</v>
      </c>
      <c r="K82" s="68" t="s">
        <v>82</v>
      </c>
      <c r="L82" s="68" t="s">
        <v>82</v>
      </c>
      <c r="M82" s="68" t="s">
        <v>82</v>
      </c>
      <c r="N82" s="68" t="s">
        <v>82</v>
      </c>
      <c r="O82" s="68" t="s">
        <v>82</v>
      </c>
      <c r="P82" s="68" t="s">
        <v>82</v>
      </c>
      <c r="Q82" s="68" t="s">
        <v>82</v>
      </c>
      <c r="R82" s="72">
        <f>SUM(R79:R81)</f>
        <v>0</v>
      </c>
      <c r="S82" s="72">
        <f>SUM(S79:S81)</f>
        <v>0</v>
      </c>
      <c r="T82" s="72">
        <f>SUM(T79:T81)</f>
        <v>0</v>
      </c>
      <c r="U82" s="73" t="e">
        <f t="shared" si="30"/>
        <v>#DIV/0!</v>
      </c>
      <c r="V82" s="74">
        <f>SUM(V79:V81)</f>
        <v>0</v>
      </c>
      <c r="W82" s="68" t="s">
        <v>82</v>
      </c>
    </row>
    <row r="83" spans="2:23" ht="40.5" customHeight="1" x14ac:dyDescent="0.35">
      <c r="B83" s="37" t="s">
        <v>32</v>
      </c>
      <c r="C83" s="37"/>
      <c r="D83" s="89" t="s">
        <v>82</v>
      </c>
      <c r="E83" s="89" t="s">
        <v>82</v>
      </c>
      <c r="F83" s="89" t="s">
        <v>82</v>
      </c>
      <c r="G83" s="269" t="s">
        <v>82</v>
      </c>
      <c r="H83" s="89" t="s">
        <v>82</v>
      </c>
      <c r="I83" s="38">
        <f>15261450+507083+37763+31563417</f>
        <v>47369713</v>
      </c>
      <c r="J83" s="89" t="s">
        <v>82</v>
      </c>
      <c r="K83" s="89" t="s">
        <v>82</v>
      </c>
      <c r="L83" s="89" t="s">
        <v>82</v>
      </c>
      <c r="M83" s="89" t="s">
        <v>82</v>
      </c>
      <c r="N83" s="89" t="s">
        <v>82</v>
      </c>
      <c r="O83" s="89" t="s">
        <v>82</v>
      </c>
      <c r="P83" s="89" t="s">
        <v>82</v>
      </c>
      <c r="Q83" s="89" t="s">
        <v>82</v>
      </c>
      <c r="R83" s="89" t="s">
        <v>82</v>
      </c>
      <c r="S83" s="89" t="s">
        <v>82</v>
      </c>
      <c r="T83" s="89" t="s">
        <v>82</v>
      </c>
      <c r="U83" s="89" t="s">
        <v>82</v>
      </c>
      <c r="V83" s="89" t="s">
        <v>82</v>
      </c>
      <c r="W83" s="89" t="s">
        <v>82</v>
      </c>
    </row>
    <row r="84" spans="2:23" ht="31.5" customHeight="1" x14ac:dyDescent="0.35">
      <c r="B84" s="30" t="s">
        <v>94</v>
      </c>
      <c r="C84" s="30"/>
      <c r="D84" s="79">
        <f>SUM(D43,D63,D70,D77,D82,D83)</f>
        <v>1756416.608</v>
      </c>
      <c r="E84" s="80">
        <f>F84/D84</f>
        <v>0.6861056673634004</v>
      </c>
      <c r="F84" s="79">
        <f>SUM(F43,F63,F70,F77,F82,F83)</f>
        <v>1205087.389</v>
      </c>
      <c r="G84" s="80">
        <f>H84/F84</f>
        <v>5.5873813479928476</v>
      </c>
      <c r="H84" s="79">
        <f>SUM(H43,H63,H70,H77,H82,H83)</f>
        <v>6733282.8000000007</v>
      </c>
      <c r="I84" s="81">
        <f>SUM(I43,I63,I70,I77,I82,I83)</f>
        <v>185128616.45999998</v>
      </c>
      <c r="J84" s="249">
        <f t="shared" ref="J84" si="31">-PMT( 0.46%,G84,I84)/(F84*1000)</f>
        <v>2.7912586398015738E-2</v>
      </c>
      <c r="K84" s="82" t="s">
        <v>82</v>
      </c>
      <c r="L84" s="82" t="s">
        <v>82</v>
      </c>
      <c r="M84" s="82" t="s">
        <v>82</v>
      </c>
      <c r="N84" s="82" t="s">
        <v>82</v>
      </c>
      <c r="O84" s="82" t="s">
        <v>82</v>
      </c>
      <c r="P84" s="82" t="s">
        <v>82</v>
      </c>
      <c r="Q84" s="82" t="s">
        <v>82</v>
      </c>
      <c r="R84" s="81">
        <f>SUM(R43,R63,R70,R77,R82,R83)</f>
        <v>568450171</v>
      </c>
      <c r="S84" s="81">
        <f>SUM(S43,S63,S70,S77,S82,S83)</f>
        <v>316707645.79999995</v>
      </c>
      <c r="T84" s="81">
        <f>SUM(T43,T63,T70,T77,T82,T83)</f>
        <v>251742525.19999999</v>
      </c>
      <c r="U84" s="80">
        <f t="shared" si="30"/>
        <v>1.794873532541664</v>
      </c>
      <c r="V84" s="128">
        <f>SUM(V43,V63,V70,V77,V82,V83)</f>
        <v>14310205</v>
      </c>
      <c r="W84" s="82" t="s">
        <v>82</v>
      </c>
    </row>
    <row r="85" spans="2:23" s="22" customFormat="1" ht="13.5" customHeight="1" x14ac:dyDescent="0.35">
      <c r="B85" s="26"/>
      <c r="C85" s="26"/>
      <c r="D85" s="11"/>
      <c r="E85" s="11"/>
      <c r="F85" s="12"/>
      <c r="G85" s="12"/>
      <c r="H85" s="12"/>
      <c r="I85" s="12"/>
      <c r="J85" s="12"/>
      <c r="K85" s="12"/>
      <c r="L85" s="12"/>
    </row>
    <row r="86" spans="2:23" x14ac:dyDescent="0.35">
      <c r="B86" s="344" t="s">
        <v>3</v>
      </c>
      <c r="C86" s="343"/>
      <c r="D86" s="343"/>
      <c r="E86" s="343"/>
      <c r="F86" s="343"/>
      <c r="G86" s="343"/>
      <c r="H86" s="343"/>
      <c r="I86" s="343"/>
      <c r="J86" s="343"/>
      <c r="K86" s="343"/>
      <c r="L86" s="343"/>
      <c r="M86" s="42"/>
    </row>
    <row r="87" spans="2:23" x14ac:dyDescent="0.35">
      <c r="B87" s="343" t="s">
        <v>308</v>
      </c>
      <c r="C87" s="343"/>
      <c r="D87" s="343"/>
      <c r="E87" s="343"/>
      <c r="F87" s="343"/>
      <c r="G87" s="343"/>
      <c r="H87" s="343"/>
      <c r="I87" s="343"/>
      <c r="J87" s="343"/>
      <c r="K87" s="343"/>
      <c r="L87" s="343"/>
      <c r="M87" s="42"/>
    </row>
    <row r="88" spans="2:23" x14ac:dyDescent="0.35">
      <c r="B88" s="343" t="s">
        <v>368</v>
      </c>
      <c r="C88" s="343"/>
      <c r="D88" s="343"/>
      <c r="E88" s="343"/>
      <c r="F88" s="343"/>
      <c r="G88" s="343"/>
      <c r="H88" s="343"/>
      <c r="I88" s="343"/>
      <c r="J88" s="343"/>
      <c r="K88" s="343"/>
      <c r="L88" s="343"/>
      <c r="M88" s="42"/>
    </row>
    <row r="89" spans="2:23" x14ac:dyDescent="0.35">
      <c r="B89" s="343" t="s">
        <v>324</v>
      </c>
      <c r="C89" s="343"/>
      <c r="D89" s="343"/>
      <c r="E89" s="343"/>
      <c r="F89" s="343"/>
      <c r="G89" s="343"/>
      <c r="H89" s="343"/>
      <c r="I89" s="343"/>
      <c r="J89" s="343"/>
      <c r="K89" s="343"/>
      <c r="L89" s="343"/>
      <c r="M89" s="42"/>
    </row>
    <row r="90" spans="2:23" ht="27.65" customHeight="1" x14ac:dyDescent="0.35">
      <c r="B90" s="432" t="s">
        <v>385</v>
      </c>
      <c r="C90" s="432"/>
      <c r="D90" s="432"/>
      <c r="E90" s="432"/>
      <c r="F90" s="432"/>
      <c r="G90" s="432"/>
      <c r="H90" s="432"/>
      <c r="I90" s="432"/>
      <c r="J90" s="432"/>
      <c r="K90" s="432"/>
      <c r="L90" s="432"/>
      <c r="M90" s="432"/>
    </row>
    <row r="92" spans="2:23" x14ac:dyDescent="0.35">
      <c r="B92" s="45" t="s">
        <v>48</v>
      </c>
    </row>
    <row r="93" spans="2:23" x14ac:dyDescent="0.35">
      <c r="B93" s="7" t="s">
        <v>271</v>
      </c>
    </row>
    <row r="94" spans="2:23" x14ac:dyDescent="0.35">
      <c r="B94" s="7" t="s">
        <v>272</v>
      </c>
    </row>
    <row r="95" spans="2:23" x14ac:dyDescent="0.35">
      <c r="B95" s="7" t="s">
        <v>273</v>
      </c>
    </row>
    <row r="96" spans="2:23" x14ac:dyDescent="0.35">
      <c r="B96" s="7" t="s">
        <v>320</v>
      </c>
    </row>
    <row r="97" spans="2:2" x14ac:dyDescent="0.35">
      <c r="B97" s="342" t="s">
        <v>307</v>
      </c>
    </row>
    <row r="98" spans="2:2" x14ac:dyDescent="0.35">
      <c r="B98" s="22"/>
    </row>
  </sheetData>
  <mergeCells count="9">
    <mergeCell ref="B90:M90"/>
    <mergeCell ref="B71:W71"/>
    <mergeCell ref="B78:W78"/>
    <mergeCell ref="B5:L6"/>
    <mergeCell ref="B8:L15"/>
    <mergeCell ref="B19:W19"/>
    <mergeCell ref="B21:W21"/>
    <mergeCell ref="B46:W46"/>
    <mergeCell ref="B64:W64"/>
  </mergeCells>
  <printOptions horizontalCentered="1" headings="1"/>
  <pageMargins left="0.5" right="0.5" top="1.25" bottom="1" header="0.5" footer="0.5"/>
  <pageSetup scale="28" orientation="landscape" r:id="rId1"/>
  <headerFooter scaleWithDoc="0">
    <oddHeader>&amp;R&amp;"Arial,Bold"ICC Dkt. No. 17-0312
2019 Statewide Annual Report Template
Tab: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A937-4282-4DB8-89D7-F359E2DCB976}">
  <sheetPr>
    <pageSetUpPr fitToPage="1"/>
  </sheetPr>
  <dimension ref="B1:W94"/>
  <sheetViews>
    <sheetView zoomScale="90" zoomScaleNormal="90" workbookViewId="0">
      <selection activeCell="B83" sqref="B83:G83"/>
    </sheetView>
  </sheetViews>
  <sheetFormatPr defaultRowHeight="14.5" x14ac:dyDescent="0.35"/>
  <cols>
    <col min="1" max="1" width="2.7265625" customWidth="1"/>
    <col min="2" max="2" width="44.26953125" customWidth="1"/>
    <col min="3" max="3" width="20.7265625" customWidth="1"/>
    <col min="4" max="4" width="17.26953125" customWidth="1"/>
    <col min="5" max="5" width="15.26953125" customWidth="1"/>
    <col min="6" max="6" width="16" customWidth="1"/>
    <col min="7" max="7" width="15" customWidth="1"/>
    <col min="8" max="8" width="12.453125" customWidth="1"/>
    <col min="9" max="9" width="14.7265625" customWidth="1"/>
    <col min="10" max="10" width="15.453125" customWidth="1"/>
    <col min="11" max="11" width="17" customWidth="1"/>
    <col min="12" max="12" width="14.453125" customWidth="1"/>
    <col min="13" max="13" width="15" customWidth="1"/>
    <col min="14" max="14" width="14" customWidth="1"/>
    <col min="15" max="15" width="12" customWidth="1"/>
    <col min="16" max="16" width="14.26953125" customWidth="1"/>
    <col min="17" max="17" width="17" customWidth="1"/>
    <col min="18" max="22" width="14.26953125" customWidth="1"/>
    <col min="23" max="23" width="15.81640625" bestFit="1" customWidth="1"/>
  </cols>
  <sheetData>
    <row r="1" spans="2:12" x14ac:dyDescent="0.35">
      <c r="B1" s="6" t="s">
        <v>27</v>
      </c>
      <c r="C1" s="6"/>
      <c r="D1" s="6"/>
      <c r="E1" s="6"/>
    </row>
    <row r="2" spans="2:12" x14ac:dyDescent="0.35">
      <c r="B2" s="6" t="s">
        <v>378</v>
      </c>
      <c r="C2" s="6"/>
      <c r="D2" s="6"/>
      <c r="E2" s="6"/>
    </row>
    <row r="3" spans="2:12" x14ac:dyDescent="0.35">
      <c r="B3" s="6" t="s">
        <v>392</v>
      </c>
      <c r="C3" s="6"/>
      <c r="D3" s="6"/>
      <c r="E3" s="6"/>
    </row>
    <row r="4" spans="2:12" x14ac:dyDescent="0.35">
      <c r="B4" s="6"/>
      <c r="C4" s="6"/>
      <c r="D4" s="6"/>
      <c r="E4" s="6"/>
    </row>
    <row r="5" spans="2:12" ht="32.15" customHeight="1" x14ac:dyDescent="0.35">
      <c r="B5" s="428" t="s">
        <v>393</v>
      </c>
      <c r="C5" s="428"/>
      <c r="D5" s="428"/>
      <c r="E5" s="428"/>
      <c r="F5" s="428"/>
      <c r="G5" s="428"/>
      <c r="H5" s="428"/>
      <c r="I5" s="428"/>
      <c r="J5" s="428"/>
      <c r="K5" s="428"/>
      <c r="L5" s="428"/>
    </row>
    <row r="6" spans="2:12" ht="30" customHeight="1" x14ac:dyDescent="0.35">
      <c r="B6" s="428"/>
      <c r="C6" s="428"/>
      <c r="D6" s="428"/>
      <c r="E6" s="428"/>
      <c r="F6" s="428"/>
      <c r="G6" s="428"/>
      <c r="H6" s="428"/>
      <c r="I6" s="428"/>
      <c r="J6" s="428"/>
      <c r="K6" s="428"/>
      <c r="L6" s="428"/>
    </row>
    <row r="7" spans="2:12" x14ac:dyDescent="0.35">
      <c r="B7" s="25"/>
      <c r="C7" s="25"/>
      <c r="D7" s="6"/>
      <c r="E7" s="6"/>
    </row>
    <row r="8" spans="2:12" ht="31.15" customHeight="1" x14ac:dyDescent="0.35">
      <c r="B8" s="413" t="s">
        <v>76</v>
      </c>
      <c r="C8" s="414"/>
      <c r="D8" s="414"/>
      <c r="E8" s="414"/>
      <c r="F8" s="414"/>
      <c r="G8" s="414"/>
      <c r="H8" s="414"/>
      <c r="I8" s="414"/>
      <c r="J8" s="414"/>
      <c r="K8" s="414"/>
      <c r="L8" s="415"/>
    </row>
    <row r="9" spans="2:12" ht="24.4" customHeight="1" x14ac:dyDescent="0.35">
      <c r="B9" s="416"/>
      <c r="C9" s="417"/>
      <c r="D9" s="417"/>
      <c r="E9" s="417"/>
      <c r="F9" s="417"/>
      <c r="G9" s="417"/>
      <c r="H9" s="417"/>
      <c r="I9" s="417"/>
      <c r="J9" s="417"/>
      <c r="K9" s="417"/>
      <c r="L9" s="418"/>
    </row>
    <row r="10" spans="2:12" ht="15" customHeight="1" x14ac:dyDescent="0.35">
      <c r="B10" s="416"/>
      <c r="C10" s="417"/>
      <c r="D10" s="417"/>
      <c r="E10" s="417"/>
      <c r="F10" s="417"/>
      <c r="G10" s="417"/>
      <c r="H10" s="417"/>
      <c r="I10" s="417"/>
      <c r="J10" s="417"/>
      <c r="K10" s="417"/>
      <c r="L10" s="418"/>
    </row>
    <row r="11" spans="2:12" ht="15" customHeight="1" x14ac:dyDescent="0.35">
      <c r="B11" s="416"/>
      <c r="C11" s="417"/>
      <c r="D11" s="417"/>
      <c r="E11" s="417"/>
      <c r="F11" s="417"/>
      <c r="G11" s="417"/>
      <c r="H11" s="417"/>
      <c r="I11" s="417"/>
      <c r="J11" s="417"/>
      <c r="K11" s="417"/>
      <c r="L11" s="418"/>
    </row>
    <row r="12" spans="2:12" ht="31.5" customHeight="1" x14ac:dyDescent="0.35">
      <c r="B12" s="416"/>
      <c r="C12" s="417"/>
      <c r="D12" s="417"/>
      <c r="E12" s="417"/>
      <c r="F12" s="417"/>
      <c r="G12" s="417"/>
      <c r="H12" s="417"/>
      <c r="I12" s="417"/>
      <c r="J12" s="417"/>
      <c r="K12" s="417"/>
      <c r="L12" s="418"/>
    </row>
    <row r="13" spans="2:12" ht="15" customHeight="1" x14ac:dyDescent="0.35">
      <c r="B13" s="416"/>
      <c r="C13" s="417"/>
      <c r="D13" s="417"/>
      <c r="E13" s="417"/>
      <c r="F13" s="417"/>
      <c r="G13" s="417"/>
      <c r="H13" s="417"/>
      <c r="I13" s="417"/>
      <c r="J13" s="417"/>
      <c r="K13" s="417"/>
      <c r="L13" s="418"/>
    </row>
    <row r="14" spans="2:12" ht="17.649999999999999" customHeight="1" x14ac:dyDescent="0.35">
      <c r="B14" s="416"/>
      <c r="C14" s="417"/>
      <c r="D14" s="417"/>
      <c r="E14" s="417"/>
      <c r="F14" s="417"/>
      <c r="G14" s="417"/>
      <c r="H14" s="417"/>
      <c r="I14" s="417"/>
      <c r="J14" s="417"/>
      <c r="K14" s="417"/>
      <c r="L14" s="418"/>
    </row>
    <row r="15" spans="2:12" ht="180.75" customHeight="1" x14ac:dyDescent="0.35">
      <c r="B15" s="419"/>
      <c r="C15" s="420"/>
      <c r="D15" s="420"/>
      <c r="E15" s="420"/>
      <c r="F15" s="420"/>
      <c r="G15" s="420"/>
      <c r="H15" s="420"/>
      <c r="I15" s="420"/>
      <c r="J15" s="420"/>
      <c r="K15" s="420"/>
      <c r="L15" s="421"/>
    </row>
    <row r="16" spans="2:12" ht="17.649999999999999" customHeight="1" x14ac:dyDescent="0.35">
      <c r="B16" s="21"/>
      <c r="C16" s="21"/>
      <c r="D16" s="21"/>
      <c r="E16" s="21"/>
      <c r="F16" s="21"/>
      <c r="G16" s="21"/>
      <c r="H16" s="21"/>
      <c r="I16" s="21"/>
      <c r="J16" s="21"/>
      <c r="K16" s="21"/>
      <c r="L16" s="21"/>
    </row>
    <row r="17" spans="2:23" ht="17.649999999999999" customHeight="1" x14ac:dyDescent="0.35">
      <c r="B17" s="34" t="s">
        <v>95</v>
      </c>
      <c r="C17" s="34"/>
      <c r="D17" s="21"/>
      <c r="E17" s="21"/>
      <c r="F17" s="21"/>
      <c r="G17" s="21"/>
      <c r="H17" s="21"/>
      <c r="I17" s="21"/>
      <c r="J17" s="21"/>
      <c r="K17" s="21"/>
      <c r="L17" s="21"/>
    </row>
    <row r="18" spans="2:23" ht="14.25" customHeight="1" x14ac:dyDescent="0.35">
      <c r="B18" s="21"/>
      <c r="C18" s="21"/>
      <c r="D18" s="21"/>
      <c r="E18" s="21"/>
      <c r="F18" s="21"/>
      <c r="G18" s="21"/>
      <c r="H18" s="21"/>
      <c r="I18" s="21"/>
      <c r="J18" s="21"/>
      <c r="K18" s="21"/>
      <c r="L18" s="21"/>
    </row>
    <row r="19" spans="2:23" ht="20.149999999999999" customHeight="1" x14ac:dyDescent="0.35">
      <c r="B19" s="430" t="s">
        <v>262</v>
      </c>
      <c r="C19" s="423"/>
      <c r="D19" s="423"/>
      <c r="E19" s="423"/>
      <c r="F19" s="423"/>
      <c r="G19" s="423"/>
      <c r="H19" s="423"/>
      <c r="I19" s="423"/>
      <c r="J19" s="423"/>
      <c r="K19" s="423"/>
      <c r="L19" s="423"/>
      <c r="M19" s="423"/>
      <c r="N19" s="423"/>
      <c r="O19" s="423"/>
      <c r="P19" s="423"/>
      <c r="Q19" s="423"/>
      <c r="R19" s="423"/>
      <c r="S19" s="423"/>
      <c r="T19" s="423"/>
      <c r="U19" s="423"/>
      <c r="V19" s="423"/>
      <c r="W19" s="424"/>
    </row>
    <row r="20" spans="2:23" s="14" customFormat="1" ht="70.5" customHeight="1" x14ac:dyDescent="0.3">
      <c r="B20" s="13" t="s">
        <v>37</v>
      </c>
      <c r="C20" s="13" t="s">
        <v>64</v>
      </c>
      <c r="D20" s="20" t="s">
        <v>54</v>
      </c>
      <c r="E20" s="13" t="s">
        <v>57</v>
      </c>
      <c r="F20" s="13" t="s">
        <v>42</v>
      </c>
      <c r="G20" s="20" t="s">
        <v>69</v>
      </c>
      <c r="H20" s="20" t="s">
        <v>65</v>
      </c>
      <c r="I20" s="13" t="s">
        <v>67</v>
      </c>
      <c r="J20" s="13" t="s">
        <v>79</v>
      </c>
      <c r="K20" s="20" t="s">
        <v>55</v>
      </c>
      <c r="L20" s="13" t="s">
        <v>58</v>
      </c>
      <c r="M20" s="13" t="s">
        <v>56</v>
      </c>
      <c r="N20" s="20" t="s">
        <v>70</v>
      </c>
      <c r="O20" s="20" t="s">
        <v>66</v>
      </c>
      <c r="P20" s="13" t="s">
        <v>68</v>
      </c>
      <c r="Q20" s="13" t="s">
        <v>75</v>
      </c>
      <c r="R20" s="20" t="s">
        <v>61</v>
      </c>
      <c r="S20" s="20" t="s">
        <v>60</v>
      </c>
      <c r="T20" s="20" t="s">
        <v>59</v>
      </c>
      <c r="U20" s="20" t="s">
        <v>62</v>
      </c>
      <c r="V20" s="20" t="s">
        <v>74</v>
      </c>
      <c r="W20" s="20" t="s">
        <v>63</v>
      </c>
    </row>
    <row r="21" spans="2:23" ht="15.65" customHeight="1" x14ac:dyDescent="0.35">
      <c r="B21" s="409" t="s">
        <v>2</v>
      </c>
      <c r="C21" s="410"/>
      <c r="D21" s="410"/>
      <c r="E21" s="410"/>
      <c r="F21" s="410"/>
      <c r="G21" s="410"/>
      <c r="H21" s="410"/>
      <c r="I21" s="410"/>
      <c r="J21" s="410"/>
      <c r="K21" s="410"/>
      <c r="L21" s="410"/>
      <c r="M21" s="410"/>
      <c r="N21" s="410"/>
      <c r="O21" s="410"/>
      <c r="P21" s="410"/>
      <c r="Q21" s="410"/>
      <c r="R21" s="410"/>
      <c r="S21" s="410"/>
      <c r="T21" s="410"/>
      <c r="U21" s="410"/>
      <c r="V21" s="410"/>
      <c r="W21" s="411"/>
    </row>
    <row r="22" spans="2:23" x14ac:dyDescent="0.35">
      <c r="B22" s="2" t="s">
        <v>83</v>
      </c>
      <c r="C22" s="53" t="s">
        <v>81</v>
      </c>
      <c r="D22" s="173">
        <v>225492</v>
      </c>
      <c r="E22" s="63">
        <f>F22/D22</f>
        <v>0.80179784648679331</v>
      </c>
      <c r="F22" s="173">
        <v>180799</v>
      </c>
      <c r="G22" s="57">
        <f>H22/F22</f>
        <v>12.699998340698787</v>
      </c>
      <c r="H22" s="58">
        <v>2296147</v>
      </c>
      <c r="I22" s="75">
        <v>29784883.499999989</v>
      </c>
      <c r="J22" s="287">
        <f>-PMT( 0.46%,G22,I22)/(F22*1000)</f>
        <v>1.3384075070419192E-2</v>
      </c>
      <c r="K22" s="61" t="s">
        <v>82</v>
      </c>
      <c r="L22" s="61" t="s">
        <v>82</v>
      </c>
      <c r="M22" s="61" t="s">
        <v>82</v>
      </c>
      <c r="N22" s="61" t="s">
        <v>82</v>
      </c>
      <c r="O22" s="61" t="s">
        <v>82</v>
      </c>
      <c r="P22" s="61" t="s">
        <v>82</v>
      </c>
      <c r="Q22" s="61" t="s">
        <v>82</v>
      </c>
      <c r="R22" s="75">
        <v>103010263</v>
      </c>
      <c r="S22" s="75">
        <v>59858607</v>
      </c>
      <c r="T22" s="75">
        <f t="shared" ref="T22:T27" si="0">R22-S22</f>
        <v>43151656</v>
      </c>
      <c r="U22" s="84">
        <f t="shared" ref="U22:U27" si="1">R22/S22</f>
        <v>1.7208930872714763</v>
      </c>
      <c r="V22" s="83">
        <v>2864</v>
      </c>
      <c r="W22" s="115" t="s">
        <v>235</v>
      </c>
    </row>
    <row r="23" spans="2:23" x14ac:dyDescent="0.35">
      <c r="B23" s="2" t="s">
        <v>84</v>
      </c>
      <c r="C23" s="53" t="s">
        <v>81</v>
      </c>
      <c r="D23" s="56">
        <v>29356</v>
      </c>
      <c r="E23" s="63">
        <f t="shared" ref="E23:E30" si="2">F23/D23</f>
        <v>0.64000545033383294</v>
      </c>
      <c r="F23" s="83">
        <v>18788</v>
      </c>
      <c r="G23" s="57">
        <f t="shared" ref="G23:G30" si="3">H23/F23</f>
        <v>12.299978709814775</v>
      </c>
      <c r="H23" s="58">
        <v>231092</v>
      </c>
      <c r="I23" s="75">
        <v>3937501.3499999996</v>
      </c>
      <c r="J23" s="287">
        <f t="shared" ref="J23:J28" si="4">-PMT( 0.46%,G23,I23)/(F23*1000)</f>
        <v>1.7564391472418655E-2</v>
      </c>
      <c r="K23" s="61" t="s">
        <v>82</v>
      </c>
      <c r="L23" s="61" t="s">
        <v>82</v>
      </c>
      <c r="M23" s="61" t="s">
        <v>82</v>
      </c>
      <c r="N23" s="61" t="s">
        <v>82</v>
      </c>
      <c r="O23" s="61" t="s">
        <v>82</v>
      </c>
      <c r="P23" s="61" t="s">
        <v>82</v>
      </c>
      <c r="Q23" s="61" t="s">
        <v>82</v>
      </c>
      <c r="R23" s="75">
        <v>19955002</v>
      </c>
      <c r="S23" s="75">
        <v>5867996</v>
      </c>
      <c r="T23" s="75">
        <f t="shared" si="0"/>
        <v>14087006</v>
      </c>
      <c r="U23" s="84">
        <f t="shared" si="1"/>
        <v>3.4006502390253845</v>
      </c>
      <c r="V23" s="83">
        <v>123</v>
      </c>
      <c r="W23" s="115" t="s">
        <v>235</v>
      </c>
    </row>
    <row r="24" spans="2:23" x14ac:dyDescent="0.35">
      <c r="B24" s="2" t="s">
        <v>119</v>
      </c>
      <c r="C24" s="53" t="s">
        <v>81</v>
      </c>
      <c r="D24" s="56">
        <v>13749</v>
      </c>
      <c r="E24" s="63">
        <f t="shared" si="2"/>
        <v>0.47996217906756855</v>
      </c>
      <c r="F24" s="83">
        <v>6599</v>
      </c>
      <c r="G24" s="57">
        <f t="shared" si="3"/>
        <v>15</v>
      </c>
      <c r="H24" s="58">
        <v>98985</v>
      </c>
      <c r="I24" s="75">
        <v>1130505.31</v>
      </c>
      <c r="J24" s="287">
        <f t="shared" si="4"/>
        <v>1.1845768355807709E-2</v>
      </c>
      <c r="K24" s="61" t="s">
        <v>82</v>
      </c>
      <c r="L24" s="61" t="s">
        <v>82</v>
      </c>
      <c r="M24" s="61" t="s">
        <v>82</v>
      </c>
      <c r="N24" s="61" t="s">
        <v>82</v>
      </c>
      <c r="O24" s="61" t="s">
        <v>82</v>
      </c>
      <c r="P24" s="61" t="s">
        <v>82</v>
      </c>
      <c r="Q24" s="61" t="s">
        <v>82</v>
      </c>
      <c r="R24" s="75">
        <v>6682198</v>
      </c>
      <c r="S24" s="75">
        <v>2719694</v>
      </c>
      <c r="T24" s="75">
        <f t="shared" si="0"/>
        <v>3962504</v>
      </c>
      <c r="U24" s="84">
        <f t="shared" si="1"/>
        <v>2.4569668499470896</v>
      </c>
      <c r="V24" s="83">
        <v>14</v>
      </c>
      <c r="W24" s="115" t="s">
        <v>235</v>
      </c>
    </row>
    <row r="25" spans="2:23" x14ac:dyDescent="0.35">
      <c r="B25" s="2" t="s">
        <v>85</v>
      </c>
      <c r="C25" s="53" t="s">
        <v>81</v>
      </c>
      <c r="D25" s="56">
        <v>20868</v>
      </c>
      <c r="E25" s="63">
        <f t="shared" si="2"/>
        <v>1.040013417672992</v>
      </c>
      <c r="F25" s="56">
        <v>21703</v>
      </c>
      <c r="G25" s="57">
        <f t="shared" si="3"/>
        <v>5</v>
      </c>
      <c r="H25" s="58">
        <v>108515</v>
      </c>
      <c r="I25" s="75">
        <v>4248698.9700000007</v>
      </c>
      <c r="J25" s="287">
        <f t="shared" si="4"/>
        <v>3.9695068947164514E-2</v>
      </c>
      <c r="K25" s="61" t="s">
        <v>82</v>
      </c>
      <c r="L25" s="61" t="s">
        <v>82</v>
      </c>
      <c r="M25" s="61" t="s">
        <v>82</v>
      </c>
      <c r="N25" s="61" t="s">
        <v>82</v>
      </c>
      <c r="O25" s="61" t="s">
        <v>82</v>
      </c>
      <c r="P25" s="61" t="s">
        <v>82</v>
      </c>
      <c r="Q25" s="61" t="s">
        <v>82</v>
      </c>
      <c r="R25" s="75">
        <v>8133471</v>
      </c>
      <c r="S25" s="75">
        <v>4300319</v>
      </c>
      <c r="T25" s="75">
        <f t="shared" si="0"/>
        <v>3833152</v>
      </c>
      <c r="U25" s="84">
        <f t="shared" si="1"/>
        <v>1.8913645708609059</v>
      </c>
      <c r="V25" s="56">
        <v>52</v>
      </c>
      <c r="W25" s="115" t="s">
        <v>235</v>
      </c>
    </row>
    <row r="26" spans="2:23" x14ac:dyDescent="0.35">
      <c r="B26" s="224" t="s">
        <v>133</v>
      </c>
      <c r="C26" s="53" t="s">
        <v>81</v>
      </c>
      <c r="D26" s="175">
        <v>15089</v>
      </c>
      <c r="E26" s="63">
        <f t="shared" si="2"/>
        <v>0.68003181125323087</v>
      </c>
      <c r="F26" s="175">
        <v>10261</v>
      </c>
      <c r="G26" s="57">
        <f t="shared" si="3"/>
        <v>10.099990254361174</v>
      </c>
      <c r="H26" s="58">
        <v>103636</v>
      </c>
      <c r="I26" s="75">
        <v>3300335.1399999997</v>
      </c>
      <c r="J26" s="287">
        <f t="shared" si="4"/>
        <v>3.2664123362415476E-2</v>
      </c>
      <c r="K26" s="61" t="s">
        <v>82</v>
      </c>
      <c r="L26" s="61" t="s">
        <v>82</v>
      </c>
      <c r="M26" s="61" t="s">
        <v>82</v>
      </c>
      <c r="N26" s="61" t="s">
        <v>82</v>
      </c>
      <c r="O26" s="61" t="s">
        <v>82</v>
      </c>
      <c r="P26" s="61" t="s">
        <v>82</v>
      </c>
      <c r="Q26" s="61" t="s">
        <v>82</v>
      </c>
      <c r="R26" s="75">
        <v>7880555</v>
      </c>
      <c r="S26" s="75">
        <v>4466741</v>
      </c>
      <c r="T26" s="75">
        <f t="shared" si="0"/>
        <v>3413814</v>
      </c>
      <c r="U26" s="84">
        <f t="shared" si="1"/>
        <v>1.7642739975297426</v>
      </c>
      <c r="V26" s="83">
        <v>25</v>
      </c>
      <c r="W26" s="115" t="s">
        <v>235</v>
      </c>
    </row>
    <row r="27" spans="2:23" x14ac:dyDescent="0.35">
      <c r="B27" s="2" t="s">
        <v>86</v>
      </c>
      <c r="C27" s="53" t="s">
        <v>81</v>
      </c>
      <c r="D27" s="56">
        <v>28027</v>
      </c>
      <c r="E27" s="63">
        <f t="shared" si="2"/>
        <v>0.59000249759160805</v>
      </c>
      <c r="F27" s="56">
        <v>16536</v>
      </c>
      <c r="G27" s="57">
        <f t="shared" si="3"/>
        <v>12</v>
      </c>
      <c r="H27" s="58">
        <v>198432</v>
      </c>
      <c r="I27" s="75">
        <v>5461056.1839999994</v>
      </c>
      <c r="J27" s="287">
        <f t="shared" si="4"/>
        <v>2.8350848543480037E-2</v>
      </c>
      <c r="K27" s="61" t="s">
        <v>82</v>
      </c>
      <c r="L27" s="61" t="s">
        <v>82</v>
      </c>
      <c r="M27" s="61" t="s">
        <v>82</v>
      </c>
      <c r="N27" s="61" t="s">
        <v>82</v>
      </c>
      <c r="O27" s="61" t="s">
        <v>82</v>
      </c>
      <c r="P27" s="61" t="s">
        <v>82</v>
      </c>
      <c r="Q27" s="61" t="s">
        <v>82</v>
      </c>
      <c r="R27" s="75">
        <v>16980442</v>
      </c>
      <c r="S27" s="75">
        <v>10933084</v>
      </c>
      <c r="T27" s="75">
        <f t="shared" si="0"/>
        <v>6047358</v>
      </c>
      <c r="U27" s="84">
        <f t="shared" si="1"/>
        <v>1.5531246261347667</v>
      </c>
      <c r="V27" s="56">
        <v>57</v>
      </c>
      <c r="W27" s="115" t="s">
        <v>235</v>
      </c>
    </row>
    <row r="28" spans="2:23" x14ac:dyDescent="0.35">
      <c r="B28" s="2" t="s">
        <v>134</v>
      </c>
      <c r="C28" s="53" t="s">
        <v>81</v>
      </c>
      <c r="D28" s="83">
        <v>229798</v>
      </c>
      <c r="E28" s="63">
        <f t="shared" si="2"/>
        <v>0.67554547907292495</v>
      </c>
      <c r="F28" s="83">
        <v>155239</v>
      </c>
      <c r="G28" s="57">
        <f t="shared" si="3"/>
        <v>8</v>
      </c>
      <c r="H28" s="58">
        <v>1241912</v>
      </c>
      <c r="I28" s="75">
        <v>15484895.057</v>
      </c>
      <c r="J28" s="287">
        <f t="shared" si="4"/>
        <v>1.2728074628559063E-2</v>
      </c>
      <c r="K28" s="61" t="s">
        <v>82</v>
      </c>
      <c r="L28" s="61" t="s">
        <v>82</v>
      </c>
      <c r="M28" s="61" t="s">
        <v>82</v>
      </c>
      <c r="N28" s="61" t="s">
        <v>82</v>
      </c>
      <c r="O28" s="61" t="s">
        <v>82</v>
      </c>
      <c r="P28" s="61" t="s">
        <v>82</v>
      </c>
      <c r="Q28" s="61" t="s">
        <v>82</v>
      </c>
      <c r="R28" s="75">
        <v>77313120</v>
      </c>
      <c r="S28" s="75">
        <v>5851541</v>
      </c>
      <c r="T28" s="75">
        <f>R28-S28</f>
        <v>71461579</v>
      </c>
      <c r="U28" s="84">
        <f>R28/S28</f>
        <v>13.212437544229802</v>
      </c>
      <c r="V28" s="56">
        <v>2510689</v>
      </c>
      <c r="W28" s="61" t="s">
        <v>141</v>
      </c>
    </row>
    <row r="29" spans="2:23" x14ac:dyDescent="0.35">
      <c r="B29" s="226" t="s">
        <v>108</v>
      </c>
      <c r="C29" s="53" t="s">
        <v>81</v>
      </c>
      <c r="D29" s="56">
        <v>30501</v>
      </c>
      <c r="E29" s="166">
        <f>F29/D29</f>
        <v>0.67397790236385691</v>
      </c>
      <c r="F29" s="56">
        <v>20557</v>
      </c>
      <c r="G29" s="57">
        <f t="shared" si="3"/>
        <v>8</v>
      </c>
      <c r="H29" s="58">
        <v>164456</v>
      </c>
      <c r="I29" s="60" t="s">
        <v>82</v>
      </c>
      <c r="J29" s="60" t="s">
        <v>82</v>
      </c>
      <c r="K29" s="61" t="s">
        <v>82</v>
      </c>
      <c r="L29" s="61" t="s">
        <v>82</v>
      </c>
      <c r="M29" s="61" t="s">
        <v>82</v>
      </c>
      <c r="N29" s="61" t="s">
        <v>82</v>
      </c>
      <c r="O29" s="61" t="s">
        <v>82</v>
      </c>
      <c r="P29" s="61" t="s">
        <v>82</v>
      </c>
      <c r="Q29" s="61" t="s">
        <v>82</v>
      </c>
      <c r="R29" s="115" t="s">
        <v>82</v>
      </c>
      <c r="S29" s="115" t="s">
        <v>82</v>
      </c>
      <c r="T29" s="115" t="s">
        <v>82</v>
      </c>
      <c r="U29" s="115" t="s">
        <v>82</v>
      </c>
      <c r="V29" s="56">
        <v>111272</v>
      </c>
      <c r="W29" s="61" t="s">
        <v>141</v>
      </c>
    </row>
    <row r="30" spans="2:23" x14ac:dyDescent="0.35">
      <c r="B30" s="2" t="s">
        <v>121</v>
      </c>
      <c r="C30" s="53" t="s">
        <v>81</v>
      </c>
      <c r="D30" s="56">
        <v>77582</v>
      </c>
      <c r="E30" s="63">
        <f t="shared" si="2"/>
        <v>0.95001417854657011</v>
      </c>
      <c r="F30" s="56">
        <v>73704</v>
      </c>
      <c r="G30" s="57">
        <f t="shared" si="3"/>
        <v>13.70000271355693</v>
      </c>
      <c r="H30" s="58">
        <v>1009745</v>
      </c>
      <c r="I30" s="75">
        <v>17191517.18</v>
      </c>
      <c r="J30" s="287">
        <f>-PMT( 0.46%,G30,I30)/(F30*1000)</f>
        <v>1.7606829967291286E-2</v>
      </c>
      <c r="K30" s="61" t="s">
        <v>82</v>
      </c>
      <c r="L30" s="61" t="s">
        <v>82</v>
      </c>
      <c r="M30" s="61" t="s">
        <v>82</v>
      </c>
      <c r="N30" s="61" t="s">
        <v>82</v>
      </c>
      <c r="O30" s="61" t="s">
        <v>82</v>
      </c>
      <c r="P30" s="61" t="s">
        <v>82</v>
      </c>
      <c r="Q30" s="61" t="s">
        <v>82</v>
      </c>
      <c r="R30" s="75">
        <v>43574511</v>
      </c>
      <c r="S30" s="75">
        <v>18596989</v>
      </c>
      <c r="T30" s="75">
        <f>R30-S30</f>
        <v>24977522</v>
      </c>
      <c r="U30" s="84">
        <f>R30/S30</f>
        <v>2.3430949494028308</v>
      </c>
      <c r="V30" s="56">
        <v>10141</v>
      </c>
      <c r="W30" s="115" t="s">
        <v>235</v>
      </c>
    </row>
    <row r="31" spans="2:23" x14ac:dyDescent="0.35">
      <c r="B31" s="2" t="s">
        <v>214</v>
      </c>
      <c r="C31" s="53" t="s">
        <v>81</v>
      </c>
      <c r="D31" s="56">
        <v>0</v>
      </c>
      <c r="E31" s="84">
        <v>0</v>
      </c>
      <c r="F31" s="56">
        <v>0</v>
      </c>
      <c r="G31" s="57">
        <v>0</v>
      </c>
      <c r="H31" s="56">
        <f>F31*G31</f>
        <v>0</v>
      </c>
      <c r="I31" s="75">
        <v>639639.09</v>
      </c>
      <c r="J31" s="60" t="s">
        <v>82</v>
      </c>
      <c r="K31" s="61" t="s">
        <v>82</v>
      </c>
      <c r="L31" s="61" t="s">
        <v>82</v>
      </c>
      <c r="M31" s="61" t="s">
        <v>82</v>
      </c>
      <c r="N31" s="61" t="s">
        <v>82</v>
      </c>
      <c r="O31" s="61" t="s">
        <v>82</v>
      </c>
      <c r="P31" s="61" t="s">
        <v>82</v>
      </c>
      <c r="Q31" s="61" t="s">
        <v>82</v>
      </c>
      <c r="R31" s="115" t="s">
        <v>82</v>
      </c>
      <c r="S31" s="115" t="s">
        <v>82</v>
      </c>
      <c r="T31" s="115" t="s">
        <v>82</v>
      </c>
      <c r="U31" s="115" t="s">
        <v>82</v>
      </c>
      <c r="V31" s="179" t="s">
        <v>82</v>
      </c>
      <c r="W31" s="115" t="s">
        <v>82</v>
      </c>
    </row>
    <row r="32" spans="2:23" x14ac:dyDescent="0.35">
      <c r="B32" s="224" t="s">
        <v>140</v>
      </c>
      <c r="C32" s="53" t="s">
        <v>81</v>
      </c>
      <c r="D32" s="160">
        <v>460</v>
      </c>
      <c r="E32" s="166">
        <f>F32/D32</f>
        <v>1</v>
      </c>
      <c r="F32" s="164">
        <v>460</v>
      </c>
      <c r="G32" s="268">
        <f>H32/F32</f>
        <v>12.2</v>
      </c>
      <c r="H32" s="176">
        <v>5612</v>
      </c>
      <c r="I32" s="60" t="s">
        <v>82</v>
      </c>
      <c r="J32" s="60" t="s">
        <v>82</v>
      </c>
      <c r="K32" s="61" t="s">
        <v>82</v>
      </c>
      <c r="L32" s="61" t="s">
        <v>82</v>
      </c>
      <c r="M32" s="61" t="s">
        <v>82</v>
      </c>
      <c r="N32" s="61" t="s">
        <v>82</v>
      </c>
      <c r="O32" s="61" t="s">
        <v>82</v>
      </c>
      <c r="P32" s="61" t="s">
        <v>82</v>
      </c>
      <c r="Q32" s="61" t="s">
        <v>82</v>
      </c>
      <c r="R32" s="1">
        <v>250328</v>
      </c>
      <c r="S32" s="1">
        <v>149389</v>
      </c>
      <c r="T32" s="1">
        <f>R32-S32</f>
        <v>100939</v>
      </c>
      <c r="U32" s="364">
        <f>T32/S32</f>
        <v>0.67567893218376185</v>
      </c>
      <c r="V32" s="54">
        <v>735</v>
      </c>
      <c r="W32" s="61" t="s">
        <v>141</v>
      </c>
    </row>
    <row r="33" spans="2:23" x14ac:dyDescent="0.35">
      <c r="B33" s="224" t="s">
        <v>123</v>
      </c>
      <c r="C33" s="53" t="s">
        <v>81</v>
      </c>
      <c r="D33" s="60" t="s">
        <v>82</v>
      </c>
      <c r="E33" s="60" t="s">
        <v>82</v>
      </c>
      <c r="F33" s="60" t="s">
        <v>82</v>
      </c>
      <c r="G33" s="60" t="s">
        <v>82</v>
      </c>
      <c r="H33" s="60" t="s">
        <v>82</v>
      </c>
      <c r="I33" s="1">
        <v>42808.69</v>
      </c>
      <c r="J33" s="60" t="s">
        <v>82</v>
      </c>
      <c r="K33" s="61" t="s">
        <v>82</v>
      </c>
      <c r="L33" s="61" t="s">
        <v>82</v>
      </c>
      <c r="M33" s="61" t="s">
        <v>82</v>
      </c>
      <c r="N33" s="61" t="s">
        <v>82</v>
      </c>
      <c r="O33" s="61" t="s">
        <v>82</v>
      </c>
      <c r="P33" s="61" t="s">
        <v>82</v>
      </c>
      <c r="Q33" s="61" t="s">
        <v>82</v>
      </c>
      <c r="R33" s="178" t="s">
        <v>82</v>
      </c>
      <c r="S33" s="178" t="s">
        <v>82</v>
      </c>
      <c r="T33" s="178" t="s">
        <v>82</v>
      </c>
      <c r="U33" s="87" t="s">
        <v>82</v>
      </c>
      <c r="V33" s="178" t="s">
        <v>82</v>
      </c>
      <c r="W33" s="178" t="s">
        <v>82</v>
      </c>
    </row>
    <row r="34" spans="2:23" x14ac:dyDescent="0.35">
      <c r="B34" s="224" t="s">
        <v>142</v>
      </c>
      <c r="C34" s="131" t="s">
        <v>137</v>
      </c>
      <c r="D34" s="56">
        <v>105265</v>
      </c>
      <c r="E34" s="166">
        <f>F34/D34</f>
        <v>0.94999287512468533</v>
      </c>
      <c r="F34" s="56">
        <v>100001</v>
      </c>
      <c r="G34" s="268">
        <f>H34/F34</f>
        <v>14</v>
      </c>
      <c r="H34" s="176">
        <v>1400014</v>
      </c>
      <c r="I34" s="1">
        <v>27725240</v>
      </c>
      <c r="J34" s="287">
        <f>-PMT( 0.46%,G34,I34)/(F34*1000)</f>
        <v>2.0493560483266157E-2</v>
      </c>
      <c r="K34" s="61" t="s">
        <v>82</v>
      </c>
      <c r="L34" s="61" t="s">
        <v>82</v>
      </c>
      <c r="M34" s="61" t="s">
        <v>82</v>
      </c>
      <c r="N34" s="61" t="s">
        <v>82</v>
      </c>
      <c r="O34" s="61" t="s">
        <v>82</v>
      </c>
      <c r="P34" s="61" t="s">
        <v>82</v>
      </c>
      <c r="Q34" s="61" t="s">
        <v>82</v>
      </c>
      <c r="R34" s="178" t="s">
        <v>82</v>
      </c>
      <c r="S34" s="178" t="s">
        <v>82</v>
      </c>
      <c r="T34" s="178" t="s">
        <v>82</v>
      </c>
      <c r="U34" s="87" t="s">
        <v>82</v>
      </c>
      <c r="V34" s="62" t="s">
        <v>82</v>
      </c>
      <c r="W34" s="115" t="s">
        <v>235</v>
      </c>
    </row>
    <row r="35" spans="2:23" x14ac:dyDescent="0.35">
      <c r="B35" s="288" t="s">
        <v>299</v>
      </c>
      <c r="C35" s="53" t="s">
        <v>295</v>
      </c>
      <c r="D35" s="117">
        <v>53162.374000000003</v>
      </c>
      <c r="E35" s="283">
        <f>F35/D35</f>
        <v>0.89535775810162266</v>
      </c>
      <c r="F35" s="117">
        <v>47599.343999999997</v>
      </c>
      <c r="G35" s="61" t="s">
        <v>82</v>
      </c>
      <c r="H35" s="61" t="s">
        <v>82</v>
      </c>
      <c r="I35" s="61" t="s">
        <v>82</v>
      </c>
      <c r="J35" s="61" t="s">
        <v>82</v>
      </c>
      <c r="K35" s="61" t="s">
        <v>82</v>
      </c>
      <c r="L35" s="61" t="s">
        <v>82</v>
      </c>
      <c r="M35" s="61" t="s">
        <v>82</v>
      </c>
      <c r="N35" s="61" t="s">
        <v>82</v>
      </c>
      <c r="O35" s="61" t="s">
        <v>82</v>
      </c>
      <c r="P35" s="61" t="s">
        <v>82</v>
      </c>
      <c r="Q35" s="61" t="s">
        <v>82</v>
      </c>
      <c r="R35" s="351">
        <v>42170936</v>
      </c>
      <c r="S35" s="312">
        <v>7772282</v>
      </c>
      <c r="T35" s="75">
        <f t="shared" ref="T35:T41" si="5">R35-S35</f>
        <v>34398654</v>
      </c>
      <c r="U35" s="84">
        <f t="shared" ref="U35:U41" si="6">R35/S35</f>
        <v>5.4258113640241055</v>
      </c>
      <c r="V35" s="108">
        <v>1193</v>
      </c>
      <c r="W35" s="115" t="s">
        <v>235</v>
      </c>
    </row>
    <row r="36" spans="2:23" x14ac:dyDescent="0.35">
      <c r="B36" s="288" t="s">
        <v>300</v>
      </c>
      <c r="C36" s="53" t="s">
        <v>295</v>
      </c>
      <c r="D36" s="117">
        <v>19806.713</v>
      </c>
      <c r="E36" s="283">
        <f t="shared" ref="E36:E39" si="7">F36/D36</f>
        <v>0.81242490866606698</v>
      </c>
      <c r="F36" s="117">
        <v>16091.467000000001</v>
      </c>
      <c r="G36" s="61" t="s">
        <v>82</v>
      </c>
      <c r="H36" s="61" t="s">
        <v>82</v>
      </c>
      <c r="I36" s="61" t="s">
        <v>82</v>
      </c>
      <c r="J36" s="61" t="s">
        <v>82</v>
      </c>
      <c r="K36" s="61" t="s">
        <v>82</v>
      </c>
      <c r="L36" s="61" t="s">
        <v>82</v>
      </c>
      <c r="M36" s="61" t="s">
        <v>82</v>
      </c>
      <c r="N36" s="61" t="s">
        <v>82</v>
      </c>
      <c r="O36" s="61" t="s">
        <v>82</v>
      </c>
      <c r="P36" s="61" t="s">
        <v>82</v>
      </c>
      <c r="Q36" s="61" t="s">
        <v>82</v>
      </c>
      <c r="R36" s="351">
        <v>16866013</v>
      </c>
      <c r="S36" s="312">
        <v>5029566</v>
      </c>
      <c r="T36" s="75">
        <f t="shared" si="5"/>
        <v>11836447</v>
      </c>
      <c r="U36" s="84">
        <f t="shared" si="6"/>
        <v>3.353373432220593</v>
      </c>
      <c r="V36" s="108">
        <v>174</v>
      </c>
      <c r="W36" s="115" t="s">
        <v>235</v>
      </c>
    </row>
    <row r="37" spans="2:23" x14ac:dyDescent="0.35">
      <c r="B37" s="2" t="s">
        <v>309</v>
      </c>
      <c r="C37" s="53" t="s">
        <v>295</v>
      </c>
      <c r="D37" s="117">
        <v>393.666</v>
      </c>
      <c r="E37" s="283">
        <f t="shared" si="7"/>
        <v>0.87134525206647262</v>
      </c>
      <c r="F37" s="117">
        <v>343.01900000000001</v>
      </c>
      <c r="G37" s="61" t="s">
        <v>82</v>
      </c>
      <c r="H37" s="61" t="s">
        <v>82</v>
      </c>
      <c r="I37" s="61" t="s">
        <v>82</v>
      </c>
      <c r="J37" s="61" t="s">
        <v>82</v>
      </c>
      <c r="K37" s="61" t="s">
        <v>82</v>
      </c>
      <c r="L37" s="61" t="s">
        <v>82</v>
      </c>
      <c r="M37" s="61" t="s">
        <v>82</v>
      </c>
      <c r="N37" s="61" t="s">
        <v>82</v>
      </c>
      <c r="O37" s="61" t="s">
        <v>82</v>
      </c>
      <c r="P37" s="61" t="s">
        <v>82</v>
      </c>
      <c r="Q37" s="61" t="s">
        <v>82</v>
      </c>
      <c r="R37" s="351">
        <v>498445</v>
      </c>
      <c r="S37" s="312">
        <v>166334</v>
      </c>
      <c r="T37" s="75">
        <f t="shared" si="5"/>
        <v>332111</v>
      </c>
      <c r="U37" s="84">
        <f t="shared" si="6"/>
        <v>2.9966513160267896</v>
      </c>
      <c r="V37" s="108">
        <v>8</v>
      </c>
      <c r="W37" s="115" t="s">
        <v>235</v>
      </c>
    </row>
    <row r="38" spans="2:23" ht="14.5" customHeight="1" x14ac:dyDescent="0.35">
      <c r="B38" s="2" t="s">
        <v>319</v>
      </c>
      <c r="C38" s="53" t="s">
        <v>295</v>
      </c>
      <c r="D38" s="117">
        <v>5973.482</v>
      </c>
      <c r="E38" s="283">
        <f t="shared" si="7"/>
        <v>1.0118266029762875</v>
      </c>
      <c r="F38" s="117">
        <v>6044.1279999999997</v>
      </c>
      <c r="G38" s="61" t="s">
        <v>82</v>
      </c>
      <c r="H38" s="61" t="s">
        <v>82</v>
      </c>
      <c r="I38" s="61" t="s">
        <v>82</v>
      </c>
      <c r="J38" s="61" t="s">
        <v>82</v>
      </c>
      <c r="K38" s="61" t="s">
        <v>82</v>
      </c>
      <c r="L38" s="61" t="s">
        <v>82</v>
      </c>
      <c r="M38" s="61" t="s">
        <v>82</v>
      </c>
      <c r="N38" s="61" t="s">
        <v>82</v>
      </c>
      <c r="O38" s="61" t="s">
        <v>82</v>
      </c>
      <c r="P38" s="61" t="s">
        <v>82</v>
      </c>
      <c r="Q38" s="61" t="s">
        <v>82</v>
      </c>
      <c r="R38" s="351">
        <v>9853872</v>
      </c>
      <c r="S38" s="312">
        <v>2488331</v>
      </c>
      <c r="T38" s="75">
        <f t="shared" si="5"/>
        <v>7365541</v>
      </c>
      <c r="U38" s="84">
        <f t="shared" si="6"/>
        <v>3.9600326483896233</v>
      </c>
      <c r="V38" s="108">
        <v>37</v>
      </c>
      <c r="W38" s="115" t="s">
        <v>235</v>
      </c>
    </row>
    <row r="39" spans="2:23" ht="14.5" customHeight="1" x14ac:dyDescent="0.35">
      <c r="B39" s="2" t="s">
        <v>318</v>
      </c>
      <c r="C39" s="53" t="s">
        <v>295</v>
      </c>
      <c r="D39" s="117">
        <v>3337.5540000000001</v>
      </c>
      <c r="E39" s="283">
        <f t="shared" si="7"/>
        <v>0.9583275656363911</v>
      </c>
      <c r="F39" s="117">
        <v>3198.47</v>
      </c>
      <c r="G39" s="61" t="s">
        <v>82</v>
      </c>
      <c r="H39" s="61" t="s">
        <v>82</v>
      </c>
      <c r="I39" s="61" t="s">
        <v>82</v>
      </c>
      <c r="J39" s="61" t="s">
        <v>82</v>
      </c>
      <c r="K39" s="61" t="s">
        <v>82</v>
      </c>
      <c r="L39" s="61" t="s">
        <v>82</v>
      </c>
      <c r="M39" s="61" t="s">
        <v>82</v>
      </c>
      <c r="N39" s="61" t="s">
        <v>82</v>
      </c>
      <c r="O39" s="61" t="s">
        <v>82</v>
      </c>
      <c r="P39" s="61" t="s">
        <v>82</v>
      </c>
      <c r="Q39" s="61" t="s">
        <v>82</v>
      </c>
      <c r="R39" s="351">
        <v>2310123</v>
      </c>
      <c r="S39" s="312">
        <v>485892</v>
      </c>
      <c r="T39" s="75">
        <f t="shared" si="5"/>
        <v>1824231</v>
      </c>
      <c r="U39" s="84">
        <f t="shared" si="6"/>
        <v>4.7543960386258677</v>
      </c>
      <c r="V39" s="335">
        <v>15997</v>
      </c>
      <c r="W39" s="115" t="s">
        <v>141</v>
      </c>
    </row>
    <row r="40" spans="2:23" ht="14.5" customHeight="1" x14ac:dyDescent="0.35">
      <c r="B40" s="2" t="s">
        <v>310</v>
      </c>
      <c r="C40" s="53" t="s">
        <v>295</v>
      </c>
      <c r="D40" s="327" t="s">
        <v>82</v>
      </c>
      <c r="E40" s="53" t="s">
        <v>82</v>
      </c>
      <c r="F40" s="117">
        <v>1230.4079999999999</v>
      </c>
      <c r="G40" s="61" t="s">
        <v>82</v>
      </c>
      <c r="H40" s="61" t="s">
        <v>82</v>
      </c>
      <c r="I40" s="61" t="s">
        <v>82</v>
      </c>
      <c r="J40" s="61" t="s">
        <v>82</v>
      </c>
      <c r="K40" s="61" t="s">
        <v>82</v>
      </c>
      <c r="L40" s="61" t="s">
        <v>82</v>
      </c>
      <c r="M40" s="61" t="s">
        <v>82</v>
      </c>
      <c r="N40" s="61" t="s">
        <v>82</v>
      </c>
      <c r="O40" s="61" t="s">
        <v>82</v>
      </c>
      <c r="P40" s="61" t="s">
        <v>82</v>
      </c>
      <c r="Q40" s="61" t="s">
        <v>82</v>
      </c>
      <c r="R40" s="351">
        <v>903484</v>
      </c>
      <c r="S40" s="312">
        <v>297605</v>
      </c>
      <c r="T40" s="75">
        <f t="shared" si="5"/>
        <v>605879</v>
      </c>
      <c r="U40" s="84">
        <f t="shared" si="6"/>
        <v>3.0358495320979149</v>
      </c>
      <c r="V40" s="345">
        <v>122</v>
      </c>
      <c r="W40" s="203" t="s">
        <v>193</v>
      </c>
    </row>
    <row r="41" spans="2:23" ht="14.5" customHeight="1" x14ac:dyDescent="0.35">
      <c r="B41" s="288" t="s">
        <v>317</v>
      </c>
      <c r="C41" s="53" t="s">
        <v>295</v>
      </c>
      <c r="D41" s="327" t="s">
        <v>82</v>
      </c>
      <c r="E41" s="53" t="s">
        <v>82</v>
      </c>
      <c r="F41" s="346">
        <v>1974.92</v>
      </c>
      <c r="G41" s="61" t="s">
        <v>82</v>
      </c>
      <c r="H41" s="61" t="s">
        <v>82</v>
      </c>
      <c r="I41" s="61" t="s">
        <v>82</v>
      </c>
      <c r="J41" s="61" t="s">
        <v>82</v>
      </c>
      <c r="K41" s="61" t="s">
        <v>82</v>
      </c>
      <c r="L41" s="61" t="s">
        <v>82</v>
      </c>
      <c r="M41" s="61" t="s">
        <v>82</v>
      </c>
      <c r="N41" s="61" t="s">
        <v>82</v>
      </c>
      <c r="O41" s="61" t="s">
        <v>82</v>
      </c>
      <c r="P41" s="61" t="s">
        <v>82</v>
      </c>
      <c r="Q41" s="61" t="s">
        <v>82</v>
      </c>
      <c r="R41" s="352">
        <v>1589298</v>
      </c>
      <c r="S41" s="353">
        <v>1771976</v>
      </c>
      <c r="T41" s="75">
        <f t="shared" si="5"/>
        <v>-182678</v>
      </c>
      <c r="U41" s="84">
        <f t="shared" si="6"/>
        <v>0.89690718158710958</v>
      </c>
      <c r="V41" s="345">
        <v>275</v>
      </c>
      <c r="W41" s="115" t="s">
        <v>235</v>
      </c>
    </row>
    <row r="42" spans="2:23" x14ac:dyDescent="0.35">
      <c r="B42" s="4" t="s">
        <v>7</v>
      </c>
      <c r="C42" s="4"/>
      <c r="D42" s="65">
        <f>SUM(D22:D41)</f>
        <v>858860.78899999987</v>
      </c>
      <c r="E42" s="69">
        <f>F42/D42</f>
        <v>0.79306072034451691</v>
      </c>
      <c r="F42" s="65">
        <f>SUM(F22:F41)</f>
        <v>681128.75600000005</v>
      </c>
      <c r="G42" s="118">
        <f>H42/F42</f>
        <v>10.069382535363108</v>
      </c>
      <c r="H42" s="65">
        <f>SUM(H22:H41)</f>
        <v>6858546</v>
      </c>
      <c r="I42" s="147">
        <f>SUM(I22:I41)</f>
        <v>108947080.47099999</v>
      </c>
      <c r="J42" s="248">
        <f t="shared" ref="J42" si="8">-PMT( 0.46%,G42,I42)/(F42*1000)</f>
        <v>1.6292092937353439E-2</v>
      </c>
      <c r="K42" s="68" t="s">
        <v>82</v>
      </c>
      <c r="L42" s="68" t="s">
        <v>82</v>
      </c>
      <c r="M42" s="68" t="s">
        <v>82</v>
      </c>
      <c r="N42" s="68" t="s">
        <v>82</v>
      </c>
      <c r="O42" s="68" t="s">
        <v>82</v>
      </c>
      <c r="P42" s="68" t="s">
        <v>82</v>
      </c>
      <c r="Q42" s="68" t="s">
        <v>82</v>
      </c>
      <c r="R42" s="72">
        <f>SUM(R22:R41)</f>
        <v>357972061</v>
      </c>
      <c r="S42" s="72">
        <f>SUM(S22:S41)</f>
        <v>130756346</v>
      </c>
      <c r="T42" s="72">
        <f>SUM(T22:T41)</f>
        <v>227215715</v>
      </c>
      <c r="U42" s="73">
        <f t="shared" ref="U42" si="9">R42/S42</f>
        <v>2.7377031551493491</v>
      </c>
      <c r="V42" s="74">
        <f>SUM(V22:V41)</f>
        <v>2653778</v>
      </c>
      <c r="W42" s="68" t="s">
        <v>82</v>
      </c>
    </row>
    <row r="43" spans="2:23" x14ac:dyDescent="0.35">
      <c r="B43" s="31" t="s">
        <v>14</v>
      </c>
      <c r="C43" s="31"/>
      <c r="D43" s="255">
        <f>SUM(D21:D34)</f>
        <v>776187</v>
      </c>
      <c r="E43" s="340">
        <f>F43/D43</f>
        <v>0.77899655624224573</v>
      </c>
      <c r="F43" s="255">
        <f>SUM(F21:F34)</f>
        <v>604647</v>
      </c>
      <c r="G43" s="256">
        <f>H43/F43</f>
        <v>11.343058015668646</v>
      </c>
      <c r="H43" s="255">
        <f>SUM(H21:H34)</f>
        <v>6858546</v>
      </c>
      <c r="I43" s="321">
        <f>SUM(I21:I34)</f>
        <v>108947080.47099999</v>
      </c>
      <c r="J43" s="322">
        <f t="shared" ref="J43" si="10">-PMT( 0.46%,G43,I43)/(F43*1000)</f>
        <v>1.633938901183412E-2</v>
      </c>
      <c r="K43" s="323" t="s">
        <v>82</v>
      </c>
      <c r="L43" s="323" t="s">
        <v>82</v>
      </c>
      <c r="M43" s="324" t="s">
        <v>82</v>
      </c>
      <c r="N43" s="324" t="s">
        <v>82</v>
      </c>
      <c r="O43" s="324" t="s">
        <v>82</v>
      </c>
      <c r="P43" s="323" t="s">
        <v>82</v>
      </c>
      <c r="Q43" s="323" t="s">
        <v>82</v>
      </c>
      <c r="R43" s="361">
        <f>SUM(R25:R33)</f>
        <v>154132427</v>
      </c>
      <c r="S43" s="321">
        <f>SUM(S25:S34)</f>
        <v>44298063</v>
      </c>
      <c r="T43" s="325">
        <f>R43-S43</f>
        <v>109834364</v>
      </c>
      <c r="U43" s="259">
        <f>R43/S43</f>
        <v>3.4794394283108949</v>
      </c>
      <c r="V43" s="326" t="s">
        <v>82</v>
      </c>
      <c r="W43" s="326" t="s">
        <v>82</v>
      </c>
    </row>
    <row r="44" spans="2:23" x14ac:dyDescent="0.35">
      <c r="B44" s="31" t="s">
        <v>15</v>
      </c>
      <c r="C44" s="31"/>
      <c r="D44" s="255">
        <f>SUM(D35:D41)</f>
        <v>82673.789000000004</v>
      </c>
      <c r="E44" s="340">
        <f>F44/D44</f>
        <v>0.92510282793498178</v>
      </c>
      <c r="F44" s="255">
        <f>SUM(F35:F41)</f>
        <v>76481.755999999994</v>
      </c>
      <c r="G44" s="323" t="s">
        <v>82</v>
      </c>
      <c r="H44" s="323" t="s">
        <v>82</v>
      </c>
      <c r="I44" s="323" t="s">
        <v>82</v>
      </c>
      <c r="J44" s="323" t="s">
        <v>82</v>
      </c>
      <c r="K44" s="323" t="s">
        <v>82</v>
      </c>
      <c r="L44" s="323" t="s">
        <v>82</v>
      </c>
      <c r="M44" s="324" t="s">
        <v>82</v>
      </c>
      <c r="N44" s="324" t="s">
        <v>82</v>
      </c>
      <c r="O44" s="324" t="s">
        <v>82</v>
      </c>
      <c r="P44" s="323" t="s">
        <v>82</v>
      </c>
      <c r="Q44" s="323" t="s">
        <v>82</v>
      </c>
      <c r="R44" s="29">
        <f>SUM(R35:R41)</f>
        <v>74192171</v>
      </c>
      <c r="S44" s="29">
        <f>SUM(S35:S41)</f>
        <v>18011986</v>
      </c>
      <c r="T44" s="325">
        <f>R44-S44</f>
        <v>56180185</v>
      </c>
      <c r="U44" s="259">
        <f>R44/S44</f>
        <v>4.1190444518444549</v>
      </c>
      <c r="V44" s="326" t="s">
        <v>82</v>
      </c>
      <c r="W44" s="326" t="s">
        <v>82</v>
      </c>
    </row>
    <row r="45" spans="2:23" ht="15.65" customHeight="1" x14ac:dyDescent="0.35">
      <c r="B45" s="409" t="s">
        <v>1</v>
      </c>
      <c r="C45" s="410"/>
      <c r="D45" s="410"/>
      <c r="E45" s="410"/>
      <c r="F45" s="410"/>
      <c r="G45" s="410"/>
      <c r="H45" s="410"/>
      <c r="I45" s="410"/>
      <c r="J45" s="410"/>
      <c r="K45" s="410"/>
      <c r="L45" s="410"/>
      <c r="M45" s="410"/>
      <c r="N45" s="410"/>
      <c r="O45" s="410"/>
      <c r="P45" s="410"/>
      <c r="Q45" s="410"/>
      <c r="R45" s="410"/>
      <c r="S45" s="410"/>
      <c r="T45" s="410"/>
      <c r="U45" s="410"/>
      <c r="V45" s="410"/>
      <c r="W45" s="411"/>
    </row>
    <row r="46" spans="2:23" x14ac:dyDescent="0.35">
      <c r="B46" s="2" t="s">
        <v>87</v>
      </c>
      <c r="C46" s="53" t="s">
        <v>81</v>
      </c>
      <c r="D46" s="56">
        <v>350816</v>
      </c>
      <c r="E46" s="63">
        <f>F46/D46</f>
        <v>0.60823052540363043</v>
      </c>
      <c r="F46" s="83">
        <v>213377</v>
      </c>
      <c r="G46" s="84">
        <f>H46/F46</f>
        <v>5.8999985940377826</v>
      </c>
      <c r="H46" s="85">
        <v>1258924</v>
      </c>
      <c r="I46" s="227">
        <v>20374111.23</v>
      </c>
      <c r="J46" s="287">
        <f>-PMT( 0.46%,G46,I46)/(F46*1000)</f>
        <v>1.6441548638503806E-2</v>
      </c>
      <c r="K46" s="61" t="s">
        <v>82</v>
      </c>
      <c r="L46" s="61" t="s">
        <v>82</v>
      </c>
      <c r="M46" s="61" t="s">
        <v>82</v>
      </c>
      <c r="N46" s="61" t="s">
        <v>82</v>
      </c>
      <c r="O46" s="61" t="s">
        <v>82</v>
      </c>
      <c r="P46" s="61" t="s">
        <v>82</v>
      </c>
      <c r="Q46" s="61" t="s">
        <v>82</v>
      </c>
      <c r="R46" s="78">
        <v>64503496</v>
      </c>
      <c r="S46" s="78">
        <v>3250502</v>
      </c>
      <c r="T46" s="78">
        <f>R46-S46</f>
        <v>61252994</v>
      </c>
      <c r="U46" s="84">
        <f>R46/S46</f>
        <v>19.844164378302182</v>
      </c>
      <c r="V46" s="83">
        <v>12237113</v>
      </c>
      <c r="W46" s="115" t="s">
        <v>141</v>
      </c>
    </row>
    <row r="47" spans="2:23" x14ac:dyDescent="0.35">
      <c r="B47" s="226" t="s">
        <v>258</v>
      </c>
      <c r="C47" s="53" t="s">
        <v>81</v>
      </c>
      <c r="D47" s="180">
        <v>101847</v>
      </c>
      <c r="E47" s="166">
        <f>F47/D47</f>
        <v>0.56728229599300917</v>
      </c>
      <c r="F47" s="180">
        <v>57776</v>
      </c>
      <c r="G47" s="84">
        <f t="shared" ref="G47:G53" si="11">H47/F47</f>
        <v>5.3999930767100528</v>
      </c>
      <c r="H47" s="85">
        <v>311990</v>
      </c>
      <c r="I47" s="60" t="s">
        <v>82</v>
      </c>
      <c r="J47" s="60" t="s">
        <v>82</v>
      </c>
      <c r="K47" s="61" t="s">
        <v>82</v>
      </c>
      <c r="L47" s="61" t="s">
        <v>82</v>
      </c>
      <c r="M47" s="61" t="s">
        <v>82</v>
      </c>
      <c r="N47" s="61" t="s">
        <v>82</v>
      </c>
      <c r="O47" s="61" t="s">
        <v>82</v>
      </c>
      <c r="P47" s="61" t="s">
        <v>82</v>
      </c>
      <c r="Q47" s="61" t="s">
        <v>82</v>
      </c>
      <c r="R47" s="61" t="s">
        <v>82</v>
      </c>
      <c r="S47" s="61" t="s">
        <v>82</v>
      </c>
      <c r="T47" s="61" t="s">
        <v>82</v>
      </c>
      <c r="U47" s="339" t="s">
        <v>82</v>
      </c>
      <c r="V47" s="164">
        <v>1539885</v>
      </c>
      <c r="W47" s="115" t="s">
        <v>141</v>
      </c>
    </row>
    <row r="48" spans="2:23" x14ac:dyDescent="0.35">
      <c r="B48" s="2" t="s">
        <v>88</v>
      </c>
      <c r="C48" s="53" t="s">
        <v>81</v>
      </c>
      <c r="D48" s="56">
        <v>34011</v>
      </c>
      <c r="E48" s="63">
        <f t="shared" ref="E48:E53" si="12">F48/D48</f>
        <v>0.5552615330334304</v>
      </c>
      <c r="F48" s="83">
        <v>18885</v>
      </c>
      <c r="G48" s="84">
        <f t="shared" si="11"/>
        <v>12</v>
      </c>
      <c r="H48" s="85">
        <v>226620</v>
      </c>
      <c r="I48" s="86">
        <v>6060304.9100000001</v>
      </c>
      <c r="J48" s="287">
        <f t="shared" ref="J48:J53" si="13">-PMT( 0.46%,G48,I48)/(F48*1000)</f>
        <v>2.7548462587135836E-2</v>
      </c>
      <c r="K48" s="61" t="s">
        <v>82</v>
      </c>
      <c r="L48" s="61" t="s">
        <v>82</v>
      </c>
      <c r="M48" s="61" t="s">
        <v>82</v>
      </c>
      <c r="N48" s="61" t="s">
        <v>82</v>
      </c>
      <c r="O48" s="61" t="s">
        <v>82</v>
      </c>
      <c r="P48" s="61" t="s">
        <v>82</v>
      </c>
      <c r="Q48" s="61" t="s">
        <v>82</v>
      </c>
      <c r="R48" s="78">
        <v>10864273</v>
      </c>
      <c r="S48" s="78">
        <v>3452844</v>
      </c>
      <c r="T48" s="78">
        <f t="shared" ref="T48:T53" si="14">R48-S48</f>
        <v>7411429</v>
      </c>
      <c r="U48" s="84">
        <f t="shared" ref="U48:U53" si="15">R48/S48</f>
        <v>3.146470851275065</v>
      </c>
      <c r="V48" s="83">
        <v>40946</v>
      </c>
      <c r="W48" s="115" t="s">
        <v>141</v>
      </c>
    </row>
    <row r="49" spans="2:23" ht="15.65" customHeight="1" x14ac:dyDescent="0.35">
      <c r="B49" s="2" t="s">
        <v>250</v>
      </c>
      <c r="C49" s="53" t="s">
        <v>81</v>
      </c>
      <c r="D49" s="173">
        <v>4065</v>
      </c>
      <c r="E49" s="63">
        <f t="shared" si="12"/>
        <v>0.97490774907749078</v>
      </c>
      <c r="F49" s="173">
        <v>3963</v>
      </c>
      <c r="G49" s="84">
        <f t="shared" si="11"/>
        <v>6</v>
      </c>
      <c r="H49" s="85">
        <v>23778</v>
      </c>
      <c r="I49" s="181">
        <v>1410739.0299999998</v>
      </c>
      <c r="J49" s="287">
        <f t="shared" si="13"/>
        <v>6.0288451245905039E-2</v>
      </c>
      <c r="K49" s="61" t="s">
        <v>82</v>
      </c>
      <c r="L49" s="61" t="s">
        <v>82</v>
      </c>
      <c r="M49" s="61" t="s">
        <v>82</v>
      </c>
      <c r="N49" s="61" t="s">
        <v>82</v>
      </c>
      <c r="O49" s="61" t="s">
        <v>82</v>
      </c>
      <c r="P49" s="61" t="s">
        <v>82</v>
      </c>
      <c r="Q49" s="61" t="s">
        <v>82</v>
      </c>
      <c r="R49" s="78">
        <v>1011725</v>
      </c>
      <c r="S49" s="78">
        <v>334353</v>
      </c>
      <c r="T49" s="78">
        <f t="shared" si="14"/>
        <v>677372</v>
      </c>
      <c r="U49" s="84">
        <f t="shared" si="15"/>
        <v>3.0259187146518798</v>
      </c>
      <c r="V49" s="56">
        <v>17887</v>
      </c>
      <c r="W49" s="240" t="s">
        <v>312</v>
      </c>
    </row>
    <row r="50" spans="2:23" x14ac:dyDescent="0.35">
      <c r="B50" s="2" t="s">
        <v>143</v>
      </c>
      <c r="C50" s="53" t="s">
        <v>81</v>
      </c>
      <c r="D50" s="56">
        <v>5354.23092</v>
      </c>
      <c r="E50" s="63">
        <f t="shared" si="12"/>
        <v>0.8</v>
      </c>
      <c r="F50" s="83">
        <v>4283.384736</v>
      </c>
      <c r="G50" s="84">
        <f t="shared" si="11"/>
        <v>5.8995400967876073</v>
      </c>
      <c r="H50" s="85">
        <v>25270</v>
      </c>
      <c r="I50" s="123">
        <v>2690914.34</v>
      </c>
      <c r="J50" s="287">
        <f t="shared" si="13"/>
        <v>0.1081826805052617</v>
      </c>
      <c r="K50" s="61" t="s">
        <v>82</v>
      </c>
      <c r="L50" s="61" t="s">
        <v>82</v>
      </c>
      <c r="M50" s="61" t="s">
        <v>82</v>
      </c>
      <c r="N50" s="61" t="s">
        <v>82</v>
      </c>
      <c r="O50" s="61" t="s">
        <v>82</v>
      </c>
      <c r="P50" s="61" t="s">
        <v>82</v>
      </c>
      <c r="Q50" s="61" t="s">
        <v>82</v>
      </c>
      <c r="R50" s="3">
        <v>1079395</v>
      </c>
      <c r="S50" s="3">
        <v>1002425</v>
      </c>
      <c r="T50" s="78">
        <f t="shared" si="14"/>
        <v>76970</v>
      </c>
      <c r="U50" s="84">
        <f t="shared" si="15"/>
        <v>1.0767837992867297</v>
      </c>
      <c r="V50" s="183">
        <v>11785</v>
      </c>
      <c r="W50" s="199" t="s">
        <v>193</v>
      </c>
    </row>
    <row r="51" spans="2:23" x14ac:dyDescent="0.35">
      <c r="B51" s="2" t="s">
        <v>256</v>
      </c>
      <c r="C51" s="53" t="s">
        <v>81</v>
      </c>
      <c r="D51" s="56">
        <v>4718</v>
      </c>
      <c r="E51" s="63">
        <f t="shared" si="12"/>
        <v>0.99554896142433236</v>
      </c>
      <c r="F51" s="56">
        <v>4697</v>
      </c>
      <c r="G51" s="84">
        <f t="shared" si="11"/>
        <v>18</v>
      </c>
      <c r="H51" s="85">
        <v>84546</v>
      </c>
      <c r="I51" s="123">
        <v>2787985.5999999996</v>
      </c>
      <c r="J51" s="287">
        <f t="shared" si="13"/>
        <v>3.4435746986696013E-2</v>
      </c>
      <c r="K51" s="61" t="s">
        <v>82</v>
      </c>
      <c r="L51" s="61" t="s">
        <v>82</v>
      </c>
      <c r="M51" s="61" t="s">
        <v>82</v>
      </c>
      <c r="N51" s="61" t="s">
        <v>82</v>
      </c>
      <c r="O51" s="61" t="s">
        <v>82</v>
      </c>
      <c r="P51" s="61" t="s">
        <v>82</v>
      </c>
      <c r="Q51" s="61" t="s">
        <v>82</v>
      </c>
      <c r="R51" s="3">
        <v>11015918</v>
      </c>
      <c r="S51" s="3">
        <v>8026791</v>
      </c>
      <c r="T51" s="78">
        <f t="shared" si="14"/>
        <v>2989127</v>
      </c>
      <c r="U51" s="84">
        <f t="shared" si="15"/>
        <v>1.3723937747974253</v>
      </c>
      <c r="V51" s="56">
        <v>6691</v>
      </c>
      <c r="W51" s="199" t="s">
        <v>193</v>
      </c>
    </row>
    <row r="52" spans="2:23" x14ac:dyDescent="0.35">
      <c r="B52" s="2" t="s">
        <v>126</v>
      </c>
      <c r="C52" s="53" t="s">
        <v>81</v>
      </c>
      <c r="D52" s="56">
        <v>2022</v>
      </c>
      <c r="E52" s="63">
        <f t="shared" si="12"/>
        <v>0.76013847675568746</v>
      </c>
      <c r="F52" s="56">
        <v>1537</v>
      </c>
      <c r="G52" s="84">
        <f t="shared" si="11"/>
        <v>6.8998048145738453</v>
      </c>
      <c r="H52" s="85">
        <v>10605</v>
      </c>
      <c r="I52" s="87">
        <v>228424.93000000002</v>
      </c>
      <c r="J52" s="287">
        <f t="shared" si="13"/>
        <v>2.1932488259384743E-2</v>
      </c>
      <c r="K52" s="61" t="s">
        <v>82</v>
      </c>
      <c r="L52" s="61" t="s">
        <v>82</v>
      </c>
      <c r="M52" s="61" t="s">
        <v>82</v>
      </c>
      <c r="N52" s="61" t="s">
        <v>82</v>
      </c>
      <c r="O52" s="61" t="s">
        <v>82</v>
      </c>
      <c r="P52" s="61" t="s">
        <v>82</v>
      </c>
      <c r="Q52" s="61" t="s">
        <v>82</v>
      </c>
      <c r="R52" s="3">
        <v>494819</v>
      </c>
      <c r="S52" s="3">
        <v>180392</v>
      </c>
      <c r="T52" s="78">
        <f t="shared" si="14"/>
        <v>314427</v>
      </c>
      <c r="U52" s="84">
        <f t="shared" si="15"/>
        <v>2.7430207548006562</v>
      </c>
      <c r="V52" s="56">
        <v>14254</v>
      </c>
      <c r="W52" s="199" t="s">
        <v>238</v>
      </c>
    </row>
    <row r="53" spans="2:23" x14ac:dyDescent="0.35">
      <c r="B53" s="2" t="s">
        <v>127</v>
      </c>
      <c r="C53" s="53" t="s">
        <v>81</v>
      </c>
      <c r="D53" s="56">
        <v>647.072</v>
      </c>
      <c r="E53" s="63">
        <f t="shared" si="12"/>
        <v>0.80000061816923007</v>
      </c>
      <c r="F53" s="56">
        <v>517.65800000000002</v>
      </c>
      <c r="G53" s="84">
        <f t="shared" si="11"/>
        <v>20.013213357081316</v>
      </c>
      <c r="H53" s="85">
        <v>10360</v>
      </c>
      <c r="I53" s="87">
        <v>240200.24</v>
      </c>
      <c r="J53" s="287">
        <f t="shared" si="13"/>
        <v>2.4322202823929499E-2</v>
      </c>
      <c r="K53" s="61" t="s">
        <v>82</v>
      </c>
      <c r="L53" s="61" t="s">
        <v>82</v>
      </c>
      <c r="M53" s="61" t="s">
        <v>82</v>
      </c>
      <c r="N53" s="61" t="s">
        <v>82</v>
      </c>
      <c r="O53" s="61" t="s">
        <v>82</v>
      </c>
      <c r="P53" s="61" t="s">
        <v>82</v>
      </c>
      <c r="Q53" s="61" t="s">
        <v>82</v>
      </c>
      <c r="R53" s="3">
        <v>881967</v>
      </c>
      <c r="S53" s="3">
        <v>1249158</v>
      </c>
      <c r="T53" s="78">
        <f t="shared" si="14"/>
        <v>-367191</v>
      </c>
      <c r="U53" s="84">
        <f t="shared" si="15"/>
        <v>0.70604919473757521</v>
      </c>
      <c r="V53" s="56">
        <v>728</v>
      </c>
      <c r="W53" s="199" t="s">
        <v>235</v>
      </c>
    </row>
    <row r="54" spans="2:23" x14ac:dyDescent="0.35">
      <c r="B54" s="2" t="s">
        <v>259</v>
      </c>
      <c r="C54" s="53" t="s">
        <v>81</v>
      </c>
      <c r="D54" s="56" t="s">
        <v>82</v>
      </c>
      <c r="E54" s="56" t="s">
        <v>82</v>
      </c>
      <c r="F54" s="56" t="s">
        <v>82</v>
      </c>
      <c r="G54" s="57" t="s">
        <v>82</v>
      </c>
      <c r="H54" s="56" t="s">
        <v>82</v>
      </c>
      <c r="I54" s="87">
        <v>256783.41999999998</v>
      </c>
      <c r="J54" s="56" t="s">
        <v>82</v>
      </c>
      <c r="K54" s="61" t="s">
        <v>82</v>
      </c>
      <c r="L54" s="61" t="s">
        <v>82</v>
      </c>
      <c r="M54" s="61" t="s">
        <v>82</v>
      </c>
      <c r="N54" s="61" t="s">
        <v>82</v>
      </c>
      <c r="O54" s="61" t="s">
        <v>82</v>
      </c>
      <c r="P54" s="61" t="s">
        <v>82</v>
      </c>
      <c r="Q54" s="61" t="s">
        <v>82</v>
      </c>
      <c r="R54" s="61" t="s">
        <v>82</v>
      </c>
      <c r="S54" s="61" t="s">
        <v>82</v>
      </c>
      <c r="T54" s="61" t="s">
        <v>82</v>
      </c>
      <c r="U54" s="339" t="s">
        <v>82</v>
      </c>
      <c r="V54" s="61" t="s">
        <v>82</v>
      </c>
      <c r="W54" s="61" t="s">
        <v>82</v>
      </c>
    </row>
    <row r="55" spans="2:23" x14ac:dyDescent="0.35">
      <c r="B55" s="224" t="s">
        <v>257</v>
      </c>
      <c r="C55" s="131" t="s">
        <v>137</v>
      </c>
      <c r="D55" s="180">
        <v>9940</v>
      </c>
      <c r="E55" s="166">
        <f>F55/D55</f>
        <v>0.54004024144869212</v>
      </c>
      <c r="F55" s="180">
        <v>5368</v>
      </c>
      <c r="G55" s="57">
        <f>H55/F55</f>
        <v>3</v>
      </c>
      <c r="H55" s="58">
        <v>16104</v>
      </c>
      <c r="I55" s="60">
        <v>151195.94</v>
      </c>
      <c r="J55" s="60" t="s">
        <v>82</v>
      </c>
      <c r="K55" s="61" t="s">
        <v>82</v>
      </c>
      <c r="L55" s="61" t="s">
        <v>82</v>
      </c>
      <c r="M55" s="61" t="s">
        <v>82</v>
      </c>
      <c r="N55" s="61" t="s">
        <v>82</v>
      </c>
      <c r="O55" s="61" t="s">
        <v>82</v>
      </c>
      <c r="P55" s="61" t="s">
        <v>82</v>
      </c>
      <c r="Q55" s="61" t="s">
        <v>82</v>
      </c>
      <c r="R55" s="61" t="s">
        <v>82</v>
      </c>
      <c r="S55" s="61" t="s">
        <v>82</v>
      </c>
      <c r="T55" s="61" t="s">
        <v>82</v>
      </c>
      <c r="U55" s="339" t="s">
        <v>82</v>
      </c>
      <c r="V55" s="61" t="s">
        <v>82</v>
      </c>
      <c r="W55" s="61" t="s">
        <v>82</v>
      </c>
    </row>
    <row r="56" spans="2:23" x14ac:dyDescent="0.35">
      <c r="B56" s="224" t="s">
        <v>114</v>
      </c>
      <c r="C56" s="131" t="s">
        <v>137</v>
      </c>
      <c r="D56" s="56">
        <v>205278</v>
      </c>
      <c r="E56" s="151">
        <f>F56/D56</f>
        <v>1</v>
      </c>
      <c r="F56" s="56">
        <v>205278</v>
      </c>
      <c r="G56" s="57">
        <f>H56/F56</f>
        <v>1</v>
      </c>
      <c r="H56" s="58">
        <v>205278</v>
      </c>
      <c r="I56" s="60">
        <v>10194075.030000001</v>
      </c>
      <c r="J56" s="287">
        <f t="shared" ref="J56:J57" si="16">-PMT( 0.46%,G56,I56)/(F56*1000)</f>
        <v>4.988828698222899E-2</v>
      </c>
      <c r="K56" s="61" t="s">
        <v>82</v>
      </c>
      <c r="L56" s="61" t="s">
        <v>82</v>
      </c>
      <c r="M56" s="61" t="s">
        <v>82</v>
      </c>
      <c r="N56" s="61" t="s">
        <v>82</v>
      </c>
      <c r="O56" s="61" t="s">
        <v>82</v>
      </c>
      <c r="P56" s="61" t="s">
        <v>82</v>
      </c>
      <c r="Q56" s="61" t="s">
        <v>82</v>
      </c>
      <c r="R56" s="61" t="s">
        <v>82</v>
      </c>
      <c r="S56" s="61" t="s">
        <v>82</v>
      </c>
      <c r="T56" s="61" t="s">
        <v>82</v>
      </c>
      <c r="U56" s="339" t="s">
        <v>82</v>
      </c>
      <c r="V56" s="56">
        <v>1700000</v>
      </c>
      <c r="W56" s="199" t="s">
        <v>193</v>
      </c>
    </row>
    <row r="57" spans="2:23" ht="14.5" customHeight="1" x14ac:dyDescent="0.35">
      <c r="B57" s="224" t="s">
        <v>255</v>
      </c>
      <c r="C57" s="131" t="s">
        <v>137</v>
      </c>
      <c r="D57" s="180">
        <v>994</v>
      </c>
      <c r="E57" s="166">
        <f>F57/D57</f>
        <v>0.91348088531187122</v>
      </c>
      <c r="F57" s="180">
        <v>908</v>
      </c>
      <c r="G57" s="57">
        <f>H57/F57</f>
        <v>13.89977973568282</v>
      </c>
      <c r="H57" s="58">
        <v>12621</v>
      </c>
      <c r="I57" s="60">
        <v>452995</v>
      </c>
      <c r="J57" s="287">
        <f t="shared" si="16"/>
        <v>3.713430595992033E-2</v>
      </c>
      <c r="K57" s="61" t="s">
        <v>82</v>
      </c>
      <c r="L57" s="61" t="s">
        <v>82</v>
      </c>
      <c r="M57" s="61" t="s">
        <v>82</v>
      </c>
      <c r="N57" s="61" t="s">
        <v>82</v>
      </c>
      <c r="O57" s="61" t="s">
        <v>82</v>
      </c>
      <c r="P57" s="61" t="s">
        <v>82</v>
      </c>
      <c r="Q57" s="61" t="s">
        <v>82</v>
      </c>
      <c r="R57" s="61" t="s">
        <v>82</v>
      </c>
      <c r="S57" s="61" t="s">
        <v>82</v>
      </c>
      <c r="T57" s="61" t="s">
        <v>82</v>
      </c>
      <c r="U57" s="339" t="s">
        <v>82</v>
      </c>
      <c r="V57" s="180">
        <v>3647</v>
      </c>
      <c r="W57" s="240" t="s">
        <v>312</v>
      </c>
    </row>
    <row r="58" spans="2:23" x14ac:dyDescent="0.35">
      <c r="B58" s="224" t="s">
        <v>254</v>
      </c>
      <c r="C58" s="131" t="s">
        <v>137</v>
      </c>
      <c r="D58" s="180">
        <v>1224</v>
      </c>
      <c r="E58" s="166">
        <f>F58/D58</f>
        <v>1</v>
      </c>
      <c r="F58" s="180">
        <v>1224</v>
      </c>
      <c r="G58" s="57">
        <f>H58/F58</f>
        <v>1</v>
      </c>
      <c r="H58" s="58">
        <v>1224</v>
      </c>
      <c r="I58" s="182">
        <v>208928</v>
      </c>
      <c r="J58" s="287">
        <f>-PMT( 0.46%,G58,I58)/(F58*1000)</f>
        <v>0.17147799738562092</v>
      </c>
      <c r="K58" s="61" t="s">
        <v>82</v>
      </c>
      <c r="L58" s="61" t="s">
        <v>82</v>
      </c>
      <c r="M58" s="61" t="s">
        <v>82</v>
      </c>
      <c r="N58" s="61" t="s">
        <v>82</v>
      </c>
      <c r="O58" s="61" t="s">
        <v>82</v>
      </c>
      <c r="P58" s="61" t="s">
        <v>82</v>
      </c>
      <c r="Q58" s="61" t="s">
        <v>82</v>
      </c>
      <c r="R58" s="61" t="s">
        <v>82</v>
      </c>
      <c r="S58" s="61" t="s">
        <v>82</v>
      </c>
      <c r="T58" s="61" t="s">
        <v>82</v>
      </c>
      <c r="U58" s="339" t="s">
        <v>82</v>
      </c>
      <c r="V58" s="180">
        <v>10478</v>
      </c>
      <c r="W58" s="199" t="s">
        <v>193</v>
      </c>
    </row>
    <row r="59" spans="2:23" x14ac:dyDescent="0.35">
      <c r="B59" s="224" t="s">
        <v>330</v>
      </c>
      <c r="C59" s="53" t="s">
        <v>295</v>
      </c>
      <c r="D59" s="180">
        <v>30.315000000000001</v>
      </c>
      <c r="E59" s="284">
        <f t="shared" ref="E59" si="17">F59/D59</f>
        <v>0.8356919016988289</v>
      </c>
      <c r="F59" s="180">
        <v>25.334</v>
      </c>
      <c r="G59" s="61" t="s">
        <v>82</v>
      </c>
      <c r="H59" s="61" t="s">
        <v>82</v>
      </c>
      <c r="I59" s="61" t="s">
        <v>82</v>
      </c>
      <c r="J59" s="61" t="s">
        <v>82</v>
      </c>
      <c r="K59" s="61" t="s">
        <v>82</v>
      </c>
      <c r="L59" s="61" t="s">
        <v>82</v>
      </c>
      <c r="M59" s="61" t="s">
        <v>82</v>
      </c>
      <c r="N59" s="61" t="s">
        <v>82</v>
      </c>
      <c r="O59" s="61" t="s">
        <v>82</v>
      </c>
      <c r="P59" s="61" t="s">
        <v>82</v>
      </c>
      <c r="Q59" s="61" t="s">
        <v>82</v>
      </c>
      <c r="R59" s="133">
        <v>8621</v>
      </c>
      <c r="S59" s="133">
        <v>284118</v>
      </c>
      <c r="T59" s="78">
        <f t="shared" ref="T59" si="18">R59-S59</f>
        <v>-275497</v>
      </c>
      <c r="U59" s="84">
        <f t="shared" ref="U59" si="19">R59/S59</f>
        <v>3.0343026488994011E-2</v>
      </c>
      <c r="V59" s="108">
        <v>3232</v>
      </c>
      <c r="W59" s="202" t="s">
        <v>141</v>
      </c>
    </row>
    <row r="60" spans="2:23" x14ac:dyDescent="0.35">
      <c r="B60" s="4" t="s">
        <v>8</v>
      </c>
      <c r="C60" s="4"/>
      <c r="D60" s="65">
        <f>SUM(D46:D59)</f>
        <v>720946.61791999987</v>
      </c>
      <c r="E60" s="69">
        <f>F60/D60</f>
        <v>0.71827700396184146</v>
      </c>
      <c r="F60" s="65">
        <f>SUM(F46:F59)</f>
        <v>517839.37673599995</v>
      </c>
      <c r="G60" s="118">
        <f>H60/F60</f>
        <v>4.2239352553429308</v>
      </c>
      <c r="H60" s="71">
        <f>SUM(H46:H59)</f>
        <v>2187320</v>
      </c>
      <c r="I60" s="67">
        <f>SUM(I46:I59)</f>
        <v>45056657.670000002</v>
      </c>
      <c r="J60" s="248">
        <f>-PMT( 0.46%,G60,I60)/(F60*1000)</f>
        <v>2.0847132885266729E-2</v>
      </c>
      <c r="K60" s="68" t="s">
        <v>82</v>
      </c>
      <c r="L60" s="68" t="s">
        <v>82</v>
      </c>
      <c r="M60" s="68" t="s">
        <v>82</v>
      </c>
      <c r="N60" s="68" t="s">
        <v>82</v>
      </c>
      <c r="O60" s="68" t="s">
        <v>82</v>
      </c>
      <c r="P60" s="68" t="s">
        <v>82</v>
      </c>
      <c r="Q60" s="68" t="s">
        <v>82</v>
      </c>
      <c r="R60" s="72">
        <f>SUM(R46:R59)</f>
        <v>89860214</v>
      </c>
      <c r="S60" s="72">
        <f>SUM(S46:S59)</f>
        <v>17780583</v>
      </c>
      <c r="T60" s="72">
        <f>SUM(T46:T59)</f>
        <v>72079631</v>
      </c>
      <c r="U60" s="73">
        <f t="shared" ref="U60" si="20">R60/S60</f>
        <v>5.053839573201846</v>
      </c>
      <c r="V60" s="74">
        <f>SUM(V46:V59)</f>
        <v>15586646</v>
      </c>
      <c r="W60" s="218" t="s">
        <v>82</v>
      </c>
    </row>
    <row r="61" spans="2:23" ht="15.65" customHeight="1" x14ac:dyDescent="0.35">
      <c r="B61" s="425" t="s">
        <v>9</v>
      </c>
      <c r="C61" s="426"/>
      <c r="D61" s="426"/>
      <c r="E61" s="426"/>
      <c r="F61" s="426"/>
      <c r="G61" s="426"/>
      <c r="H61" s="426"/>
      <c r="I61" s="426"/>
      <c r="J61" s="426"/>
      <c r="K61" s="426"/>
      <c r="L61" s="426"/>
      <c r="M61" s="426"/>
      <c r="N61" s="426"/>
      <c r="O61" s="426"/>
      <c r="P61" s="426"/>
      <c r="Q61" s="426"/>
      <c r="R61" s="426"/>
      <c r="S61" s="426"/>
      <c r="T61" s="426"/>
      <c r="U61" s="426"/>
      <c r="V61" s="426"/>
      <c r="W61" s="427"/>
    </row>
    <row r="62" spans="2:23" x14ac:dyDescent="0.35">
      <c r="B62" s="288" t="s">
        <v>303</v>
      </c>
      <c r="C62" s="53" t="s">
        <v>295</v>
      </c>
      <c r="D62" s="117">
        <v>5137.7879999999996</v>
      </c>
      <c r="E62" s="284">
        <f t="shared" ref="E62:E64" si="21">F62/D62</f>
        <v>1</v>
      </c>
      <c r="F62" s="117">
        <v>5137.7879999999996</v>
      </c>
      <c r="G62" s="61" t="s">
        <v>82</v>
      </c>
      <c r="H62" s="61" t="s">
        <v>82</v>
      </c>
      <c r="I62" s="61" t="s">
        <v>82</v>
      </c>
      <c r="J62" s="61" t="s">
        <v>82</v>
      </c>
      <c r="K62" s="61" t="s">
        <v>82</v>
      </c>
      <c r="L62" s="61" t="s">
        <v>82</v>
      </c>
      <c r="M62" s="61" t="s">
        <v>82</v>
      </c>
      <c r="N62" s="61" t="s">
        <v>82</v>
      </c>
      <c r="O62" s="61" t="s">
        <v>82</v>
      </c>
      <c r="P62" s="61" t="s">
        <v>82</v>
      </c>
      <c r="Q62" s="61" t="s">
        <v>82</v>
      </c>
      <c r="R62" s="133">
        <v>7335373</v>
      </c>
      <c r="S62" s="133">
        <v>3291274</v>
      </c>
      <c r="T62" s="78">
        <f t="shared" ref="T62:T64" si="22">R62-S62</f>
        <v>4044099</v>
      </c>
      <c r="U62" s="84">
        <f>R62/S62</f>
        <v>2.228733615007441</v>
      </c>
      <c r="V62" s="83" t="s">
        <v>82</v>
      </c>
      <c r="W62" s="115" t="s">
        <v>141</v>
      </c>
    </row>
    <row r="63" spans="2:23" x14ac:dyDescent="0.35">
      <c r="B63" s="288" t="s">
        <v>301</v>
      </c>
      <c r="C63" s="53" t="s">
        <v>295</v>
      </c>
      <c r="D63" s="117">
        <v>1674.479</v>
      </c>
      <c r="E63" s="284">
        <f t="shared" si="21"/>
        <v>1</v>
      </c>
      <c r="F63" s="117">
        <v>1674.479</v>
      </c>
      <c r="G63" s="61" t="s">
        <v>82</v>
      </c>
      <c r="H63" s="61" t="s">
        <v>82</v>
      </c>
      <c r="I63" s="61" t="s">
        <v>82</v>
      </c>
      <c r="J63" s="61" t="s">
        <v>82</v>
      </c>
      <c r="K63" s="61" t="s">
        <v>82</v>
      </c>
      <c r="L63" s="61" t="s">
        <v>82</v>
      </c>
      <c r="M63" s="61" t="s">
        <v>82</v>
      </c>
      <c r="N63" s="61" t="s">
        <v>82</v>
      </c>
      <c r="O63" s="61" t="s">
        <v>82</v>
      </c>
      <c r="P63" s="61" t="s">
        <v>82</v>
      </c>
      <c r="Q63" s="61" t="s">
        <v>82</v>
      </c>
      <c r="R63" s="133">
        <v>2360998</v>
      </c>
      <c r="S63" s="133">
        <v>2742686</v>
      </c>
      <c r="T63" s="78">
        <f t="shared" si="22"/>
        <v>-381688</v>
      </c>
      <c r="U63" s="84">
        <f t="shared" ref="U63:U64" si="23">R63/S63</f>
        <v>0.86083423330268216</v>
      </c>
      <c r="V63" s="117">
        <v>1170</v>
      </c>
      <c r="W63" s="202" t="s">
        <v>312</v>
      </c>
    </row>
    <row r="64" spans="2:23" ht="14.5" customHeight="1" x14ac:dyDescent="0.35">
      <c r="B64" s="2" t="s">
        <v>322</v>
      </c>
      <c r="C64" s="53" t="s">
        <v>295</v>
      </c>
      <c r="D64" s="117">
        <v>1804.9490000000001</v>
      </c>
      <c r="E64" s="284">
        <f t="shared" si="21"/>
        <v>1</v>
      </c>
      <c r="F64" s="117">
        <v>1804.9490000000001</v>
      </c>
      <c r="G64" s="61" t="s">
        <v>82</v>
      </c>
      <c r="H64" s="61" t="s">
        <v>82</v>
      </c>
      <c r="I64" s="61" t="s">
        <v>82</v>
      </c>
      <c r="J64" s="61" t="s">
        <v>82</v>
      </c>
      <c r="K64" s="61" t="s">
        <v>82</v>
      </c>
      <c r="L64" s="61" t="s">
        <v>82</v>
      </c>
      <c r="M64" s="61" t="s">
        <v>82</v>
      </c>
      <c r="N64" s="61" t="s">
        <v>82</v>
      </c>
      <c r="O64" s="61" t="s">
        <v>82</v>
      </c>
      <c r="P64" s="61" t="s">
        <v>82</v>
      </c>
      <c r="Q64" s="61" t="s">
        <v>82</v>
      </c>
      <c r="R64" s="133">
        <v>1559379</v>
      </c>
      <c r="S64" s="133">
        <v>1267853</v>
      </c>
      <c r="T64" s="78">
        <f t="shared" si="22"/>
        <v>291526</v>
      </c>
      <c r="U64" s="84">
        <f t="shared" si="23"/>
        <v>1.229936751342624</v>
      </c>
      <c r="V64" s="108">
        <v>11640</v>
      </c>
      <c r="W64" s="202" t="s">
        <v>312</v>
      </c>
    </row>
    <row r="65" spans="2:23" hidden="1" x14ac:dyDescent="0.35">
      <c r="B65" s="2" t="s">
        <v>0</v>
      </c>
      <c r="C65" s="2"/>
      <c r="D65" s="2"/>
      <c r="E65" s="2"/>
      <c r="F65" s="3"/>
      <c r="G65" s="3"/>
      <c r="H65" s="3"/>
      <c r="I65" s="3"/>
      <c r="J65" s="60" t="e">
        <f t="shared" ref="J65:J78" si="24">-PMT( 0.46%,G65,I65)/F65*1000</f>
        <v>#NUM!</v>
      </c>
      <c r="K65" s="61" t="s">
        <v>82</v>
      </c>
      <c r="L65" s="61" t="s">
        <v>82</v>
      </c>
      <c r="M65" s="61" t="s">
        <v>82</v>
      </c>
      <c r="N65" s="61" t="s">
        <v>82</v>
      </c>
      <c r="O65" s="61" t="s">
        <v>82</v>
      </c>
      <c r="P65" s="61" t="s">
        <v>82</v>
      </c>
      <c r="Q65" s="61" t="s">
        <v>82</v>
      </c>
      <c r="R65" s="3"/>
      <c r="S65" s="3"/>
      <c r="T65" s="2"/>
      <c r="U65" s="55" t="e">
        <f t="shared" ref="U65:U67" si="25">R65/S65</f>
        <v>#DIV/0!</v>
      </c>
      <c r="V65" s="3"/>
      <c r="W65" s="3"/>
    </row>
    <row r="66" spans="2:23" hidden="1" x14ac:dyDescent="0.35">
      <c r="B66" s="2" t="s">
        <v>0</v>
      </c>
      <c r="C66" s="2"/>
      <c r="D66" s="2"/>
      <c r="E66" s="2"/>
      <c r="F66" s="3"/>
      <c r="G66" s="3"/>
      <c r="H66" s="3"/>
      <c r="I66" s="3"/>
      <c r="J66" s="60" t="e">
        <f t="shared" si="24"/>
        <v>#NUM!</v>
      </c>
      <c r="K66" s="61" t="s">
        <v>82</v>
      </c>
      <c r="L66" s="61" t="s">
        <v>82</v>
      </c>
      <c r="M66" s="61" t="s">
        <v>82</v>
      </c>
      <c r="N66" s="61" t="s">
        <v>82</v>
      </c>
      <c r="O66" s="61" t="s">
        <v>82</v>
      </c>
      <c r="P66" s="61" t="s">
        <v>82</v>
      </c>
      <c r="Q66" s="61" t="s">
        <v>82</v>
      </c>
      <c r="R66" s="3"/>
      <c r="S66" s="3"/>
      <c r="T66" s="2"/>
      <c r="U66" s="55" t="e">
        <f t="shared" si="25"/>
        <v>#DIV/0!</v>
      </c>
      <c r="V66" s="3"/>
      <c r="W66" s="3"/>
    </row>
    <row r="67" spans="2:23" ht="15.75" customHeight="1" x14ac:dyDescent="0.35">
      <c r="B67" s="4" t="s">
        <v>10</v>
      </c>
      <c r="C67" s="4"/>
      <c r="D67" s="65">
        <f>SUM(D62:D66)</f>
        <v>8617.2160000000003</v>
      </c>
      <c r="E67" s="69">
        <f>F67/D67</f>
        <v>1</v>
      </c>
      <c r="F67" s="65">
        <f>SUM(F62:F66)</f>
        <v>8617.2160000000003</v>
      </c>
      <c r="G67" s="68" t="s">
        <v>82</v>
      </c>
      <c r="H67" s="68" t="s">
        <v>82</v>
      </c>
      <c r="I67" s="68" t="s">
        <v>82</v>
      </c>
      <c r="J67" s="68" t="s">
        <v>82</v>
      </c>
      <c r="K67" s="68" t="s">
        <v>82</v>
      </c>
      <c r="L67" s="68" t="s">
        <v>82</v>
      </c>
      <c r="M67" s="68" t="s">
        <v>82</v>
      </c>
      <c r="N67" s="68" t="s">
        <v>82</v>
      </c>
      <c r="O67" s="68" t="s">
        <v>82</v>
      </c>
      <c r="P67" s="68" t="s">
        <v>82</v>
      </c>
      <c r="Q67" s="68" t="s">
        <v>82</v>
      </c>
      <c r="R67" s="72">
        <f>SUM(R62:R66)</f>
        <v>11255750</v>
      </c>
      <c r="S67" s="72">
        <f>SUM(S62:S66)</f>
        <v>7301813</v>
      </c>
      <c r="T67" s="72">
        <f>SUM(T62:T66)</f>
        <v>3953937</v>
      </c>
      <c r="U67" s="73">
        <f t="shared" si="25"/>
        <v>1.5415007204375133</v>
      </c>
      <c r="V67" s="74">
        <f>SUM(V62:V66)</f>
        <v>12810</v>
      </c>
      <c r="W67" s="68" t="s">
        <v>82</v>
      </c>
    </row>
    <row r="68" spans="2:23" ht="15.65" hidden="1" customHeight="1" x14ac:dyDescent="0.35">
      <c r="B68" s="409" t="s">
        <v>11</v>
      </c>
      <c r="C68" s="410"/>
      <c r="D68" s="410"/>
      <c r="E68" s="410"/>
      <c r="F68" s="410"/>
      <c r="G68" s="410"/>
      <c r="H68" s="410"/>
      <c r="I68" s="410"/>
      <c r="J68" s="410"/>
      <c r="K68" s="410"/>
      <c r="L68" s="410"/>
      <c r="M68" s="410"/>
      <c r="N68" s="410"/>
      <c r="O68" s="410"/>
      <c r="P68" s="410"/>
      <c r="Q68" s="410"/>
      <c r="R68" s="410"/>
      <c r="S68" s="410"/>
      <c r="T68" s="410"/>
      <c r="U68" s="410"/>
      <c r="V68" s="410"/>
      <c r="W68" s="410"/>
    </row>
    <row r="69" spans="2:23" hidden="1" x14ac:dyDescent="0.35">
      <c r="B69" s="2" t="s">
        <v>0</v>
      </c>
      <c r="C69" s="2"/>
      <c r="D69" s="2"/>
      <c r="E69" s="2"/>
      <c r="F69" s="3"/>
      <c r="G69" s="3"/>
      <c r="H69" s="3"/>
      <c r="I69" s="3"/>
      <c r="J69" s="60" t="e">
        <f t="shared" si="24"/>
        <v>#NUM!</v>
      </c>
      <c r="K69" s="61" t="s">
        <v>82</v>
      </c>
      <c r="L69" s="61" t="s">
        <v>82</v>
      </c>
      <c r="M69" s="61" t="s">
        <v>82</v>
      </c>
      <c r="N69" s="61" t="s">
        <v>82</v>
      </c>
      <c r="O69" s="61" t="s">
        <v>82</v>
      </c>
      <c r="P69" s="61" t="s">
        <v>82</v>
      </c>
      <c r="Q69" s="61" t="s">
        <v>82</v>
      </c>
      <c r="R69" s="3"/>
      <c r="S69" s="3"/>
      <c r="T69" s="2"/>
      <c r="U69" s="55" t="e">
        <f>R69/S69</f>
        <v>#DIV/0!</v>
      </c>
      <c r="V69" s="3"/>
      <c r="W69" s="3"/>
    </row>
    <row r="70" spans="2:23" hidden="1" x14ac:dyDescent="0.35">
      <c r="B70" s="2" t="s">
        <v>0</v>
      </c>
      <c r="C70" s="2"/>
      <c r="D70" s="2"/>
      <c r="E70" s="2"/>
      <c r="F70" s="3"/>
      <c r="G70" s="3"/>
      <c r="H70" s="3"/>
      <c r="I70" s="3"/>
      <c r="J70" s="60" t="e">
        <f t="shared" si="24"/>
        <v>#NUM!</v>
      </c>
      <c r="K70" s="61" t="s">
        <v>82</v>
      </c>
      <c r="L70" s="61" t="s">
        <v>82</v>
      </c>
      <c r="M70" s="61" t="s">
        <v>82</v>
      </c>
      <c r="N70" s="61" t="s">
        <v>82</v>
      </c>
      <c r="O70" s="61" t="s">
        <v>82</v>
      </c>
      <c r="P70" s="61" t="s">
        <v>82</v>
      </c>
      <c r="Q70" s="61" t="s">
        <v>82</v>
      </c>
      <c r="R70" s="3"/>
      <c r="S70" s="3"/>
      <c r="T70" s="2"/>
      <c r="U70" s="55" t="e">
        <f t="shared" ref="U70:U74" si="26">R70/S70</f>
        <v>#DIV/0!</v>
      </c>
      <c r="V70" s="3"/>
      <c r="W70" s="3"/>
    </row>
    <row r="71" spans="2:23" hidden="1" x14ac:dyDescent="0.35">
      <c r="B71" s="2" t="s">
        <v>0</v>
      </c>
      <c r="C71" s="2"/>
      <c r="D71" s="18"/>
      <c r="E71" s="18"/>
      <c r="F71" s="19"/>
      <c r="G71" s="19"/>
      <c r="H71" s="19"/>
      <c r="I71" s="19"/>
      <c r="J71" s="60" t="e">
        <f t="shared" si="24"/>
        <v>#NUM!</v>
      </c>
      <c r="K71" s="61" t="s">
        <v>82</v>
      </c>
      <c r="L71" s="61" t="s">
        <v>82</v>
      </c>
      <c r="M71" s="61" t="s">
        <v>82</v>
      </c>
      <c r="N71" s="61" t="s">
        <v>82</v>
      </c>
      <c r="O71" s="61" t="s">
        <v>82</v>
      </c>
      <c r="P71" s="61" t="s">
        <v>82</v>
      </c>
      <c r="Q71" s="61" t="s">
        <v>82</v>
      </c>
      <c r="R71" s="19"/>
      <c r="S71" s="19"/>
      <c r="T71" s="18"/>
      <c r="U71" s="55" t="e">
        <f t="shared" si="26"/>
        <v>#DIV/0!</v>
      </c>
      <c r="V71" s="19"/>
      <c r="W71" s="19"/>
    </row>
    <row r="72" spans="2:23" hidden="1" x14ac:dyDescent="0.35">
      <c r="B72" s="2" t="s">
        <v>0</v>
      </c>
      <c r="C72" s="2"/>
      <c r="D72" s="18"/>
      <c r="E72" s="18"/>
      <c r="F72" s="19"/>
      <c r="G72" s="19"/>
      <c r="H72" s="19"/>
      <c r="I72" s="19"/>
      <c r="J72" s="60" t="e">
        <f t="shared" si="24"/>
        <v>#NUM!</v>
      </c>
      <c r="K72" s="61" t="s">
        <v>82</v>
      </c>
      <c r="L72" s="61" t="s">
        <v>82</v>
      </c>
      <c r="M72" s="61" t="s">
        <v>82</v>
      </c>
      <c r="N72" s="61" t="s">
        <v>82</v>
      </c>
      <c r="O72" s="61" t="s">
        <v>82</v>
      </c>
      <c r="P72" s="61" t="s">
        <v>82</v>
      </c>
      <c r="Q72" s="61" t="s">
        <v>82</v>
      </c>
      <c r="R72" s="19"/>
      <c r="S72" s="19"/>
      <c r="T72" s="18"/>
      <c r="U72" s="55" t="e">
        <f t="shared" si="26"/>
        <v>#DIV/0!</v>
      </c>
      <c r="V72" s="19"/>
      <c r="W72" s="19"/>
    </row>
    <row r="73" spans="2:23" hidden="1" x14ac:dyDescent="0.35">
      <c r="B73" s="2" t="s">
        <v>0</v>
      </c>
      <c r="C73" s="2"/>
      <c r="D73" s="18"/>
      <c r="E73" s="18"/>
      <c r="F73" s="19"/>
      <c r="G73" s="19"/>
      <c r="H73" s="19"/>
      <c r="I73" s="19"/>
      <c r="J73" s="60" t="e">
        <f t="shared" si="24"/>
        <v>#NUM!</v>
      </c>
      <c r="K73" s="61" t="s">
        <v>82</v>
      </c>
      <c r="L73" s="61" t="s">
        <v>82</v>
      </c>
      <c r="M73" s="61" t="s">
        <v>82</v>
      </c>
      <c r="N73" s="61" t="s">
        <v>82</v>
      </c>
      <c r="O73" s="61" t="s">
        <v>82</v>
      </c>
      <c r="P73" s="61" t="s">
        <v>82</v>
      </c>
      <c r="Q73" s="61" t="s">
        <v>82</v>
      </c>
      <c r="R73" s="19"/>
      <c r="S73" s="19"/>
      <c r="T73" s="18"/>
      <c r="U73" s="55" t="e">
        <f t="shared" si="26"/>
        <v>#DIV/0!</v>
      </c>
      <c r="V73" s="19"/>
      <c r="W73" s="19"/>
    </row>
    <row r="74" spans="2:23" ht="35.15" hidden="1" customHeight="1" x14ac:dyDescent="0.35">
      <c r="B74" s="24" t="s">
        <v>12</v>
      </c>
      <c r="C74" s="24"/>
      <c r="D74" s="65">
        <f>SUM(D69:D73)</f>
        <v>0</v>
      </c>
      <c r="E74" s="69" t="e">
        <f>F74/D74</f>
        <v>#DIV/0!</v>
      </c>
      <c r="F74" s="65">
        <f>SUM(F69:F73)</f>
        <v>0</v>
      </c>
      <c r="G74" s="70" t="e">
        <f>H74/F74</f>
        <v>#DIV/0!</v>
      </c>
      <c r="H74" s="65">
        <f>SUM(H69:H73)</f>
        <v>0</v>
      </c>
      <c r="I74" s="67">
        <f>SUM(I69:I73)</f>
        <v>0</v>
      </c>
      <c r="J74" s="88" t="e">
        <f>-PMT( 0.46%,G74,I74)/F74*1000</f>
        <v>#DIV/0!</v>
      </c>
      <c r="K74" s="68" t="s">
        <v>82</v>
      </c>
      <c r="L74" s="68" t="s">
        <v>82</v>
      </c>
      <c r="M74" s="68" t="s">
        <v>82</v>
      </c>
      <c r="N74" s="68" t="s">
        <v>82</v>
      </c>
      <c r="O74" s="68" t="s">
        <v>82</v>
      </c>
      <c r="P74" s="68" t="s">
        <v>82</v>
      </c>
      <c r="Q74" s="68" t="s">
        <v>82</v>
      </c>
      <c r="R74" s="72">
        <f>SUM(R69:R73)</f>
        <v>0</v>
      </c>
      <c r="S74" s="72">
        <f>SUM(S69:S73)</f>
        <v>0</v>
      </c>
      <c r="T74" s="72">
        <f>SUM(T69:T73)</f>
        <v>0</v>
      </c>
      <c r="U74" s="73" t="e">
        <f t="shared" si="26"/>
        <v>#DIV/0!</v>
      </c>
      <c r="V74" s="74">
        <f>SUM(V69:V73)</f>
        <v>0</v>
      </c>
      <c r="W74" s="68" t="s">
        <v>82</v>
      </c>
    </row>
    <row r="75" spans="2:23" x14ac:dyDescent="0.35">
      <c r="B75" s="409" t="s">
        <v>16</v>
      </c>
      <c r="C75" s="410"/>
      <c r="D75" s="410"/>
      <c r="E75" s="410"/>
      <c r="F75" s="410"/>
      <c r="G75" s="410"/>
      <c r="H75" s="410"/>
      <c r="I75" s="410"/>
      <c r="J75" s="410"/>
      <c r="K75" s="410"/>
      <c r="L75" s="410"/>
      <c r="M75" s="410"/>
      <c r="N75" s="410"/>
      <c r="O75" s="410"/>
      <c r="P75" s="410"/>
      <c r="Q75" s="410"/>
      <c r="R75" s="410"/>
      <c r="S75" s="410"/>
      <c r="T75" s="410"/>
      <c r="U75" s="410"/>
      <c r="V75" s="410"/>
      <c r="W75" s="411"/>
    </row>
    <row r="76" spans="2:23" x14ac:dyDescent="0.35">
      <c r="B76" s="285" t="s">
        <v>260</v>
      </c>
      <c r="C76" s="53" t="s">
        <v>81</v>
      </c>
      <c r="D76" s="56">
        <v>196</v>
      </c>
      <c r="E76" s="63">
        <f t="shared" ref="E76" si="27">F76/D76</f>
        <v>1</v>
      </c>
      <c r="F76" s="56">
        <v>196</v>
      </c>
      <c r="G76" s="57">
        <f t="shared" ref="G76" si="28">H76/F76</f>
        <v>1</v>
      </c>
      <c r="H76" s="58">
        <v>196</v>
      </c>
      <c r="I76" s="227">
        <v>4137</v>
      </c>
      <c r="J76" s="287">
        <f t="shared" ref="J76" si="29">-PMT( 0.46%,G76,I76)/(F76*1000)</f>
        <v>2.1204235714285716E-2</v>
      </c>
      <c r="K76" s="131" t="s">
        <v>82</v>
      </c>
      <c r="L76" s="131" t="s">
        <v>82</v>
      </c>
      <c r="M76" s="131" t="s">
        <v>82</v>
      </c>
      <c r="N76" s="131" t="s">
        <v>82</v>
      </c>
      <c r="O76" s="131" t="s">
        <v>82</v>
      </c>
      <c r="P76" s="131" t="s">
        <v>82</v>
      </c>
      <c r="Q76" s="131" t="s">
        <v>82</v>
      </c>
      <c r="R76" s="115" t="s">
        <v>82</v>
      </c>
      <c r="S76" s="115" t="s">
        <v>82</v>
      </c>
      <c r="T76" s="115" t="s">
        <v>82</v>
      </c>
      <c r="U76" s="115" t="s">
        <v>82</v>
      </c>
      <c r="V76" s="179" t="s">
        <v>82</v>
      </c>
      <c r="W76" s="115" t="s">
        <v>82</v>
      </c>
    </row>
    <row r="77" spans="2:23" ht="16.149999999999999" hidden="1" customHeight="1" x14ac:dyDescent="0.35">
      <c r="B77" s="32" t="s">
        <v>0</v>
      </c>
      <c r="C77" s="32"/>
      <c r="D77" s="18"/>
      <c r="E77" s="18"/>
      <c r="F77" s="19"/>
      <c r="G77" s="208"/>
      <c r="H77" s="19"/>
      <c r="I77" s="19"/>
      <c r="J77" s="60" t="e">
        <f t="shared" si="24"/>
        <v>#NUM!</v>
      </c>
      <c r="K77" s="131" t="s">
        <v>82</v>
      </c>
      <c r="L77" s="131" t="s">
        <v>82</v>
      </c>
      <c r="M77" s="131" t="s">
        <v>82</v>
      </c>
      <c r="N77" s="131" t="s">
        <v>82</v>
      </c>
      <c r="O77" s="131" t="s">
        <v>82</v>
      </c>
      <c r="P77" s="131" t="s">
        <v>82</v>
      </c>
      <c r="Q77" s="131" t="s">
        <v>82</v>
      </c>
      <c r="R77" s="19"/>
      <c r="S77" s="19"/>
      <c r="T77" s="18"/>
      <c r="U77" s="151" t="e">
        <f t="shared" ref="U77:U81" si="30">R77/S77</f>
        <v>#DIV/0!</v>
      </c>
      <c r="V77" s="19"/>
      <c r="W77" s="19"/>
    </row>
    <row r="78" spans="2:23" ht="16.149999999999999" hidden="1" customHeight="1" x14ac:dyDescent="0.35">
      <c r="B78" s="32" t="s">
        <v>0</v>
      </c>
      <c r="C78" s="32"/>
      <c r="D78" s="18"/>
      <c r="E78" s="18"/>
      <c r="F78" s="19"/>
      <c r="G78" s="208"/>
      <c r="H78" s="19"/>
      <c r="I78" s="19"/>
      <c r="J78" s="60" t="e">
        <f t="shared" si="24"/>
        <v>#NUM!</v>
      </c>
      <c r="K78" s="131" t="s">
        <v>82</v>
      </c>
      <c r="L78" s="131" t="s">
        <v>82</v>
      </c>
      <c r="M78" s="131" t="s">
        <v>82</v>
      </c>
      <c r="N78" s="131" t="s">
        <v>82</v>
      </c>
      <c r="O78" s="131" t="s">
        <v>82</v>
      </c>
      <c r="P78" s="131" t="s">
        <v>82</v>
      </c>
      <c r="Q78" s="131" t="s">
        <v>82</v>
      </c>
      <c r="R78" s="19"/>
      <c r="S78" s="19"/>
      <c r="T78" s="18"/>
      <c r="U78" s="151" t="e">
        <f t="shared" si="30"/>
        <v>#DIV/0!</v>
      </c>
      <c r="V78" s="19"/>
      <c r="W78" s="19"/>
    </row>
    <row r="79" spans="2:23" ht="31.5" customHeight="1" x14ac:dyDescent="0.35">
      <c r="B79" s="24" t="s">
        <v>17</v>
      </c>
      <c r="C79" s="24"/>
      <c r="D79" s="65">
        <f>SUM(D76:D78)</f>
        <v>196</v>
      </c>
      <c r="E79" s="258">
        <f>F79/D79</f>
        <v>1</v>
      </c>
      <c r="F79" s="65">
        <f>SUM(F76:F78)</f>
        <v>196</v>
      </c>
      <c r="G79" s="118">
        <f>H79/F79</f>
        <v>1</v>
      </c>
      <c r="H79" s="65">
        <f>SUM(H76:H78)</f>
        <v>196</v>
      </c>
      <c r="I79" s="67">
        <f>SUM(I76:I78)</f>
        <v>4137</v>
      </c>
      <c r="J79" s="248">
        <f>-PMT( 0.46%,G79,I79)/(F79*1000)</f>
        <v>2.1204235714285716E-2</v>
      </c>
      <c r="K79" s="68" t="s">
        <v>82</v>
      </c>
      <c r="L79" s="68" t="s">
        <v>82</v>
      </c>
      <c r="M79" s="68" t="s">
        <v>82</v>
      </c>
      <c r="N79" s="68" t="s">
        <v>82</v>
      </c>
      <c r="O79" s="68" t="s">
        <v>82</v>
      </c>
      <c r="P79" s="68" t="s">
        <v>82</v>
      </c>
      <c r="Q79" s="68" t="s">
        <v>82</v>
      </c>
      <c r="R79" s="68" t="s">
        <v>82</v>
      </c>
      <c r="S79" s="68" t="s">
        <v>82</v>
      </c>
      <c r="T79" s="68" t="s">
        <v>82</v>
      </c>
      <c r="U79" s="68" t="s">
        <v>82</v>
      </c>
      <c r="V79" s="68" t="s">
        <v>82</v>
      </c>
      <c r="W79" s="68" t="s">
        <v>82</v>
      </c>
    </row>
    <row r="80" spans="2:23" ht="40.5" customHeight="1" x14ac:dyDescent="0.35">
      <c r="B80" s="37" t="s">
        <v>32</v>
      </c>
      <c r="C80" s="37"/>
      <c r="D80" s="89" t="s">
        <v>82</v>
      </c>
      <c r="E80" s="89" t="s">
        <v>82</v>
      </c>
      <c r="F80" s="89" t="s">
        <v>82</v>
      </c>
      <c r="G80" s="269" t="s">
        <v>82</v>
      </c>
      <c r="H80" s="89" t="s">
        <v>82</v>
      </c>
      <c r="I80" s="38">
        <f>13013145+417892+33728435</f>
        <v>47159472</v>
      </c>
      <c r="J80" s="89" t="s">
        <v>82</v>
      </c>
      <c r="K80" s="89" t="s">
        <v>82</v>
      </c>
      <c r="L80" s="89" t="s">
        <v>82</v>
      </c>
      <c r="M80" s="89" t="s">
        <v>82</v>
      </c>
      <c r="N80" s="89" t="s">
        <v>82</v>
      </c>
      <c r="O80" s="89" t="s">
        <v>82</v>
      </c>
      <c r="P80" s="89" t="s">
        <v>82</v>
      </c>
      <c r="Q80" s="89" t="s">
        <v>82</v>
      </c>
      <c r="R80" s="89" t="s">
        <v>82</v>
      </c>
      <c r="S80" s="89" t="s">
        <v>82</v>
      </c>
      <c r="T80" s="89" t="s">
        <v>82</v>
      </c>
      <c r="U80" s="89" t="s">
        <v>82</v>
      </c>
      <c r="V80" s="89" t="s">
        <v>82</v>
      </c>
      <c r="W80" s="89" t="s">
        <v>82</v>
      </c>
    </row>
    <row r="81" spans="2:23" ht="31.5" customHeight="1" x14ac:dyDescent="0.35">
      <c r="B81" s="30" t="s">
        <v>94</v>
      </c>
      <c r="C81" s="30"/>
      <c r="D81" s="79">
        <f>SUM(D42,D60,D67,D74,D79,D80)</f>
        <v>1588620.6229199998</v>
      </c>
      <c r="E81" s="80">
        <f>F81/D81</f>
        <v>0.76027047069048515</v>
      </c>
      <c r="F81" s="79">
        <f>SUM(F42,F60,F67,F74,F79,F80)</f>
        <v>1207781.348736</v>
      </c>
      <c r="G81" s="80">
        <f>H81/F81</f>
        <v>7.4898175977523822</v>
      </c>
      <c r="H81" s="79">
        <f>SUM(H42,H60,H67,H74,H79,H80)</f>
        <v>9046062</v>
      </c>
      <c r="I81" s="81">
        <f>SUM(I42,I60,I67,I74,I79,I80)</f>
        <v>201167347.14099997</v>
      </c>
      <c r="J81" s="249">
        <f>-PMT( 0.46%,G81,I81)/(F81*1000)</f>
        <v>2.2674502645113798E-2</v>
      </c>
      <c r="K81" s="82" t="s">
        <v>82</v>
      </c>
      <c r="L81" s="82" t="s">
        <v>82</v>
      </c>
      <c r="M81" s="82" t="s">
        <v>82</v>
      </c>
      <c r="N81" s="82" t="s">
        <v>82</v>
      </c>
      <c r="O81" s="82" t="s">
        <v>82</v>
      </c>
      <c r="P81" s="82" t="s">
        <v>82</v>
      </c>
      <c r="Q81" s="82" t="s">
        <v>82</v>
      </c>
      <c r="R81" s="81">
        <f>SUM(R42,R60,R67,R74,R79,R80)</f>
        <v>459088025</v>
      </c>
      <c r="S81" s="81">
        <f>SUM(S42,S60,S67,S74,S79,S80)</f>
        <v>155838742</v>
      </c>
      <c r="T81" s="81">
        <f>SUM(T42,T60,T67,T74,T79,T80)</f>
        <v>303249283</v>
      </c>
      <c r="U81" s="80">
        <f t="shared" si="30"/>
        <v>2.9459171648087352</v>
      </c>
      <c r="V81" s="128">
        <f>SUM(V42,V60,V67,V74,V79,V80)</f>
        <v>18253234</v>
      </c>
      <c r="W81" s="82" t="s">
        <v>82</v>
      </c>
    </row>
    <row r="82" spans="2:23" s="22" customFormat="1" ht="18" customHeight="1" x14ac:dyDescent="0.35">
      <c r="B82" s="26"/>
      <c r="C82" s="26"/>
      <c r="D82" s="11"/>
      <c r="E82" s="11"/>
      <c r="F82" s="12"/>
      <c r="G82" s="12"/>
      <c r="H82" s="12"/>
      <c r="I82" s="12"/>
      <c r="J82" s="12"/>
      <c r="K82" s="12"/>
      <c r="L82" s="12"/>
    </row>
    <row r="83" spans="2:23" x14ac:dyDescent="0.35">
      <c r="B83" s="344" t="s">
        <v>3</v>
      </c>
      <c r="C83" s="343"/>
      <c r="D83" s="343"/>
      <c r="E83" s="343"/>
      <c r="F83" s="343"/>
      <c r="G83" s="343"/>
      <c r="H83" s="343"/>
      <c r="I83" s="343"/>
      <c r="J83" s="343"/>
      <c r="K83" s="343"/>
      <c r="L83" s="343"/>
      <c r="M83" s="42"/>
    </row>
    <row r="84" spans="2:23" x14ac:dyDescent="0.35">
      <c r="B84" s="343" t="s">
        <v>308</v>
      </c>
      <c r="C84" s="343"/>
      <c r="D84" s="343"/>
      <c r="E84" s="343"/>
      <c r="F84" s="343"/>
      <c r="G84" s="343"/>
      <c r="H84" s="343"/>
      <c r="I84" s="343"/>
      <c r="J84" s="343"/>
      <c r="K84" s="343"/>
      <c r="L84" s="343"/>
      <c r="M84" s="42"/>
    </row>
    <row r="85" spans="2:23" x14ac:dyDescent="0.35">
      <c r="B85" s="343" t="s">
        <v>363</v>
      </c>
      <c r="C85" s="343"/>
      <c r="D85" s="343"/>
      <c r="E85" s="343"/>
      <c r="F85" s="343"/>
      <c r="G85" s="343"/>
      <c r="H85" s="343"/>
      <c r="I85" s="343"/>
      <c r="J85" s="343"/>
      <c r="K85" s="343"/>
      <c r="L85" s="343"/>
      <c r="M85" s="42"/>
    </row>
    <row r="86" spans="2:23" x14ac:dyDescent="0.35">
      <c r="B86" s="343" t="s">
        <v>323</v>
      </c>
      <c r="C86" s="343"/>
      <c r="D86" s="343"/>
      <c r="E86" s="343"/>
      <c r="F86" s="343"/>
      <c r="G86" s="343"/>
      <c r="H86" s="343"/>
      <c r="I86" s="343"/>
      <c r="J86" s="343"/>
      <c r="K86" s="343"/>
      <c r="L86" s="343"/>
      <c r="M86" s="42"/>
    </row>
    <row r="88" spans="2:23" x14ac:dyDescent="0.35">
      <c r="B88" s="45" t="s">
        <v>48</v>
      </c>
    </row>
    <row r="89" spans="2:23" x14ac:dyDescent="0.35">
      <c r="B89" s="7" t="s">
        <v>274</v>
      </c>
    </row>
    <row r="90" spans="2:23" x14ac:dyDescent="0.35">
      <c r="B90" s="7" t="s">
        <v>146</v>
      </c>
    </row>
    <row r="91" spans="2:23" x14ac:dyDescent="0.35">
      <c r="B91" s="7" t="s">
        <v>144</v>
      </c>
    </row>
    <row r="92" spans="2:23" x14ac:dyDescent="0.35">
      <c r="B92" s="7" t="s">
        <v>331</v>
      </c>
    </row>
    <row r="93" spans="2:23" x14ac:dyDescent="0.35">
      <c r="B93" s="342" t="s">
        <v>307</v>
      </c>
    </row>
    <row r="94" spans="2:23" x14ac:dyDescent="0.35">
      <c r="B94" s="7"/>
    </row>
  </sheetData>
  <mergeCells count="8">
    <mergeCell ref="B61:W61"/>
    <mergeCell ref="B68:W68"/>
    <mergeCell ref="B75:W75"/>
    <mergeCell ref="B5:L6"/>
    <mergeCell ref="B8:L15"/>
    <mergeCell ref="B19:W19"/>
    <mergeCell ref="B21:W21"/>
    <mergeCell ref="B45:W45"/>
  </mergeCells>
  <printOptions horizontalCentered="1" headings="1"/>
  <pageMargins left="0.5" right="0.5" top="1.25" bottom="1" header="0.5" footer="0.5"/>
  <pageSetup scale="28" orientation="landscape" r:id="rId1"/>
  <headerFooter scaleWithDoc="0">
    <oddHeader>&amp;R&amp;"Arial,Bold"ICC Dkt. No. 17-0312
2019 Statewide Annual Report Template
Tab:  &amp;A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1 - Portfolio Summary</vt:lpstr>
      <vt:lpstr>2- Program Summary</vt:lpstr>
      <vt:lpstr>2 - PY1</vt:lpstr>
      <vt:lpstr>3 - PY2</vt:lpstr>
      <vt:lpstr>4- PY3</vt:lpstr>
      <vt:lpstr>5- PY4</vt:lpstr>
      <vt:lpstr>6 - PY5</vt:lpstr>
      <vt:lpstr>7 - PY6</vt:lpstr>
      <vt:lpstr>8 - PY7</vt:lpstr>
      <vt:lpstr>9 - PY8</vt:lpstr>
      <vt:lpstr>10 - PY9</vt:lpstr>
      <vt:lpstr>11 - CY2018</vt:lpstr>
      <vt:lpstr>12 - CY2019</vt:lpstr>
      <vt:lpstr>'1 - Portfolio Summary'!Print_Area</vt:lpstr>
      <vt:lpstr>'10 - PY9'!Print_Area</vt:lpstr>
    </vt:vector>
  </TitlesOfParts>
  <Company>Exelon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Annual Report Template</dc:title>
  <dc:creator>Celia Johnson</dc:creator>
  <cp:lastModifiedBy>CJ Consulting</cp:lastModifiedBy>
  <cp:lastPrinted>2020-08-20T22:50:09Z</cp:lastPrinted>
  <dcterms:created xsi:type="dcterms:W3CDTF">2016-11-04T16:24:21Z</dcterms:created>
  <dcterms:modified xsi:type="dcterms:W3CDTF">2020-09-01T18:30:03Z</dcterms:modified>
</cp:coreProperties>
</file>