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2/"/>
    </mc:Choice>
  </mc:AlternateContent>
  <xr:revisionPtr revIDLastSave="0" documentId="8_{B5AB4421-2C74-4735-AFBD-26BAF7356FC4}" xr6:coauthVersionLast="47" xr6:coauthVersionMax="47" xr10:uidLastSave="{00000000-0000-0000-0000-000000000000}"/>
  <bookViews>
    <workbookView xWindow="-110" yWindow="-110" windowWidth="19420" windowHeight="10420" activeTab="3" xr2:uid="{00000000-000D-0000-FFFF-FFFF00000000}"/>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Results'!$B$20:$M$107</definedName>
    <definedName name="_xlnm.Print_Area" localSheetId="0">'1- Ex Ante Results'!$A$1:$M$116</definedName>
    <definedName name="_xlnm.Print_Area" localSheetId="1">'2- Costs'!$A$1:$E$32</definedName>
    <definedName name="_xlnm.Print_Area" localSheetId="2">'3- Energy'!$A$1:$R$44</definedName>
    <definedName name="_xlnm.Print_Area" localSheetId="5">'6- Historical Costs'!$A$1:$G$36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5" i="8" l="1"/>
  <c r="E34" i="8"/>
  <c r="E33" i="8"/>
  <c r="D32" i="8"/>
  <c r="D36" i="8" s="1"/>
  <c r="E31" i="8"/>
  <c r="D31" i="8"/>
  <c r="C31" i="8"/>
  <c r="E30" i="8"/>
  <c r="E29" i="8"/>
  <c r="E28" i="8"/>
  <c r="E27" i="8"/>
  <c r="F25" i="8"/>
  <c r="D25" i="8"/>
  <c r="C25" i="8"/>
  <c r="E25" i="8" s="1"/>
  <c r="G25" i="8" s="1"/>
  <c r="E24" i="8"/>
  <c r="G24" i="8" s="1"/>
  <c r="G23" i="8"/>
  <c r="E23" i="8"/>
  <c r="G22" i="8"/>
  <c r="E22" i="8"/>
  <c r="F21" i="8"/>
  <c r="D21" i="8"/>
  <c r="C21" i="8"/>
  <c r="E21" i="8" s="1"/>
  <c r="G21" i="8" s="1"/>
  <c r="G20" i="8"/>
  <c r="E20" i="8"/>
  <c r="E19" i="8"/>
  <c r="G19" i="8" s="1"/>
  <c r="E18" i="8"/>
  <c r="G18" i="8" s="1"/>
  <c r="G17" i="8"/>
  <c r="F17" i="8"/>
  <c r="E17" i="8"/>
  <c r="D17" i="8"/>
  <c r="C17" i="8"/>
  <c r="G16" i="8"/>
  <c r="E16" i="8"/>
  <c r="E15" i="8"/>
  <c r="G15" i="8" s="1"/>
  <c r="G14" i="8"/>
  <c r="E14" i="8"/>
  <c r="B12" i="8"/>
  <c r="E35" i="7"/>
  <c r="E26" i="7"/>
  <c r="E37" i="7" s="1"/>
  <c r="E23" i="7"/>
  <c r="E18" i="7"/>
  <c r="E27" i="7" s="1"/>
  <c r="B15" i="7"/>
  <c r="B14" i="7"/>
  <c r="Q26" i="4"/>
  <c r="P26" i="4"/>
  <c r="Q25" i="4"/>
  <c r="P25" i="4"/>
  <c r="Q24" i="4"/>
  <c r="P24" i="4"/>
  <c r="Q23" i="4"/>
  <c r="P23" i="4"/>
  <c r="Q21" i="4"/>
  <c r="L21" i="4"/>
  <c r="M18" i="4"/>
  <c r="L18" i="4"/>
  <c r="O16" i="4"/>
  <c r="N16" i="4"/>
  <c r="M16" i="4"/>
  <c r="L16" i="4"/>
  <c r="K16" i="4"/>
  <c r="J16" i="4"/>
  <c r="I16" i="4"/>
  <c r="H16" i="4"/>
  <c r="G16" i="4"/>
  <c r="F16" i="4"/>
  <c r="E16" i="4"/>
  <c r="D16" i="4"/>
  <c r="O15" i="4"/>
  <c r="N15" i="4"/>
  <c r="M15" i="4"/>
  <c r="L15" i="4"/>
  <c r="K15" i="4"/>
  <c r="J15" i="4"/>
  <c r="I15" i="4"/>
  <c r="H15" i="4"/>
  <c r="G15" i="4"/>
  <c r="F15" i="4"/>
  <c r="E15" i="4"/>
  <c r="D15" i="4"/>
  <c r="P14" i="4"/>
  <c r="O14" i="4"/>
  <c r="N14" i="4"/>
  <c r="M14" i="4"/>
  <c r="L14" i="4"/>
  <c r="K14" i="4"/>
  <c r="J14" i="4"/>
  <c r="I14" i="4"/>
  <c r="H14" i="4"/>
  <c r="G14" i="4"/>
  <c r="F14" i="4"/>
  <c r="E14" i="4"/>
  <c r="D14" i="4"/>
  <c r="P13" i="4"/>
  <c r="O13" i="4"/>
  <c r="N13" i="4"/>
  <c r="M13" i="4"/>
  <c r="L13" i="4"/>
  <c r="K13" i="4"/>
  <c r="J13" i="4"/>
  <c r="I13" i="4"/>
  <c r="H13" i="4"/>
  <c r="G13" i="4"/>
  <c r="F13" i="4"/>
  <c r="E13" i="4"/>
  <c r="D13" i="4"/>
  <c r="P12" i="4"/>
  <c r="P15" i="4" s="1"/>
  <c r="B10" i="4"/>
  <c r="E35" i="3"/>
  <c r="F34" i="3"/>
  <c r="F33" i="3"/>
  <c r="F32" i="3"/>
  <c r="F31" i="3"/>
  <c r="F35" i="3" s="1"/>
  <c r="E30" i="3"/>
  <c r="D30" i="3"/>
  <c r="F29" i="3"/>
  <c r="G29" i="3" s="1"/>
  <c r="G28" i="3"/>
  <c r="F28" i="3"/>
  <c r="G27" i="3"/>
  <c r="F27" i="3"/>
  <c r="F26" i="3"/>
  <c r="F30" i="3" s="1"/>
  <c r="G30" i="3" s="1"/>
  <c r="E25" i="3"/>
  <c r="D25" i="3"/>
  <c r="G24" i="3"/>
  <c r="F24" i="3"/>
  <c r="G23" i="3"/>
  <c r="F23" i="3"/>
  <c r="F22" i="3"/>
  <c r="F25" i="3" s="1"/>
  <c r="E21" i="3"/>
  <c r="D21" i="3"/>
  <c r="G20" i="3"/>
  <c r="G19" i="3"/>
  <c r="F19" i="3"/>
  <c r="G18" i="3"/>
  <c r="F18" i="3"/>
  <c r="F21" i="3" s="1"/>
  <c r="G21" i="3" s="1"/>
  <c r="E17" i="3"/>
  <c r="D17" i="3"/>
  <c r="G16" i="3"/>
  <c r="F16" i="3"/>
  <c r="G15" i="3"/>
  <c r="F15" i="3"/>
  <c r="F14" i="3"/>
  <c r="G14" i="3" s="1"/>
  <c r="B12" i="3"/>
  <c r="B30" i="2"/>
  <c r="C23" i="2"/>
  <c r="C22" i="2"/>
  <c r="B10" i="2"/>
  <c r="G106" i="9"/>
  <c r="E106" i="9"/>
  <c r="G105" i="9"/>
  <c r="E105" i="9"/>
  <c r="I104" i="9"/>
  <c r="H104" i="9"/>
  <c r="C21" i="2" s="1"/>
  <c r="C26" i="2" s="1"/>
  <c r="G104" i="9"/>
  <c r="F104" i="9"/>
  <c r="E104" i="9"/>
  <c r="D104" i="9"/>
  <c r="C104" i="9"/>
  <c r="M103" i="9"/>
  <c r="G103" i="9"/>
  <c r="G102" i="9"/>
  <c r="E102" i="9"/>
  <c r="M101" i="9"/>
  <c r="L101" i="9"/>
  <c r="L104" i="9" s="1"/>
  <c r="M104" i="9" s="1"/>
  <c r="K101" i="9"/>
  <c r="K104" i="9" s="1"/>
  <c r="H101" i="9"/>
  <c r="J101" i="9" s="1"/>
  <c r="J104" i="9" s="1"/>
  <c r="G101" i="9"/>
  <c r="E101" i="9"/>
  <c r="L99" i="9"/>
  <c r="K99" i="9"/>
  <c r="G99" i="9"/>
  <c r="F99" i="9"/>
  <c r="C99" i="9"/>
  <c r="M98" i="9"/>
  <c r="I98" i="9"/>
  <c r="J98" i="9" s="1"/>
  <c r="G98" i="9"/>
  <c r="E98" i="9"/>
  <c r="M97" i="9"/>
  <c r="J97" i="9"/>
  <c r="I97" i="9"/>
  <c r="H97" i="9"/>
  <c r="H99" i="9" s="1"/>
  <c r="G97" i="9"/>
  <c r="E97" i="9"/>
  <c r="M96" i="9"/>
  <c r="I96" i="9"/>
  <c r="J96" i="9" s="1"/>
  <c r="J71" i="9" s="1"/>
  <c r="G96" i="9"/>
  <c r="E96" i="9"/>
  <c r="M95" i="9"/>
  <c r="J95" i="9"/>
  <c r="I95" i="9"/>
  <c r="G95" i="9"/>
  <c r="D95" i="9"/>
  <c r="E95" i="9" s="1"/>
  <c r="M94" i="9"/>
  <c r="J94" i="9"/>
  <c r="I94" i="9"/>
  <c r="G94" i="9"/>
  <c r="E94" i="9"/>
  <c r="M93" i="9"/>
  <c r="I93" i="9"/>
  <c r="J93" i="9" s="1"/>
  <c r="G93" i="9"/>
  <c r="E93" i="9"/>
  <c r="L92" i="9"/>
  <c r="M92" i="9" s="1"/>
  <c r="I92" i="9"/>
  <c r="J92" i="9" s="1"/>
  <c r="G92" i="9"/>
  <c r="E92" i="9"/>
  <c r="M91" i="9"/>
  <c r="J91" i="9"/>
  <c r="I91" i="9"/>
  <c r="G91" i="9"/>
  <c r="E91" i="9"/>
  <c r="M90" i="9"/>
  <c r="I90" i="9"/>
  <c r="I67" i="9" s="1"/>
  <c r="G90" i="9"/>
  <c r="E90" i="9"/>
  <c r="L88" i="9"/>
  <c r="K88" i="9"/>
  <c r="H88" i="9"/>
  <c r="M88" i="9" s="1"/>
  <c r="D88" i="9"/>
  <c r="C88" i="9"/>
  <c r="M87" i="9"/>
  <c r="I87" i="9"/>
  <c r="I74" i="9" s="1"/>
  <c r="G87" i="9"/>
  <c r="E87" i="9"/>
  <c r="I86" i="9"/>
  <c r="J86" i="9" s="1"/>
  <c r="F86" i="9"/>
  <c r="F88" i="9" s="1"/>
  <c r="G88" i="9" s="1"/>
  <c r="E86" i="9"/>
  <c r="M85" i="9"/>
  <c r="J85" i="9"/>
  <c r="I85" i="9"/>
  <c r="G85" i="9"/>
  <c r="E85" i="9"/>
  <c r="M84" i="9"/>
  <c r="J84" i="9"/>
  <c r="J72" i="9" s="1"/>
  <c r="I84" i="9"/>
  <c r="G84" i="9"/>
  <c r="E84" i="9"/>
  <c r="M83" i="9"/>
  <c r="I83" i="9"/>
  <c r="I70" i="9" s="1"/>
  <c r="G83" i="9"/>
  <c r="E83" i="9"/>
  <c r="M82" i="9"/>
  <c r="J82" i="9"/>
  <c r="I82" i="9"/>
  <c r="G82" i="9"/>
  <c r="E82" i="9"/>
  <c r="M81" i="9"/>
  <c r="I81" i="9"/>
  <c r="J81" i="9" s="1"/>
  <c r="G81" i="9"/>
  <c r="E81" i="9"/>
  <c r="M80" i="9"/>
  <c r="I80" i="9"/>
  <c r="J80" i="9" s="1"/>
  <c r="G80" i="9"/>
  <c r="E80" i="9"/>
  <c r="M79" i="9"/>
  <c r="I79" i="9"/>
  <c r="I88" i="9" s="1"/>
  <c r="I75" i="9" s="1"/>
  <c r="G79" i="9"/>
  <c r="E79" i="9"/>
  <c r="M78" i="9"/>
  <c r="J78" i="9"/>
  <c r="I78" i="9"/>
  <c r="G78" i="9"/>
  <c r="E78" i="9"/>
  <c r="M77" i="9"/>
  <c r="J77" i="9"/>
  <c r="J66" i="9" s="1"/>
  <c r="I77" i="9"/>
  <c r="G77" i="9"/>
  <c r="E77" i="9"/>
  <c r="E88" i="9" s="1"/>
  <c r="L75" i="9"/>
  <c r="K75" i="9"/>
  <c r="H75" i="9"/>
  <c r="D75" i="9"/>
  <c r="E75" i="9" s="1"/>
  <c r="F75" i="9" s="1"/>
  <c r="G75" i="9" s="1"/>
  <c r="C75" i="9"/>
  <c r="L74" i="9"/>
  <c r="M74" i="9" s="1"/>
  <c r="K74" i="9"/>
  <c r="H74" i="9"/>
  <c r="G74" i="9"/>
  <c r="F74" i="9"/>
  <c r="E74" i="9"/>
  <c r="D74" i="9"/>
  <c r="C74" i="9"/>
  <c r="L73" i="9"/>
  <c r="M73" i="9" s="1"/>
  <c r="K73" i="9"/>
  <c r="J73" i="9"/>
  <c r="I73" i="9"/>
  <c r="H73" i="9"/>
  <c r="F73" i="9"/>
  <c r="G73" i="9" s="1"/>
  <c r="D73" i="9"/>
  <c r="E73" i="9" s="1"/>
  <c r="C73" i="9"/>
  <c r="M72" i="9"/>
  <c r="L72" i="9"/>
  <c r="K72" i="9"/>
  <c r="I72" i="9"/>
  <c r="H72" i="9"/>
  <c r="G72" i="9"/>
  <c r="F72" i="9"/>
  <c r="E72" i="9"/>
  <c r="D72" i="9"/>
  <c r="C72" i="9"/>
  <c r="L71" i="9"/>
  <c r="M71" i="9" s="1"/>
  <c r="K71" i="9"/>
  <c r="H71" i="9"/>
  <c r="G71" i="9"/>
  <c r="F71" i="9"/>
  <c r="D71" i="9"/>
  <c r="E71" i="9" s="1"/>
  <c r="C71" i="9"/>
  <c r="M70" i="9"/>
  <c r="L70" i="9"/>
  <c r="K70" i="9"/>
  <c r="H70" i="9"/>
  <c r="F70" i="9"/>
  <c r="C70" i="9"/>
  <c r="G70" i="9" s="1"/>
  <c r="M69" i="9"/>
  <c r="L69" i="9"/>
  <c r="K69" i="9"/>
  <c r="H69" i="9"/>
  <c r="F69" i="9"/>
  <c r="G69" i="9" s="1"/>
  <c r="E69" i="9"/>
  <c r="D69" i="9"/>
  <c r="C69" i="9"/>
  <c r="L68" i="9"/>
  <c r="K68" i="9"/>
  <c r="I68" i="9"/>
  <c r="H68" i="9"/>
  <c r="M68" i="9" s="1"/>
  <c r="F68" i="9"/>
  <c r="G68" i="9" s="1"/>
  <c r="E68" i="9"/>
  <c r="D68" i="9"/>
  <c r="C68" i="9"/>
  <c r="L67" i="9"/>
  <c r="L76" i="9" s="1"/>
  <c r="K67" i="9"/>
  <c r="H67" i="9"/>
  <c r="F67" i="9"/>
  <c r="G67" i="9" s="1"/>
  <c r="D67" i="9"/>
  <c r="C67" i="9"/>
  <c r="L66" i="9"/>
  <c r="M66" i="9" s="1"/>
  <c r="K66" i="9"/>
  <c r="K76" i="9" s="1"/>
  <c r="I66" i="9"/>
  <c r="H66" i="9"/>
  <c r="H76" i="9" s="1"/>
  <c r="M76" i="9" s="1"/>
  <c r="F66" i="9"/>
  <c r="F76" i="9" s="1"/>
  <c r="D66" i="9"/>
  <c r="E66" i="9" s="1"/>
  <c r="C66" i="9"/>
  <c r="C76" i="9" s="1"/>
  <c r="L64" i="9"/>
  <c r="F64" i="9"/>
  <c r="D64" i="9"/>
  <c r="M63" i="9"/>
  <c r="J63" i="9"/>
  <c r="J35" i="9" s="1"/>
  <c r="G63" i="9"/>
  <c r="E63" i="9"/>
  <c r="M62" i="9"/>
  <c r="J62" i="9"/>
  <c r="G62" i="9"/>
  <c r="E62" i="9"/>
  <c r="M61" i="9"/>
  <c r="J61" i="9"/>
  <c r="G61" i="9"/>
  <c r="E61" i="9"/>
  <c r="M60" i="9"/>
  <c r="I60" i="9"/>
  <c r="J60" i="9" s="1"/>
  <c r="J28" i="9" s="1"/>
  <c r="G60" i="9"/>
  <c r="E60" i="9"/>
  <c r="M59" i="9"/>
  <c r="J59" i="9"/>
  <c r="G59" i="9"/>
  <c r="E59" i="9"/>
  <c r="M58" i="9"/>
  <c r="J58" i="9"/>
  <c r="I58" i="9"/>
  <c r="G58" i="9"/>
  <c r="E58" i="9"/>
  <c r="M57" i="9"/>
  <c r="I57" i="9"/>
  <c r="J57" i="9" s="1"/>
  <c r="G57" i="9"/>
  <c r="E57" i="9"/>
  <c r="M56" i="9"/>
  <c r="I56" i="9"/>
  <c r="J56" i="9" s="1"/>
  <c r="G56" i="9"/>
  <c r="E56" i="9"/>
  <c r="M55" i="9"/>
  <c r="I55" i="9"/>
  <c r="J55" i="9" s="1"/>
  <c r="J26" i="9" s="1"/>
  <c r="G55" i="9"/>
  <c r="E55" i="9"/>
  <c r="M54" i="9"/>
  <c r="J54" i="9"/>
  <c r="I54" i="9"/>
  <c r="G54" i="9"/>
  <c r="E54" i="9"/>
  <c r="M53" i="9"/>
  <c r="I53" i="9"/>
  <c r="I23" i="9" s="1"/>
  <c r="G53" i="9"/>
  <c r="E53" i="9"/>
  <c r="L52" i="9"/>
  <c r="M52" i="9" s="1"/>
  <c r="K52" i="9"/>
  <c r="K64" i="9" s="1"/>
  <c r="H52" i="9"/>
  <c r="H64" i="9" s="1"/>
  <c r="G52" i="9"/>
  <c r="F52" i="9"/>
  <c r="D52" i="9"/>
  <c r="E52" i="9" s="1"/>
  <c r="E64" i="9" s="1"/>
  <c r="C52" i="9"/>
  <c r="C64" i="9" s="1"/>
  <c r="M50" i="9"/>
  <c r="J50" i="9"/>
  <c r="G50" i="9"/>
  <c r="E50" i="9"/>
  <c r="K49" i="9"/>
  <c r="H49" i="9"/>
  <c r="H34" i="9" s="1"/>
  <c r="G49" i="9"/>
  <c r="E49" i="9"/>
  <c r="M48" i="9"/>
  <c r="J48" i="9"/>
  <c r="G48" i="9"/>
  <c r="E48" i="9"/>
  <c r="M47" i="9"/>
  <c r="J47" i="9"/>
  <c r="J32" i="9" s="1"/>
  <c r="G47" i="9"/>
  <c r="E47" i="9"/>
  <c r="M46" i="9"/>
  <c r="J46" i="9"/>
  <c r="I46" i="9"/>
  <c r="G46" i="9"/>
  <c r="E46" i="9"/>
  <c r="M45" i="9"/>
  <c r="J45" i="9"/>
  <c r="J31" i="9" s="1"/>
  <c r="G45" i="9"/>
  <c r="E45" i="9"/>
  <c r="M44" i="9"/>
  <c r="I44" i="9"/>
  <c r="J44" i="9" s="1"/>
  <c r="J30" i="9" s="1"/>
  <c r="G44" i="9"/>
  <c r="E44" i="9"/>
  <c r="M43" i="9"/>
  <c r="J43" i="9"/>
  <c r="I43" i="9"/>
  <c r="G43" i="9"/>
  <c r="E43" i="9"/>
  <c r="M42" i="9"/>
  <c r="I42" i="9"/>
  <c r="I27" i="9" s="1"/>
  <c r="G42" i="9"/>
  <c r="E42" i="9"/>
  <c r="M41" i="9"/>
  <c r="J41" i="9"/>
  <c r="I41" i="9"/>
  <c r="G41" i="9"/>
  <c r="E41" i="9"/>
  <c r="M40" i="9"/>
  <c r="J40" i="9"/>
  <c r="J25" i="9" s="1"/>
  <c r="G40" i="9"/>
  <c r="E40" i="9"/>
  <c r="M39" i="9"/>
  <c r="I39" i="9"/>
  <c r="I37" i="9" s="1"/>
  <c r="G39" i="9"/>
  <c r="E39" i="9"/>
  <c r="M38" i="9"/>
  <c r="J38" i="9"/>
  <c r="I38" i="9"/>
  <c r="G38" i="9"/>
  <c r="E38" i="9"/>
  <c r="M37" i="9"/>
  <c r="L37" i="9"/>
  <c r="L51" i="9" s="1"/>
  <c r="K37" i="9"/>
  <c r="K22" i="9" s="1"/>
  <c r="K36" i="9" s="1"/>
  <c r="K107" i="9" s="1"/>
  <c r="H37" i="9"/>
  <c r="H51" i="9" s="1"/>
  <c r="F37" i="9"/>
  <c r="F51" i="9" s="1"/>
  <c r="E37" i="9"/>
  <c r="E51" i="9" s="1"/>
  <c r="D37" i="9"/>
  <c r="D51" i="9" s="1"/>
  <c r="C37" i="9"/>
  <c r="G37" i="9" s="1"/>
  <c r="M35" i="9"/>
  <c r="L35" i="9"/>
  <c r="K35" i="9"/>
  <c r="I35" i="9"/>
  <c r="H35" i="9"/>
  <c r="G35" i="9"/>
  <c r="F35" i="9"/>
  <c r="E35" i="9"/>
  <c r="D35" i="9"/>
  <c r="C35" i="9"/>
  <c r="L34" i="9"/>
  <c r="M34" i="9" s="1"/>
  <c r="K34" i="9"/>
  <c r="I34" i="9"/>
  <c r="G34" i="9"/>
  <c r="E34" i="9"/>
  <c r="L33" i="9"/>
  <c r="M33" i="9" s="1"/>
  <c r="K33" i="9"/>
  <c r="J33" i="9"/>
  <c r="I33" i="9"/>
  <c r="H33" i="9"/>
  <c r="G33" i="9"/>
  <c r="E33" i="9"/>
  <c r="L32" i="9"/>
  <c r="M32" i="9" s="1"/>
  <c r="K32" i="9"/>
  <c r="I32" i="9"/>
  <c r="H32" i="9"/>
  <c r="F32" i="9"/>
  <c r="G32" i="9" s="1"/>
  <c r="D32" i="9"/>
  <c r="E32" i="9" s="1"/>
  <c r="C32" i="9"/>
  <c r="L31" i="9"/>
  <c r="K31" i="9"/>
  <c r="I31" i="9"/>
  <c r="H31" i="9"/>
  <c r="M31" i="9" s="1"/>
  <c r="F31" i="9"/>
  <c r="G31" i="9" s="1"/>
  <c r="E31" i="9"/>
  <c r="D31" i="9"/>
  <c r="C31" i="9"/>
  <c r="L30" i="9"/>
  <c r="M30" i="9" s="1"/>
  <c r="K30" i="9"/>
  <c r="I30" i="9"/>
  <c r="H30" i="9"/>
  <c r="F30" i="9"/>
  <c r="G30" i="9" s="1"/>
  <c r="D30" i="9"/>
  <c r="E30" i="9" s="1"/>
  <c r="C30" i="9"/>
  <c r="L29" i="9"/>
  <c r="M29" i="9" s="1"/>
  <c r="K29" i="9"/>
  <c r="J29" i="9"/>
  <c r="I29" i="9"/>
  <c r="H29" i="9"/>
  <c r="G29" i="9"/>
  <c r="F29" i="9"/>
  <c r="D29" i="9"/>
  <c r="E29" i="9" s="1"/>
  <c r="C29" i="9"/>
  <c r="L28" i="9"/>
  <c r="M28" i="9" s="1"/>
  <c r="K28" i="9"/>
  <c r="I28" i="9"/>
  <c r="H28" i="9"/>
  <c r="G28" i="9"/>
  <c r="F28" i="9"/>
  <c r="D28" i="9"/>
  <c r="E28" i="9" s="1"/>
  <c r="C28" i="9"/>
  <c r="M27" i="9"/>
  <c r="L27" i="9"/>
  <c r="K27" i="9"/>
  <c r="H27" i="9"/>
  <c r="F27" i="9"/>
  <c r="G27" i="9" s="1"/>
  <c r="E27" i="9"/>
  <c r="D27" i="9"/>
  <c r="C27" i="9"/>
  <c r="M26" i="9"/>
  <c r="L26" i="9"/>
  <c r="K26" i="9"/>
  <c r="I26" i="9"/>
  <c r="H26" i="9"/>
  <c r="F26" i="9"/>
  <c r="F36" i="9" s="1"/>
  <c r="E26" i="9"/>
  <c r="D26" i="9"/>
  <c r="C26" i="9"/>
  <c r="L25" i="9"/>
  <c r="M25" i="9" s="1"/>
  <c r="K25" i="9"/>
  <c r="I25" i="9"/>
  <c r="H25" i="9"/>
  <c r="F25" i="9"/>
  <c r="D25" i="9"/>
  <c r="E25" i="9" s="1"/>
  <c r="C25" i="9"/>
  <c r="G25" i="9" s="1"/>
  <c r="L24" i="9"/>
  <c r="M24" i="9" s="1"/>
  <c r="K24" i="9"/>
  <c r="H24" i="9"/>
  <c r="F24" i="9"/>
  <c r="G24" i="9" s="1"/>
  <c r="D24" i="9"/>
  <c r="E24" i="9" s="1"/>
  <c r="C24" i="9"/>
  <c r="L23" i="9"/>
  <c r="K23" i="9"/>
  <c r="H23" i="9"/>
  <c r="M23" i="9" s="1"/>
  <c r="F23" i="9"/>
  <c r="G23" i="9" s="1"/>
  <c r="E23" i="9"/>
  <c r="D23" i="9"/>
  <c r="C23" i="9"/>
  <c r="L22" i="9"/>
  <c r="L36" i="9" s="1"/>
  <c r="L107" i="9" s="1"/>
  <c r="F22" i="9"/>
  <c r="D22" i="9"/>
  <c r="D36" i="9" s="1"/>
  <c r="M51" i="9" l="1"/>
  <c r="J51" i="9"/>
  <c r="C13" i="2"/>
  <c r="M64" i="9"/>
  <c r="C14" i="2"/>
  <c r="G64" i="9"/>
  <c r="I51" i="9"/>
  <c r="I22" i="9"/>
  <c r="I36" i="9" s="1"/>
  <c r="E99" i="9"/>
  <c r="C16" i="2"/>
  <c r="M99" i="9"/>
  <c r="C107" i="9"/>
  <c r="D76" i="9"/>
  <c r="D107" i="9" s="1"/>
  <c r="J67" i="9"/>
  <c r="J69" i="9"/>
  <c r="G25" i="3"/>
  <c r="F107" i="9"/>
  <c r="G107" i="9" s="1"/>
  <c r="G76" i="9"/>
  <c r="D99" i="9"/>
  <c r="K51" i="9"/>
  <c r="C22" i="9"/>
  <c r="C36" i="9" s="1"/>
  <c r="G36" i="9" s="1"/>
  <c r="G26" i="9"/>
  <c r="J42" i="9"/>
  <c r="J27" i="9" s="1"/>
  <c r="J49" i="9"/>
  <c r="J34" i="9" s="1"/>
  <c r="I52" i="9"/>
  <c r="I64" i="9" s="1"/>
  <c r="J53" i="9"/>
  <c r="J23" i="9" s="1"/>
  <c r="E67" i="9"/>
  <c r="E76" i="9" s="1"/>
  <c r="M67" i="9"/>
  <c r="D70" i="9"/>
  <c r="E70" i="9" s="1"/>
  <c r="I71" i="9"/>
  <c r="J79" i="9"/>
  <c r="J68" i="9" s="1"/>
  <c r="J87" i="9"/>
  <c r="J74" i="9" s="1"/>
  <c r="J90" i="9"/>
  <c r="J99" i="9" s="1"/>
  <c r="C15" i="2"/>
  <c r="G22" i="3"/>
  <c r="P16" i="4"/>
  <c r="G66" i="9"/>
  <c r="J52" i="9"/>
  <c r="J64" i="9" s="1"/>
  <c r="E22" i="9"/>
  <c r="E36" i="9" s="1"/>
  <c r="E107" i="9" s="1"/>
  <c r="J39" i="9"/>
  <c r="M49" i="9"/>
  <c r="I69" i="9"/>
  <c r="I76" i="9" s="1"/>
  <c r="G86" i="9"/>
  <c r="G26" i="3"/>
  <c r="C51" i="9"/>
  <c r="G51" i="9" s="1"/>
  <c r="I99" i="9"/>
  <c r="I24" i="9"/>
  <c r="J83" i="9"/>
  <c r="J70" i="9" s="1"/>
  <c r="F17" i="3"/>
  <c r="G17" i="3" s="1"/>
  <c r="H22" i="9"/>
  <c r="H36" i="9" s="1"/>
  <c r="E29" i="7" l="1"/>
  <c r="D31" i="3"/>
  <c r="E28" i="7"/>
  <c r="J88" i="9"/>
  <c r="J75" i="9" s="1"/>
  <c r="J76" i="9" s="1"/>
  <c r="C19" i="2"/>
  <c r="C27" i="2" s="1"/>
  <c r="C32" i="2" s="1"/>
  <c r="H107" i="9"/>
  <c r="M107" i="9" s="1"/>
  <c r="M36" i="9"/>
  <c r="I107" i="9"/>
  <c r="M22" i="9"/>
  <c r="J24" i="9"/>
  <c r="J37" i="9"/>
  <c r="J22" i="9" s="1"/>
  <c r="J36" i="9" s="1"/>
  <c r="J107" i="9" s="1"/>
  <c r="G22" i="9"/>
  <c r="C32" i="8" l="1"/>
  <c r="E32" i="2"/>
  <c r="D35" i="3"/>
  <c r="G35" i="3" s="1"/>
  <c r="Q12" i="4"/>
  <c r="G31" i="3"/>
  <c r="E36" i="7"/>
  <c r="E38" i="7" s="1"/>
  <c r="E39" i="7" s="1"/>
  <c r="E30" i="7"/>
  <c r="Q14" i="4" l="1"/>
  <c r="Q15" i="4"/>
  <c r="Q13" i="4"/>
  <c r="Q16" i="4"/>
  <c r="C36" i="8"/>
  <c r="E36" i="8" s="1"/>
  <c r="E32" i="8"/>
</calcChain>
</file>

<file path=xl/sharedStrings.xml><?xml version="1.0" encoding="utf-8"?>
<sst xmlns="http://schemas.openxmlformats.org/spreadsheetml/2006/main" count="434" uniqueCount="314">
  <si>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</si>
  <si>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</si>
  <si>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</si>
  <si>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</si>
  <si>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 xml:space="preserve"> Section 8-103B/8-104
(EEPS) Program</t>
  </si>
  <si>
    <t>Net Energy Savings Achieved
(MWh)</t>
  </si>
  <si>
    <t>2022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</si>
  <si>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</si>
  <si>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</si>
  <si>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</si>
  <si>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</si>
  <si>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</si>
  <si>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</si>
  <si>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</si>
  <si>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</si>
  <si>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</si>
  <si>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</si>
  <si>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</si>
  <si>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</si>
  <si>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</si>
  <si>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</si>
  <si>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</si>
  <si>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</si>
  <si>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</si>
  <si>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</si>
  <si>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</si>
  <si>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</si>
  <si>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</si>
  <si>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Business Outreach</t>
  </si>
  <si>
    <t>N/A</t>
  </si>
  <si>
    <t>Business General</t>
  </si>
  <si>
    <t>Electrification</t>
  </si>
  <si>
    <t>C&amp;I Programs Subtotal</t>
  </si>
  <si>
    <t>Incentives - Private</t>
  </si>
  <si>
    <t>Standard - Private</t>
  </si>
  <si>
    <t>Custom - Private</t>
  </si>
  <si>
    <t>Small Business - Private</t>
  </si>
  <si>
    <t>Midstream Upstream - Private</t>
  </si>
  <si>
    <t>Industrial Systems - Private</t>
  </si>
  <si>
    <t>Retro-commissioning - Private</t>
  </si>
  <si>
    <t xml:space="preserve">Strategic Energy Management - Private </t>
  </si>
  <si>
    <t>New Construction - Private</t>
  </si>
  <si>
    <t>Facility Assessment - Private</t>
  </si>
  <si>
    <t>Private Sector Outreach</t>
  </si>
  <si>
    <t>Private Sector General</t>
  </si>
  <si>
    <t>Commercial Electrification - Private</t>
  </si>
  <si>
    <t>C&amp;I Programs - Private Sector Total</t>
  </si>
  <si>
    <t>Incentives - Public</t>
  </si>
  <si>
    <t>Standard - Public</t>
  </si>
  <si>
    <t>Custom - Public</t>
  </si>
  <si>
    <t>Small Business - Public</t>
  </si>
  <si>
    <t>Midstream/Upstream - Public</t>
  </si>
  <si>
    <t>Industrial Systems - Public</t>
  </si>
  <si>
    <t>Retro-commissioning - Public</t>
  </si>
  <si>
    <t>Strategic Energy Management - Public</t>
  </si>
  <si>
    <t>New Construction - Public</t>
  </si>
  <si>
    <t>Facility Assessments - Public</t>
  </si>
  <si>
    <t>Public Sector Outreach</t>
  </si>
  <si>
    <t>Commercial Electrification - Public</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</si>
  <si>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</si>
  <si>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</si>
  <si>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</si>
  <si>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</si>
  <si>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</si>
  <si>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</si>
  <si>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</si>
  <si>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</si>
  <si>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</si>
  <si>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Contractor/Midstream Rebates</t>
  </si>
  <si>
    <t>Residential Programs Subtotal</t>
  </si>
  <si>
    <t>Residential Behavior - Home Energy Report</t>
  </si>
  <si>
    <t>Home Energy Savings - Market Rate Assessment</t>
  </si>
  <si>
    <t>Multi-Family Energy Savings - Market Rate</t>
  </si>
  <si>
    <t>Marketplace 2.0 Lighting</t>
  </si>
  <si>
    <t>Marketplace 2.0 Non-Lighting</t>
  </si>
  <si>
    <t>Retail - Market Rate</t>
  </si>
  <si>
    <t>Product Distribution - Market Rate</t>
  </si>
  <si>
    <t>Residential New Construction - Electric</t>
  </si>
  <si>
    <t>Contractor/Midsteam Rebates - Residential HVAC</t>
  </si>
  <si>
    <t>Residential Electrification</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</si>
  <si>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</si>
  <si>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</si>
  <si>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</si>
  <si>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</si>
  <si>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</si>
  <si>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</si>
  <si>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</si>
  <si>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</si>
  <si>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</si>
  <si>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</si>
  <si>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</si>
  <si>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</si>
  <si>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</si>
  <si>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</si>
  <si>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</si>
  <si>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Therm Conversion</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</si>
  <si>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</si>
  <si>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</si>
  <si>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</si>
  <si>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</si>
  <si>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</si>
  <si>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</si>
  <si>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</si>
  <si>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</si>
  <si>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</si>
  <si>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</si>
  <si>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Section 8-103B/8-104 (EEPS) Cost Category</t>
  </si>
  <si>
    <t xml:space="preserve"> 2022
Actual Costs YTD</t>
  </si>
  <si>
    <t>Program Costs by Sector</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</si>
  <si>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</si>
  <si>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</si>
  <si>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</si>
  <si>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</si>
  <si>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</si>
  <si>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</si>
  <si>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</si>
  <si>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</si>
  <si>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</si>
  <si>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</si>
  <si>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</si>
  <si>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</si>
  <si>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</si>
  <si>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</si>
  <si>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</si>
  <si>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</si>
  <si>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</si>
  <si>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</si>
  <si>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</si>
  <si>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</si>
  <si>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</si>
  <si>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</si>
  <si>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</si>
  <si>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</si>
  <si>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</si>
  <si>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</si>
  <si>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</si>
  <si>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</si>
  <si>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</si>
  <si>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</si>
  <si>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</si>
  <si>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</si>
  <si>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</si>
  <si>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</si>
  <si>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</si>
  <si>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</si>
  <si>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</si>
  <si>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</si>
  <si>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</si>
  <si>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</si>
  <si>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</si>
  <si>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</si>
  <si>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</si>
  <si>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</si>
  <si>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</si>
  <si>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</si>
  <si>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</si>
  <si>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</si>
  <si>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</si>
  <si>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</si>
  <si>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</si>
  <si>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</si>
  <si>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</si>
  <si>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</si>
  <si>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</si>
  <si>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</si>
  <si>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</si>
  <si>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</si>
  <si>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</si>
  <si>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</si>
  <si>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</si>
  <si>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</si>
  <si>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</si>
  <si>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</si>
  <si>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</si>
  <si>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</si>
  <si>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</si>
  <si>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</si>
  <si>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</si>
  <si>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</si>
  <si>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Performance Metrics (Equivalents)*</t>
  </si>
  <si>
    <t>EPY9/
GPY6****</t>
  </si>
  <si>
    <t>CY2018</t>
  </si>
  <si>
    <t>CY2019</t>
  </si>
  <si>
    <t>CY2020</t>
  </si>
  <si>
    <t>CY2021</t>
  </si>
  <si>
    <t>CY2022</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</si>
  <si>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</si>
  <si>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</si>
  <si>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</si>
  <si>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</si>
  <si>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</si>
  <si>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</si>
  <si>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</si>
  <si>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</si>
  <si>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</si>
  <si>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</si>
  <si>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</si>
  <si>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</si>
  <si>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</si>
  <si>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</si>
  <si>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</si>
  <si>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</si>
  <si>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</si>
  <si>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</si>
  <si>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</si>
  <si>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</si>
  <si>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</si>
  <si>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</si>
  <si>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</si>
  <si>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</si>
  <si>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</si>
  <si>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</si>
  <si>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</si>
  <si>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</si>
  <si>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</si>
  <si>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</si>
  <si>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</si>
  <si>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</si>
  <si>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</si>
  <si>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</si>
  <si>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</si>
  <si>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</si>
  <si>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</si>
  <si>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</si>
  <si>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</si>
  <si>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</si>
  <si>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</si>
  <si>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</si>
  <si>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</si>
  <si>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</si>
  <si>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</si>
  <si>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</si>
  <si>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</si>
  <si>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</si>
  <si>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</si>
  <si>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</si>
  <si>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</si>
  <si>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</si>
  <si>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</si>
  <si>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</si>
  <si>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</si>
  <si>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</si>
  <si>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</si>
  <si>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</si>
  <si>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</si>
  <si>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</si>
  <si>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</si>
  <si>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</si>
  <si>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</si>
  <si>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</si>
  <si>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</si>
  <si>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</si>
  <si>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</si>
  <si>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</si>
  <si>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</si>
  <si>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</si>
  <si>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</si>
  <si>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</si>
  <si>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</si>
  <si>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</si>
  <si>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</si>
  <si>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</si>
  <si>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</si>
  <si>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</si>
  <si>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</si>
  <si>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</si>
  <si>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</si>
  <si>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</si>
  <si>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</si>
  <si>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</si>
  <si>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</si>
  <si>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</si>
  <si>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</si>
  <si>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</si>
  <si>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</si>
  <si>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</si>
  <si>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</si>
  <si>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</si>
  <si>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</si>
  <si>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</si>
  <si>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</si>
  <si>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</si>
  <si>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</si>
  <si>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</si>
  <si>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</si>
  <si>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4/29/22 final evaluation report.</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</si>
  <si>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</si>
  <si>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</si>
  <si>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</si>
  <si>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</si>
  <si>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</si>
  <si>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</si>
  <si>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</si>
  <si>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</si>
  <si>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</si>
  <si>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IE Electrification (Single and Multi-Family)</t>
  </si>
  <si>
    <t>IE General</t>
  </si>
  <si>
    <t>Final (updated 10-25-2022)</t>
  </si>
  <si>
    <r>
      <rPr>
        <b/>
        <sz val="12"/>
        <color rgb="FFFF0000"/>
        <rFont val="Century Gothic"/>
        <family val="2"/>
      </rPr>
      <t>ComEd</t>
    </r>
    <r>
      <rPr>
        <b/>
        <sz val="12"/>
        <color theme="1"/>
        <rFont val="Century Gothic"/>
        <family val="2"/>
      </rPr>
      <t xml:space="preserve"> Ex Ante Results - Section 8-103B/8-104 (EEPS) Programs</t>
    </r>
  </si>
  <si>
    <r>
      <rPr>
        <b/>
        <sz val="11"/>
        <color rgb="FFFF0000"/>
        <rFont val="Century Gothic"/>
        <family val="2"/>
      </rPr>
      <t>ComEd</t>
    </r>
    <r>
      <rPr>
        <b/>
        <sz val="11"/>
        <rFont val="Century Gothic"/>
        <family val="2"/>
      </rPr>
      <t xml:space="preserve"> Section 8-103B/8-104 (EEPS) Energy Saved (MWh) as of</t>
    </r>
  </si>
  <si>
    <r>
      <rPr>
        <b/>
        <sz val="11"/>
        <color rgb="FFFF0000"/>
        <rFont val="Century Gothic"/>
        <family val="2"/>
      </rPr>
      <t>ComEd</t>
    </r>
    <r>
      <rPr>
        <b/>
        <sz val="11"/>
        <color theme="1"/>
        <rFont val="Century Gothic"/>
        <family val="2"/>
      </rPr>
      <t xml:space="preserve"> Section 8-103B/8-104 (EEPS) Costs as of</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</si>
  <si>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</si>
  <si>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</si>
  <si>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r>
      <rPr>
        <b/>
        <sz val="11"/>
        <color rgb="FFFF0000"/>
        <rFont val="Century Gothic"/>
        <family val="2"/>
      </rPr>
      <t>ComEd</t>
    </r>
    <r>
      <rPr>
        <b/>
        <sz val="11"/>
        <rFont val="Century Gothic"/>
        <family val="2"/>
      </rPr>
      <t xml:space="preserve"> Service Territory Historical Energy Efficiency Costs as of</t>
    </r>
  </si>
  <si>
    <t>CY2022 Q3</t>
  </si>
  <si>
    <t>C&amp;I Programs Private Sector</t>
  </si>
  <si>
    <t xml:space="preserve">C&amp;I Programs Public Sector </t>
  </si>
  <si>
    <t>Residential (Market Rate) Programs</t>
  </si>
  <si>
    <t>Residential General</t>
  </si>
  <si>
    <t>Residential and IE General</t>
  </si>
  <si>
    <r>
      <t xml:space="preserve">= g * b </t>
    </r>
    <r>
      <rPr>
        <i/>
        <sz val="8"/>
        <rFont val="Century Gothic"/>
        <family val="2"/>
      </rPr>
      <t>**See footnote</t>
    </r>
  </si>
  <si>
    <r>
      <t xml:space="preserve">= o * b    </t>
    </r>
    <r>
      <rPr>
        <i/>
        <sz val="8"/>
        <color theme="1"/>
        <rFont val="Century Gothic"/>
        <family val="2"/>
      </rPr>
      <t>**See footnote</t>
    </r>
  </si>
  <si>
    <r>
      <t xml:space="preserve">= c - p    </t>
    </r>
    <r>
      <rPr>
        <i/>
        <sz val="8"/>
        <color theme="1"/>
        <rFont val="Century Gothic"/>
        <family val="2"/>
      </rPr>
      <t>**See footnote</t>
    </r>
  </si>
  <si>
    <t>**Calculations overwritten due to baseline variances between Plan Year 5 and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</si>
</sst>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0.0000%"/>
  </numFmts>
  <fonts count="46">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name val="Century Gothic"/>
      <family val="2"/>
    </font>
    <font>
      <i/>
      <sz val="8"/>
      <color theme="1"/>
      <name val="Century Gothic"/>
      <family val="2"/>
    </font>
    <font>
      <sz val="11"/>
      <color theme="1"/>
      <name val="Calibri"/>
      <family val="2"/>
      <scheme val="minor"/>
    </font>
  </fonts>
  <fills count="17">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2828150273141E-2"/>
        <bgColor indexed="64"/>
      </patternFill>
    </fill>
    <fill>
      <patternFill patternType="solid">
        <fgColor theme="0" tint="-0.14993743705557422"/>
        <bgColor indexed="64"/>
      </patternFill>
    </fill>
    <fill>
      <patternFill patternType="solid">
        <fgColor theme="0" tint="-0.3499252296517838"/>
        <bgColor indexed="64"/>
      </patternFill>
    </fill>
    <fill>
      <patternFill patternType="solid">
        <fgColor rgb="FFFFC000"/>
        <bgColor indexed="64"/>
      </patternFill>
    </fill>
    <fill>
      <patternFill patternType="solid">
        <fgColor theme="8" tint="0.59993285927915285"/>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4" tint="0.79995117038483843"/>
        <bgColor indexed="64"/>
      </patternFill>
    </fill>
    <fill>
      <patternFill patternType="solid">
        <fgColor theme="0" tint="-0.24991607409894101"/>
        <bgColor indexed="64"/>
      </patternFill>
    </fill>
    <fill>
      <patternFill patternType="solid">
        <fgColor theme="0" tint="-4.9958800012207406E-2"/>
        <bgColor indexed="64"/>
      </patternFill>
    </fill>
    <fill>
      <patternFill patternType="solid">
        <fgColor theme="0" tint="-0.49992370372631001"/>
        <bgColor indexed="64"/>
      </patternFill>
    </fill>
    <fill>
      <patternFill patternType="solid">
        <fgColor theme="1" tint="0.3499862666707357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rgb="FFCACACA"/>
      </left>
      <right style="thin">
        <color rgb="FFCACACA"/>
      </right>
      <top style="thin">
        <color rgb="FFCACACA"/>
      </top>
      <bottom style="thin">
        <color rgb="FFCACACA"/>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9">
    <xf numFmtId="0" fontId="0" fillId="0" borderId="0"/>
    <xf numFmtId="9" fontId="45" fillId="0" borderId="0" applyFont="0" applyFill="0" applyBorder="0" applyAlignment="0" applyProtection="0"/>
    <xf numFmtId="44" fontId="45" fillId="0" borderId="0" applyFont="0" applyFill="0" applyBorder="0" applyAlignment="0" applyProtection="0"/>
    <xf numFmtId="42" fontId="1" fillId="0" borderId="0" applyFont="0" applyFill="0" applyBorder="0" applyAlignment="0" applyProtection="0"/>
    <xf numFmtId="43" fontId="45"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45" fillId="0" borderId="0"/>
  </cellStyleXfs>
  <cellXfs count="336">
    <xf numFmtId="0" fontId="0" fillId="0" borderId="0" xfId="0"/>
    <xf numFmtId="0" fontId="2" fillId="11" borderId="4"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11" borderId="16"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5" fillId="11" borderId="8"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7" fillId="11" borderId="4" xfId="0" applyFont="1" applyFill="1" applyBorder="1" applyAlignment="1">
      <alignment horizontal="left" vertical="center" wrapText="1"/>
    </xf>
    <xf numFmtId="0" fontId="7" fillId="11" borderId="3" xfId="0" applyFont="1" applyFill="1" applyBorder="1" applyAlignment="1">
      <alignment horizontal="left" vertical="center" wrapText="1"/>
    </xf>
    <xf numFmtId="0" fontId="7" fillId="11" borderId="2" xfId="0" applyFont="1" applyFill="1" applyBorder="1" applyAlignment="1">
      <alignment horizontal="left" vertical="center" wrapText="1"/>
    </xf>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165" fontId="5" fillId="0" borderId="1" xfId="4" applyNumberFormat="1" applyFont="1" applyBorder="1"/>
    <xf numFmtId="0" fontId="0" fillId="0" borderId="0" xfId="0" applyAlignment="1">
      <alignment vertical="center"/>
    </xf>
    <xf numFmtId="0" fontId="9" fillId="3" borderId="1" xfId="0" applyFont="1" applyFill="1" applyBorder="1"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6" fillId="3" borderId="1" xfId="0" applyFont="1" applyFill="1" applyBorder="1" applyAlignment="1">
      <alignment horizontal="center" vertical="center" wrapText="1"/>
    </xf>
    <xf numFmtId="0" fontId="17"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164" fontId="7" fillId="0" borderId="1" xfId="2" applyNumberFormat="1" applyFont="1" applyFill="1" applyBorder="1"/>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165" fontId="5" fillId="0" borderId="1" xfId="4" applyNumberFormat="1" applyFont="1" applyBorder="1" applyAlignment="1">
      <alignment vertical="center"/>
    </xf>
    <xf numFmtId="165" fontId="5" fillId="0" borderId="1" xfId="4" applyNumberFormat="1" applyFont="1" applyBorder="1" applyAlignment="1">
      <alignment horizontal="right" vertical="center"/>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20" fillId="5" borderId="1" xfId="0" applyFont="1" applyFill="1" applyBorder="1" applyAlignment="1">
      <alignment horizontal="right" wrapText="1"/>
    </xf>
    <xf numFmtId="0" fontId="5" fillId="0" borderId="1" xfId="0" applyFont="1" applyBorder="1"/>
    <xf numFmtId="0" fontId="5" fillId="7" borderId="1" xfId="0" applyFont="1" applyFill="1" applyBorder="1"/>
    <xf numFmtId="0" fontId="5" fillId="8"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165" fontId="15" fillId="0" borderId="1" xfId="6" applyNumberFormat="1" applyFont="1" applyBorder="1" applyAlignment="1" applyProtection="1">
      <alignment horizontal="left" vertical="center"/>
    </xf>
    <xf numFmtId="165" fontId="5" fillId="0" borderId="1" xfId="4" applyNumberFormat="1" applyFont="1" applyBorder="1" applyAlignment="1">
      <alignment horizontal="left" vertical="center"/>
    </xf>
    <xf numFmtId="3" fontId="2" fillId="0" borderId="1" xfId="0" applyNumberFormat="1" applyFont="1" applyBorder="1" applyAlignment="1">
      <alignment horizontal="center"/>
    </xf>
    <xf numFmtId="164" fontId="7" fillId="0" borderId="1" xfId="2" applyNumberFormat="1" applyFont="1" applyFill="1" applyBorder="1" applyAlignment="1">
      <alignment horizontal="left"/>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8"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165" fontId="5" fillId="0" borderId="1" xfId="4" applyNumberFormat="1" applyFont="1" applyBorder="1" applyAlignment="1">
      <alignment horizontal="left" vertical="center" wrapText="1"/>
    </xf>
    <xf numFmtId="0" fontId="16" fillId="3" borderId="5" xfId="0" applyFont="1" applyFill="1" applyBorder="1" applyAlignment="1">
      <alignment horizontal="center" vertical="center" wrapText="1"/>
    </xf>
    <xf numFmtId="9" fontId="5" fillId="0" borderId="6"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164" fontId="7" fillId="0" borderId="7" xfId="2" applyNumberFormat="1" applyFont="1" applyFill="1" applyBorder="1"/>
    <xf numFmtId="0" fontId="7" fillId="0" borderId="2" xfId="0" applyFont="1" applyBorder="1"/>
    <xf numFmtId="164" fontId="7" fillId="0" borderId="6" xfId="2" applyNumberFormat="1" applyFont="1" applyFill="1" applyBorder="1"/>
    <xf numFmtId="0" fontId="11" fillId="7" borderId="1" xfId="0" applyFont="1" applyFill="1" applyBorder="1" applyAlignment="1">
      <alignment vertical="center"/>
    </xf>
    <xf numFmtId="0" fontId="11" fillId="8" borderId="1" xfId="0" quotePrefix="1" applyFont="1" applyFill="1" applyBorder="1" applyAlignment="1">
      <alignment vertical="center"/>
    </xf>
    <xf numFmtId="0" fontId="11" fillId="9" borderId="1" xfId="0" applyFont="1" applyFill="1" applyBorder="1" applyAlignment="1">
      <alignment vertical="center"/>
    </xf>
    <xf numFmtId="164" fontId="7" fillId="0" borderId="5" xfId="2" applyNumberFormat="1" applyFont="1" applyFill="1" applyBorder="1"/>
    <xf numFmtId="1" fontId="2" fillId="10" borderId="1" xfId="0" applyNumberFormat="1" applyFont="1" applyFill="1" applyBorder="1" applyAlignment="1">
      <alignment horizontal="center"/>
    </xf>
    <xf numFmtId="3" fontId="2" fillId="10" borderId="1" xfId="0" applyNumberFormat="1" applyFont="1" applyFill="1" applyBorder="1" applyAlignment="1">
      <alignment horizontal="center"/>
    </xf>
    <xf numFmtId="0" fontId="2" fillId="0" borderId="1" xfId="0" applyFont="1" applyBorder="1" applyAlignment="1">
      <alignment horizontal="left" vertical="center" wrapText="1"/>
    </xf>
    <xf numFmtId="0" fontId="0" fillId="11" borderId="0" xfId="0" applyFill="1"/>
    <xf numFmtId="0" fontId="21" fillId="11" borderId="0" xfId="0" applyFont="1" applyFill="1"/>
    <xf numFmtId="0" fontId="37" fillId="11" borderId="0" xfId="0" applyFont="1" applyFill="1"/>
    <xf numFmtId="166" fontId="0" fillId="11" borderId="0" xfId="0" applyNumberFormat="1" applyFill="1"/>
    <xf numFmtId="0" fontId="0" fillId="11" borderId="0" xfId="0" quotePrefix="1" applyFill="1"/>
    <xf numFmtId="0" fontId="0" fillId="11" borderId="0" xfId="0" applyFill="1" applyAlignment="1">
      <alignment vertical="center"/>
    </xf>
    <xf numFmtId="0" fontId="6" fillId="11" borderId="0" xfId="0" applyFont="1" applyFill="1" applyAlignment="1">
      <alignment vertical="center"/>
    </xf>
    <xf numFmtId="0" fontId="6" fillId="11" borderId="0" xfId="0" applyFont="1" applyFill="1"/>
    <xf numFmtId="0" fontId="12" fillId="11" borderId="0" xfId="0" applyFont="1" applyFill="1" applyAlignment="1">
      <alignment vertical="center"/>
    </xf>
    <xf numFmtId="0" fontId="13" fillId="11" borderId="0" xfId="0" applyFont="1" applyFill="1"/>
    <xf numFmtId="0" fontId="8" fillId="11" borderId="0" xfId="0" applyFont="1" applyFill="1" applyAlignment="1">
      <alignment horizontal="justify" vertical="center"/>
    </xf>
    <xf numFmtId="0" fontId="9" fillId="11" borderId="8" xfId="0" applyFont="1" applyFill="1" applyBorder="1" applyAlignment="1">
      <alignment horizontal="center" vertical="center" wrapText="1"/>
    </xf>
    <xf numFmtId="0" fontId="9" fillId="11" borderId="0" xfId="0" applyFont="1" applyFill="1" applyAlignment="1">
      <alignment horizontal="center" vertical="center" wrapText="1"/>
    </xf>
    <xf numFmtId="3" fontId="5" fillId="11" borderId="9" xfId="0" applyNumberFormat="1" applyFont="1" applyFill="1" applyBorder="1" applyAlignment="1">
      <alignment horizontal="center"/>
    </xf>
    <xf numFmtId="3" fontId="5" fillId="11"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0" xfId="0" applyFont="1" applyBorder="1" applyAlignment="1">
      <alignment horizontal="left" wrapText="1"/>
    </xf>
    <xf numFmtId="3" fontId="2" fillId="12" borderId="1" xfId="0" applyNumberFormat="1" applyFont="1" applyFill="1" applyBorder="1" applyAlignment="1">
      <alignment horizontal="center" vertical="center"/>
    </xf>
    <xf numFmtId="9" fontId="3" fillId="13" borderId="1" xfId="1" applyFont="1" applyFill="1" applyBorder="1" applyAlignment="1">
      <alignment horizontal="center" vertical="center"/>
    </xf>
    <xf numFmtId="9" fontId="2" fillId="12" borderId="1" xfId="1" applyFont="1" applyFill="1" applyBorder="1" applyAlignment="1">
      <alignment horizontal="center" vertical="center" wrapText="1"/>
    </xf>
    <xf numFmtId="9" fontId="20" fillId="12" borderId="1" xfId="1" applyFont="1" applyFill="1" applyBorder="1" applyAlignment="1">
      <alignment horizontal="center" vertical="center"/>
    </xf>
    <xf numFmtId="9" fontId="2" fillId="12" borderId="1" xfId="1" applyFont="1" applyFill="1" applyBorder="1" applyAlignment="1">
      <alignment horizontal="center" vertical="center"/>
    </xf>
    <xf numFmtId="9" fontId="28" fillId="5" borderId="1" xfId="1" applyFont="1" applyFill="1" applyBorder="1" applyAlignment="1">
      <alignment horizontal="center" vertical="center"/>
    </xf>
    <xf numFmtId="9" fontId="2" fillId="12" borderId="1" xfId="1" applyFont="1" applyFill="1" applyBorder="1" applyAlignment="1">
      <alignment horizontal="center"/>
    </xf>
    <xf numFmtId="3" fontId="2" fillId="12" borderId="1" xfId="0" applyNumberFormat="1" applyFont="1" applyFill="1" applyBorder="1" applyAlignment="1">
      <alignment horizontal="center"/>
    </xf>
    <xf numFmtId="9" fontId="3" fillId="13" borderId="1" xfId="1" applyFont="1" applyFill="1" applyBorder="1" applyAlignment="1">
      <alignment horizontal="center"/>
    </xf>
    <xf numFmtId="0" fontId="24" fillId="11" borderId="0" xfId="0" applyFont="1" applyFill="1"/>
    <xf numFmtId="0" fontId="24" fillId="11" borderId="0" xfId="0" applyFont="1" applyFill="1" applyAlignment="1">
      <alignment horizontal="center"/>
    </xf>
    <xf numFmtId="0" fontId="22" fillId="11" borderId="0" xfId="0" applyFont="1" applyFill="1"/>
    <xf numFmtId="0" fontId="23" fillId="11" borderId="0" xfId="0" applyFont="1" applyFill="1"/>
    <xf numFmtId="0" fontId="7" fillId="11" borderId="0" xfId="0" applyFont="1" applyFill="1" applyAlignment="1">
      <alignment vertical="center"/>
    </xf>
    <xf numFmtId="0" fontId="7" fillId="11" borderId="0" xfId="0" applyFont="1" applyFill="1" applyAlignment="1">
      <alignment horizontal="left" vertical="center" wrapText="1"/>
    </xf>
    <xf numFmtId="0" fontId="5" fillId="11" borderId="0" xfId="0" applyFont="1" applyFill="1" applyAlignment="1">
      <alignment horizontal="center"/>
    </xf>
    <xf numFmtId="0" fontId="5" fillId="11" borderId="0" xfId="0" applyFont="1" applyFill="1"/>
    <xf numFmtId="9" fontId="5" fillId="11" borderId="0" xfId="1" applyFont="1" applyFill="1"/>
    <xf numFmtId="0" fontId="5" fillId="11" borderId="0" xfId="0" quotePrefix="1" applyFont="1" applyFill="1"/>
    <xf numFmtId="0" fontId="10" fillId="11" borderId="0" xfId="0" applyFont="1" applyFill="1"/>
    <xf numFmtId="0" fontId="7" fillId="11" borderId="0" xfId="0" applyFont="1" applyFill="1"/>
    <xf numFmtId="3" fontId="10" fillId="11" borderId="0" xfId="0" applyNumberFormat="1" applyFont="1" applyFill="1" applyAlignment="1">
      <alignment horizontal="center"/>
    </xf>
    <xf numFmtId="0" fontId="0" fillId="11" borderId="0" xfId="0" applyFill="1" applyAlignment="1">
      <alignment horizontal="center"/>
    </xf>
    <xf numFmtId="165" fontId="0" fillId="11" borderId="0" xfId="0" applyNumberFormat="1" applyFill="1"/>
    <xf numFmtId="1" fontId="10" fillId="11" borderId="0" xfId="0" applyNumberFormat="1" applyFont="1" applyFill="1" applyAlignment="1">
      <alignment horizontal="center"/>
    </xf>
    <xf numFmtId="0" fontId="10" fillId="11" borderId="0" xfId="0" applyFont="1" applyFill="1" applyAlignment="1">
      <alignment horizontal="center"/>
    </xf>
    <xf numFmtId="0" fontId="7" fillId="11" borderId="0" xfId="0" applyFont="1" applyFill="1" applyAlignment="1">
      <alignment vertical="center" wrapText="1"/>
    </xf>
    <xf numFmtId="165" fontId="0" fillId="11" borderId="0" xfId="4" applyNumberFormat="1" applyFont="1" applyFill="1"/>
    <xf numFmtId="0" fontId="6" fillId="11" borderId="0" xfId="0" applyFont="1" applyFill="1" applyAlignment="1">
      <alignment horizontal="left" vertical="center" wrapText="1"/>
    </xf>
    <xf numFmtId="0" fontId="6" fillId="11" borderId="0" xfId="0" applyFont="1" applyFill="1" applyAlignment="1">
      <alignment horizontal="left" vertical="center"/>
    </xf>
    <xf numFmtId="164" fontId="0" fillId="11" borderId="0" xfId="0" applyNumberFormat="1" applyFill="1"/>
    <xf numFmtId="0" fontId="4" fillId="11" borderId="0" xfId="0" applyFont="1" applyFill="1" applyAlignment="1">
      <alignment vertical="center" wrapText="1"/>
    </xf>
    <xf numFmtId="164" fontId="0" fillId="11" borderId="0" xfId="0" applyNumberFormat="1" applyFill="1" applyAlignment="1">
      <alignment vertical="center"/>
    </xf>
    <xf numFmtId="44" fontId="0" fillId="11" borderId="0" xfId="0" applyNumberFormat="1" applyFill="1"/>
    <xf numFmtId="9" fontId="27" fillId="11" borderId="0" xfId="1" applyFont="1" applyFill="1" applyAlignment="1">
      <alignment horizontal="center" vertical="center"/>
    </xf>
    <xf numFmtId="0" fontId="27" fillId="11" borderId="0" xfId="0" applyFont="1" applyFill="1" applyAlignment="1">
      <alignment horizontal="center" vertical="center"/>
    </xf>
    <xf numFmtId="3" fontId="0" fillId="11" borderId="0" xfId="0" applyNumberFormat="1" applyFill="1" applyAlignment="1">
      <alignment vertical="center"/>
    </xf>
    <xf numFmtId="165" fontId="0" fillId="11" borderId="0" xfId="0" applyNumberFormat="1" applyFill="1" applyAlignment="1">
      <alignment horizontal="right"/>
    </xf>
    <xf numFmtId="164" fontId="36" fillId="11" borderId="0" xfId="0" applyNumberFormat="1" applyFont="1" applyFill="1"/>
    <xf numFmtId="164" fontId="0" fillId="11" borderId="0" xfId="2" applyNumberFormat="1" applyFont="1" applyFill="1" applyBorder="1"/>
    <xf numFmtId="165" fontId="0" fillId="11" borderId="0" xfId="1" applyNumberFormat="1" applyFont="1" applyFill="1"/>
    <xf numFmtId="0" fontId="36" fillId="11" borderId="0" xfId="0" quotePrefix="1" applyFont="1" applyFill="1"/>
    <xf numFmtId="0" fontId="36" fillId="11" borderId="0" xfId="0" applyFont="1" applyFill="1"/>
    <xf numFmtId="164" fontId="27" fillId="11" borderId="0" xfId="0" applyNumberFormat="1" applyFont="1" applyFill="1" applyAlignment="1">
      <alignment horizontal="center"/>
    </xf>
    <xf numFmtId="0" fontId="27" fillId="11" borderId="0" xfId="0" applyFont="1" applyFill="1" applyAlignment="1">
      <alignment vertical="center"/>
    </xf>
    <xf numFmtId="164" fontId="27" fillId="11" borderId="0" xfId="2" applyNumberFormat="1" applyFont="1" applyFill="1" applyBorder="1"/>
    <xf numFmtId="44" fontId="0" fillId="11" borderId="0" xfId="0" applyNumberFormat="1" applyFill="1" applyAlignment="1">
      <alignment vertical="center"/>
    </xf>
    <xf numFmtId="0" fontId="4" fillId="11" borderId="0" xfId="0" applyFont="1" applyFill="1" applyAlignment="1">
      <alignment horizontal="center" vertical="center" wrapText="1"/>
    </xf>
    <xf numFmtId="0" fontId="39" fillId="11" borderId="0" xfId="0" applyFont="1" applyFill="1" applyAlignment="1">
      <alignment horizontal="center"/>
    </xf>
    <xf numFmtId="165" fontId="5" fillId="0" borderId="1" xfId="4" applyNumberFormat="1" applyFont="1" applyFill="1" applyBorder="1"/>
    <xf numFmtId="164" fontId="11" fillId="4" borderId="1" xfId="2" applyNumberFormat="1" applyFont="1" applyFill="1" applyBorder="1" applyAlignment="1">
      <alignment horizontal="center" vertical="center"/>
    </xf>
    <xf numFmtId="164" fontId="5" fillId="0" borderId="5" xfId="2" applyNumberFormat="1" applyFont="1" applyFill="1" applyBorder="1" applyAlignment="1">
      <alignment horizontal="center" vertical="center"/>
    </xf>
    <xf numFmtId="164" fontId="11" fillId="4" borderId="5"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4" borderId="1" xfId="1" applyFont="1" applyFill="1" applyBorder="1" applyAlignment="1">
      <alignment horizontal="center" vertical="center"/>
    </xf>
    <xf numFmtId="3" fontId="7" fillId="11" borderId="0" xfId="0" applyNumberFormat="1" applyFont="1" applyFill="1" applyAlignment="1">
      <alignment horizontal="center"/>
    </xf>
    <xf numFmtId="1" fontId="7" fillId="11" borderId="0" xfId="0" applyNumberFormat="1" applyFont="1" applyFill="1" applyAlignment="1">
      <alignment horizontal="center"/>
    </xf>
    <xf numFmtId="0" fontId="7" fillId="11" borderId="0" xfId="0" applyFont="1" applyFill="1" applyAlignment="1">
      <alignment horizontal="center"/>
    </xf>
    <xf numFmtId="0" fontId="26" fillId="11" borderId="0" xfId="0" applyFont="1" applyFill="1"/>
    <xf numFmtId="0" fontId="12" fillId="11" borderId="0" xfId="0" applyFont="1" applyFill="1"/>
    <xf numFmtId="0" fontId="8" fillId="11" borderId="0" xfId="0" applyFont="1" applyFill="1"/>
    <xf numFmtId="0" fontId="4" fillId="11" borderId="0" xfId="0" applyFont="1" applyFill="1"/>
    <xf numFmtId="0" fontId="3" fillId="11" borderId="0" xfId="0" applyFont="1" applyFill="1"/>
    <xf numFmtId="3" fontId="19" fillId="11" borderId="0" xfId="0" applyNumberFormat="1" applyFont="1" applyFill="1"/>
    <xf numFmtId="0" fontId="26" fillId="11" borderId="0" xfId="0" applyFont="1" applyFill="1" applyAlignment="1">
      <alignment vertical="center"/>
    </xf>
    <xf numFmtId="0" fontId="6" fillId="11" borderId="0" xfId="0" applyFont="1" applyFill="1" applyAlignment="1">
      <alignment wrapText="1"/>
    </xf>
    <xf numFmtId="0" fontId="17" fillId="11" borderId="0" xfId="0" applyFont="1" applyFill="1"/>
    <xf numFmtId="0" fontId="4" fillId="11" borderId="0" xfId="0" applyFont="1" applyFill="1" applyAlignment="1">
      <alignment horizontal="left" vertical="center" wrapText="1"/>
    </xf>
    <xf numFmtId="0" fontId="3" fillId="11" borderId="0" xfId="0" applyFont="1" applyFill="1" applyAlignment="1">
      <alignment horizontal="left" wrapText="1"/>
    </xf>
    <xf numFmtId="0" fontId="4" fillId="11" borderId="0" xfId="0" applyFont="1" applyFill="1" applyAlignment="1">
      <alignment horizontal="center" wrapText="1"/>
    </xf>
    <xf numFmtId="3" fontId="34" fillId="11" borderId="0" xfId="0" applyNumberFormat="1" applyFont="1" applyFill="1"/>
    <xf numFmtId="9" fontId="19" fillId="11" borderId="0" xfId="0" applyNumberFormat="1" applyFont="1" applyFill="1" applyAlignment="1">
      <alignment horizontal="center"/>
    </xf>
    <xf numFmtId="164" fontId="3" fillId="11" borderId="0" xfId="0" applyNumberFormat="1" applyFont="1" applyFill="1"/>
    <xf numFmtId="164" fontId="4" fillId="11" borderId="0" xfId="0" applyNumberFormat="1" applyFont="1" applyFill="1"/>
    <xf numFmtId="9" fontId="4" fillId="11" borderId="0" xfId="0" applyNumberFormat="1" applyFont="1" applyFill="1" applyAlignment="1">
      <alignment horizontal="center"/>
    </xf>
    <xf numFmtId="3" fontId="0" fillId="11" borderId="0" xfId="0" applyNumberFormat="1" applyFill="1"/>
    <xf numFmtId="0" fontId="4" fillId="11" borderId="0" xfId="0" applyFont="1" applyFill="1" applyAlignment="1">
      <alignment horizontal="left" wrapText="1"/>
    </xf>
    <xf numFmtId="37" fontId="4" fillId="11" borderId="0" xfId="4" applyNumberFormat="1" applyFont="1" applyFill="1" applyBorder="1" applyAlignment="1">
      <alignment horizontal="center"/>
    </xf>
    <xf numFmtId="9" fontId="3" fillId="11" borderId="0" xfId="1" applyFont="1" applyFill="1" applyBorder="1" applyAlignment="1">
      <alignment horizontal="center"/>
    </xf>
    <xf numFmtId="10" fontId="0" fillId="11" borderId="0" xfId="0" applyNumberFormat="1" applyFill="1"/>
    <xf numFmtId="0" fontId="26" fillId="11" borderId="0" xfId="0" applyFont="1" applyFill="1" applyAlignment="1">
      <alignment horizontal="center"/>
    </xf>
    <xf numFmtId="0" fontId="29" fillId="11" borderId="0" xfId="0" applyFont="1" applyFill="1"/>
    <xf numFmtId="0" fontId="17" fillId="11" borderId="0" xfId="0" applyFont="1" applyFill="1" applyAlignment="1">
      <alignment wrapText="1"/>
    </xf>
    <xf numFmtId="0" fontId="17" fillId="11" borderId="0" xfId="0" applyFont="1" applyFill="1" applyAlignment="1">
      <alignment horizontal="center" wrapText="1"/>
    </xf>
    <xf numFmtId="0" fontId="30" fillId="11" borderId="0" xfId="0" applyFont="1" applyFill="1" applyAlignment="1">
      <alignment wrapText="1"/>
    </xf>
    <xf numFmtId="0" fontId="30" fillId="11" borderId="0" xfId="0" applyFont="1" applyFill="1" applyAlignment="1">
      <alignment horizontal="center" wrapText="1"/>
    </xf>
    <xf numFmtId="0" fontId="29" fillId="11" borderId="0" xfId="0" applyFont="1" applyFill="1" applyAlignment="1">
      <alignment horizontal="center"/>
    </xf>
    <xf numFmtId="10" fontId="31" fillId="11" borderId="0" xfId="0" applyNumberFormat="1" applyFont="1" applyFill="1" applyAlignment="1">
      <alignment wrapText="1"/>
    </xf>
    <xf numFmtId="0" fontId="31" fillId="11" borderId="0" xfId="0" applyFont="1" applyFill="1" applyAlignment="1">
      <alignment wrapText="1"/>
    </xf>
    <xf numFmtId="0" fontId="30" fillId="11" borderId="0" xfId="0" applyFont="1" applyFill="1"/>
    <xf numFmtId="9" fontId="3" fillId="11" borderId="9" xfId="2" applyNumberFormat="1" applyFont="1" applyFill="1" applyBorder="1" applyAlignment="1">
      <alignment horizontal="right" vertical="center"/>
    </xf>
    <xf numFmtId="1" fontId="0" fillId="11" borderId="0" xfId="0" applyNumberFormat="1" applyFill="1"/>
    <xf numFmtId="165" fontId="35" fillId="11" borderId="0" xfId="4" applyNumberFormat="1" applyFont="1" applyFill="1" applyBorder="1" applyAlignment="1">
      <alignment horizontal="right"/>
    </xf>
    <xf numFmtId="0" fontId="3" fillId="11" borderId="0" xfId="0" applyFont="1" applyFill="1" applyAlignment="1">
      <alignment horizontal="left" vertical="center"/>
    </xf>
    <xf numFmtId="0" fontId="0" fillId="11" borderId="0" xfId="0" applyFill="1" applyAlignment="1">
      <alignment vertical="top"/>
    </xf>
    <xf numFmtId="164" fontId="0" fillId="11" borderId="11" xfId="2" applyNumberFormat="1" applyFont="1" applyFill="1" applyBorder="1"/>
    <xf numFmtId="3" fontId="40" fillId="11" borderId="0" xfId="0" applyNumberFormat="1" applyFont="1" applyFill="1" applyAlignment="1">
      <alignment horizontal="center" vertical="center" wrapText="1"/>
    </xf>
    <xf numFmtId="10" fontId="11" fillId="7" borderId="1" xfId="0" applyNumberFormat="1" applyFont="1" applyFill="1" applyBorder="1" applyAlignment="1">
      <alignment horizontal="right" vertical="center"/>
    </xf>
    <xf numFmtId="165" fontId="11" fillId="7" borderId="1" xfId="4" applyNumberFormat="1" applyFont="1" applyFill="1" applyBorder="1" applyAlignment="1">
      <alignment horizontal="right" vertical="center"/>
    </xf>
    <xf numFmtId="165" fontId="11" fillId="8"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0" fontId="11" fillId="8" borderId="1" xfId="0" applyNumberFormat="1" applyFont="1" applyFill="1" applyBorder="1" applyAlignment="1">
      <alignment horizontal="right" vertical="center"/>
    </xf>
    <xf numFmtId="166" fontId="11" fillId="8" borderId="1" xfId="0"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9" fontId="12" fillId="8" borderId="1" xfId="1" applyFont="1" applyFill="1" applyBorder="1" applyAlignment="1">
      <alignment horizontal="right" vertical="center"/>
    </xf>
    <xf numFmtId="165" fontId="5" fillId="8" borderId="1" xfId="0" applyNumberFormat="1" applyFont="1" applyFill="1" applyBorder="1" applyAlignment="1">
      <alignment horizontal="right" vertical="center"/>
    </xf>
    <xf numFmtId="166" fontId="5" fillId="8" borderId="1" xfId="1" applyNumberFormat="1" applyFont="1" applyFill="1" applyBorder="1" applyAlignment="1">
      <alignment horizontal="right" vertical="center"/>
    </xf>
    <xf numFmtId="9" fontId="6" fillId="8" borderId="1" xfId="1" applyFont="1" applyFill="1" applyBorder="1" applyAlignment="1">
      <alignment horizontal="right" vertical="center"/>
    </xf>
    <xf numFmtId="9" fontId="30" fillId="11" borderId="0" xfId="1" applyFont="1" applyFill="1"/>
    <xf numFmtId="43" fontId="27" fillId="11" borderId="0" xfId="4" applyFont="1" applyFill="1" applyAlignment="1">
      <alignment horizontal="center" vertical="center"/>
    </xf>
    <xf numFmtId="43" fontId="0" fillId="11" borderId="0" xfId="0" applyNumberFormat="1" applyFill="1" applyAlignment="1">
      <alignment vertical="center"/>
    </xf>
    <xf numFmtId="9" fontId="3" fillId="15" borderId="1" xfId="1" applyFont="1" applyFill="1" applyBorder="1" applyAlignment="1">
      <alignment horizontal="center" vertical="center"/>
    </xf>
    <xf numFmtId="0" fontId="0" fillId="11" borderId="0" xfId="0" applyFill="1" applyAlignment="1">
      <alignment horizontal="right" vertical="center"/>
    </xf>
    <xf numFmtId="0" fontId="3" fillId="15" borderId="1" xfId="0" applyFont="1" applyFill="1" applyBorder="1" applyAlignment="1">
      <alignment horizontal="right" vertical="center" wrapText="1"/>
    </xf>
    <xf numFmtId="9" fontId="0" fillId="11" borderId="0" xfId="0" applyNumberFormat="1" applyFill="1" applyAlignment="1">
      <alignment horizontal="right" vertical="center"/>
    </xf>
    <xf numFmtId="0" fontId="0" fillId="0" borderId="0" xfId="0" applyAlignment="1">
      <alignment horizontal="right" vertical="center"/>
    </xf>
    <xf numFmtId="0" fontId="2" fillId="12"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20" fillId="0" borderId="1" xfId="0" applyFont="1" applyBorder="1" applyAlignment="1">
      <alignment horizontal="left" wrapText="1" indent="4"/>
    </xf>
    <xf numFmtId="164" fontId="19" fillId="11" borderId="0" xfId="0" applyNumberFormat="1" applyFont="1" applyFill="1"/>
    <xf numFmtId="3" fontId="30" fillId="11" borderId="0" xfId="0" applyNumberFormat="1" applyFont="1" applyFill="1"/>
    <xf numFmtId="9" fontId="0" fillId="11" borderId="0" xfId="1" applyFont="1" applyFill="1"/>
    <xf numFmtId="3" fontId="3" fillId="11" borderId="0" xfId="0" applyNumberFormat="1" applyFont="1" applyFill="1" applyAlignment="1">
      <alignment horizontal="left" wrapText="1"/>
    </xf>
    <xf numFmtId="3" fontId="3" fillId="11"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3" fontId="2" fillId="0" borderId="1" xfId="0" applyNumberFormat="1" applyFont="1" applyBorder="1" applyAlignment="1">
      <alignment horizontal="center" wrapText="1"/>
    </xf>
    <xf numFmtId="0" fontId="3" fillId="0" borderId="0" xfId="0" applyFont="1" applyAlignment="1">
      <alignment horizontal="center" vertical="center" wrapText="1"/>
    </xf>
    <xf numFmtId="3" fontId="2" fillId="12" borderId="1" xfId="0" applyNumberFormat="1" applyFont="1" applyFill="1" applyBorder="1" applyAlignment="1">
      <alignment horizontal="center" vertical="center" wrapText="1"/>
    </xf>
    <xf numFmtId="3" fontId="2" fillId="12"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2" borderId="1" xfId="4"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3"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2" borderId="1" xfId="4" applyNumberFormat="1" applyFont="1" applyFill="1" applyBorder="1" applyAlignment="1">
      <alignment horizontal="center"/>
    </xf>
    <xf numFmtId="3" fontId="3" fillId="13"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2" borderId="1" xfId="0" applyNumberFormat="1" applyFont="1" applyFill="1" applyBorder="1" applyAlignment="1">
      <alignment horizontal="center" wrapText="1"/>
    </xf>
    <xf numFmtId="164" fontId="2" fillId="12" borderId="4" xfId="2" applyNumberFormat="1" applyFont="1" applyFill="1" applyBorder="1" applyAlignment="1">
      <alignment vertical="center"/>
    </xf>
    <xf numFmtId="164" fontId="2" fillId="12"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0" borderId="1" xfId="2" applyNumberFormat="1" applyFont="1" applyFill="1" applyBorder="1" applyAlignment="1">
      <alignment vertical="center"/>
    </xf>
    <xf numFmtId="164" fontId="2" fillId="0" borderId="1" xfId="2" applyNumberFormat="1" applyFont="1" applyFill="1" applyBorder="1" applyAlignment="1"/>
    <xf numFmtId="164" fontId="2" fillId="12" borderId="1" xfId="2" applyNumberFormat="1" applyFont="1" applyFill="1" applyBorder="1" applyAlignment="1"/>
    <xf numFmtId="164" fontId="3" fillId="2" borderId="1" xfId="2" applyNumberFormat="1" applyFont="1" applyFill="1" applyBorder="1" applyAlignment="1"/>
    <xf numFmtId="164" fontId="2" fillId="12" borderId="1" xfId="0" applyNumberFormat="1" applyFont="1" applyFill="1" applyBorder="1" applyAlignment="1">
      <alignment wrapText="1"/>
    </xf>
    <xf numFmtId="164" fontId="2" fillId="0" borderId="1" xfId="0" applyNumberFormat="1" applyFont="1" applyBorder="1" applyAlignment="1">
      <alignment wrapText="1"/>
    </xf>
    <xf numFmtId="0" fontId="2" fillId="0" borderId="1" xfId="0" applyFont="1" applyBorder="1" applyAlignment="1">
      <alignment horizontal="center"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15"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15"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5" fillId="11" borderId="0" xfId="0" applyFont="1" applyFill="1" applyAlignment="1">
      <alignment horizontal="left" vertical="center"/>
    </xf>
    <xf numFmtId="0" fontId="25" fillId="11" borderId="0" xfId="0" applyFont="1" applyFill="1" applyAlignment="1">
      <alignment horizontal="left" vertical="top"/>
    </xf>
    <xf numFmtId="0" fontId="41" fillId="11" borderId="0" xfId="0" applyFont="1" applyFill="1" applyAlignment="1">
      <alignment horizontal="left" vertical="center"/>
    </xf>
    <xf numFmtId="0" fontId="42" fillId="11" borderId="0" xfId="0" applyFont="1" applyFill="1" applyAlignment="1">
      <alignment horizontal="left" vertical="top"/>
    </xf>
    <xf numFmtId="0" fontId="25" fillId="11" borderId="0" xfId="0" applyFont="1" applyFill="1" applyAlignment="1">
      <alignment vertical="top"/>
    </xf>
    <xf numFmtId="3" fontId="31" fillId="11" borderId="0" xfId="0" applyNumberFormat="1" applyFont="1" applyFill="1" applyAlignment="1">
      <alignment wrapText="1"/>
    </xf>
    <xf numFmtId="167" fontId="2" fillId="12" borderId="1" xfId="1" applyNumberFormat="1" applyFont="1" applyFill="1" applyBorder="1" applyAlignment="1">
      <alignment horizontal="center" vertical="center"/>
    </xf>
    <xf numFmtId="0" fontId="3" fillId="14" borderId="3" xfId="0" applyFont="1" applyFill="1" applyBorder="1" applyAlignment="1">
      <alignment vertical="center" wrapText="1"/>
    </xf>
    <xf numFmtId="0" fontId="3" fillId="14" borderId="0" xfId="0" applyFont="1" applyFill="1" applyAlignment="1">
      <alignment horizontal="center"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13"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17" xfId="0" applyFont="1" applyFill="1" applyBorder="1" applyAlignment="1">
      <alignment horizontal="left" vertical="center" wrapText="1"/>
    </xf>
    <xf numFmtId="0" fontId="6" fillId="11" borderId="14" xfId="0" applyFont="1" applyFill="1" applyBorder="1" applyAlignment="1">
      <alignment horizontal="left" vertical="center" wrapText="1"/>
    </xf>
    <xf numFmtId="0" fontId="6" fillId="11" borderId="15" xfId="0" applyFont="1" applyFill="1" applyBorder="1" applyAlignment="1">
      <alignment horizontal="left" vertical="center" wrapText="1"/>
    </xf>
    <xf numFmtId="0" fontId="6" fillId="11" borderId="16" xfId="0" applyFont="1" applyFill="1" applyBorder="1" applyAlignment="1">
      <alignment horizontal="left" vertical="center" wrapText="1"/>
    </xf>
    <xf numFmtId="0" fontId="38" fillId="14" borderId="13" xfId="0" applyFont="1" applyFill="1" applyBorder="1" applyAlignment="1">
      <alignment horizontal="center" vertical="center" textRotation="90"/>
    </xf>
    <xf numFmtId="0" fontId="38" fillId="14" borderId="17" xfId="0" applyFont="1" applyFill="1" applyBorder="1" applyAlignment="1">
      <alignment horizontal="center" vertical="center" textRotation="90"/>
    </xf>
    <xf numFmtId="0" fontId="38" fillId="14" borderId="16" xfId="0" applyFont="1" applyFill="1" applyBorder="1" applyAlignment="1">
      <alignment horizontal="center" vertical="center" textRotation="90"/>
    </xf>
    <xf numFmtId="0" fontId="7" fillId="11" borderId="1" xfId="0" applyFont="1" applyFill="1" applyBorder="1" applyAlignment="1">
      <alignment horizontal="left" vertical="top" wrapText="1"/>
    </xf>
    <xf numFmtId="0" fontId="6" fillId="11" borderId="1" xfId="0" applyFont="1" applyFill="1" applyBorder="1" applyAlignment="1">
      <alignment horizontal="left" vertical="center" wrapText="1"/>
    </xf>
    <xf numFmtId="0" fontId="2" fillId="11" borderId="1" xfId="0" applyFont="1" applyFill="1" applyBorder="1" applyAlignment="1">
      <alignment horizontal="left" vertical="top" wrapText="1"/>
    </xf>
    <xf numFmtId="0" fontId="2" fillId="11" borderId="1" xfId="6" applyFont="1" applyFill="1" applyBorder="1" applyAlignment="1" applyProtection="1">
      <alignment vertical="center" wrapText="1"/>
    </xf>
    <xf numFmtId="0" fontId="2" fillId="11" borderId="2" xfId="0" applyFont="1" applyFill="1" applyBorder="1" applyAlignment="1">
      <alignment horizontal="left" vertical="center"/>
    </xf>
    <xf numFmtId="0" fontId="2" fillId="11" borderId="3" xfId="0" applyFont="1" applyFill="1" applyBorder="1" applyAlignment="1">
      <alignment horizontal="left" vertical="center"/>
    </xf>
    <xf numFmtId="0" fontId="2" fillId="11" borderId="4" xfId="0" applyFont="1" applyFill="1" applyBorder="1" applyAlignment="1">
      <alignment horizontal="left" vertical="center"/>
    </xf>
    <xf numFmtId="0" fontId="7" fillId="11" borderId="1" xfId="0" applyFont="1" applyFill="1" applyBorder="1" applyAlignment="1">
      <alignment horizontal="left" vertical="center"/>
    </xf>
    <xf numFmtId="0" fontId="7" fillId="11" borderId="1" xfId="0" applyFont="1" applyFill="1" applyBorder="1" applyAlignment="1">
      <alignment vertical="center" wrapText="1"/>
    </xf>
    <xf numFmtId="0" fontId="0" fillId="11" borderId="1" xfId="0" applyFill="1" applyBorder="1" applyAlignment="1">
      <alignment vertical="center" wrapText="1"/>
    </xf>
    <xf numFmtId="0" fontId="6" fillId="0" borderId="1" xfId="0" applyFont="1" applyBorder="1" applyAlignment="1">
      <alignment horizontal="left" vertical="center"/>
    </xf>
    <xf numFmtId="0" fontId="9" fillId="16"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2" fillId="11" borderId="2" xfId="0" applyFont="1" applyFill="1" applyBorder="1" applyAlignment="1">
      <alignment horizontal="left" vertical="center"/>
    </xf>
    <xf numFmtId="0" fontId="32" fillId="11" borderId="3" xfId="0" applyFont="1" applyFill="1" applyBorder="1" applyAlignment="1">
      <alignment horizontal="left" vertical="center"/>
    </xf>
    <xf numFmtId="0" fontId="32" fillId="11" borderId="4" xfId="0" applyFont="1" applyFill="1" applyBorder="1" applyAlignment="1">
      <alignment horizontal="left" vertical="center"/>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9" fillId="16" borderId="15"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3" fillId="0" borderId="2" xfId="0" applyFont="1" applyBorder="1" applyAlignment="1">
      <alignment horizontal="right" vertical="center"/>
    </xf>
    <xf numFmtId="0" fontId="33" fillId="0" borderId="4" xfId="0" applyFont="1" applyBorder="1" applyAlignment="1">
      <alignment horizontal="right" vertical="center"/>
    </xf>
    <xf numFmtId="0" fontId="32" fillId="0" borderId="2" xfId="0" applyFont="1" applyBorder="1" applyAlignment="1">
      <alignment horizontal="left" vertical="center"/>
    </xf>
    <xf numFmtId="0" fontId="32" fillId="0" borderId="4" xfId="0" applyFont="1" applyBorder="1" applyAlignment="1">
      <alignment horizontal="left" vertical="center"/>
    </xf>
  </cellXfs>
  <cellStyles count="9">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00000000-0005-0000-0000-000007000000}"/>
    <cellStyle name="Normal 93 5" xfId="8" xr:uid="{00000000-0005-0000-0000-000008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Y127"/>
  <sheetViews>
    <sheetView topLeftCell="B3" workbookViewId="0"/>
  </sheetViews>
  <sheetFormatPr defaultColWidth="9.1796875" defaultRowHeight="22.5" customHeight="1"/>
  <cols>
    <col min="1" max="1" width="2.54296875" customWidth="1"/>
    <col min="2" max="2" width="53" customWidth="1"/>
    <col min="3" max="3" width="17.1796875" customWidth="1"/>
    <col min="4" max="4" width="17.26953125" bestFit="1" customWidth="1"/>
    <col min="5" max="5" width="15.54296875" bestFit="1" customWidth="1"/>
    <col min="6" max="6" width="14.7265625" bestFit="1" customWidth="1"/>
    <col min="7" max="7" width="16.1796875" style="17" customWidth="1"/>
    <col min="8" max="8" width="14.54296875" customWidth="1"/>
    <col min="9" max="12" width="15.6328125" customWidth="1"/>
    <col min="13" max="13" width="14.26953125" customWidth="1"/>
    <col min="14" max="14" width="15.26953125" customWidth="1"/>
    <col min="15" max="15" width="24.54296875" customWidth="1"/>
    <col min="16" max="16" width="14" customWidth="1"/>
    <col min="17" max="17" width="18.26953125" customWidth="1"/>
    <col min="18" max="18" width="17.54296875" customWidth="1"/>
    <col min="19" max="19" width="10.54296875" bestFit="1" customWidth="1"/>
    <col min="20" max="20" width="17" bestFit="1" customWidth="1"/>
    <col min="21" max="21" width="13.26953125" bestFit="1" customWidth="1"/>
  </cols>
  <sheetData>
    <row r="1" spans="1:25" ht="22.5" customHeight="1">
      <c r="A1" s="91"/>
      <c r="B1" s="98" t="s">
        <v>0</v>
      </c>
      <c r="C1" s="98"/>
      <c r="D1" s="98"/>
      <c r="E1" s="98"/>
      <c r="F1" s="91"/>
      <c r="G1" s="131"/>
      <c r="H1" s="91"/>
      <c r="I1" s="91"/>
      <c r="J1" s="91"/>
      <c r="K1" s="91"/>
      <c r="L1" s="91"/>
      <c r="M1" s="91"/>
      <c r="N1" s="91"/>
      <c r="O1" s="91"/>
      <c r="P1" s="91"/>
      <c r="Q1" s="91"/>
      <c r="R1" s="91"/>
      <c r="S1" s="91"/>
      <c r="T1" s="91"/>
      <c r="U1" s="91"/>
      <c r="V1" s="91"/>
      <c r="W1" s="91"/>
      <c r="X1" s="91"/>
      <c r="Y1" s="91"/>
    </row>
    <row r="2" spans="1:25" ht="22.5" customHeight="1">
      <c r="A2" s="91"/>
      <c r="B2" s="98" t="s">
        <v>1</v>
      </c>
      <c r="C2" s="98"/>
      <c r="D2" s="98"/>
      <c r="E2" s="98"/>
      <c r="F2" s="91"/>
      <c r="G2" s="131"/>
      <c r="H2" s="91"/>
      <c r="I2" s="91"/>
      <c r="J2" s="91"/>
      <c r="K2" s="91"/>
      <c r="L2" s="91"/>
      <c r="M2" s="91"/>
      <c r="N2" s="91"/>
      <c r="O2" s="91"/>
      <c r="P2" s="91"/>
      <c r="Q2" s="91"/>
      <c r="R2" s="91"/>
      <c r="S2" s="91"/>
      <c r="T2" s="91"/>
      <c r="U2" s="91"/>
      <c r="V2" s="91"/>
      <c r="W2" s="91"/>
      <c r="X2" s="91"/>
      <c r="Y2" s="91"/>
    </row>
    <row r="3" spans="1:25" ht="22.5" customHeight="1">
      <c r="A3" s="91"/>
      <c r="B3" s="98" t="s">
        <v>297</v>
      </c>
      <c r="C3" s="98"/>
      <c r="D3" s="98"/>
      <c r="E3" s="98"/>
      <c r="F3" s="91"/>
      <c r="G3" s="131"/>
      <c r="H3" s="91"/>
      <c r="I3" s="91"/>
      <c r="J3" s="91"/>
      <c r="K3" s="91"/>
      <c r="L3" s="91"/>
      <c r="M3" s="91"/>
      <c r="N3" s="91"/>
      <c r="O3" s="91"/>
      <c r="P3" s="91"/>
      <c r="Q3" s="91"/>
      <c r="R3" s="91"/>
      <c r="S3" s="91"/>
      <c r="T3" s="91"/>
      <c r="U3" s="91"/>
      <c r="V3" s="91"/>
      <c r="W3" s="91"/>
      <c r="X3" s="91"/>
      <c r="Y3" s="91"/>
    </row>
    <row r="4" spans="1:25" ht="22.5" customHeight="1">
      <c r="A4" s="91"/>
      <c r="B4" s="98"/>
      <c r="C4" s="98"/>
      <c r="D4" s="98"/>
      <c r="E4" s="98"/>
      <c r="F4" s="91"/>
      <c r="G4" s="131"/>
      <c r="H4" s="91"/>
      <c r="I4" s="91"/>
      <c r="J4" s="91"/>
      <c r="K4" s="91"/>
      <c r="L4" s="91"/>
      <c r="M4" s="91"/>
      <c r="N4" s="91"/>
      <c r="O4" s="91"/>
      <c r="P4" s="91"/>
      <c r="Q4" s="91"/>
      <c r="R4" s="91"/>
      <c r="S4" s="91"/>
      <c r="T4" s="91"/>
      <c r="U4" s="91"/>
      <c r="V4" s="91"/>
      <c r="W4" s="91"/>
      <c r="X4" s="91"/>
      <c r="Y4" s="91"/>
    </row>
    <row r="5" spans="1:25" ht="22.5" customHeight="1">
      <c r="A5" s="91"/>
      <c r="B5" s="10" t="s">
        <v>2</v>
      </c>
      <c r="C5" s="9"/>
      <c r="D5" s="9"/>
      <c r="E5" s="9"/>
      <c r="F5" s="9"/>
      <c r="G5" s="9"/>
      <c r="H5" s="9"/>
      <c r="I5" s="9"/>
      <c r="J5" s="9"/>
      <c r="K5" s="9"/>
      <c r="L5" s="9"/>
      <c r="M5" s="8"/>
      <c r="N5" s="91"/>
      <c r="O5" s="91"/>
      <c r="P5" s="91"/>
      <c r="Q5" s="91"/>
      <c r="R5" s="91"/>
      <c r="S5" s="91"/>
      <c r="T5" s="91"/>
      <c r="U5" s="91"/>
      <c r="V5" s="91"/>
      <c r="W5" s="91"/>
      <c r="X5" s="91"/>
      <c r="Y5" s="91"/>
    </row>
    <row r="6" spans="1:25" ht="45" customHeight="1">
      <c r="A6" s="91"/>
      <c r="B6" s="7"/>
      <c r="C6" s="6"/>
      <c r="D6" s="6"/>
      <c r="E6" s="6"/>
      <c r="F6" s="6"/>
      <c r="G6" s="6"/>
      <c r="H6" s="6"/>
      <c r="I6" s="6"/>
      <c r="J6" s="6"/>
      <c r="K6" s="6"/>
      <c r="L6" s="6"/>
      <c r="M6" s="5"/>
      <c r="N6" s="91"/>
      <c r="O6" s="91"/>
      <c r="P6" s="91"/>
      <c r="Q6" s="91"/>
      <c r="R6" s="91"/>
      <c r="S6" s="91"/>
      <c r="T6" s="91"/>
      <c r="U6" s="91"/>
      <c r="V6" s="91"/>
      <c r="W6" s="91"/>
      <c r="X6" s="91"/>
      <c r="Y6" s="91"/>
    </row>
    <row r="7" spans="1:25" ht="22.5" customHeight="1">
      <c r="A7" s="91"/>
      <c r="B7" s="179"/>
      <c r="C7" s="98"/>
      <c r="D7" s="98"/>
      <c r="E7" s="98"/>
      <c r="F7" s="91"/>
      <c r="G7" s="131"/>
      <c r="H7" s="91"/>
      <c r="I7" s="91"/>
      <c r="J7" s="91"/>
      <c r="K7" s="91"/>
      <c r="L7" s="91"/>
      <c r="M7" s="91"/>
      <c r="N7" s="91"/>
      <c r="O7" s="91"/>
      <c r="P7" s="91"/>
      <c r="Q7" s="91"/>
      <c r="R7" s="91"/>
      <c r="S7" s="91"/>
      <c r="T7" s="91"/>
      <c r="U7" s="91"/>
      <c r="V7" s="91"/>
      <c r="W7" s="91"/>
      <c r="X7" s="91"/>
      <c r="Y7" s="91"/>
    </row>
    <row r="8" spans="1:25" ht="7.4" customHeight="1">
      <c r="A8" s="91"/>
      <c r="B8" s="4" t="s">
        <v>3</v>
      </c>
      <c r="C8" s="4"/>
      <c r="D8" s="4"/>
      <c r="E8" s="4"/>
      <c r="F8" s="4"/>
      <c r="G8" s="4"/>
      <c r="H8" s="4"/>
      <c r="I8" s="4"/>
      <c r="J8" s="4"/>
      <c r="K8" s="4"/>
      <c r="L8" s="4"/>
      <c r="M8" s="4"/>
      <c r="N8" s="91"/>
      <c r="O8" s="91"/>
      <c r="P8" s="91"/>
      <c r="Q8" s="91"/>
      <c r="R8" s="91"/>
      <c r="S8" s="91"/>
      <c r="T8" s="91"/>
      <c r="U8" s="91"/>
      <c r="V8" s="91"/>
      <c r="W8" s="91"/>
      <c r="X8" s="91"/>
      <c r="Y8" s="91"/>
    </row>
    <row r="9" spans="1:25" ht="15.75" customHeight="1">
      <c r="A9" s="91"/>
      <c r="B9" s="4"/>
      <c r="C9" s="4"/>
      <c r="D9" s="4"/>
      <c r="E9" s="4"/>
      <c r="F9" s="4"/>
      <c r="G9" s="4"/>
      <c r="H9" s="4"/>
      <c r="I9" s="4"/>
      <c r="J9" s="4"/>
      <c r="K9" s="4"/>
      <c r="L9" s="4"/>
      <c r="M9" s="4"/>
      <c r="N9" s="91"/>
      <c r="O9" s="91"/>
      <c r="P9" s="91"/>
      <c r="Q9" s="91"/>
      <c r="R9" s="91"/>
      <c r="S9" s="91"/>
      <c r="T9" s="91"/>
      <c r="U9" s="91"/>
      <c r="V9" s="91"/>
      <c r="W9" s="91"/>
      <c r="X9" s="91"/>
      <c r="Y9" s="91"/>
    </row>
    <row r="10" spans="1:25" ht="10.5" customHeight="1">
      <c r="A10" s="91"/>
      <c r="B10" s="4"/>
      <c r="C10" s="4"/>
      <c r="D10" s="4"/>
      <c r="E10" s="4"/>
      <c r="F10" s="4"/>
      <c r="G10" s="4"/>
      <c r="H10" s="4"/>
      <c r="I10" s="4"/>
      <c r="J10" s="4"/>
      <c r="K10" s="4"/>
      <c r="L10" s="4"/>
      <c r="M10" s="4"/>
      <c r="N10" s="91"/>
      <c r="O10" s="91"/>
      <c r="P10" s="91"/>
      <c r="Q10" s="91"/>
      <c r="R10" s="91"/>
      <c r="S10" s="91"/>
      <c r="T10" s="91"/>
      <c r="U10" s="91"/>
      <c r="V10" s="91"/>
      <c r="W10" s="91"/>
      <c r="X10" s="91"/>
      <c r="Y10" s="91"/>
    </row>
    <row r="11" spans="1:25" ht="22.5" customHeight="1">
      <c r="A11" s="91"/>
      <c r="B11" s="4"/>
      <c r="C11" s="4"/>
      <c r="D11" s="4"/>
      <c r="E11" s="4"/>
      <c r="F11" s="4"/>
      <c r="G11" s="4"/>
      <c r="H11" s="4"/>
      <c r="I11" s="4"/>
      <c r="J11" s="4"/>
      <c r="K11" s="4"/>
      <c r="L11" s="4"/>
      <c r="M11" s="4"/>
      <c r="N11" s="91"/>
      <c r="O11" s="91"/>
      <c r="P11" s="91"/>
      <c r="Q11" s="91"/>
      <c r="R11" s="91"/>
      <c r="S11" s="91"/>
      <c r="T11" s="91"/>
      <c r="U11" s="91"/>
      <c r="V11" s="91"/>
      <c r="W11" s="91"/>
      <c r="X11" s="91"/>
      <c r="Y11" s="91"/>
    </row>
    <row r="12" spans="1:25" ht="22.5" customHeight="1">
      <c r="A12" s="91"/>
      <c r="B12" s="4"/>
      <c r="C12" s="4"/>
      <c r="D12" s="4"/>
      <c r="E12" s="4"/>
      <c r="F12" s="4"/>
      <c r="G12" s="4"/>
      <c r="H12" s="4"/>
      <c r="I12" s="4"/>
      <c r="J12" s="4"/>
      <c r="K12" s="4"/>
      <c r="L12" s="4"/>
      <c r="M12" s="4"/>
      <c r="N12" s="91"/>
      <c r="O12" s="91"/>
      <c r="P12" s="91"/>
      <c r="Q12" s="91"/>
      <c r="R12" s="91"/>
      <c r="S12" s="91"/>
      <c r="T12" s="91"/>
      <c r="U12" s="91"/>
      <c r="V12" s="91"/>
      <c r="W12" s="91"/>
      <c r="X12" s="91"/>
      <c r="Y12" s="91"/>
    </row>
    <row r="13" spans="1:25" ht="22.5" customHeight="1">
      <c r="A13" s="91"/>
      <c r="B13" s="4"/>
      <c r="C13" s="4"/>
      <c r="D13" s="4"/>
      <c r="E13" s="4"/>
      <c r="F13" s="4"/>
      <c r="G13" s="4"/>
      <c r="H13" s="4"/>
      <c r="I13" s="4"/>
      <c r="J13" s="4"/>
      <c r="K13" s="4"/>
      <c r="L13" s="4"/>
      <c r="M13" s="4"/>
      <c r="N13" s="91"/>
      <c r="O13" s="91"/>
      <c r="P13" s="91"/>
      <c r="Q13" s="91"/>
      <c r="R13" s="91"/>
      <c r="S13" s="91"/>
      <c r="T13" s="91"/>
      <c r="U13" s="91"/>
      <c r="V13" s="91"/>
      <c r="W13" s="91"/>
      <c r="X13" s="91"/>
      <c r="Y13" s="91"/>
    </row>
    <row r="14" spans="1:25" ht="27.75" customHeight="1">
      <c r="A14" s="91"/>
      <c r="B14" s="4"/>
      <c r="C14" s="4"/>
      <c r="D14" s="4"/>
      <c r="E14" s="4"/>
      <c r="F14" s="4"/>
      <c r="G14" s="4"/>
      <c r="H14" s="4"/>
      <c r="I14" s="4"/>
      <c r="J14" s="4"/>
      <c r="K14" s="4"/>
      <c r="L14" s="4"/>
      <c r="M14" s="4"/>
      <c r="N14" s="91"/>
      <c r="O14" s="91"/>
      <c r="P14" s="91"/>
      <c r="Q14" s="91"/>
      <c r="R14" s="91"/>
      <c r="S14" s="91"/>
      <c r="T14" s="91"/>
      <c r="U14" s="91"/>
      <c r="V14" s="91"/>
      <c r="W14" s="91"/>
      <c r="X14" s="91"/>
      <c r="Y14" s="91"/>
    </row>
    <row r="15" spans="1:25" ht="17.899999999999999" customHeight="1">
      <c r="A15" s="91"/>
      <c r="B15" s="4"/>
      <c r="C15" s="4"/>
      <c r="D15" s="4"/>
      <c r="E15" s="4"/>
      <c r="F15" s="4"/>
      <c r="G15" s="4"/>
      <c r="H15" s="4"/>
      <c r="I15" s="4"/>
      <c r="J15" s="4"/>
      <c r="K15" s="4"/>
      <c r="L15" s="4"/>
      <c r="M15" s="4"/>
      <c r="N15" s="91"/>
      <c r="O15" s="91"/>
      <c r="P15" s="91"/>
      <c r="Q15" s="91"/>
      <c r="R15" s="91"/>
      <c r="S15" s="91"/>
      <c r="T15" s="91"/>
      <c r="U15" s="91"/>
      <c r="V15" s="91"/>
      <c r="W15" s="91"/>
      <c r="X15" s="91"/>
      <c r="Y15" s="91"/>
    </row>
    <row r="16" spans="1:25" ht="7.5" customHeight="1">
      <c r="A16" s="91"/>
      <c r="B16" s="4"/>
      <c r="C16" s="4"/>
      <c r="D16" s="4"/>
      <c r="E16" s="4"/>
      <c r="F16" s="4"/>
      <c r="G16" s="4"/>
      <c r="H16" s="4"/>
      <c r="I16" s="4"/>
      <c r="J16" s="4"/>
      <c r="K16" s="4"/>
      <c r="L16" s="4"/>
      <c r="M16" s="4"/>
      <c r="N16" s="91"/>
      <c r="O16" s="195"/>
      <c r="P16" s="91"/>
      <c r="Q16" s="91"/>
      <c r="R16" s="91"/>
      <c r="S16" s="91"/>
      <c r="T16" s="91"/>
      <c r="U16" s="91"/>
      <c r="V16" s="91"/>
      <c r="W16" s="91"/>
      <c r="X16" s="91"/>
      <c r="Y16" s="91"/>
    </row>
    <row r="17" spans="1:25" ht="22.5" customHeight="1">
      <c r="A17" s="91"/>
      <c r="B17" s="123"/>
      <c r="C17" s="123"/>
      <c r="D17" s="123"/>
      <c r="E17" s="123"/>
      <c r="F17" s="123"/>
      <c r="G17" s="123"/>
      <c r="H17" s="123"/>
      <c r="I17" s="123"/>
      <c r="J17" s="123"/>
      <c r="K17" s="123"/>
      <c r="L17" s="123"/>
      <c r="M17" s="123"/>
      <c r="N17" s="91"/>
      <c r="O17" s="91"/>
      <c r="P17" s="91"/>
      <c r="Q17" s="91"/>
      <c r="R17" s="91"/>
      <c r="S17" s="91"/>
      <c r="T17" s="91"/>
      <c r="U17" s="91"/>
      <c r="V17" s="91"/>
      <c r="W17" s="91"/>
      <c r="X17" s="91"/>
      <c r="Y17" s="91"/>
    </row>
    <row r="18" spans="1:25" ht="22.5" customHeight="1">
      <c r="A18" s="91"/>
      <c r="B18" s="280" t="s">
        <v>298</v>
      </c>
      <c r="C18" s="123"/>
      <c r="D18" s="278"/>
      <c r="E18" s="278"/>
      <c r="F18" s="278"/>
      <c r="G18" s="278"/>
      <c r="H18" s="278"/>
      <c r="I18" s="278"/>
      <c r="J18" s="278"/>
      <c r="K18" s="278"/>
      <c r="L18" s="278"/>
      <c r="M18" s="278"/>
      <c r="N18" s="91"/>
      <c r="O18" s="91"/>
      <c r="P18" s="91"/>
      <c r="Q18" s="91"/>
      <c r="R18" s="91"/>
      <c r="S18" s="91"/>
      <c r="T18" s="91"/>
      <c r="U18" s="91"/>
      <c r="V18" s="91"/>
      <c r="W18" s="91"/>
      <c r="X18" s="91"/>
      <c r="Y18" s="91"/>
    </row>
    <row r="19" spans="1:25" ht="19.5" customHeight="1">
      <c r="A19" s="91"/>
      <c r="B19" s="281" t="s">
        <v>304</v>
      </c>
      <c r="C19" s="123"/>
      <c r="D19" s="123"/>
      <c r="E19" s="123"/>
      <c r="F19" s="123"/>
      <c r="G19" s="123"/>
      <c r="H19" s="123"/>
      <c r="I19" s="123"/>
      <c r="J19" s="123"/>
      <c r="K19" s="123"/>
      <c r="L19" s="123"/>
      <c r="M19" s="123"/>
      <c r="N19" s="91"/>
      <c r="O19" s="91"/>
      <c r="P19" s="196"/>
      <c r="Q19" s="91"/>
      <c r="R19" s="91"/>
      <c r="S19" s="91"/>
      <c r="T19" s="91"/>
      <c r="U19" s="91"/>
      <c r="V19" s="91"/>
      <c r="W19" s="91"/>
      <c r="X19" s="91"/>
      <c r="Y19" s="91"/>
    </row>
    <row r="20" spans="1:25" s="36" customFormat="1" ht="66.75" customHeight="1">
      <c r="A20" s="180"/>
      <c r="B20" s="35" t="s">
        <v>4</v>
      </c>
      <c r="C20" s="35" t="s">
        <v>5</v>
      </c>
      <c r="D20" s="35" t="s">
        <v>6</v>
      </c>
      <c r="E20" s="35" t="s">
        <v>7</v>
      </c>
      <c r="F20" s="35" t="s">
        <v>8</v>
      </c>
      <c r="G20" s="77" t="s">
        <v>9</v>
      </c>
      <c r="H20" s="41" t="s">
        <v>10</v>
      </c>
      <c r="I20" s="35" t="s">
        <v>11</v>
      </c>
      <c r="J20" s="35" t="s">
        <v>12</v>
      </c>
      <c r="K20" s="35" t="s">
        <v>13</v>
      </c>
      <c r="L20" s="35" t="s">
        <v>14</v>
      </c>
      <c r="M20" s="35" t="s">
        <v>15</v>
      </c>
      <c r="N20" s="196"/>
      <c r="O20" s="197"/>
      <c r="P20" s="197"/>
      <c r="Q20" s="180"/>
      <c r="R20" s="180"/>
      <c r="S20" s="180"/>
      <c r="T20" s="180"/>
      <c r="U20" s="180"/>
      <c r="V20" s="180"/>
      <c r="W20" s="180"/>
      <c r="X20" s="180"/>
      <c r="Y20" s="180"/>
    </row>
    <row r="21" spans="1:25" ht="20.149999999999999" customHeight="1">
      <c r="A21" s="91"/>
      <c r="B21" s="32" t="s">
        <v>16</v>
      </c>
      <c r="C21" s="285"/>
      <c r="D21" s="285"/>
      <c r="E21" s="285"/>
      <c r="F21" s="285"/>
      <c r="G21" s="286"/>
      <c r="H21" s="33"/>
      <c r="I21" s="33"/>
      <c r="J21" s="33"/>
      <c r="K21" s="33"/>
      <c r="L21" s="33"/>
      <c r="M21" s="34"/>
      <c r="N21" s="91"/>
      <c r="O21" s="91"/>
      <c r="P21" s="91"/>
      <c r="Q21" s="91"/>
      <c r="R21" s="91"/>
      <c r="S21" s="91"/>
      <c r="T21" s="91"/>
      <c r="U21" s="91"/>
      <c r="V21" s="91"/>
      <c r="W21" s="91"/>
      <c r="X21" s="91"/>
      <c r="Y21" s="91"/>
    </row>
    <row r="22" spans="1:25" ht="14.5">
      <c r="A22" s="91"/>
      <c r="B22" s="15" t="s">
        <v>17</v>
      </c>
      <c r="C22" s="244">
        <f t="shared" ref="C22:D24" si="0">C37+C52</f>
        <v>111708.76785672799</v>
      </c>
      <c r="D22" s="244">
        <f t="shared" si="0"/>
        <v>291048.78625153995</v>
      </c>
      <c r="E22" s="244">
        <f t="shared" ref="E22:E35" si="1">D22</f>
        <v>291048.78625153995</v>
      </c>
      <c r="F22" s="245">
        <f>F37+F52</f>
        <v>287923.48300000001</v>
      </c>
      <c r="G22" s="111">
        <f t="shared" ref="G22:G64" si="2">IF(AND(ISNUMBER(F22)=TRUE,F22&lt;&gt;0),C22/F22,"N/A")</f>
        <v>0.38798074645661323</v>
      </c>
      <c r="H22" s="260">
        <f t="shared" ref="H22:L24" si="3">H37+H52</f>
        <v>28878292.209999997</v>
      </c>
      <c r="I22" s="261">
        <f t="shared" si="3"/>
        <v>18482107.014400002</v>
      </c>
      <c r="J22" s="261">
        <f t="shared" si="3"/>
        <v>10396185.195599999</v>
      </c>
      <c r="K22" s="261">
        <f t="shared" si="3"/>
        <v>87909861.599999994</v>
      </c>
      <c r="L22" s="261">
        <f t="shared" si="3"/>
        <v>54401868.96956642</v>
      </c>
      <c r="M22" s="113">
        <f t="shared" ref="M22:M35" si="4">IF(L22=0,"N/A",H22/L22)</f>
        <v>0.53083272242273771</v>
      </c>
      <c r="N22" s="198"/>
      <c r="O22" s="198"/>
      <c r="P22" s="198"/>
      <c r="Q22" s="91"/>
      <c r="R22" s="91"/>
      <c r="S22" s="91"/>
      <c r="T22" s="91"/>
      <c r="U22" s="91"/>
      <c r="V22" s="91"/>
      <c r="W22" s="91"/>
      <c r="X22" s="91"/>
      <c r="Y22" s="91"/>
    </row>
    <row r="23" spans="1:25" ht="14.5">
      <c r="A23" s="91"/>
      <c r="B23" s="233" t="s">
        <v>18</v>
      </c>
      <c r="C23" s="244">
        <f t="shared" si="0"/>
        <v>98793.275429247995</v>
      </c>
      <c r="D23" s="244">
        <f t="shared" si="0"/>
        <v>256819.17133951958</v>
      </c>
      <c r="E23" s="244">
        <f t="shared" si="1"/>
        <v>256819.17133951958</v>
      </c>
      <c r="F23" s="245">
        <f>F38+F53</f>
        <v>257241</v>
      </c>
      <c r="G23" s="111">
        <f t="shared" si="2"/>
        <v>0.38404949222420998</v>
      </c>
      <c r="H23" s="260">
        <f t="shared" si="3"/>
        <v>25800046.899999999</v>
      </c>
      <c r="I23" s="261">
        <f t="shared" si="3"/>
        <v>16512030.016000001</v>
      </c>
      <c r="J23" s="261">
        <f t="shared" si="3"/>
        <v>9288016.8839999996</v>
      </c>
      <c r="K23" s="261">
        <f t="shared" si="3"/>
        <v>79683672</v>
      </c>
      <c r="L23" s="261">
        <f t="shared" si="3"/>
        <v>48307907.890000001</v>
      </c>
      <c r="M23" s="112">
        <f t="shared" si="4"/>
        <v>0.53407502056905987</v>
      </c>
      <c r="N23" s="198"/>
      <c r="O23" s="198"/>
      <c r="P23" s="198"/>
      <c r="Q23" s="91"/>
      <c r="R23" s="91"/>
      <c r="S23" s="91"/>
      <c r="T23" s="91"/>
      <c r="U23" s="91"/>
      <c r="V23" s="91"/>
      <c r="W23" s="91"/>
      <c r="X23" s="91"/>
      <c r="Y23" s="91"/>
    </row>
    <row r="24" spans="1:25" ht="14.5">
      <c r="A24" s="91"/>
      <c r="B24" s="233" t="s">
        <v>19</v>
      </c>
      <c r="C24" s="244">
        <f t="shared" si="0"/>
        <v>4779.3454394799992</v>
      </c>
      <c r="D24" s="244">
        <f t="shared" si="0"/>
        <v>22596.483</v>
      </c>
      <c r="E24" s="244">
        <f t="shared" si="1"/>
        <v>22596.483</v>
      </c>
      <c r="F24" s="245">
        <f>F39+F54</f>
        <v>22596.483</v>
      </c>
      <c r="G24" s="111">
        <f t="shared" si="2"/>
        <v>0.21150837674517753</v>
      </c>
      <c r="H24" s="260">
        <f t="shared" si="3"/>
        <v>3078245.3099999996</v>
      </c>
      <c r="I24" s="261">
        <f t="shared" si="3"/>
        <v>1970076.9983999999</v>
      </c>
      <c r="J24" s="261">
        <f t="shared" si="3"/>
        <v>1108168.3115999999</v>
      </c>
      <c r="K24" s="261">
        <f t="shared" si="3"/>
        <v>8226189.5999999996</v>
      </c>
      <c r="L24" s="261">
        <f t="shared" si="3"/>
        <v>6093961.0795664117</v>
      </c>
      <c r="M24" s="112">
        <f t="shared" si="4"/>
        <v>0.50513045124650158</v>
      </c>
      <c r="N24" s="198"/>
      <c r="O24" s="198"/>
      <c r="P24" s="198"/>
      <c r="Q24" s="91"/>
      <c r="R24" s="91"/>
      <c r="S24" s="91"/>
      <c r="T24" s="91"/>
      <c r="U24" s="91"/>
      <c r="V24" s="91"/>
      <c r="W24" s="91"/>
      <c r="X24" s="91"/>
      <c r="Y24" s="91"/>
    </row>
    <row r="25" spans="1:25" ht="14.5">
      <c r="A25" s="91"/>
      <c r="B25" s="233" t="s">
        <v>20</v>
      </c>
      <c r="C25" s="244">
        <f>C40</f>
        <v>8136.1469880000004</v>
      </c>
      <c r="D25" s="244">
        <f>D40</f>
        <v>11633.131912020401</v>
      </c>
      <c r="E25" s="244">
        <f t="shared" si="1"/>
        <v>11633.131912020401</v>
      </c>
      <c r="F25" s="245">
        <f>F40</f>
        <v>8086</v>
      </c>
      <c r="G25" s="111">
        <f t="shared" si="2"/>
        <v>1.0062017051694288</v>
      </c>
      <c r="H25" s="260">
        <f>H40</f>
        <v>0</v>
      </c>
      <c r="I25" s="261">
        <f>I40</f>
        <v>0</v>
      </c>
      <c r="J25" s="261">
        <f>J40</f>
        <v>0</v>
      </c>
      <c r="K25" s="261">
        <f>K40</f>
        <v>0</v>
      </c>
      <c r="L25" s="261">
        <f>L40</f>
        <v>0</v>
      </c>
      <c r="M25" s="112" t="str">
        <f t="shared" si="4"/>
        <v>N/A</v>
      </c>
      <c r="N25" s="198"/>
      <c r="O25" s="131"/>
      <c r="P25" s="131"/>
      <c r="Q25" s="91"/>
      <c r="R25" s="91"/>
      <c r="S25" s="91"/>
      <c r="T25" s="91"/>
      <c r="U25" s="91"/>
      <c r="V25" s="91"/>
      <c r="W25" s="91"/>
      <c r="X25" s="91"/>
      <c r="Y25" s="91"/>
    </row>
    <row r="26" spans="1:25" ht="14.5">
      <c r="A26" s="91"/>
      <c r="B26" s="15" t="s">
        <v>21</v>
      </c>
      <c r="C26" s="244">
        <f>C41+C55</f>
        <v>143046.11870540769</v>
      </c>
      <c r="D26" s="244">
        <f>D41+D55</f>
        <v>264235.87856101408</v>
      </c>
      <c r="E26" s="244">
        <f t="shared" si="1"/>
        <v>264235.87856101408</v>
      </c>
      <c r="F26" s="245">
        <f>F41+F55</f>
        <v>263680</v>
      </c>
      <c r="G26" s="111">
        <f t="shared" si="2"/>
        <v>0.5424989331970862</v>
      </c>
      <c r="H26" s="260">
        <f t="shared" ref="H26:L27" si="5">H41+H55</f>
        <v>44792631.469999999</v>
      </c>
      <c r="I26" s="261">
        <f t="shared" si="5"/>
        <v>28667284.140799999</v>
      </c>
      <c r="J26" s="261">
        <f t="shared" si="5"/>
        <v>16125347.329200001</v>
      </c>
      <c r="K26" s="261">
        <f t="shared" si="5"/>
        <v>89514260.279999986</v>
      </c>
      <c r="L26" s="261">
        <f t="shared" si="5"/>
        <v>85667506.940000013</v>
      </c>
      <c r="M26" s="113">
        <f t="shared" si="4"/>
        <v>0.52286605587077439</v>
      </c>
      <c r="N26" s="198"/>
      <c r="O26" s="198"/>
      <c r="P26" s="198"/>
      <c r="Q26" s="91"/>
      <c r="R26" s="91"/>
      <c r="S26" s="91"/>
      <c r="T26" s="91"/>
      <c r="U26" s="91"/>
      <c r="V26" s="91"/>
      <c r="W26" s="91"/>
      <c r="X26" s="91"/>
      <c r="Y26" s="91"/>
    </row>
    <row r="27" spans="1:25" ht="14.5">
      <c r="A27" s="91"/>
      <c r="B27" s="15" t="s">
        <v>22</v>
      </c>
      <c r="C27" s="244">
        <f>C42+C56</f>
        <v>101337.87802537036</v>
      </c>
      <c r="D27" s="244">
        <f>D42+D56</f>
        <v>192926.14271525704</v>
      </c>
      <c r="E27" s="244">
        <f t="shared" si="1"/>
        <v>192926.14271525704</v>
      </c>
      <c r="F27" s="245">
        <f>F42+F56</f>
        <v>192874</v>
      </c>
      <c r="G27" s="111">
        <f t="shared" si="2"/>
        <v>0.52540973913212952</v>
      </c>
      <c r="H27" s="260">
        <f t="shared" si="5"/>
        <v>8067012.7999999998</v>
      </c>
      <c r="I27" s="261">
        <f t="shared" si="5"/>
        <v>5162888.1919999998</v>
      </c>
      <c r="J27" s="261">
        <f t="shared" si="5"/>
        <v>2904124.608</v>
      </c>
      <c r="K27" s="261">
        <f t="shared" si="5"/>
        <v>14872371.815917026</v>
      </c>
      <c r="L27" s="261">
        <f t="shared" si="5"/>
        <v>15341243.606744029</v>
      </c>
      <c r="M27" s="113">
        <f t="shared" si="4"/>
        <v>0.52583825710542342</v>
      </c>
      <c r="N27" s="198"/>
      <c r="O27" s="198"/>
      <c r="P27" s="198"/>
      <c r="Q27" s="91"/>
      <c r="R27" s="91"/>
      <c r="S27" s="91"/>
      <c r="T27" s="91"/>
      <c r="U27" s="91"/>
      <c r="V27" s="91"/>
      <c r="W27" s="91"/>
      <c r="X27" s="91"/>
      <c r="Y27" s="91"/>
    </row>
    <row r="28" spans="1:25" ht="14.5">
      <c r="A28" s="91"/>
      <c r="B28" s="15" t="s">
        <v>23</v>
      </c>
      <c r="C28" s="244">
        <f>C46+C60</f>
        <v>7251.6810640000003</v>
      </c>
      <c r="D28" s="244">
        <f>D46+D60</f>
        <v>10539.013999999999</v>
      </c>
      <c r="E28" s="244">
        <f t="shared" si="1"/>
        <v>10539.013999999999</v>
      </c>
      <c r="F28" s="244">
        <f>F46+F60</f>
        <v>10382</v>
      </c>
      <c r="G28" s="111">
        <f t="shared" si="2"/>
        <v>0.69848594336351377</v>
      </c>
      <c r="H28" s="261">
        <f>H46+H60</f>
        <v>2332431.5533333332</v>
      </c>
      <c r="I28" s="261">
        <f>I46+I60</f>
        <v>1492756.1941333334</v>
      </c>
      <c r="J28" s="261">
        <f>J46+J60</f>
        <v>839675.35919999995</v>
      </c>
      <c r="K28" s="261">
        <f>K46+K60</f>
        <v>3289094</v>
      </c>
      <c r="L28" s="261">
        <f>L46+L60</f>
        <v>3267410.8769516391</v>
      </c>
      <c r="M28" s="113">
        <f t="shared" si="4"/>
        <v>0.71384703092786317</v>
      </c>
      <c r="N28" s="198"/>
      <c r="O28" s="198"/>
      <c r="P28" s="198"/>
      <c r="Q28" s="91"/>
      <c r="R28" s="91"/>
      <c r="S28" s="91"/>
      <c r="T28" s="91"/>
      <c r="U28" s="91"/>
      <c r="V28" s="91"/>
      <c r="W28" s="91"/>
      <c r="X28" s="91"/>
      <c r="Y28" s="91"/>
    </row>
    <row r="29" spans="1:25" ht="14.5">
      <c r="A29" s="91"/>
      <c r="B29" s="15" t="s">
        <v>24</v>
      </c>
      <c r="C29" s="244">
        <f>C43</f>
        <v>26736</v>
      </c>
      <c r="D29" s="244">
        <f>D43+D57</f>
        <v>44050.000001599998</v>
      </c>
      <c r="E29" s="244">
        <f t="shared" si="1"/>
        <v>44050.000001599998</v>
      </c>
      <c r="F29" s="244">
        <f>F43</f>
        <v>45330</v>
      </c>
      <c r="G29" s="111">
        <f t="shared" si="2"/>
        <v>0.58980807412309733</v>
      </c>
      <c r="H29" s="261">
        <f>H43</f>
        <v>6269695.6899999995</v>
      </c>
      <c r="I29" s="261">
        <f>I43</f>
        <v>4012605.2415999998</v>
      </c>
      <c r="J29" s="261">
        <f>J43</f>
        <v>2257090.4483999996</v>
      </c>
      <c r="K29" s="261">
        <f>K43</f>
        <v>11940002</v>
      </c>
      <c r="L29" s="261">
        <f>L43</f>
        <v>11179332.689999999</v>
      </c>
      <c r="M29" s="113">
        <f t="shared" si="4"/>
        <v>0.56082915356909369</v>
      </c>
      <c r="N29" s="91"/>
      <c r="O29" s="198"/>
      <c r="P29" s="198"/>
      <c r="Q29" s="91"/>
      <c r="R29" s="91"/>
      <c r="S29" s="91"/>
      <c r="T29" s="91"/>
      <c r="U29" s="91"/>
      <c r="V29" s="91"/>
      <c r="W29" s="91"/>
      <c r="X29" s="91"/>
      <c r="Y29" s="91"/>
    </row>
    <row r="30" spans="1:25" ht="14.5">
      <c r="A30" s="91"/>
      <c r="B30" s="15" t="s">
        <v>25</v>
      </c>
      <c r="C30" s="244">
        <f>C44+C58</f>
        <v>23869</v>
      </c>
      <c r="D30" s="244">
        <f>D44+D58</f>
        <v>47932.999000000003</v>
      </c>
      <c r="E30" s="244">
        <f t="shared" si="1"/>
        <v>47932.999000000003</v>
      </c>
      <c r="F30" s="244">
        <f>F44+F58</f>
        <v>49652.016999999993</v>
      </c>
      <c r="G30" s="111">
        <f t="shared" si="2"/>
        <v>0.48072568733713283</v>
      </c>
      <c r="H30" s="261">
        <f t="shared" ref="H30:L31" si="6">H44+H58</f>
        <v>7792461.6699999999</v>
      </c>
      <c r="I30" s="261">
        <f t="shared" si="6"/>
        <v>4987175.4687999999</v>
      </c>
      <c r="J30" s="261">
        <f t="shared" si="6"/>
        <v>2805286.2012</v>
      </c>
      <c r="K30" s="261">
        <f t="shared" si="6"/>
        <v>12904401</v>
      </c>
      <c r="L30" s="261">
        <f t="shared" si="6"/>
        <v>14164001.178165805</v>
      </c>
      <c r="M30" s="113">
        <f t="shared" si="4"/>
        <v>0.55015963158858616</v>
      </c>
      <c r="N30" s="198"/>
      <c r="O30" s="198"/>
      <c r="P30" s="198"/>
      <c r="Q30" s="91"/>
      <c r="R30" s="91"/>
      <c r="S30" s="91"/>
      <c r="T30" s="91"/>
      <c r="U30" s="91"/>
      <c r="V30" s="91"/>
      <c r="W30" s="91"/>
      <c r="X30" s="91"/>
      <c r="Y30" s="91"/>
    </row>
    <row r="31" spans="1:25" ht="14.5">
      <c r="A31" s="91"/>
      <c r="B31" s="15" t="s">
        <v>26</v>
      </c>
      <c r="C31" s="244">
        <f>C45+C59</f>
        <v>2086.817</v>
      </c>
      <c r="D31" s="244">
        <f>D45+D59</f>
        <v>38895</v>
      </c>
      <c r="E31" s="244">
        <f t="shared" si="1"/>
        <v>38895</v>
      </c>
      <c r="F31" s="244">
        <f>F45+F59</f>
        <v>38895</v>
      </c>
      <c r="G31" s="111">
        <f t="shared" si="2"/>
        <v>5.3652577452114665E-2</v>
      </c>
      <c r="H31" s="261">
        <f t="shared" si="6"/>
        <v>3585568.3</v>
      </c>
      <c r="I31" s="261">
        <f t="shared" si="6"/>
        <v>0</v>
      </c>
      <c r="J31" s="261">
        <f t="shared" si="6"/>
        <v>3585568.3</v>
      </c>
      <c r="K31" s="261">
        <f t="shared" si="6"/>
        <v>5345573.9000000004</v>
      </c>
      <c r="L31" s="261">
        <f t="shared" si="6"/>
        <v>6059048.8200000003</v>
      </c>
      <c r="M31" s="113">
        <f t="shared" si="4"/>
        <v>0.59177082187629571</v>
      </c>
      <c r="N31" s="198"/>
      <c r="O31" s="198"/>
      <c r="P31" s="198"/>
      <c r="Q31" s="91"/>
      <c r="R31" s="91"/>
      <c r="S31" s="91"/>
      <c r="T31" s="91"/>
      <c r="U31" s="91"/>
      <c r="V31" s="91"/>
      <c r="W31" s="91"/>
      <c r="X31" s="91"/>
      <c r="Y31" s="91"/>
    </row>
    <row r="32" spans="1:25" ht="14.5">
      <c r="A32" s="91"/>
      <c r="B32" s="15" t="s">
        <v>27</v>
      </c>
      <c r="C32" s="244">
        <f>C47+C61</f>
        <v>592.79059999999993</v>
      </c>
      <c r="D32" s="244">
        <f>D47+D61</f>
        <v>4051.0007999999998</v>
      </c>
      <c r="E32" s="244">
        <f t="shared" si="1"/>
        <v>4051.0007999999998</v>
      </c>
      <c r="F32" s="244">
        <f>F47+F61</f>
        <v>3729</v>
      </c>
      <c r="G32" s="111">
        <f t="shared" si="2"/>
        <v>0.15896771252346473</v>
      </c>
      <c r="H32" s="261">
        <f t="shared" ref="H32:L33" si="7">H47+H61</f>
        <v>582179.88</v>
      </c>
      <c r="I32" s="261">
        <f t="shared" si="7"/>
        <v>0</v>
      </c>
      <c r="J32" s="261">
        <f t="shared" si="7"/>
        <v>582179.88</v>
      </c>
      <c r="K32" s="261">
        <f t="shared" si="7"/>
        <v>1515257</v>
      </c>
      <c r="L32" s="261">
        <f t="shared" si="7"/>
        <v>835387.88</v>
      </c>
      <c r="M32" s="113">
        <f t="shared" si="4"/>
        <v>0.69689768542009489</v>
      </c>
      <c r="N32" s="198"/>
      <c r="O32" s="198"/>
      <c r="P32" s="198"/>
      <c r="Q32" s="91"/>
      <c r="R32" s="91"/>
      <c r="S32" s="91"/>
      <c r="T32" s="91"/>
      <c r="U32" s="91"/>
      <c r="V32" s="91"/>
      <c r="W32" s="91"/>
      <c r="X32" s="91"/>
      <c r="Y32" s="91"/>
    </row>
    <row r="33" spans="1:25" ht="14.5">
      <c r="A33" s="91"/>
      <c r="B33" s="15" t="s">
        <v>28</v>
      </c>
      <c r="C33" s="109" t="s">
        <v>29</v>
      </c>
      <c r="D33" s="109" t="s">
        <v>29</v>
      </c>
      <c r="E33" s="109" t="str">
        <f t="shared" si="1"/>
        <v>N/A</v>
      </c>
      <c r="F33" s="109" t="s">
        <v>29</v>
      </c>
      <c r="G33" s="109" t="str">
        <f t="shared" si="2"/>
        <v>N/A</v>
      </c>
      <c r="H33" s="261">
        <f t="shared" si="7"/>
        <v>3323226.8499999996</v>
      </c>
      <c r="I33" s="261">
        <f t="shared" si="7"/>
        <v>0</v>
      </c>
      <c r="J33" s="261">
        <f t="shared" si="7"/>
        <v>3323226.8499999996</v>
      </c>
      <c r="K33" s="261">
        <f t="shared" si="7"/>
        <v>6466000.2000000002</v>
      </c>
      <c r="L33" s="261">
        <f t="shared" si="7"/>
        <v>13590918.949999999</v>
      </c>
      <c r="M33" s="113">
        <f t="shared" si="4"/>
        <v>0.24451818616724219</v>
      </c>
      <c r="N33" s="198"/>
      <c r="O33" s="198"/>
      <c r="P33" s="198"/>
      <c r="Q33" s="91"/>
      <c r="R33" s="91"/>
      <c r="S33" s="91"/>
      <c r="T33" s="91"/>
      <c r="U33" s="91"/>
      <c r="V33" s="91"/>
      <c r="W33" s="91"/>
      <c r="X33" s="91"/>
      <c r="Y33" s="91"/>
    </row>
    <row r="34" spans="1:25" ht="14.5">
      <c r="A34" s="91"/>
      <c r="B34" s="15" t="s">
        <v>30</v>
      </c>
      <c r="C34" s="109" t="s">
        <v>29</v>
      </c>
      <c r="D34" s="109" t="s">
        <v>29</v>
      </c>
      <c r="E34" s="109" t="str">
        <f t="shared" si="1"/>
        <v>N/A</v>
      </c>
      <c r="F34" s="109" t="s">
        <v>29</v>
      </c>
      <c r="G34" s="109" t="str">
        <f t="shared" si="2"/>
        <v>N/A</v>
      </c>
      <c r="H34" s="261">
        <f>H49</f>
        <v>71581.850000000006</v>
      </c>
      <c r="I34" s="261">
        <f>I49</f>
        <v>0</v>
      </c>
      <c r="J34" s="261">
        <f>J49</f>
        <v>71581.850000000006</v>
      </c>
      <c r="K34" s="261">
        <f>K49</f>
        <v>250000</v>
      </c>
      <c r="L34" s="261">
        <f>L49</f>
        <v>150142.85</v>
      </c>
      <c r="M34" s="113">
        <f t="shared" si="4"/>
        <v>0.47675830051181262</v>
      </c>
      <c r="N34" s="198"/>
      <c r="O34" s="198"/>
      <c r="P34" s="198"/>
      <c r="Q34" s="91"/>
      <c r="R34" s="91"/>
      <c r="S34" s="91"/>
      <c r="T34" s="91"/>
      <c r="U34" s="91"/>
      <c r="V34" s="91"/>
      <c r="W34" s="91"/>
      <c r="X34" s="91"/>
      <c r="Y34" s="91"/>
    </row>
    <row r="35" spans="1:25" ht="14.5">
      <c r="A35" s="91"/>
      <c r="B35" s="15" t="s">
        <v>31</v>
      </c>
      <c r="C35" s="109" t="str">
        <f>IF(AND(C50&lt;&gt;"N/A",C63&lt;&gt;"N/A"),C50+C63,"N/A")</f>
        <v>N/A</v>
      </c>
      <c r="D35" s="109">
        <f>D50+D63</f>
        <v>1532.67925092102</v>
      </c>
      <c r="E35" s="109">
        <f t="shared" si="1"/>
        <v>1532.67925092102</v>
      </c>
      <c r="F35" s="109">
        <f>F50+F63</f>
        <v>0</v>
      </c>
      <c r="G35" s="109" t="str">
        <f t="shared" si="2"/>
        <v>N/A</v>
      </c>
      <c r="H35" s="260">
        <f>H50+H63</f>
        <v>0</v>
      </c>
      <c r="I35" s="260">
        <f>I50+I63</f>
        <v>0</v>
      </c>
      <c r="J35" s="260">
        <f>J50+J63</f>
        <v>0</v>
      </c>
      <c r="K35" s="260">
        <f>K50+K63</f>
        <v>0</v>
      </c>
      <c r="L35" s="260">
        <f>L50+L63</f>
        <v>0</v>
      </c>
      <c r="M35" s="113" t="str">
        <f t="shared" si="4"/>
        <v>N/A</v>
      </c>
      <c r="N35" s="198"/>
      <c r="O35" s="198"/>
      <c r="P35" s="198"/>
      <c r="Q35" s="91"/>
      <c r="R35" s="91"/>
      <c r="S35" s="91"/>
      <c r="T35" s="91"/>
      <c r="U35" s="91"/>
      <c r="V35" s="91"/>
      <c r="W35" s="91"/>
      <c r="X35" s="91"/>
      <c r="Y35" s="91"/>
    </row>
    <row r="36" spans="1:25" ht="20.149999999999999" customHeight="1">
      <c r="A36" s="91"/>
      <c r="B36" s="16" t="s">
        <v>32</v>
      </c>
      <c r="C36" s="246">
        <f>SUM(C22,C26:C34)</f>
        <v>416629.05325150606</v>
      </c>
      <c r="D36" s="246">
        <f>SUM(D22,D26:D35)</f>
        <v>895211.50058033201</v>
      </c>
      <c r="E36" s="246">
        <f>SUM(E22,E26:E35)</f>
        <v>895211.50058033201</v>
      </c>
      <c r="F36" s="246">
        <f>SUM(F22,F26:F34)</f>
        <v>892465.5</v>
      </c>
      <c r="G36" s="110">
        <f t="shared" si="2"/>
        <v>0.46682930965007169</v>
      </c>
      <c r="H36" s="262">
        <f>SUM(H22,H26:H34)</f>
        <v>105695082.2733333</v>
      </c>
      <c r="I36" s="262">
        <f>SUM(I22,I26:I34)</f>
        <v>62804816.25173334</v>
      </c>
      <c r="J36" s="262">
        <f>SUM(J22,J26:J34)</f>
        <v>42890266.021600001</v>
      </c>
      <c r="K36" s="262">
        <f>SUM(K22,K26:K34)</f>
        <v>234006821.795917</v>
      </c>
      <c r="L36" s="262">
        <f>SUM(L22,L26:L34)</f>
        <v>204656862.76142785</v>
      </c>
      <c r="M36" s="232">
        <f>H36/L36</f>
        <v>0.5164502223243006</v>
      </c>
      <c r="N36" s="91"/>
      <c r="O36" s="91"/>
      <c r="P36" s="91"/>
      <c r="Q36" s="91"/>
      <c r="R36" s="91"/>
      <c r="S36" s="91"/>
      <c r="T36" s="91"/>
      <c r="U36" s="91"/>
      <c r="V36" s="91"/>
      <c r="W36" s="91"/>
      <c r="X36" s="91"/>
      <c r="Y36" s="91"/>
    </row>
    <row r="37" spans="1:25" ht="14.5">
      <c r="A37" s="91"/>
      <c r="B37" s="15" t="s">
        <v>33</v>
      </c>
      <c r="C37" s="109">
        <f>SUM(C38:C40)</f>
        <v>92262.445337407989</v>
      </c>
      <c r="D37" s="109">
        <f>D38+D39+D40</f>
        <v>186826.38134328378</v>
      </c>
      <c r="E37" s="247">
        <f t="shared" ref="E37:E50" si="8">D37</f>
        <v>186826.38134328378</v>
      </c>
      <c r="F37" s="247">
        <f>SUM(F38:F40)</f>
        <v>242515.15700000001</v>
      </c>
      <c r="G37" s="111">
        <f t="shared" si="2"/>
        <v>0.38043991344181421</v>
      </c>
      <c r="H37" s="261">
        <f>SUM(H38:H40)</f>
        <v>22067935.829999998</v>
      </c>
      <c r="I37" s="261">
        <f>SUM(I38:I40)</f>
        <v>14123478.931200001</v>
      </c>
      <c r="J37" s="261">
        <f>SUM(J38:J40)</f>
        <v>7944456.8987999987</v>
      </c>
      <c r="K37" s="261">
        <f>SUM(K38:K40)</f>
        <v>71517467</v>
      </c>
      <c r="L37" s="261">
        <f>SUM(L38:L40)</f>
        <v>42671844.287668914</v>
      </c>
      <c r="M37" s="113">
        <f t="shared" ref="M37:M50" si="9">IF(L37=0,"N/A",H37/L37)</f>
        <v>0.51715448906381289</v>
      </c>
      <c r="N37" s="199"/>
      <c r="O37" s="199"/>
      <c r="P37" s="199"/>
      <c r="Q37" s="91"/>
      <c r="R37" s="91"/>
      <c r="S37" s="91"/>
      <c r="T37" s="91"/>
      <c r="U37" s="91"/>
      <c r="V37" s="91"/>
      <c r="W37" s="91"/>
      <c r="X37" s="91"/>
      <c r="Y37" s="91"/>
    </row>
    <row r="38" spans="1:25" ht="14.5">
      <c r="A38" s="91"/>
      <c r="B38" s="233" t="s">
        <v>34</v>
      </c>
      <c r="C38" s="249">
        <v>80413.35451828799</v>
      </c>
      <c r="D38" s="248">
        <v>155279.70100192691</v>
      </c>
      <c r="E38" s="247">
        <f t="shared" si="8"/>
        <v>155279.70100192691</v>
      </c>
      <c r="F38" s="250">
        <v>215487</v>
      </c>
      <c r="G38" s="113">
        <f t="shared" si="2"/>
        <v>0.37317032822531288</v>
      </c>
      <c r="H38" s="263">
        <v>19670265.949999999</v>
      </c>
      <c r="I38" s="261">
        <f>H38*0.64</f>
        <v>12588970.208000001</v>
      </c>
      <c r="J38" s="261">
        <f t="shared" ref="J38:J63" si="10">H38-I38</f>
        <v>7081295.7419999987</v>
      </c>
      <c r="K38" s="263">
        <v>64990305</v>
      </c>
      <c r="L38" s="263">
        <v>37966232.560000002</v>
      </c>
      <c r="M38" s="112">
        <f t="shared" si="9"/>
        <v>0.51809896910139974</v>
      </c>
      <c r="N38" s="198"/>
      <c r="O38" s="200"/>
      <c r="P38" s="200"/>
      <c r="Q38" s="91"/>
      <c r="R38" s="91"/>
      <c r="S38" s="91"/>
      <c r="T38" s="91"/>
      <c r="U38" s="91"/>
      <c r="V38" s="91"/>
      <c r="W38" s="91"/>
      <c r="X38" s="91"/>
      <c r="Y38" s="91"/>
    </row>
    <row r="39" spans="1:25" ht="14.5">
      <c r="A39" s="91"/>
      <c r="B39" s="233" t="s">
        <v>35</v>
      </c>
      <c r="C39" s="249">
        <v>3712.9438311199997</v>
      </c>
      <c r="D39" s="248">
        <v>19913.548429336472</v>
      </c>
      <c r="E39" s="247">
        <f t="shared" si="8"/>
        <v>19913.548429336472</v>
      </c>
      <c r="F39" s="250">
        <v>18942.156999999999</v>
      </c>
      <c r="G39" s="113">
        <f t="shared" si="2"/>
        <v>0.19601483775686157</v>
      </c>
      <c r="H39" s="263">
        <v>2397669.88</v>
      </c>
      <c r="I39" s="261">
        <f>H39*0.64</f>
        <v>1534508.7231999999</v>
      </c>
      <c r="J39" s="261">
        <f t="shared" si="10"/>
        <v>863161.1568</v>
      </c>
      <c r="K39" s="263">
        <v>6527162</v>
      </c>
      <c r="L39" s="263">
        <v>4705611.7276689075</v>
      </c>
      <c r="M39" s="112">
        <f t="shared" si="9"/>
        <v>0.5095341517239399</v>
      </c>
      <c r="N39" s="198"/>
      <c r="O39" s="200"/>
      <c r="P39" s="200"/>
      <c r="Q39" s="91"/>
      <c r="R39" s="91"/>
      <c r="S39" s="91"/>
      <c r="T39" s="91"/>
      <c r="U39" s="91"/>
      <c r="V39" s="91"/>
      <c r="W39" s="91"/>
      <c r="X39" s="91"/>
      <c r="Y39" s="91"/>
    </row>
    <row r="40" spans="1:25" ht="14.5">
      <c r="A40" s="91"/>
      <c r="B40" s="233" t="s">
        <v>20</v>
      </c>
      <c r="C40" s="249">
        <v>8136.1469880000004</v>
      </c>
      <c r="D40" s="250">
        <v>11633.131912020401</v>
      </c>
      <c r="E40" s="247">
        <f t="shared" si="8"/>
        <v>11633.131912020401</v>
      </c>
      <c r="F40" s="250">
        <v>8086</v>
      </c>
      <c r="G40" s="113">
        <f t="shared" si="2"/>
        <v>1.0062017051694288</v>
      </c>
      <c r="H40" s="263">
        <v>0</v>
      </c>
      <c r="I40" s="261">
        <v>0</v>
      </c>
      <c r="J40" s="261">
        <f t="shared" si="10"/>
        <v>0</v>
      </c>
      <c r="K40" s="263">
        <v>0</v>
      </c>
      <c r="L40" s="263">
        <v>0</v>
      </c>
      <c r="M40" s="113" t="str">
        <f t="shared" si="9"/>
        <v>N/A</v>
      </c>
      <c r="N40" s="198"/>
      <c r="O40" s="131"/>
      <c r="P40" s="131"/>
      <c r="Q40" s="91"/>
      <c r="R40" s="91"/>
      <c r="S40" s="91"/>
      <c r="T40" s="91"/>
      <c r="U40" s="91"/>
      <c r="V40" s="91"/>
      <c r="W40" s="91"/>
      <c r="X40" s="91"/>
      <c r="Y40" s="91"/>
    </row>
    <row r="41" spans="1:25" ht="14.5">
      <c r="A41" s="91"/>
      <c r="B41" s="15" t="s">
        <v>36</v>
      </c>
      <c r="C41" s="249">
        <v>114754.0996721025</v>
      </c>
      <c r="D41" s="248">
        <v>235528.98690996753</v>
      </c>
      <c r="E41" s="247">
        <f t="shared" si="8"/>
        <v>235528.98690996753</v>
      </c>
      <c r="F41" s="250">
        <v>223217</v>
      </c>
      <c r="G41" s="113">
        <f t="shared" si="2"/>
        <v>0.5140921151708987</v>
      </c>
      <c r="H41" s="263">
        <v>35715589.240000002</v>
      </c>
      <c r="I41" s="261">
        <f>H41*0.64</f>
        <v>22857977.113600001</v>
      </c>
      <c r="J41" s="261">
        <f t="shared" si="10"/>
        <v>12857612.126400001</v>
      </c>
      <c r="K41" s="263">
        <v>74845313.339999989</v>
      </c>
      <c r="L41" s="263">
        <v>67585268.160000011</v>
      </c>
      <c r="M41" s="113">
        <f t="shared" si="9"/>
        <v>0.52845228275853895</v>
      </c>
      <c r="N41" s="198"/>
      <c r="O41" s="131"/>
      <c r="P41" s="131"/>
      <c r="Q41" s="91"/>
      <c r="R41" s="91"/>
      <c r="S41" s="91"/>
      <c r="T41" s="91"/>
      <c r="U41" s="91"/>
      <c r="V41" s="91"/>
      <c r="W41" s="91"/>
      <c r="X41" s="91"/>
      <c r="Y41" s="91"/>
    </row>
    <row r="42" spans="1:25" ht="14.5">
      <c r="A42" s="91"/>
      <c r="B42" s="15" t="s">
        <v>37</v>
      </c>
      <c r="C42" s="249">
        <v>82317.774094956272</v>
      </c>
      <c r="D42" s="248">
        <v>170204.31559009288</v>
      </c>
      <c r="E42" s="247">
        <f t="shared" si="8"/>
        <v>170204.31559009288</v>
      </c>
      <c r="F42" s="250">
        <v>170580</v>
      </c>
      <c r="G42" s="113">
        <f t="shared" si="2"/>
        <v>0.48257576559359988</v>
      </c>
      <c r="H42" s="263">
        <v>6105130.3583333334</v>
      </c>
      <c r="I42" s="261">
        <f>H42*0.64</f>
        <v>3907283.4293333334</v>
      </c>
      <c r="J42" s="261">
        <f t="shared" si="10"/>
        <v>2197846.929</v>
      </c>
      <c r="K42" s="263">
        <v>12446750.383190306</v>
      </c>
      <c r="L42" s="263">
        <v>12248453.847833335</v>
      </c>
      <c r="M42" s="113">
        <f t="shared" si="9"/>
        <v>0.49844089990291207</v>
      </c>
      <c r="N42" s="198"/>
      <c r="O42" s="200"/>
      <c r="P42" s="200"/>
      <c r="Q42" s="91"/>
      <c r="R42" s="91"/>
      <c r="S42" s="91"/>
      <c r="T42" s="91"/>
      <c r="U42" s="91"/>
      <c r="V42" s="91"/>
      <c r="W42" s="91"/>
      <c r="X42" s="91"/>
      <c r="Y42" s="91"/>
    </row>
    <row r="43" spans="1:25" ht="14.5">
      <c r="A43" s="91"/>
      <c r="B43" s="15" t="s">
        <v>38</v>
      </c>
      <c r="C43" s="249">
        <v>26736</v>
      </c>
      <c r="D43" s="250">
        <v>41847.500001519998</v>
      </c>
      <c r="E43" s="247">
        <f t="shared" si="8"/>
        <v>41847.500001519998</v>
      </c>
      <c r="F43" s="250">
        <v>45330</v>
      </c>
      <c r="G43" s="113">
        <f t="shared" si="2"/>
        <v>0.58980807412309733</v>
      </c>
      <c r="H43" s="263">
        <v>6269695.6899999995</v>
      </c>
      <c r="I43" s="261">
        <f>H43*0.64</f>
        <v>4012605.2415999998</v>
      </c>
      <c r="J43" s="261">
        <f t="shared" si="10"/>
        <v>2257090.4483999996</v>
      </c>
      <c r="K43" s="263">
        <v>11940002</v>
      </c>
      <c r="L43" s="263">
        <v>11179332.689999999</v>
      </c>
      <c r="M43" s="113">
        <f t="shared" si="9"/>
        <v>0.56082915356909369</v>
      </c>
      <c r="N43" s="198"/>
      <c r="O43" s="200"/>
      <c r="P43" s="200"/>
      <c r="Q43" s="91"/>
      <c r="R43" s="91"/>
      <c r="S43" s="91"/>
      <c r="T43" s="91"/>
      <c r="U43" s="91"/>
      <c r="V43" s="91"/>
      <c r="W43" s="91"/>
      <c r="X43" s="91"/>
      <c r="Y43" s="91"/>
    </row>
    <row r="44" spans="1:25" ht="14.5">
      <c r="A44" s="91"/>
      <c r="B44" s="15" t="s">
        <v>39</v>
      </c>
      <c r="C44" s="249">
        <v>11442</v>
      </c>
      <c r="D44" s="250">
        <v>36054.466107384993</v>
      </c>
      <c r="E44" s="247">
        <f t="shared" si="8"/>
        <v>36054.466107384993</v>
      </c>
      <c r="F44" s="250">
        <v>36720.394999999997</v>
      </c>
      <c r="G44" s="113">
        <f t="shared" si="2"/>
        <v>0.31159795530521939</v>
      </c>
      <c r="H44" s="263">
        <v>4602216.38</v>
      </c>
      <c r="I44" s="261">
        <f>H44*0.64</f>
        <v>2945418.4832000001</v>
      </c>
      <c r="J44" s="261">
        <f t="shared" si="10"/>
        <v>1656797.8967999998</v>
      </c>
      <c r="K44" s="263">
        <v>9556403</v>
      </c>
      <c r="L44" s="263">
        <v>7173497.8204913046</v>
      </c>
      <c r="M44" s="113">
        <f t="shared" si="9"/>
        <v>0.64155820426314691</v>
      </c>
      <c r="N44" s="198"/>
      <c r="O44" s="131"/>
      <c r="P44" s="131"/>
      <c r="Q44" s="91"/>
      <c r="R44" s="91"/>
      <c r="S44" s="91"/>
      <c r="T44" s="91"/>
      <c r="U44" s="91"/>
      <c r="V44" s="91"/>
      <c r="W44" s="91"/>
      <c r="X44" s="91"/>
      <c r="Y44" s="91"/>
    </row>
    <row r="45" spans="1:25" ht="14.5">
      <c r="A45" s="91"/>
      <c r="B45" s="15" t="s">
        <v>40</v>
      </c>
      <c r="C45" s="249">
        <v>1750.2449999999999</v>
      </c>
      <c r="D45" s="250">
        <v>29171.25</v>
      </c>
      <c r="E45" s="247">
        <f t="shared" si="8"/>
        <v>29171.25</v>
      </c>
      <c r="F45" s="250">
        <v>31616</v>
      </c>
      <c r="G45" s="113">
        <f t="shared" si="2"/>
        <v>5.5359469888663963E-2</v>
      </c>
      <c r="H45" s="263">
        <v>2965871.62</v>
      </c>
      <c r="I45" s="261">
        <v>0</v>
      </c>
      <c r="J45" s="261">
        <f t="shared" si="10"/>
        <v>2965871.62</v>
      </c>
      <c r="K45" s="263">
        <v>4417876.790000001</v>
      </c>
      <c r="L45" s="263">
        <v>4987493.9400000004</v>
      </c>
      <c r="M45" s="113">
        <f t="shared" si="9"/>
        <v>0.59466169897742271</v>
      </c>
      <c r="N45" s="198"/>
      <c r="O45" s="200"/>
      <c r="P45" s="200"/>
      <c r="Q45" s="91"/>
      <c r="R45" s="132"/>
      <c r="S45" s="132"/>
      <c r="T45" s="91"/>
      <c r="U45" s="91"/>
      <c r="V45" s="91"/>
      <c r="W45" s="91"/>
      <c r="X45" s="91"/>
      <c r="Y45" s="91"/>
    </row>
    <row r="46" spans="1:25" ht="14.5">
      <c r="A46" s="91"/>
      <c r="B46" s="15" t="s">
        <v>41</v>
      </c>
      <c r="C46" s="249">
        <v>7154.25072</v>
      </c>
      <c r="D46" s="250">
        <v>9484.1222623818467</v>
      </c>
      <c r="E46" s="247">
        <f t="shared" si="8"/>
        <v>9484.1222623818467</v>
      </c>
      <c r="F46" s="250">
        <v>9122</v>
      </c>
      <c r="G46" s="113">
        <f t="shared" si="2"/>
        <v>0.78428532339399259</v>
      </c>
      <c r="H46" s="263">
        <v>2297293.79</v>
      </c>
      <c r="I46" s="261">
        <f>H46*0.64</f>
        <v>1470268.0256000001</v>
      </c>
      <c r="J46" s="261">
        <f t="shared" si="10"/>
        <v>827025.76439999999</v>
      </c>
      <c r="K46" s="263">
        <v>2961775</v>
      </c>
      <c r="L46" s="263">
        <v>2923207.9118640022</v>
      </c>
      <c r="M46" s="113">
        <f t="shared" si="9"/>
        <v>0.78588107971256682</v>
      </c>
      <c r="N46" s="198"/>
      <c r="O46" s="200"/>
      <c r="P46" s="200"/>
      <c r="Q46" s="91"/>
      <c r="R46" s="91"/>
      <c r="S46" s="91"/>
      <c r="T46" s="91"/>
      <c r="U46" s="91"/>
      <c r="V46" s="91"/>
      <c r="W46" s="91"/>
      <c r="X46" s="91"/>
      <c r="Y46" s="91"/>
    </row>
    <row r="47" spans="1:25" ht="14.5">
      <c r="A47" s="91"/>
      <c r="B47" s="15" t="s">
        <v>42</v>
      </c>
      <c r="C47" s="249">
        <v>358.79359999999997</v>
      </c>
      <c r="D47" s="250">
        <v>2673.6605279999994</v>
      </c>
      <c r="E47" s="247">
        <f t="shared" si="8"/>
        <v>2673.6605279999994</v>
      </c>
      <c r="F47" s="250">
        <v>2831</v>
      </c>
      <c r="G47" s="113">
        <f t="shared" si="2"/>
        <v>0.1267374072765807</v>
      </c>
      <c r="H47" s="263">
        <v>387893.72000000003</v>
      </c>
      <c r="I47" s="261">
        <v>0</v>
      </c>
      <c r="J47" s="261">
        <f t="shared" si="10"/>
        <v>387893.72000000003</v>
      </c>
      <c r="K47" s="263">
        <v>1000063</v>
      </c>
      <c r="L47" s="263">
        <v>555011.12</v>
      </c>
      <c r="M47" s="113">
        <f t="shared" si="9"/>
        <v>0.69889360054623773</v>
      </c>
      <c r="N47" s="198"/>
      <c r="O47" s="200"/>
      <c r="P47" s="200"/>
      <c r="Q47" s="91"/>
      <c r="R47" s="91"/>
      <c r="S47" s="91"/>
      <c r="T47" s="91"/>
      <c r="U47" s="209"/>
      <c r="V47" s="91"/>
      <c r="W47" s="91"/>
      <c r="X47" s="91"/>
      <c r="Y47" s="91"/>
    </row>
    <row r="48" spans="1:25" ht="14.5">
      <c r="A48" s="91"/>
      <c r="B48" s="15" t="s">
        <v>43</v>
      </c>
      <c r="C48" s="249" t="s">
        <v>29</v>
      </c>
      <c r="D48" s="249" t="s">
        <v>29</v>
      </c>
      <c r="E48" s="247" t="str">
        <f t="shared" si="8"/>
        <v>N/A</v>
      </c>
      <c r="F48" s="249" t="s">
        <v>29</v>
      </c>
      <c r="G48" s="109" t="str">
        <f t="shared" si="2"/>
        <v>N/A</v>
      </c>
      <c r="H48" s="263">
        <v>2187282.0099999998</v>
      </c>
      <c r="I48" s="261">
        <v>0</v>
      </c>
      <c r="J48" s="261">
        <f t="shared" si="10"/>
        <v>2187282.0099999998</v>
      </c>
      <c r="K48" s="263">
        <v>4356999.76</v>
      </c>
      <c r="L48" s="263">
        <v>9304169.3399999999</v>
      </c>
      <c r="M48" s="113">
        <f t="shared" si="9"/>
        <v>0.23508622103389187</v>
      </c>
      <c r="N48" s="198"/>
      <c r="O48" s="200"/>
      <c r="P48" s="200"/>
      <c r="Q48" s="91"/>
      <c r="R48" s="91"/>
      <c r="S48" s="91"/>
      <c r="T48" s="91"/>
      <c r="U48" s="91"/>
      <c r="V48" s="91"/>
      <c r="W48" s="91"/>
      <c r="X48" s="91"/>
      <c r="Y48" s="91"/>
    </row>
    <row r="49" spans="1:25" ht="14.5">
      <c r="A49" s="91"/>
      <c r="B49" s="15" t="s">
        <v>44</v>
      </c>
      <c r="C49" s="249" t="s">
        <v>29</v>
      </c>
      <c r="D49" s="249" t="s">
        <v>29</v>
      </c>
      <c r="E49" s="247" t="str">
        <f t="shared" si="8"/>
        <v>N/A</v>
      </c>
      <c r="F49" s="249" t="s">
        <v>29</v>
      </c>
      <c r="G49" s="109" t="str">
        <f t="shared" si="2"/>
        <v>N/A</v>
      </c>
      <c r="H49" s="263">
        <f>35991.85+35590</f>
        <v>71581.850000000006</v>
      </c>
      <c r="I49" s="261">
        <v>0</v>
      </c>
      <c r="J49" s="261">
        <f t="shared" si="10"/>
        <v>71581.850000000006</v>
      </c>
      <c r="K49" s="263">
        <f>150000+100000</f>
        <v>250000</v>
      </c>
      <c r="L49" s="263">
        <v>150142.85</v>
      </c>
      <c r="M49" s="113">
        <f t="shared" si="9"/>
        <v>0.47675830051181262</v>
      </c>
      <c r="N49" s="198"/>
      <c r="O49" s="131"/>
      <c r="P49" s="131"/>
      <c r="Q49" s="91"/>
      <c r="R49" s="91"/>
      <c r="S49" s="91"/>
      <c r="T49" s="91"/>
      <c r="U49" s="91"/>
      <c r="V49" s="91"/>
      <c r="W49" s="91"/>
      <c r="X49" s="91"/>
      <c r="Y49" s="91"/>
    </row>
    <row r="50" spans="1:25" ht="14.5">
      <c r="A50" s="91"/>
      <c r="B50" s="15" t="s">
        <v>45</v>
      </c>
      <c r="C50" s="249" t="s">
        <v>29</v>
      </c>
      <c r="D50" s="249">
        <v>1379.4113258289181</v>
      </c>
      <c r="E50" s="247">
        <f t="shared" si="8"/>
        <v>1379.4113258289181</v>
      </c>
      <c r="F50" s="249">
        <v>0</v>
      </c>
      <c r="G50" s="109" t="str">
        <f t="shared" si="2"/>
        <v>N/A</v>
      </c>
      <c r="H50" s="263">
        <v>0</v>
      </c>
      <c r="I50" s="261">
        <v>0</v>
      </c>
      <c r="J50" s="261">
        <f t="shared" si="10"/>
        <v>0</v>
      </c>
      <c r="K50" s="263">
        <v>0</v>
      </c>
      <c r="L50" s="263">
        <v>0</v>
      </c>
      <c r="M50" s="113" t="str">
        <f t="shared" si="9"/>
        <v>N/A</v>
      </c>
      <c r="N50" s="198"/>
      <c r="O50" s="131"/>
      <c r="P50" s="131"/>
      <c r="Q50" s="91"/>
      <c r="R50" s="91"/>
      <c r="S50" s="91"/>
      <c r="T50" s="91"/>
      <c r="U50" s="91"/>
      <c r="V50" s="91"/>
      <c r="W50" s="91"/>
      <c r="X50" s="91"/>
      <c r="Y50" s="91"/>
    </row>
    <row r="51" spans="1:25" ht="20.149999999999999" customHeight="1">
      <c r="A51" s="91"/>
      <c r="B51" s="60" t="s">
        <v>46</v>
      </c>
      <c r="C51" s="270">
        <f>SUM(C37,C41:C49)</f>
        <v>336775.60842446674</v>
      </c>
      <c r="D51" s="270">
        <f>SUM(D37,D41:D50)</f>
        <v>713170.09406845993</v>
      </c>
      <c r="E51" s="270">
        <f>SUM(E37,E41:E50)</f>
        <v>713170.09406845993</v>
      </c>
      <c r="F51" s="270">
        <f>SUM(F37,F41:F49)</f>
        <v>761931.55200000003</v>
      </c>
      <c r="G51" s="271">
        <f t="shared" si="2"/>
        <v>0.44200244436716374</v>
      </c>
      <c r="H51" s="272">
        <f>SUM(H37,H41:H49)</f>
        <v>82670490.488333344</v>
      </c>
      <c r="I51" s="272">
        <f>SUM(I37,I41:I50)</f>
        <v>49317031.224533334</v>
      </c>
      <c r="J51" s="272">
        <f>H51-I51</f>
        <v>33353459.26380001</v>
      </c>
      <c r="K51" s="272">
        <f>SUM(K37,K41:K49)</f>
        <v>193292650.27319026</v>
      </c>
      <c r="L51" s="272">
        <f>SUM(L37,L41:L49)</f>
        <v>158778421.96785757</v>
      </c>
      <c r="M51" s="114">
        <f>H51/L51</f>
        <v>0.52066577727462748</v>
      </c>
      <c r="N51" s="91"/>
      <c r="O51" s="91"/>
      <c r="P51" s="91"/>
      <c r="Q51" s="91"/>
      <c r="R51" s="91"/>
      <c r="S51" s="91"/>
      <c r="T51" s="91"/>
      <c r="U51" s="91"/>
      <c r="V51" s="91"/>
      <c r="W51" s="91"/>
      <c r="X51" s="91"/>
      <c r="Y51" s="91"/>
    </row>
    <row r="52" spans="1:25" ht="14.5">
      <c r="A52" s="91"/>
      <c r="B52" s="15" t="s">
        <v>47</v>
      </c>
      <c r="C52" s="244">
        <f>SUM(C53:C54)</f>
        <v>19446.322519319998</v>
      </c>
      <c r="D52" s="244">
        <f>D53+D54</f>
        <v>104222.4049082562</v>
      </c>
      <c r="E52" s="244">
        <f t="shared" ref="E52:E63" si="11">D52</f>
        <v>104222.4049082562</v>
      </c>
      <c r="F52" s="244">
        <f>SUM(F53:F54)</f>
        <v>45408.326000000001</v>
      </c>
      <c r="G52" s="113">
        <f t="shared" si="2"/>
        <v>0.42825455664936862</v>
      </c>
      <c r="H52" s="261">
        <f>SUM(H53:H54)</f>
        <v>6810356.3799999999</v>
      </c>
      <c r="I52" s="261">
        <f>SUM(I53:I54)</f>
        <v>4358628.0832000002</v>
      </c>
      <c r="J52" s="261">
        <f t="shared" si="10"/>
        <v>2451728.2967999997</v>
      </c>
      <c r="K52" s="261">
        <f>SUM(K53:K54)</f>
        <v>16392394.600000001</v>
      </c>
      <c r="L52" s="261">
        <f>SUM(L53:L54)</f>
        <v>11730024.681897504</v>
      </c>
      <c r="M52" s="113">
        <f t="shared" ref="M52:M63" si="12">IF(L52=0,"N/A",H52/L52)</f>
        <v>0.5805918201101623</v>
      </c>
      <c r="N52" s="198"/>
      <c r="O52" s="198"/>
      <c r="P52" s="198"/>
      <c r="Q52" s="91"/>
      <c r="R52" s="91"/>
      <c r="S52" s="91"/>
      <c r="T52" s="91"/>
      <c r="U52" s="91"/>
      <c r="V52" s="91"/>
      <c r="W52" s="91"/>
      <c r="X52" s="91"/>
      <c r="Y52" s="91"/>
    </row>
    <row r="53" spans="1:25" ht="14.5">
      <c r="A53" s="91"/>
      <c r="B53" s="233" t="s">
        <v>48</v>
      </c>
      <c r="C53" s="248">
        <v>18379.920910959998</v>
      </c>
      <c r="D53" s="248">
        <v>101539.47033759268</v>
      </c>
      <c r="E53" s="244">
        <f t="shared" si="11"/>
        <v>101539.47033759268</v>
      </c>
      <c r="F53" s="250">
        <v>41754</v>
      </c>
      <c r="G53" s="113">
        <f t="shared" si="2"/>
        <v>0.4401954521952387</v>
      </c>
      <c r="H53" s="263">
        <v>6129780.9500000002</v>
      </c>
      <c r="I53" s="261">
        <f t="shared" ref="I53:I58" si="13">H53*0.64</f>
        <v>3923059.8080000002</v>
      </c>
      <c r="J53" s="261">
        <f t="shared" si="10"/>
        <v>2206721.142</v>
      </c>
      <c r="K53" s="263">
        <v>14693367.000000002</v>
      </c>
      <c r="L53" s="263">
        <v>10341675.33</v>
      </c>
      <c r="M53" s="113">
        <f t="shared" si="12"/>
        <v>0.59272610620623689</v>
      </c>
      <c r="N53" s="198"/>
      <c r="O53" s="200"/>
      <c r="P53" s="200"/>
      <c r="Q53" s="91"/>
      <c r="R53" s="91"/>
      <c r="S53" s="91"/>
      <c r="T53" s="91"/>
      <c r="U53" s="91"/>
      <c r="V53" s="91"/>
      <c r="W53" s="91"/>
      <c r="X53" s="91"/>
      <c r="Y53" s="91"/>
    </row>
    <row r="54" spans="1:25" ht="14.5">
      <c r="A54" s="91"/>
      <c r="B54" s="233" t="s">
        <v>49</v>
      </c>
      <c r="C54" s="248">
        <v>1066.40160836</v>
      </c>
      <c r="D54" s="248">
        <v>2682.9345706635277</v>
      </c>
      <c r="E54" s="244">
        <f t="shared" si="11"/>
        <v>2682.9345706635277</v>
      </c>
      <c r="F54" s="250">
        <v>3654.326</v>
      </c>
      <c r="G54" s="113">
        <f t="shared" si="2"/>
        <v>0.291818958779266</v>
      </c>
      <c r="H54" s="263">
        <v>680575.42999999993</v>
      </c>
      <c r="I54" s="261">
        <f t="shared" si="13"/>
        <v>435568.27519999997</v>
      </c>
      <c r="J54" s="261">
        <f t="shared" si="10"/>
        <v>245007.15479999996</v>
      </c>
      <c r="K54" s="263">
        <v>1699027.6</v>
      </c>
      <c r="L54" s="263">
        <v>1388349.3518975046</v>
      </c>
      <c r="M54" s="113">
        <f t="shared" si="12"/>
        <v>0.49020473778435819</v>
      </c>
      <c r="N54" s="198"/>
      <c r="O54" s="200"/>
      <c r="P54" s="200"/>
      <c r="Q54" s="91"/>
      <c r="R54" s="91"/>
      <c r="S54" s="91"/>
      <c r="T54" s="91"/>
      <c r="U54" s="91"/>
      <c r="V54" s="91"/>
      <c r="W54" s="91"/>
      <c r="X54" s="91"/>
      <c r="Y54" s="91"/>
    </row>
    <row r="55" spans="1:25" ht="14.5">
      <c r="A55" s="91"/>
      <c r="B55" s="15" t="s">
        <v>50</v>
      </c>
      <c r="C55" s="248">
        <v>28292.019033305198</v>
      </c>
      <c r="D55" s="248">
        <v>28706.89165104655</v>
      </c>
      <c r="E55" s="244">
        <f t="shared" si="11"/>
        <v>28706.89165104655</v>
      </c>
      <c r="F55" s="250">
        <v>40463</v>
      </c>
      <c r="G55" s="113">
        <f t="shared" si="2"/>
        <v>0.69920715303623548</v>
      </c>
      <c r="H55" s="263">
        <v>9077042.2300000004</v>
      </c>
      <c r="I55" s="261">
        <f t="shared" si="13"/>
        <v>5809307.0272000004</v>
      </c>
      <c r="J55" s="261">
        <f t="shared" si="10"/>
        <v>3267735.2028000001</v>
      </c>
      <c r="K55" s="263">
        <v>14668946.939999998</v>
      </c>
      <c r="L55" s="263">
        <v>18082238.780000001</v>
      </c>
      <c r="M55" s="113">
        <f t="shared" si="12"/>
        <v>0.50198663674543065</v>
      </c>
      <c r="N55" s="198"/>
      <c r="O55" s="200"/>
      <c r="P55" s="200"/>
      <c r="Q55" s="91"/>
      <c r="R55" s="91"/>
      <c r="S55" s="91"/>
      <c r="T55" s="91"/>
      <c r="U55" s="91"/>
      <c r="V55" s="91"/>
      <c r="W55" s="91"/>
      <c r="X55" s="91"/>
      <c r="Y55" s="91"/>
    </row>
    <row r="56" spans="1:25" ht="14.5">
      <c r="A56" s="91"/>
      <c r="B56" s="15" t="s">
        <v>51</v>
      </c>
      <c r="C56" s="248">
        <v>19020.103930414094</v>
      </c>
      <c r="D56" s="248">
        <v>22721.827125164149</v>
      </c>
      <c r="E56" s="244">
        <f t="shared" si="11"/>
        <v>22721.827125164149</v>
      </c>
      <c r="F56" s="250">
        <v>22294</v>
      </c>
      <c r="G56" s="113">
        <f t="shared" si="2"/>
        <v>0.85314900558060891</v>
      </c>
      <c r="H56" s="263">
        <v>1961882.4416666664</v>
      </c>
      <c r="I56" s="261">
        <f t="shared" si="13"/>
        <v>1255604.7626666666</v>
      </c>
      <c r="J56" s="261">
        <f t="shared" si="10"/>
        <v>706277.67899999977</v>
      </c>
      <c r="K56" s="263">
        <v>2425621.4327267203</v>
      </c>
      <c r="L56" s="263">
        <v>3092789.7589106932</v>
      </c>
      <c r="M56" s="113">
        <f t="shared" si="12"/>
        <v>0.63434070680499732</v>
      </c>
      <c r="N56" s="198"/>
      <c r="O56" s="200"/>
      <c r="P56" s="200"/>
      <c r="Q56" s="91"/>
      <c r="R56" s="91"/>
      <c r="S56" s="91"/>
      <c r="T56" s="91"/>
      <c r="U56" s="91"/>
      <c r="V56" s="91"/>
      <c r="W56" s="91"/>
      <c r="X56" s="91"/>
      <c r="Y56" s="91"/>
    </row>
    <row r="57" spans="1:25" ht="14.5">
      <c r="A57" s="91"/>
      <c r="B57" s="15" t="s">
        <v>52</v>
      </c>
      <c r="C57" s="248">
        <v>0</v>
      </c>
      <c r="D57" s="248">
        <v>2202.5000000800005</v>
      </c>
      <c r="E57" s="244">
        <f t="shared" si="11"/>
        <v>2202.5000000800005</v>
      </c>
      <c r="F57" s="250">
        <v>0</v>
      </c>
      <c r="G57" s="113" t="str">
        <f t="shared" si="2"/>
        <v>N/A</v>
      </c>
      <c r="H57" s="263">
        <v>0</v>
      </c>
      <c r="I57" s="261">
        <f t="shared" si="13"/>
        <v>0</v>
      </c>
      <c r="J57" s="261">
        <f t="shared" si="10"/>
        <v>0</v>
      </c>
      <c r="K57" s="263">
        <v>0</v>
      </c>
      <c r="L57" s="263">
        <v>0</v>
      </c>
      <c r="M57" s="113" t="str">
        <f t="shared" si="12"/>
        <v>N/A</v>
      </c>
      <c r="N57" s="198"/>
      <c r="O57" s="200"/>
      <c r="P57" s="200"/>
      <c r="Q57" s="91"/>
      <c r="R57" s="91"/>
      <c r="S57" s="91"/>
      <c r="T57" s="91"/>
      <c r="U57" s="91"/>
      <c r="V57" s="91"/>
      <c r="W57" s="91"/>
      <c r="X57" s="91"/>
      <c r="Y57" s="91"/>
    </row>
    <row r="58" spans="1:25" ht="14.5">
      <c r="A58" s="91"/>
      <c r="B58" s="15" t="s">
        <v>53</v>
      </c>
      <c r="C58" s="248">
        <v>12427</v>
      </c>
      <c r="D58" s="248">
        <v>11878.532892615012</v>
      </c>
      <c r="E58" s="244">
        <f t="shared" si="11"/>
        <v>11878.532892615012</v>
      </c>
      <c r="F58" s="250">
        <v>12931.621999999999</v>
      </c>
      <c r="G58" s="113">
        <f t="shared" si="2"/>
        <v>0.96097767163314862</v>
      </c>
      <c r="H58" s="263">
        <v>3190245.29</v>
      </c>
      <c r="I58" s="261">
        <f t="shared" si="13"/>
        <v>2041756.9856</v>
      </c>
      <c r="J58" s="261">
        <f t="shared" si="10"/>
        <v>1148488.3044</v>
      </c>
      <c r="K58" s="263">
        <v>3347998</v>
      </c>
      <c r="L58" s="263">
        <v>6990503.3576745</v>
      </c>
      <c r="M58" s="113">
        <f t="shared" si="12"/>
        <v>0.45636846544070397</v>
      </c>
      <c r="N58" s="198"/>
      <c r="O58" s="200"/>
      <c r="P58" s="200"/>
      <c r="Q58" s="91"/>
      <c r="R58" s="91"/>
      <c r="S58" s="91"/>
      <c r="T58" s="91"/>
      <c r="U58" s="91"/>
      <c r="V58" s="91"/>
      <c r="W58" s="91"/>
      <c r="X58" s="91"/>
      <c r="Y58" s="91"/>
    </row>
    <row r="59" spans="1:25" ht="14.5">
      <c r="A59" s="91"/>
      <c r="B59" s="15" t="s">
        <v>54</v>
      </c>
      <c r="C59" s="248">
        <v>336.572</v>
      </c>
      <c r="D59" s="248">
        <v>9723.75</v>
      </c>
      <c r="E59" s="244">
        <f t="shared" si="11"/>
        <v>9723.75</v>
      </c>
      <c r="F59" s="250">
        <v>7279</v>
      </c>
      <c r="G59" s="113">
        <f t="shared" si="2"/>
        <v>4.6238769061684296E-2</v>
      </c>
      <c r="H59" s="263">
        <v>619696.67999999993</v>
      </c>
      <c r="I59" s="261">
        <v>0</v>
      </c>
      <c r="J59" s="261">
        <f t="shared" si="10"/>
        <v>619696.67999999993</v>
      </c>
      <c r="K59" s="263">
        <v>927697.10999999987</v>
      </c>
      <c r="L59" s="263">
        <v>1071554.8799999999</v>
      </c>
      <c r="M59" s="113">
        <f t="shared" si="12"/>
        <v>0.57831539155512035</v>
      </c>
      <c r="N59" s="198"/>
      <c r="O59" s="200"/>
      <c r="P59" s="200"/>
      <c r="Q59" s="189"/>
      <c r="R59" s="91"/>
      <c r="S59" s="91"/>
      <c r="T59" s="91"/>
      <c r="U59" s="91"/>
      <c r="V59" s="91"/>
      <c r="W59" s="91"/>
      <c r="X59" s="91"/>
      <c r="Y59" s="91"/>
    </row>
    <row r="60" spans="1:25" ht="14.5">
      <c r="A60" s="91"/>
      <c r="B60" s="15" t="s">
        <v>55</v>
      </c>
      <c r="C60" s="248">
        <v>97.430344000000005</v>
      </c>
      <c r="D60" s="248">
        <v>1054.8917376181532</v>
      </c>
      <c r="E60" s="244">
        <f t="shared" si="11"/>
        <v>1054.8917376181532</v>
      </c>
      <c r="F60" s="250">
        <v>1260</v>
      </c>
      <c r="G60" s="113">
        <f t="shared" si="2"/>
        <v>7.7325669841269845E-2</v>
      </c>
      <c r="H60" s="263">
        <v>35137.763333333336</v>
      </c>
      <c r="I60" s="261">
        <f>H60*0.64</f>
        <v>22488.168533333337</v>
      </c>
      <c r="J60" s="261">
        <f t="shared" si="10"/>
        <v>12649.594799999999</v>
      </c>
      <c r="K60" s="263">
        <v>327319</v>
      </c>
      <c r="L60" s="263">
        <v>344202.96508763696</v>
      </c>
      <c r="M60" s="113">
        <f t="shared" si="12"/>
        <v>0.10208442952949859</v>
      </c>
      <c r="N60" s="198"/>
      <c r="O60" s="200"/>
      <c r="P60" s="200"/>
      <c r="Q60" s="91"/>
      <c r="R60" s="91"/>
      <c r="S60" s="91"/>
      <c r="T60" s="91"/>
      <c r="U60" s="91"/>
      <c r="V60" s="91"/>
      <c r="W60" s="91"/>
      <c r="X60" s="91"/>
      <c r="Y60" s="91"/>
    </row>
    <row r="61" spans="1:25" ht="14.5">
      <c r="A61" s="91"/>
      <c r="B61" s="15" t="s">
        <v>56</v>
      </c>
      <c r="C61" s="248">
        <v>233.99699999999999</v>
      </c>
      <c r="D61" s="248">
        <v>1377.3402720000001</v>
      </c>
      <c r="E61" s="244">
        <f t="shared" si="11"/>
        <v>1377.3402720000001</v>
      </c>
      <c r="F61" s="250">
        <v>898</v>
      </c>
      <c r="G61" s="113">
        <f t="shared" si="2"/>
        <v>0.26057572383073496</v>
      </c>
      <c r="H61" s="263">
        <v>194286.16</v>
      </c>
      <c r="I61" s="261">
        <v>0</v>
      </c>
      <c r="J61" s="261">
        <f t="shared" si="10"/>
        <v>194286.16</v>
      </c>
      <c r="K61" s="263">
        <v>515194</v>
      </c>
      <c r="L61" s="263">
        <v>280376.76</v>
      </c>
      <c r="M61" s="113">
        <f t="shared" si="12"/>
        <v>0.69294673353098168</v>
      </c>
      <c r="N61" s="91"/>
      <c r="O61" s="200"/>
      <c r="P61" s="200"/>
      <c r="Q61" s="91"/>
      <c r="R61" s="91"/>
      <c r="S61" s="91"/>
      <c r="T61" s="91"/>
      <c r="U61" s="91"/>
      <c r="V61" s="91"/>
      <c r="W61" s="91"/>
      <c r="X61" s="91"/>
      <c r="Y61" s="91"/>
    </row>
    <row r="62" spans="1:25" ht="14.5">
      <c r="A62" s="91"/>
      <c r="B62" s="15" t="s">
        <v>57</v>
      </c>
      <c r="C62" s="249" t="s">
        <v>29</v>
      </c>
      <c r="D62" s="249" t="s">
        <v>29</v>
      </c>
      <c r="E62" s="109" t="str">
        <f t="shared" si="11"/>
        <v>N/A</v>
      </c>
      <c r="F62" s="249" t="s">
        <v>29</v>
      </c>
      <c r="G62" s="109" t="str">
        <f t="shared" si="2"/>
        <v>N/A</v>
      </c>
      <c r="H62" s="263">
        <v>1135944.8400000001</v>
      </c>
      <c r="I62" s="261">
        <v>0</v>
      </c>
      <c r="J62" s="261">
        <f t="shared" si="10"/>
        <v>1135944.8400000001</v>
      </c>
      <c r="K62" s="263">
        <v>2109000.4400000004</v>
      </c>
      <c r="L62" s="263">
        <v>4286749.6099999994</v>
      </c>
      <c r="M62" s="113">
        <f t="shared" si="12"/>
        <v>0.26498978091701519</v>
      </c>
      <c r="N62" s="198"/>
      <c r="O62" s="200"/>
      <c r="P62" s="200"/>
      <c r="Q62" s="91"/>
      <c r="R62" s="91"/>
      <c r="S62" s="91"/>
      <c r="T62" s="91"/>
      <c r="U62" s="91"/>
      <c r="V62" s="91"/>
      <c r="W62" s="91"/>
      <c r="X62" s="91"/>
      <c r="Y62" s="91"/>
    </row>
    <row r="63" spans="1:25" ht="14.5">
      <c r="A63" s="91"/>
      <c r="B63" s="15" t="s">
        <v>58</v>
      </c>
      <c r="C63" s="249" t="s">
        <v>29</v>
      </c>
      <c r="D63" s="249">
        <v>153.26792509210182</v>
      </c>
      <c r="E63" s="109">
        <f t="shared" si="11"/>
        <v>153.26792509210182</v>
      </c>
      <c r="F63" s="249">
        <v>0</v>
      </c>
      <c r="G63" s="109" t="str">
        <f t="shared" si="2"/>
        <v>N/A</v>
      </c>
      <c r="H63" s="263">
        <v>0</v>
      </c>
      <c r="I63" s="261">
        <v>0</v>
      </c>
      <c r="J63" s="261">
        <f t="shared" si="10"/>
        <v>0</v>
      </c>
      <c r="K63" s="263">
        <v>0</v>
      </c>
      <c r="L63" s="263">
        <v>0</v>
      </c>
      <c r="M63" s="113" t="str">
        <f t="shared" si="12"/>
        <v>N/A</v>
      </c>
      <c r="N63" s="198"/>
      <c r="O63" s="200"/>
      <c r="P63" s="200"/>
      <c r="Q63" s="91"/>
      <c r="R63" s="91"/>
      <c r="S63" s="91"/>
      <c r="T63" s="91"/>
      <c r="U63" s="91"/>
      <c r="V63" s="91"/>
      <c r="W63" s="91"/>
      <c r="X63" s="91"/>
      <c r="Y63" s="91"/>
    </row>
    <row r="64" spans="1:25" ht="20.149999999999999" customHeight="1">
      <c r="A64" s="91"/>
      <c r="B64" s="60" t="s">
        <v>59</v>
      </c>
      <c r="C64" s="270">
        <f>SUM(C52,C55:C63)</f>
        <v>79853.444827039275</v>
      </c>
      <c r="D64" s="270">
        <f>SUM(D52,D55:D63)</f>
        <v>182041.40651187219</v>
      </c>
      <c r="E64" s="270">
        <f>SUM(E52,E55:E63)</f>
        <v>182041.40651187219</v>
      </c>
      <c r="F64" s="270">
        <f>SUM(F52,F55:F63)</f>
        <v>130533.948</v>
      </c>
      <c r="G64" s="271">
        <f t="shared" si="2"/>
        <v>0.61174465378952048</v>
      </c>
      <c r="H64" s="272">
        <f>SUM(H52,H55:H62)</f>
        <v>23024591.784999996</v>
      </c>
      <c r="I64" s="272">
        <f>SUM(I52,I55:I63)</f>
        <v>13487785.0272</v>
      </c>
      <c r="J64" s="272">
        <f>SUM(J52,J55:J63)</f>
        <v>9536806.7577999979</v>
      </c>
      <c r="K64" s="272">
        <f>SUM(K52,K55:K62)</f>
        <v>40714171.522726715</v>
      </c>
      <c r="L64" s="272">
        <f>SUM(L52,L55:L62)</f>
        <v>45878440.79357034</v>
      </c>
      <c r="M64" s="114">
        <f>H64/L64</f>
        <v>0.5018608171232094</v>
      </c>
      <c r="N64" s="91"/>
      <c r="O64" s="91"/>
      <c r="P64" s="91"/>
      <c r="Q64" s="91"/>
      <c r="R64" s="91"/>
      <c r="S64" s="91"/>
      <c r="T64" s="91"/>
      <c r="U64" s="91"/>
      <c r="V64" s="91"/>
      <c r="W64" s="91"/>
      <c r="X64" s="91"/>
      <c r="Y64" s="91"/>
    </row>
    <row r="65" spans="1:25" ht="20.149999999999999" customHeight="1">
      <c r="A65" s="91"/>
      <c r="B65" s="32" t="s">
        <v>60</v>
      </c>
      <c r="C65" s="251"/>
      <c r="D65" s="251"/>
      <c r="E65" s="251"/>
      <c r="F65" s="251"/>
      <c r="G65" s="243"/>
      <c r="H65" s="33"/>
      <c r="I65" s="33"/>
      <c r="J65" s="33"/>
      <c r="K65" s="33"/>
      <c r="L65" s="33"/>
      <c r="M65" s="34"/>
      <c r="N65" s="91"/>
      <c r="O65" s="91"/>
      <c r="P65" s="91"/>
      <c r="Q65" s="91"/>
      <c r="R65" s="91"/>
      <c r="S65" s="91"/>
      <c r="T65" s="91"/>
      <c r="U65" s="91"/>
      <c r="V65" s="91"/>
      <c r="W65" s="91"/>
      <c r="X65" s="91"/>
      <c r="Y65" s="91"/>
    </row>
    <row r="66" spans="1:25" ht="14.5">
      <c r="A66" s="91"/>
      <c r="B66" s="15" t="s">
        <v>61</v>
      </c>
      <c r="C66" s="244">
        <f>C77</f>
        <v>81667</v>
      </c>
      <c r="D66" s="244">
        <f>D77</f>
        <v>89923</v>
      </c>
      <c r="E66" s="244">
        <f t="shared" ref="E66:F75" si="14">D66</f>
        <v>89923</v>
      </c>
      <c r="F66" s="245">
        <f>F77</f>
        <v>89923</v>
      </c>
      <c r="G66" s="111">
        <f t="shared" ref="G66:G88" si="15">IF(AND(ISNUMBER(F66)=TRUE,F66&lt;&gt;0),C66/F66,"N/A")</f>
        <v>0.9081881164996719</v>
      </c>
      <c r="H66" s="260">
        <f>H77</f>
        <v>4642096.1400000006</v>
      </c>
      <c r="I66" s="260">
        <f>I77</f>
        <v>2970941.5296000005</v>
      </c>
      <c r="J66" s="261">
        <f>J77</f>
        <v>1671154.6104000001</v>
      </c>
      <c r="K66" s="261">
        <f>K77</f>
        <v>6445233</v>
      </c>
      <c r="L66" s="261">
        <f>L77</f>
        <v>6198295.1400000006</v>
      </c>
      <c r="M66" s="113">
        <f t="shared" ref="M66:M74" si="16">IF(L66=0,"N/A",H66/L66)</f>
        <v>0.74893112301844988</v>
      </c>
      <c r="N66" s="91"/>
      <c r="O66" s="91"/>
      <c r="P66" s="91"/>
      <c r="Q66" s="91"/>
      <c r="R66" s="91"/>
      <c r="S66" s="91"/>
      <c r="T66" s="91"/>
      <c r="U66" s="91"/>
      <c r="V66" s="91"/>
      <c r="W66" s="91"/>
      <c r="X66" s="91"/>
      <c r="Y66" s="91"/>
    </row>
    <row r="67" spans="1:25" ht="14.5">
      <c r="A67" s="91"/>
      <c r="B67" s="15" t="s">
        <v>62</v>
      </c>
      <c r="C67" s="244">
        <f>C78+C91+C90</f>
        <v>9913</v>
      </c>
      <c r="D67" s="244">
        <f>D78+D91+D90</f>
        <v>31766.117700000003</v>
      </c>
      <c r="E67" s="244">
        <f t="shared" si="14"/>
        <v>31766.117700000003</v>
      </c>
      <c r="F67" s="245">
        <f>F78+F90+F91</f>
        <v>32077</v>
      </c>
      <c r="G67" s="111">
        <f t="shared" si="15"/>
        <v>0.3090376282071266</v>
      </c>
      <c r="H67" s="260">
        <f>H78+H90+H91</f>
        <v>16973928.478753213</v>
      </c>
      <c r="I67" s="260">
        <f>I78+I90+I91</f>
        <v>10863314.226402057</v>
      </c>
      <c r="J67" s="261">
        <f>J78+J90+J91</f>
        <v>6110614.2523511564</v>
      </c>
      <c r="K67" s="261">
        <f>K78+K90+K91</f>
        <v>29770775.518379174</v>
      </c>
      <c r="L67" s="261">
        <f>L78+L90+L91</f>
        <v>31264439.688753214</v>
      </c>
      <c r="M67" s="112">
        <f t="shared" si="16"/>
        <v>0.54291484663514566</v>
      </c>
      <c r="N67" s="91"/>
      <c r="O67" s="91"/>
      <c r="P67" s="91"/>
      <c r="Q67" s="91"/>
      <c r="R67" s="91"/>
      <c r="S67" s="91"/>
      <c r="T67" s="91"/>
      <c r="U67" s="91"/>
      <c r="V67" s="91"/>
      <c r="W67" s="91"/>
      <c r="X67" s="91"/>
      <c r="Y67" s="91"/>
    </row>
    <row r="68" spans="1:25" ht="14.5">
      <c r="A68" s="91"/>
      <c r="B68" s="15" t="s">
        <v>63</v>
      </c>
      <c r="C68" s="244">
        <f>C79+C92+C93</f>
        <v>13309</v>
      </c>
      <c r="D68" s="244">
        <f>D79+D92+D93</f>
        <v>22144</v>
      </c>
      <c r="E68" s="244">
        <f t="shared" si="14"/>
        <v>22144</v>
      </c>
      <c r="F68" s="245">
        <f>F92+F93+F79</f>
        <v>26653</v>
      </c>
      <c r="G68" s="111">
        <f t="shared" si="15"/>
        <v>0.49934341349941846</v>
      </c>
      <c r="H68" s="260">
        <f>H92+H93+H79</f>
        <v>17869305.572023224</v>
      </c>
      <c r="I68" s="260">
        <f>I92+I93+I79</f>
        <v>11436355.566094862</v>
      </c>
      <c r="J68" s="261">
        <f>J92+J93+J79</f>
        <v>6432950.0059283618</v>
      </c>
      <c r="K68" s="261">
        <f>K92+K93+K79</f>
        <v>25534659.660820588</v>
      </c>
      <c r="L68" s="261">
        <f>L92+L93+L79</f>
        <v>33966644.113111518</v>
      </c>
      <c r="M68" s="112">
        <f t="shared" si="16"/>
        <v>0.52608392847162266</v>
      </c>
      <c r="N68" s="91"/>
      <c r="O68" s="91"/>
      <c r="P68" s="91"/>
      <c r="Q68" s="91"/>
      <c r="R68" s="91"/>
      <c r="S68" s="91"/>
      <c r="T68" s="91"/>
      <c r="U68" s="91"/>
      <c r="V68" s="91"/>
      <c r="W68" s="91"/>
      <c r="X68" s="91"/>
      <c r="Y68" s="91"/>
    </row>
    <row r="69" spans="1:25" ht="14.5">
      <c r="A69" s="91"/>
      <c r="B69" s="15" t="s">
        <v>64</v>
      </c>
      <c r="C69" s="244">
        <f>C80+C81+C82+C94</f>
        <v>90825.7</v>
      </c>
      <c r="D69" s="244">
        <f>D80+D81+D94+D82</f>
        <v>159942.46039887978</v>
      </c>
      <c r="E69" s="244">
        <f t="shared" si="14"/>
        <v>159942.46039887978</v>
      </c>
      <c r="F69" s="245">
        <f>F80+F81+F82+F94</f>
        <v>169083.601</v>
      </c>
      <c r="G69" s="111">
        <f t="shared" si="15"/>
        <v>0.53716445274902802</v>
      </c>
      <c r="H69" s="260">
        <f>H80+H81+H82+H94</f>
        <v>27321989.870000005</v>
      </c>
      <c r="I69" s="260">
        <f>I80+I81+I82+I94</f>
        <v>17486073.516800001</v>
      </c>
      <c r="J69" s="261">
        <f>J80+J81+J82+J94</f>
        <v>9835916.3531999998</v>
      </c>
      <c r="K69" s="261">
        <f>K80+K81+K82+K94</f>
        <v>39828911.090000004</v>
      </c>
      <c r="L69" s="261">
        <f>L80+L81+L82+L94</f>
        <v>43090541.753333338</v>
      </c>
      <c r="M69" s="112">
        <f t="shared" si="16"/>
        <v>0.63406002241516191</v>
      </c>
      <c r="N69" s="91"/>
      <c r="O69" s="91"/>
      <c r="P69" s="91"/>
      <c r="Q69" s="91"/>
      <c r="R69" s="91"/>
      <c r="S69" s="91"/>
      <c r="T69" s="91"/>
      <c r="U69" s="91"/>
      <c r="V69" s="91"/>
      <c r="W69" s="91"/>
      <c r="X69" s="91"/>
      <c r="Y69" s="91"/>
    </row>
    <row r="70" spans="1:25" ht="14.5">
      <c r="A70" s="91"/>
      <c r="B70" s="15" t="s">
        <v>65</v>
      </c>
      <c r="C70" s="244">
        <f>C83+C95</f>
        <v>95709.926999999996</v>
      </c>
      <c r="D70" s="244">
        <f>D83+D95</f>
        <v>129311.95765</v>
      </c>
      <c r="E70" s="244">
        <f t="shared" si="14"/>
        <v>129311.95765</v>
      </c>
      <c r="F70" s="244">
        <f>F83+F95</f>
        <v>137218</v>
      </c>
      <c r="G70" s="111">
        <f t="shared" si="15"/>
        <v>0.69750271101458994</v>
      </c>
      <c r="H70" s="261">
        <f>H83+H95</f>
        <v>8945828.4600000009</v>
      </c>
      <c r="I70" s="261">
        <f>I83+I95</f>
        <v>5725330.2144000009</v>
      </c>
      <c r="J70" s="261">
        <f>J83+J95</f>
        <v>3220498.2456000005</v>
      </c>
      <c r="K70" s="261">
        <f>K83+K95</f>
        <v>13516953.15</v>
      </c>
      <c r="L70" s="261">
        <f>L83+L95</f>
        <v>17999463.145357259</v>
      </c>
      <c r="M70" s="113">
        <f t="shared" si="16"/>
        <v>0.49700529331106569</v>
      </c>
      <c r="N70" s="91"/>
      <c r="O70" s="91"/>
      <c r="P70" s="91"/>
      <c r="Q70" s="91"/>
      <c r="R70" s="91"/>
      <c r="S70" s="91"/>
      <c r="T70" s="91"/>
      <c r="U70" s="91"/>
      <c r="V70" s="91"/>
      <c r="W70" s="91"/>
      <c r="X70" s="91"/>
      <c r="Y70" s="91"/>
    </row>
    <row r="71" spans="1:25" ht="14.5">
      <c r="A71" s="91"/>
      <c r="B71" s="15" t="s">
        <v>66</v>
      </c>
      <c r="C71" s="244">
        <f>C96</f>
        <v>926.33</v>
      </c>
      <c r="D71" s="244">
        <f>D96</f>
        <v>1875.9999999999995</v>
      </c>
      <c r="E71" s="244">
        <f t="shared" si="14"/>
        <v>1875.9999999999995</v>
      </c>
      <c r="F71" s="244">
        <f>F96</f>
        <v>1876</v>
      </c>
      <c r="G71" s="111">
        <f t="shared" si="15"/>
        <v>0.49377931769722816</v>
      </c>
      <c r="H71" s="261">
        <f>H96</f>
        <v>1832541.7799999996</v>
      </c>
      <c r="I71" s="261">
        <f>I96</f>
        <v>1172826.7391999997</v>
      </c>
      <c r="J71" s="261">
        <f>J96</f>
        <v>659715.04079999984</v>
      </c>
      <c r="K71" s="261">
        <f>K96</f>
        <v>2859580</v>
      </c>
      <c r="L71" s="261">
        <f>L96</f>
        <v>2463558.0175451776</v>
      </c>
      <c r="M71" s="113">
        <f t="shared" si="16"/>
        <v>0.7438598023463816</v>
      </c>
      <c r="N71" s="91"/>
      <c r="O71" s="91"/>
      <c r="P71" s="91"/>
      <c r="Q71" s="91"/>
      <c r="R71" s="91"/>
      <c r="S71" s="91"/>
      <c r="T71" s="91"/>
      <c r="U71" s="91"/>
      <c r="V71" s="91"/>
      <c r="W71" s="91"/>
      <c r="X71" s="91"/>
      <c r="Y71" s="91"/>
    </row>
    <row r="72" spans="1:25" ht="14.5">
      <c r="A72" s="91"/>
      <c r="B72" s="15" t="s">
        <v>67</v>
      </c>
      <c r="C72" s="244">
        <f>C84</f>
        <v>186</v>
      </c>
      <c r="D72" s="244">
        <f>D84</f>
        <v>239.00000000000003</v>
      </c>
      <c r="E72" s="244">
        <f t="shared" si="14"/>
        <v>239.00000000000003</v>
      </c>
      <c r="F72" s="244">
        <f>F84</f>
        <v>239</v>
      </c>
      <c r="G72" s="111">
        <f t="shared" si="15"/>
        <v>0.77824267782426781</v>
      </c>
      <c r="H72" s="261">
        <f t="shared" ref="H72:L73" si="17">H84</f>
        <v>139963.56</v>
      </c>
      <c r="I72" s="261">
        <f t="shared" si="17"/>
        <v>89576.678400000004</v>
      </c>
      <c r="J72" s="261">
        <f t="shared" si="17"/>
        <v>50386.881599999993</v>
      </c>
      <c r="K72" s="261">
        <f t="shared" si="17"/>
        <v>334767</v>
      </c>
      <c r="L72" s="261">
        <f t="shared" si="17"/>
        <v>282657.51500000001</v>
      </c>
      <c r="M72" s="113">
        <f t="shared" si="16"/>
        <v>0.49517013549064842</v>
      </c>
      <c r="N72" s="91"/>
      <c r="O72" s="91"/>
      <c r="P72" s="91"/>
      <c r="Q72" s="91"/>
      <c r="R72" s="91"/>
      <c r="S72" s="91"/>
      <c r="T72" s="91"/>
      <c r="U72" s="91"/>
      <c r="V72" s="91"/>
      <c r="W72" s="91"/>
      <c r="X72" s="91"/>
      <c r="Y72" s="91"/>
    </row>
    <row r="73" spans="1:25" ht="14.5">
      <c r="A73" s="91"/>
      <c r="B73" s="15" t="s">
        <v>68</v>
      </c>
      <c r="C73" s="244">
        <f>C85</f>
        <v>3501.73</v>
      </c>
      <c r="D73" s="244">
        <f>D85</f>
        <v>4101.133580170218</v>
      </c>
      <c r="E73" s="244">
        <f t="shared" si="14"/>
        <v>4101.133580170218</v>
      </c>
      <c r="F73" s="244">
        <f>F85</f>
        <v>5151</v>
      </c>
      <c r="G73" s="111">
        <f t="shared" si="15"/>
        <v>0.67981556979227331</v>
      </c>
      <c r="H73" s="261">
        <f t="shared" si="17"/>
        <v>1762954.1599999997</v>
      </c>
      <c r="I73" s="261">
        <f>I85</f>
        <v>1128290.6623999998</v>
      </c>
      <c r="J73" s="261">
        <f>J85</f>
        <v>634663.49759999989</v>
      </c>
      <c r="K73" s="261">
        <f t="shared" si="17"/>
        <v>2857314.2600000002</v>
      </c>
      <c r="L73" s="261">
        <f t="shared" si="17"/>
        <v>3326978.8749999995</v>
      </c>
      <c r="M73" s="113">
        <f t="shared" si="16"/>
        <v>0.52989640939634763</v>
      </c>
      <c r="N73" s="91"/>
      <c r="O73" s="91"/>
      <c r="P73" s="91"/>
      <c r="Q73" s="91"/>
      <c r="R73" s="91"/>
      <c r="S73" s="91"/>
      <c r="T73" s="91"/>
      <c r="U73" s="91"/>
      <c r="V73" s="91"/>
      <c r="W73" s="91"/>
      <c r="X73" s="91"/>
      <c r="Y73" s="91"/>
    </row>
    <row r="74" spans="1:25" ht="14.5">
      <c r="A74" s="91"/>
      <c r="B74" s="15" t="s">
        <v>31</v>
      </c>
      <c r="C74" s="244" t="str">
        <f>IF(AND(C87&lt;&gt;"N/A",C97&lt;&gt;"N/A"),C87+C97,"N/A")</f>
        <v>N/A</v>
      </c>
      <c r="D74" s="244">
        <f>D87+D97</f>
        <v>3418.0151095885494</v>
      </c>
      <c r="E74" s="244">
        <f>E87+E97</f>
        <v>3418.0151095885494</v>
      </c>
      <c r="F74" s="244">
        <f>F87+F97</f>
        <v>0</v>
      </c>
      <c r="G74" s="111" t="str">
        <f t="shared" si="15"/>
        <v>N/A</v>
      </c>
      <c r="H74" s="261">
        <f>H87+H97</f>
        <v>165961.5</v>
      </c>
      <c r="I74" s="261">
        <f>I87+I97</f>
        <v>106215.36</v>
      </c>
      <c r="J74" s="261">
        <f>J87+J97</f>
        <v>59746.14</v>
      </c>
      <c r="K74" s="261">
        <f>K87+K97</f>
        <v>0</v>
      </c>
      <c r="L74" s="261">
        <f>L87+L97</f>
        <v>1610750</v>
      </c>
      <c r="M74" s="113">
        <f t="shared" si="16"/>
        <v>0.10303367996275027</v>
      </c>
      <c r="N74" s="91"/>
      <c r="O74" s="91"/>
      <c r="P74" s="91"/>
      <c r="Q74" s="91"/>
      <c r="R74" s="91"/>
      <c r="S74" s="91"/>
      <c r="T74" s="91"/>
      <c r="U74" s="91"/>
      <c r="V74" s="91"/>
      <c r="W74" s="91"/>
      <c r="X74" s="91"/>
      <c r="Y74" s="91"/>
    </row>
    <row r="75" spans="1:25" ht="14.5">
      <c r="A75" s="91"/>
      <c r="B75" s="15" t="s">
        <v>309</v>
      </c>
      <c r="C75" s="244" t="str">
        <f>IF(AND(C88&lt;&gt;"N/A",C98&lt;&gt;"N/A"),C88+C98,"N/A")</f>
        <v>N/A</v>
      </c>
      <c r="D75" s="244" t="str">
        <f>IF(AND(D88&lt;&gt;"N/A",D98&lt;&gt;"N/A"),D88+D98,"N/A")</f>
        <v>N/A</v>
      </c>
      <c r="E75" s="244" t="str">
        <f t="shared" si="14"/>
        <v>N/A</v>
      </c>
      <c r="F75" s="244" t="str">
        <f t="shared" si="14"/>
        <v>N/A</v>
      </c>
      <c r="G75" s="111" t="str">
        <f t="shared" si="15"/>
        <v>N/A</v>
      </c>
      <c r="H75" s="261">
        <f>H86+H98</f>
        <v>450323.82</v>
      </c>
      <c r="I75" s="261">
        <f>I88+I98</f>
        <v>20091303.918889005</v>
      </c>
      <c r="J75" s="261">
        <f>J88+J98</f>
        <v>11301358.454375064</v>
      </c>
      <c r="K75" s="261">
        <f>K86+K98</f>
        <v>2300000</v>
      </c>
      <c r="L75" s="261">
        <f>L86+L98</f>
        <v>2312033.8200000003</v>
      </c>
      <c r="M75" s="113"/>
      <c r="N75" s="91"/>
      <c r="O75" s="91"/>
      <c r="P75" s="91"/>
      <c r="Q75" s="91"/>
      <c r="R75" s="91"/>
      <c r="S75" s="91"/>
      <c r="T75" s="91"/>
      <c r="U75" s="91"/>
      <c r="V75" s="91"/>
      <c r="W75" s="91"/>
      <c r="X75" s="91"/>
      <c r="Y75" s="91"/>
    </row>
    <row r="76" spans="1:25" ht="20.149999999999999" customHeight="1">
      <c r="A76" s="91"/>
      <c r="B76" s="16" t="s">
        <v>69</v>
      </c>
      <c r="C76" s="246">
        <f>SUM(C66:C73)</f>
        <v>296038.68699999998</v>
      </c>
      <c r="D76" s="246">
        <f>SUM(D66:D74)</f>
        <v>442721.68443863856</v>
      </c>
      <c r="E76" s="246">
        <f>SUM(E66:E74)</f>
        <v>442721.68443863856</v>
      </c>
      <c r="F76" s="246">
        <f>SUM(F66:F74)</f>
        <v>462220.60100000002</v>
      </c>
      <c r="G76" s="110">
        <f t="shared" si="15"/>
        <v>0.64047055964084987</v>
      </c>
      <c r="H76" s="262">
        <f>SUM(H66:H75)</f>
        <v>80104893.340776443</v>
      </c>
      <c r="I76" s="262">
        <f>SUM(I66:I75)</f>
        <v>71070228.412185922</v>
      </c>
      <c r="J76" s="262">
        <f>SUM(,J66:J75)</f>
        <v>39977003.481854588</v>
      </c>
      <c r="K76" s="262">
        <f>SUM(,K66:K75)</f>
        <v>123448193.67919977</v>
      </c>
      <c r="L76" s="262">
        <f>SUM(,L66:L75)</f>
        <v>142515362.06810045</v>
      </c>
      <c r="M76" s="232">
        <f>H76/L76</f>
        <v>0.56207900803352417</v>
      </c>
      <c r="N76" s="91"/>
      <c r="O76" s="91"/>
      <c r="P76" s="91"/>
      <c r="Q76" s="91"/>
      <c r="R76" s="91"/>
      <c r="S76" s="91"/>
      <c r="T76" s="91"/>
      <c r="U76" s="91"/>
      <c r="V76" s="91"/>
      <c r="W76" s="91"/>
      <c r="X76" s="91"/>
      <c r="Y76" s="91"/>
    </row>
    <row r="77" spans="1:25" ht="14.5">
      <c r="A77" s="91"/>
      <c r="B77" s="15" t="s">
        <v>70</v>
      </c>
      <c r="C77" s="249">
        <v>81667</v>
      </c>
      <c r="D77" s="250">
        <v>89923</v>
      </c>
      <c r="E77" s="247">
        <f t="shared" ref="E77:F87" si="18">D77</f>
        <v>89923</v>
      </c>
      <c r="F77" s="250">
        <v>89923</v>
      </c>
      <c r="G77" s="113">
        <f t="shared" si="15"/>
        <v>0.9081881164996719</v>
      </c>
      <c r="H77" s="263">
        <v>4642096.1400000006</v>
      </c>
      <c r="I77" s="261">
        <f t="shared" ref="I77:I87" si="19">H77*0.64</f>
        <v>2970941.5296000005</v>
      </c>
      <c r="J77" s="261">
        <f t="shared" ref="J77:J87" si="20">H77-I77</f>
        <v>1671154.6104000001</v>
      </c>
      <c r="K77" s="263">
        <v>6445233</v>
      </c>
      <c r="L77" s="263">
        <v>6198295.1400000006</v>
      </c>
      <c r="M77" s="113">
        <f t="shared" ref="M77:M87" si="21">IF(L77=0,"N/A",H77/L77)</f>
        <v>0.74893112301844988</v>
      </c>
      <c r="N77" s="91"/>
      <c r="O77" s="201"/>
      <c r="P77" s="91"/>
      <c r="Q77" s="91"/>
      <c r="R77" s="91"/>
      <c r="S77" s="91"/>
      <c r="T77" s="91"/>
      <c r="U77" s="91"/>
      <c r="V77" s="91"/>
      <c r="W77" s="91"/>
      <c r="X77" s="91"/>
      <c r="Y77" s="91"/>
    </row>
    <row r="78" spans="1:25" ht="14.5">
      <c r="A78" s="91"/>
      <c r="B78" s="15" t="s">
        <v>71</v>
      </c>
      <c r="C78" s="249">
        <v>4447</v>
      </c>
      <c r="D78" s="250">
        <v>5272.2341329999999</v>
      </c>
      <c r="E78" s="247">
        <f t="shared" si="18"/>
        <v>5272.2341329999999</v>
      </c>
      <c r="F78" s="250">
        <v>4429</v>
      </c>
      <c r="G78" s="284">
        <f>IF(AND(ISNUMBER(F78)=TRUE,F78&lt;&gt;0),C78/F78,"N/A")</f>
        <v>1.0040641228268232</v>
      </c>
      <c r="H78" s="263">
        <v>1807757.9447985452</v>
      </c>
      <c r="I78" s="261">
        <f t="shared" si="19"/>
        <v>1156965.0846710689</v>
      </c>
      <c r="J78" s="261">
        <f t="shared" si="20"/>
        <v>650792.86012747628</v>
      </c>
      <c r="K78" s="263">
        <v>1751831.7018618057</v>
      </c>
      <c r="L78" s="263">
        <v>2632634.944798545</v>
      </c>
      <c r="M78" s="113">
        <f t="shared" si="21"/>
        <v>0.68667247176454949</v>
      </c>
      <c r="N78" s="91"/>
      <c r="O78" s="202"/>
      <c r="P78" s="91"/>
      <c r="Q78" s="91"/>
      <c r="R78" s="91"/>
      <c r="S78" s="91"/>
      <c r="T78" s="91"/>
      <c r="U78" s="91"/>
      <c r="V78" s="91"/>
      <c r="W78" s="91"/>
      <c r="X78" s="91"/>
      <c r="Y78" s="91"/>
    </row>
    <row r="79" spans="1:25" ht="14.5">
      <c r="A79" s="91"/>
      <c r="B79" s="15" t="s">
        <v>72</v>
      </c>
      <c r="C79" s="249">
        <v>4764</v>
      </c>
      <c r="D79" s="250">
        <v>6051.0000000000009</v>
      </c>
      <c r="E79" s="247">
        <f t="shared" si="18"/>
        <v>6051.0000000000009</v>
      </c>
      <c r="F79" s="250">
        <v>6051</v>
      </c>
      <c r="G79" s="113">
        <f t="shared" si="15"/>
        <v>0.78730788299454635</v>
      </c>
      <c r="H79" s="263">
        <v>3083377.9384655217</v>
      </c>
      <c r="I79" s="261">
        <f t="shared" si="19"/>
        <v>1973361.8806179338</v>
      </c>
      <c r="J79" s="261">
        <f t="shared" si="20"/>
        <v>1110016.0578475879</v>
      </c>
      <c r="K79" s="263">
        <v>4769769.1036928128</v>
      </c>
      <c r="L79" s="263">
        <v>4744809.0384655213</v>
      </c>
      <c r="M79" s="113">
        <f t="shared" si="21"/>
        <v>0.64984236741015211</v>
      </c>
      <c r="N79" s="91"/>
      <c r="O79" s="283"/>
      <c r="P79" s="236"/>
      <c r="Q79" s="91"/>
      <c r="R79" s="91"/>
      <c r="S79" s="91"/>
      <c r="T79" s="91"/>
      <c r="U79" s="91"/>
      <c r="V79" s="91"/>
      <c r="W79" s="91"/>
      <c r="X79" s="91"/>
      <c r="Y79" s="91"/>
    </row>
    <row r="80" spans="1:25" ht="14.5">
      <c r="A80" s="91"/>
      <c r="B80" s="15" t="s">
        <v>73</v>
      </c>
      <c r="C80" s="249">
        <v>719.59999999999991</v>
      </c>
      <c r="D80" s="250">
        <v>1018.9999999999986</v>
      </c>
      <c r="E80" s="247">
        <f t="shared" si="18"/>
        <v>1018.9999999999986</v>
      </c>
      <c r="F80" s="250">
        <v>689</v>
      </c>
      <c r="G80" s="113">
        <f t="shared" si="15"/>
        <v>1.0444121915820028</v>
      </c>
      <c r="H80" s="263">
        <v>108950.33</v>
      </c>
      <c r="I80" s="261">
        <f t="shared" si="19"/>
        <v>69728.211200000005</v>
      </c>
      <c r="J80" s="261">
        <f t="shared" si="20"/>
        <v>39222.118799999997</v>
      </c>
      <c r="K80" s="263">
        <v>128479</v>
      </c>
      <c r="L80" s="263">
        <v>127846.33</v>
      </c>
      <c r="M80" s="113">
        <f t="shared" si="21"/>
        <v>0.85219755623802418</v>
      </c>
      <c r="N80" s="91"/>
      <c r="O80" s="235"/>
      <c r="P80" s="91"/>
      <c r="Q80" s="91"/>
      <c r="R80" s="91"/>
      <c r="S80" s="91"/>
      <c r="T80" s="91"/>
      <c r="U80" s="91"/>
      <c r="V80" s="91"/>
      <c r="W80" s="91"/>
      <c r="X80" s="91"/>
      <c r="Y80" s="91"/>
    </row>
    <row r="81" spans="1:25" ht="14.5">
      <c r="A81" s="91"/>
      <c r="B81" s="15" t="s">
        <v>74</v>
      </c>
      <c r="C81" s="249">
        <v>3466.1</v>
      </c>
      <c r="D81" s="250">
        <v>0</v>
      </c>
      <c r="E81" s="247">
        <f t="shared" si="18"/>
        <v>0</v>
      </c>
      <c r="F81" s="250">
        <v>17169</v>
      </c>
      <c r="G81" s="113">
        <f t="shared" si="15"/>
        <v>0.20188129768769292</v>
      </c>
      <c r="H81" s="263">
        <v>2138913.11</v>
      </c>
      <c r="I81" s="261">
        <f t="shared" si="19"/>
        <v>1368904.3903999999</v>
      </c>
      <c r="J81" s="261">
        <f t="shared" si="20"/>
        <v>770008.71959999995</v>
      </c>
      <c r="K81" s="263">
        <v>7262212.120000001</v>
      </c>
      <c r="L81" s="263">
        <v>3672239.9933333327</v>
      </c>
      <c r="M81" s="113">
        <f t="shared" si="21"/>
        <v>0.58245460914401859</v>
      </c>
      <c r="N81" s="189"/>
      <c r="O81" s="222"/>
      <c r="P81" s="91"/>
      <c r="Q81" s="91"/>
      <c r="R81" s="91"/>
      <c r="S81" s="91"/>
      <c r="T81" s="91"/>
      <c r="U81" s="91"/>
      <c r="V81" s="91"/>
      <c r="W81" s="91"/>
      <c r="X81" s="91"/>
      <c r="Y81" s="91"/>
    </row>
    <row r="82" spans="1:25" ht="14.5">
      <c r="A82" s="91"/>
      <c r="B82" s="15" t="s">
        <v>75</v>
      </c>
      <c r="C82" s="249">
        <v>81716</v>
      </c>
      <c r="D82" s="250">
        <v>117515.31359887976</v>
      </c>
      <c r="E82" s="247">
        <f t="shared" si="18"/>
        <v>117515.31359887976</v>
      </c>
      <c r="F82" s="250">
        <v>112072.48099999999</v>
      </c>
      <c r="G82" s="113">
        <f t="shared" si="15"/>
        <v>0.72913528165759101</v>
      </c>
      <c r="H82" s="263">
        <v>16909690.690000001</v>
      </c>
      <c r="I82" s="261">
        <f t="shared" si="19"/>
        <v>10822202.041600002</v>
      </c>
      <c r="J82" s="261">
        <f t="shared" si="20"/>
        <v>6087488.6483999994</v>
      </c>
      <c r="K82" s="263">
        <v>23827281.969999999</v>
      </c>
      <c r="L82" s="263">
        <v>28072223.690000001</v>
      </c>
      <c r="M82" s="113">
        <f t="shared" si="21"/>
        <v>0.6023637769751613</v>
      </c>
      <c r="N82" s="91"/>
      <c r="O82" s="222"/>
      <c r="P82" s="91"/>
      <c r="Q82" s="91"/>
      <c r="R82" s="91"/>
      <c r="S82" s="91"/>
      <c r="T82" s="91"/>
      <c r="U82" s="91"/>
      <c r="V82" s="91"/>
      <c r="W82" s="91"/>
      <c r="X82" s="91"/>
      <c r="Y82" s="91"/>
    </row>
    <row r="83" spans="1:25" ht="14.5">
      <c r="A83" s="91"/>
      <c r="B83" s="15" t="s">
        <v>76</v>
      </c>
      <c r="C83" s="249">
        <v>973.74</v>
      </c>
      <c r="D83" s="250">
        <v>4081.9576499999985</v>
      </c>
      <c r="E83" s="247">
        <f t="shared" si="18"/>
        <v>4081.9576499999985</v>
      </c>
      <c r="F83" s="250">
        <v>2124</v>
      </c>
      <c r="G83" s="113">
        <f t="shared" si="15"/>
        <v>0.45844632768361582</v>
      </c>
      <c r="H83" s="263">
        <v>348634.68000000005</v>
      </c>
      <c r="I83" s="261">
        <f t="shared" si="19"/>
        <v>223126.19520000005</v>
      </c>
      <c r="J83" s="261">
        <f t="shared" si="20"/>
        <v>125508.48480000001</v>
      </c>
      <c r="K83" s="263">
        <v>761314</v>
      </c>
      <c r="L83" s="263">
        <v>708695.31</v>
      </c>
      <c r="M83" s="113">
        <f t="shared" si="21"/>
        <v>0.49193874304036245</v>
      </c>
      <c r="N83" s="91"/>
      <c r="O83" s="235"/>
      <c r="P83" s="236"/>
      <c r="Q83" s="91"/>
      <c r="R83" s="91"/>
      <c r="S83" s="91"/>
      <c r="T83" s="91"/>
      <c r="U83" s="91"/>
      <c r="V83" s="91"/>
      <c r="W83" s="91"/>
      <c r="X83" s="91"/>
      <c r="Y83" s="91"/>
    </row>
    <row r="84" spans="1:25" ht="14.5">
      <c r="A84" s="91"/>
      <c r="B84" s="15" t="s">
        <v>77</v>
      </c>
      <c r="C84" s="248">
        <v>186</v>
      </c>
      <c r="D84" s="250">
        <v>239.00000000000003</v>
      </c>
      <c r="E84" s="247">
        <f t="shared" si="18"/>
        <v>239.00000000000003</v>
      </c>
      <c r="F84" s="250">
        <v>239</v>
      </c>
      <c r="G84" s="113">
        <f t="shared" si="15"/>
        <v>0.77824267782426781</v>
      </c>
      <c r="H84" s="263">
        <v>139963.56</v>
      </c>
      <c r="I84" s="261">
        <f t="shared" si="19"/>
        <v>89576.678400000004</v>
      </c>
      <c r="J84" s="261">
        <f t="shared" si="20"/>
        <v>50386.881599999993</v>
      </c>
      <c r="K84" s="263">
        <v>334767</v>
      </c>
      <c r="L84" s="263">
        <v>282657.51500000001</v>
      </c>
      <c r="M84" s="113">
        <f t="shared" si="21"/>
        <v>0.49517013549064842</v>
      </c>
      <c r="N84" s="91"/>
      <c r="O84" s="222"/>
      <c r="P84" s="91"/>
      <c r="Q84" s="91"/>
      <c r="R84" s="91"/>
      <c r="S84" s="91"/>
      <c r="T84" s="91"/>
      <c r="U84" s="91"/>
      <c r="V84" s="91"/>
      <c r="W84" s="91"/>
      <c r="X84" s="91"/>
      <c r="Y84" s="91"/>
    </row>
    <row r="85" spans="1:25" ht="14.5">
      <c r="A85" s="91"/>
      <c r="B85" s="15" t="s">
        <v>78</v>
      </c>
      <c r="C85" s="249">
        <v>3501.73</v>
      </c>
      <c r="D85" s="250">
        <v>4101.133580170218</v>
      </c>
      <c r="E85" s="247">
        <f t="shared" si="18"/>
        <v>4101.133580170218</v>
      </c>
      <c r="F85" s="250">
        <v>5151</v>
      </c>
      <c r="G85" s="113">
        <f t="shared" si="15"/>
        <v>0.67981556979227331</v>
      </c>
      <c r="H85" s="263">
        <v>1762954.1599999997</v>
      </c>
      <c r="I85" s="261">
        <f>H85*0.64</f>
        <v>1128290.6623999998</v>
      </c>
      <c r="J85" s="261">
        <f>H85-I85</f>
        <v>634663.49759999989</v>
      </c>
      <c r="K85" s="263">
        <v>2857314.2600000002</v>
      </c>
      <c r="L85" s="263">
        <v>3326978.8749999995</v>
      </c>
      <c r="M85" s="113">
        <f t="shared" si="21"/>
        <v>0.52989640939634763</v>
      </c>
      <c r="N85" s="91"/>
      <c r="O85" s="202"/>
      <c r="P85" s="91"/>
      <c r="Q85" s="139"/>
      <c r="R85" s="91"/>
      <c r="S85" s="91"/>
      <c r="T85" s="91"/>
      <c r="U85" s="91"/>
      <c r="V85" s="91"/>
      <c r="W85" s="91"/>
      <c r="X85" s="91"/>
      <c r="Y85" s="91"/>
    </row>
    <row r="86" spans="1:25" ht="14.5">
      <c r="A86" s="91"/>
      <c r="B86" s="15" t="s">
        <v>308</v>
      </c>
      <c r="C86" s="249" t="s">
        <v>29</v>
      </c>
      <c r="D86" s="249" t="s">
        <v>29</v>
      </c>
      <c r="E86" s="247" t="str">
        <f t="shared" si="18"/>
        <v>N/A</v>
      </c>
      <c r="F86" s="247" t="str">
        <f t="shared" si="18"/>
        <v>N/A</v>
      </c>
      <c r="G86" s="113" t="str">
        <f t="shared" si="15"/>
        <v>N/A</v>
      </c>
      <c r="H86" s="263">
        <v>172158.5</v>
      </c>
      <c r="I86" s="261">
        <f>H86*0.64</f>
        <v>110181.44</v>
      </c>
      <c r="J86" s="261">
        <f>H86-I86</f>
        <v>61977.06</v>
      </c>
      <c r="K86" s="263">
        <v>550000</v>
      </c>
      <c r="L86" s="263">
        <v>610744.5</v>
      </c>
      <c r="M86" s="113"/>
      <c r="N86" s="91"/>
      <c r="O86" s="202"/>
      <c r="P86" s="91"/>
      <c r="Q86" s="139"/>
      <c r="R86" s="91"/>
      <c r="S86" s="91"/>
      <c r="T86" s="91"/>
      <c r="U86" s="91"/>
      <c r="V86" s="91"/>
      <c r="W86" s="91"/>
      <c r="X86" s="91"/>
      <c r="Y86" s="91"/>
    </row>
    <row r="87" spans="1:25" ht="14.5">
      <c r="A87" s="91"/>
      <c r="B87" s="15" t="s">
        <v>79</v>
      </c>
      <c r="C87" s="249" t="s">
        <v>29</v>
      </c>
      <c r="D87" s="250">
        <v>2180.3415194611594</v>
      </c>
      <c r="E87" s="247">
        <f t="shared" si="18"/>
        <v>2180.3415194611594</v>
      </c>
      <c r="F87" s="250">
        <v>0</v>
      </c>
      <c r="G87" s="113" t="str">
        <f t="shared" si="15"/>
        <v>N/A</v>
      </c>
      <c r="H87" s="263">
        <v>0</v>
      </c>
      <c r="I87" s="261">
        <f t="shared" si="19"/>
        <v>0</v>
      </c>
      <c r="J87" s="261">
        <f t="shared" si="20"/>
        <v>0</v>
      </c>
      <c r="K87" s="263">
        <v>0</v>
      </c>
      <c r="L87" s="263">
        <v>0</v>
      </c>
      <c r="M87" s="113" t="str">
        <f t="shared" si="21"/>
        <v>N/A</v>
      </c>
      <c r="N87" s="91"/>
      <c r="O87" s="202"/>
      <c r="P87" s="91"/>
      <c r="Q87" s="139"/>
      <c r="R87" s="91"/>
      <c r="S87" s="91"/>
      <c r="T87" s="91"/>
      <c r="U87" s="91"/>
      <c r="V87" s="91"/>
      <c r="W87" s="91"/>
      <c r="X87" s="91"/>
      <c r="Y87" s="91"/>
    </row>
    <row r="88" spans="1:25" ht="20.149999999999999" customHeight="1">
      <c r="A88" s="91"/>
      <c r="B88" s="60" t="s">
        <v>80</v>
      </c>
      <c r="C88" s="252">
        <f>SUM(C77:C87)</f>
        <v>181441.17</v>
      </c>
      <c r="D88" s="246">
        <f>SUM(D77:D87)</f>
        <v>230382.98048151113</v>
      </c>
      <c r="E88" s="246">
        <f>SUM(E77:E87)</f>
        <v>230382.98048151113</v>
      </c>
      <c r="F88" s="246">
        <f>SUM(F77:F87)</f>
        <v>237847.48099999997</v>
      </c>
      <c r="G88" s="110">
        <f t="shared" si="15"/>
        <v>0.76284671688408601</v>
      </c>
      <c r="H88" s="262">
        <f>SUM(H77:H87)</f>
        <v>31114497.053264067</v>
      </c>
      <c r="I88" s="262">
        <f>SUM(I77:I87)</f>
        <v>19913278.114089005</v>
      </c>
      <c r="J88" s="262">
        <f>SUM(J77:J87)</f>
        <v>11201218.939175064</v>
      </c>
      <c r="K88" s="262">
        <f>SUM(K77:K87)</f>
        <v>48688202.155554615</v>
      </c>
      <c r="L88" s="262">
        <f>SUM(L77:L87)</f>
        <v>50377125.336597405</v>
      </c>
      <c r="M88" s="232">
        <f>H88/L88</f>
        <v>0.61763145168309863</v>
      </c>
      <c r="N88" s="204"/>
      <c r="O88" s="205"/>
      <c r="P88" s="91"/>
      <c r="Q88" s="91"/>
      <c r="R88" s="91"/>
      <c r="S88" s="91"/>
      <c r="T88" s="91"/>
      <c r="U88" s="91"/>
      <c r="V88" s="91"/>
      <c r="W88" s="91"/>
      <c r="X88" s="91"/>
      <c r="Y88" s="91"/>
    </row>
    <row r="89" spans="1:25" ht="20.149999999999999" customHeight="1">
      <c r="A89" s="91"/>
      <c r="B89" s="239" t="s">
        <v>81</v>
      </c>
      <c r="C89" s="253"/>
      <c r="D89" s="253"/>
      <c r="E89" s="253"/>
      <c r="F89" s="253"/>
      <c r="G89" s="253"/>
      <c r="H89" s="240"/>
      <c r="I89" s="240"/>
      <c r="J89" s="240"/>
      <c r="K89" s="240"/>
      <c r="L89" s="240"/>
      <c r="M89" s="241"/>
      <c r="N89" s="91"/>
      <c r="O89" s="91"/>
      <c r="P89" s="91"/>
      <c r="Q89" s="91"/>
      <c r="R89" s="91"/>
      <c r="S89" s="91"/>
      <c r="T89" s="91"/>
      <c r="U89" s="91"/>
      <c r="V89" s="91"/>
      <c r="W89" s="91"/>
      <c r="X89" s="91"/>
      <c r="Y89" s="91"/>
    </row>
    <row r="90" spans="1:25" ht="14.5">
      <c r="A90" s="91"/>
      <c r="B90" s="15" t="s">
        <v>82</v>
      </c>
      <c r="C90" s="249">
        <v>3416</v>
      </c>
      <c r="D90" s="254">
        <v>13586</v>
      </c>
      <c r="E90" s="255">
        <f t="shared" ref="E90:E98" si="22">D90</f>
        <v>13586</v>
      </c>
      <c r="F90" s="250">
        <v>13587</v>
      </c>
      <c r="G90" s="115">
        <f t="shared" ref="G90:G99" si="23">IF(AND(ISNUMBER(F90)=TRUE,F90&lt;&gt;0),C90/F90,"N/A")</f>
        <v>0.25141679546625451</v>
      </c>
      <c r="H90" s="264">
        <v>13548680.296401618</v>
      </c>
      <c r="I90" s="265">
        <f t="shared" ref="I90:I98" si="24">H90*0.64</f>
        <v>8671155.3896970358</v>
      </c>
      <c r="J90" s="265">
        <f t="shared" ref="J90:J98" si="25">H90-I90</f>
        <v>4877524.9067045823</v>
      </c>
      <c r="K90" s="264">
        <v>22572575.614958648</v>
      </c>
      <c r="L90" s="264">
        <v>25860668.106401619</v>
      </c>
      <c r="M90" s="115">
        <f t="shared" ref="M90:M96" si="26">H90/L90</f>
        <v>0.52391068322970902</v>
      </c>
      <c r="N90" s="91"/>
      <c r="O90" s="203"/>
      <c r="P90" s="91"/>
      <c r="Q90" s="91"/>
      <c r="R90" s="91"/>
      <c r="S90" s="91"/>
      <c r="T90" s="91"/>
      <c r="U90" s="91"/>
      <c r="V90" s="91"/>
      <c r="W90" s="91"/>
      <c r="X90" s="91"/>
      <c r="Y90" s="91"/>
    </row>
    <row r="91" spans="1:25" ht="14.5">
      <c r="A91" s="91"/>
      <c r="B91" s="15" t="s">
        <v>83</v>
      </c>
      <c r="C91" s="249">
        <v>2050</v>
      </c>
      <c r="D91" s="254">
        <v>12907.883567000001</v>
      </c>
      <c r="E91" s="255">
        <f t="shared" si="22"/>
        <v>12907.883567000001</v>
      </c>
      <c r="F91" s="250">
        <v>14061</v>
      </c>
      <c r="G91" s="115">
        <f t="shared" si="23"/>
        <v>0.14579332906621151</v>
      </c>
      <c r="H91" s="264">
        <v>1617490.2375530498</v>
      </c>
      <c r="I91" s="265">
        <f t="shared" si="24"/>
        <v>1035193.7520339519</v>
      </c>
      <c r="J91" s="265">
        <f t="shared" si="25"/>
        <v>582296.48551909789</v>
      </c>
      <c r="K91" s="264">
        <v>5446368.2015587222</v>
      </c>
      <c r="L91" s="264">
        <v>2771136.6375530497</v>
      </c>
      <c r="M91" s="115">
        <f t="shared" si="26"/>
        <v>0.583691982428306</v>
      </c>
      <c r="N91" s="91"/>
      <c r="O91" s="202"/>
      <c r="P91" s="91"/>
      <c r="Q91" s="91"/>
      <c r="R91" s="91"/>
      <c r="S91" s="91"/>
      <c r="T91" s="91"/>
      <c r="U91" s="91"/>
      <c r="V91" s="91"/>
      <c r="W91" s="91"/>
      <c r="X91" s="91"/>
      <c r="Y91" s="91"/>
    </row>
    <row r="92" spans="1:25" ht="14.5">
      <c r="A92" s="91"/>
      <c r="B92" s="15" t="s">
        <v>84</v>
      </c>
      <c r="C92" s="249">
        <v>8057</v>
      </c>
      <c r="D92" s="254">
        <v>14178</v>
      </c>
      <c r="E92" s="255">
        <f t="shared" si="22"/>
        <v>14178</v>
      </c>
      <c r="F92" s="250">
        <v>17271</v>
      </c>
      <c r="G92" s="115">
        <f t="shared" si="23"/>
        <v>0.46650454519136125</v>
      </c>
      <c r="H92" s="264">
        <v>13545249.053557703</v>
      </c>
      <c r="I92" s="265">
        <f t="shared" si="24"/>
        <v>8668959.39427693</v>
      </c>
      <c r="J92" s="265">
        <f t="shared" si="25"/>
        <v>4876289.6592807733</v>
      </c>
      <c r="K92" s="264">
        <v>18115939.535706934</v>
      </c>
      <c r="L92" s="264">
        <f>26539392.645456+900000</f>
        <v>27439392.645456001</v>
      </c>
      <c r="M92" s="115">
        <f t="shared" si="26"/>
        <v>0.49364245151398473</v>
      </c>
      <c r="N92" s="91"/>
      <c r="O92" s="202"/>
      <c r="P92" s="91"/>
      <c r="Q92" s="91"/>
      <c r="R92" s="91"/>
      <c r="S92" s="91"/>
      <c r="T92" s="91"/>
      <c r="U92" s="91"/>
      <c r="V92" s="91"/>
      <c r="W92" s="91"/>
      <c r="X92" s="91"/>
      <c r="Y92" s="91"/>
    </row>
    <row r="93" spans="1:25" ht="14.5">
      <c r="A93" s="91"/>
      <c r="B93" s="15" t="s">
        <v>85</v>
      </c>
      <c r="C93" s="249">
        <v>488</v>
      </c>
      <c r="D93" s="254">
        <v>1915</v>
      </c>
      <c r="E93" s="255">
        <f t="shared" si="22"/>
        <v>1915</v>
      </c>
      <c r="F93" s="250">
        <v>3331</v>
      </c>
      <c r="G93" s="115">
        <f t="shared" si="23"/>
        <v>0.14650255178625038</v>
      </c>
      <c r="H93" s="264">
        <v>1240678.5799999998</v>
      </c>
      <c r="I93" s="265">
        <f t="shared" si="24"/>
        <v>794034.29119999986</v>
      </c>
      <c r="J93" s="265">
        <f t="shared" si="25"/>
        <v>446644.28879999998</v>
      </c>
      <c r="K93" s="264">
        <v>2648951.0214208388</v>
      </c>
      <c r="L93" s="264">
        <v>1782442.4291899996</v>
      </c>
      <c r="M93" s="115">
        <f t="shared" si="26"/>
        <v>0.69605534500421706</v>
      </c>
      <c r="N93" s="91"/>
      <c r="O93" s="202"/>
      <c r="P93" s="91"/>
      <c r="Q93" s="91"/>
      <c r="R93" s="91"/>
      <c r="S93" s="91"/>
      <c r="T93" s="91"/>
      <c r="U93" s="91"/>
      <c r="V93" s="91"/>
      <c r="W93" s="91"/>
      <c r="X93" s="91"/>
      <c r="Y93" s="91"/>
    </row>
    <row r="94" spans="1:25" ht="14.5">
      <c r="A94" s="91"/>
      <c r="B94" s="108" t="s">
        <v>86</v>
      </c>
      <c r="C94" s="249">
        <v>4924</v>
      </c>
      <c r="D94" s="254">
        <v>41408.14680000001</v>
      </c>
      <c r="E94" s="255">
        <f t="shared" si="22"/>
        <v>41408.14680000001</v>
      </c>
      <c r="F94" s="250">
        <v>39153.120000000003</v>
      </c>
      <c r="G94" s="115">
        <f t="shared" si="23"/>
        <v>0.12576264675714222</v>
      </c>
      <c r="H94" s="264">
        <v>8164435.7400000002</v>
      </c>
      <c r="I94" s="265">
        <f t="shared" si="24"/>
        <v>5225238.8736000005</v>
      </c>
      <c r="J94" s="265">
        <f t="shared" si="25"/>
        <v>2939196.8663999997</v>
      </c>
      <c r="K94" s="264">
        <v>8610938</v>
      </c>
      <c r="L94" s="264">
        <v>11218231.74</v>
      </c>
      <c r="M94" s="115">
        <f t="shared" si="26"/>
        <v>0.72778276730446645</v>
      </c>
      <c r="N94" s="91"/>
      <c r="O94" s="202"/>
      <c r="P94" s="91"/>
      <c r="Q94" s="91"/>
      <c r="R94" s="91"/>
      <c r="S94" s="91"/>
      <c r="T94" s="91"/>
      <c r="U94" s="91"/>
      <c r="V94" s="91"/>
      <c r="W94" s="91"/>
      <c r="X94" s="91"/>
      <c r="Y94" s="91"/>
    </row>
    <row r="95" spans="1:25" ht="14.5">
      <c r="A95" s="91"/>
      <c r="B95" s="15" t="s">
        <v>87</v>
      </c>
      <c r="C95" s="249">
        <v>94736.186999999991</v>
      </c>
      <c r="D95" s="254">
        <f>83481+36760+4989</f>
        <v>125230</v>
      </c>
      <c r="E95" s="255">
        <f t="shared" si="22"/>
        <v>125230</v>
      </c>
      <c r="F95" s="250">
        <v>135094</v>
      </c>
      <c r="G95" s="115">
        <f t="shared" si="23"/>
        <v>0.70126124772380705</v>
      </c>
      <c r="H95" s="264">
        <v>8597193.7800000012</v>
      </c>
      <c r="I95" s="265">
        <f t="shared" si="24"/>
        <v>5502204.0192000009</v>
      </c>
      <c r="J95" s="265">
        <f t="shared" si="25"/>
        <v>3094989.7608000003</v>
      </c>
      <c r="K95" s="264">
        <v>12755639.15</v>
      </c>
      <c r="L95" s="264">
        <v>17290767.83535726</v>
      </c>
      <c r="M95" s="115">
        <f t="shared" si="26"/>
        <v>0.49721295559934092</v>
      </c>
      <c r="N95" s="91"/>
      <c r="O95" s="202"/>
      <c r="P95" s="91"/>
      <c r="Q95" s="91"/>
      <c r="R95" s="91"/>
      <c r="S95" s="91"/>
      <c r="T95" s="91"/>
      <c r="U95" s="91"/>
      <c r="V95" s="91"/>
      <c r="W95" s="91"/>
      <c r="X95" s="91"/>
      <c r="Y95" s="91"/>
    </row>
    <row r="96" spans="1:25" ht="14.5">
      <c r="A96" s="91"/>
      <c r="B96" s="15" t="s">
        <v>88</v>
      </c>
      <c r="C96" s="249">
        <v>926.33</v>
      </c>
      <c r="D96" s="254">
        <v>1875.9999999999995</v>
      </c>
      <c r="E96" s="255">
        <f t="shared" si="22"/>
        <v>1875.9999999999995</v>
      </c>
      <c r="F96" s="250">
        <v>1876</v>
      </c>
      <c r="G96" s="115">
        <f t="shared" si="23"/>
        <v>0.49377931769722816</v>
      </c>
      <c r="H96" s="264">
        <v>1832541.7799999996</v>
      </c>
      <c r="I96" s="265">
        <f t="shared" si="24"/>
        <v>1172826.7391999997</v>
      </c>
      <c r="J96" s="265">
        <f t="shared" si="25"/>
        <v>659715.04079999984</v>
      </c>
      <c r="K96" s="264">
        <v>2859580</v>
      </c>
      <c r="L96" s="264">
        <v>2463558.0175451776</v>
      </c>
      <c r="M96" s="115">
        <f t="shared" si="26"/>
        <v>0.7438598023463816</v>
      </c>
      <c r="N96" s="91"/>
      <c r="O96" s="202"/>
      <c r="P96" s="91"/>
      <c r="Q96" s="91"/>
      <c r="R96" s="91"/>
      <c r="S96" s="91"/>
      <c r="T96" s="91"/>
      <c r="U96" s="91"/>
      <c r="V96" s="91"/>
      <c r="W96" s="91"/>
      <c r="X96" s="91"/>
      <c r="Y96" s="91"/>
    </row>
    <row r="97" spans="1:25" ht="14.5">
      <c r="A97" s="91"/>
      <c r="B97" s="15" t="s">
        <v>295</v>
      </c>
      <c r="C97" s="249" t="s">
        <v>29</v>
      </c>
      <c r="D97" s="254">
        <v>1237.6735901273901</v>
      </c>
      <c r="E97" s="255">
        <f t="shared" si="22"/>
        <v>1237.6735901273901</v>
      </c>
      <c r="F97" s="250">
        <v>0</v>
      </c>
      <c r="G97" s="115" t="str">
        <f t="shared" si="23"/>
        <v>N/A</v>
      </c>
      <c r="H97" s="264">
        <f>72211.5+93750</f>
        <v>165961.5</v>
      </c>
      <c r="I97" s="265">
        <f t="shared" si="24"/>
        <v>106215.36</v>
      </c>
      <c r="J97" s="265">
        <f t="shared" si="25"/>
        <v>59746.14</v>
      </c>
      <c r="K97" s="264">
        <v>0</v>
      </c>
      <c r="L97" s="264">
        <v>1610750</v>
      </c>
      <c r="M97" s="113">
        <f>IF(L97=0,"N/A",H97/L97)</f>
        <v>0.10303367996275027</v>
      </c>
      <c r="N97" s="91"/>
      <c r="O97" s="202"/>
      <c r="P97" s="91"/>
      <c r="Q97" s="91"/>
      <c r="R97" s="91"/>
      <c r="S97" s="91"/>
      <c r="T97" s="91"/>
      <c r="U97" s="91"/>
      <c r="V97" s="91"/>
      <c r="W97" s="91"/>
      <c r="X97" s="91"/>
      <c r="Y97" s="91"/>
    </row>
    <row r="98" spans="1:25" ht="14.5">
      <c r="A98" s="91"/>
      <c r="B98" s="15" t="s">
        <v>296</v>
      </c>
      <c r="C98" s="249" t="s">
        <v>29</v>
      </c>
      <c r="D98" s="249" t="s">
        <v>29</v>
      </c>
      <c r="E98" s="255" t="str">
        <f t="shared" si="22"/>
        <v>N/A</v>
      </c>
      <c r="F98" s="250" t="s">
        <v>29</v>
      </c>
      <c r="G98" s="115" t="str">
        <f t="shared" si="23"/>
        <v>N/A</v>
      </c>
      <c r="H98" s="264">
        <v>278165.32</v>
      </c>
      <c r="I98" s="265">
        <f t="shared" si="24"/>
        <v>178025.80480000001</v>
      </c>
      <c r="J98" s="265">
        <f t="shared" si="25"/>
        <v>100139.51519999999</v>
      </c>
      <c r="K98" s="264">
        <v>1750000</v>
      </c>
      <c r="L98" s="264">
        <v>1701289.32</v>
      </c>
      <c r="M98" s="113">
        <f>IF(L98=0,"N/A",H98/L98)</f>
        <v>0.16350265456318741</v>
      </c>
      <c r="N98" s="91"/>
      <c r="O98" s="202"/>
      <c r="P98" s="91"/>
      <c r="Q98" s="91"/>
      <c r="R98" s="91"/>
      <c r="S98" s="91"/>
      <c r="T98" s="91"/>
      <c r="U98" s="91"/>
      <c r="V98" s="91"/>
      <c r="W98" s="91"/>
      <c r="X98" s="91"/>
      <c r="Y98" s="91"/>
    </row>
    <row r="99" spans="1:25" ht="20.149999999999999" customHeight="1">
      <c r="A99" s="91"/>
      <c r="B99" s="60" t="s">
        <v>89</v>
      </c>
      <c r="C99" s="256">
        <f>SUM(C90:C96)</f>
        <v>114597.51699999999</v>
      </c>
      <c r="D99" s="257">
        <f>SUM(D90:D97)</f>
        <v>212338.70395712738</v>
      </c>
      <c r="E99" s="257">
        <f>SUM(E90:E97)</f>
        <v>212338.70395712738</v>
      </c>
      <c r="F99" s="257">
        <f>SUM(F90:F96)</f>
        <v>224373.12</v>
      </c>
      <c r="G99" s="117">
        <f t="shared" si="23"/>
        <v>0.51074530228932946</v>
      </c>
      <c r="H99" s="262">
        <f>SUM(H90:H98)</f>
        <v>48990396.287512377</v>
      </c>
      <c r="I99" s="266">
        <f>SUM(I90:I98)</f>
        <v>31353853.624007922</v>
      </c>
      <c r="J99" s="266">
        <f>SUM(J90:J98)</f>
        <v>17636542.663504455</v>
      </c>
      <c r="K99" s="266">
        <f>SUM(K90:K98)</f>
        <v>74759991.523645148</v>
      </c>
      <c r="L99" s="266">
        <f>SUM(L90:L98)</f>
        <v>92138236.731503114</v>
      </c>
      <c r="M99" s="231">
        <f>H99/L99</f>
        <v>0.53170538123356559</v>
      </c>
      <c r="N99" s="193"/>
      <c r="O99" s="206"/>
      <c r="P99" s="91"/>
      <c r="Q99" s="91"/>
      <c r="R99" s="91"/>
      <c r="S99" s="91"/>
      <c r="T99" s="91"/>
      <c r="U99" s="91"/>
      <c r="V99" s="91"/>
      <c r="W99" s="91"/>
      <c r="X99" s="91"/>
      <c r="Y99" s="91"/>
    </row>
    <row r="100" spans="1:25" ht="20.149999999999999" customHeight="1">
      <c r="A100" s="91"/>
      <c r="B100" s="32" t="s">
        <v>90</v>
      </c>
      <c r="C100" s="258"/>
      <c r="D100" s="258"/>
      <c r="E100" s="258"/>
      <c r="F100" s="258"/>
      <c r="G100" s="258"/>
      <c r="H100" s="33"/>
      <c r="I100" s="33"/>
      <c r="J100" s="33"/>
      <c r="K100" s="33"/>
      <c r="L100" s="33"/>
      <c r="M100" s="273"/>
      <c r="N100" s="91"/>
      <c r="O100" s="91"/>
      <c r="P100" s="91"/>
      <c r="Q100" s="91"/>
      <c r="R100" s="91"/>
      <c r="S100" s="91"/>
      <c r="T100" s="91"/>
      <c r="U100" s="91"/>
      <c r="V100" s="91"/>
      <c r="W100" s="91"/>
      <c r="X100" s="91"/>
      <c r="Y100" s="91"/>
    </row>
    <row r="101" spans="1:25" ht="14.5">
      <c r="A101" s="91"/>
      <c r="B101" s="90" t="s">
        <v>91</v>
      </c>
      <c r="C101" s="242">
        <v>10853</v>
      </c>
      <c r="D101" s="242">
        <v>14471.22235</v>
      </c>
      <c r="E101" s="259">
        <f>D101</f>
        <v>14471.22235</v>
      </c>
      <c r="F101" s="242">
        <v>14471</v>
      </c>
      <c r="G101" s="115">
        <f t="shared" ref="G101:G107" si="27">IF(AND(ISNUMBER(F101)=TRUE,F101&lt;&gt;0),C101/F101,"N/A")</f>
        <v>0.74998272406882727</v>
      </c>
      <c r="H101" s="264">
        <f>13788.89+6513854.52</f>
        <v>6527643.4099999992</v>
      </c>
      <c r="I101" s="267">
        <v>0</v>
      </c>
      <c r="J101" s="265">
        <f>H101-I101</f>
        <v>6527643.4099999992</v>
      </c>
      <c r="K101" s="264">
        <f>170000+7561512+1902000</f>
        <v>9633512</v>
      </c>
      <c r="L101" s="264">
        <f>13788.89+10442168.52</f>
        <v>10455957.41</v>
      </c>
      <c r="M101" s="115">
        <f>H101/L101</f>
        <v>0.62429896699435761</v>
      </c>
      <c r="N101" s="91"/>
      <c r="O101" s="91"/>
      <c r="P101" s="91"/>
      <c r="Q101" s="91"/>
      <c r="R101" s="91"/>
      <c r="S101" s="91"/>
      <c r="T101" s="91"/>
      <c r="U101" s="91"/>
      <c r="V101" s="91"/>
      <c r="W101" s="91"/>
      <c r="X101" s="91"/>
      <c r="Y101" s="91"/>
    </row>
    <row r="102" spans="1:25" ht="14.5">
      <c r="A102" s="91"/>
      <c r="B102" s="90" t="s">
        <v>92</v>
      </c>
      <c r="C102" s="242">
        <v>29019</v>
      </c>
      <c r="D102" s="242">
        <v>165000</v>
      </c>
      <c r="E102" s="259">
        <f>D102</f>
        <v>165000</v>
      </c>
      <c r="F102" s="242">
        <v>165000</v>
      </c>
      <c r="G102" s="115">
        <f t="shared" si="27"/>
        <v>0.17587272727272726</v>
      </c>
      <c r="H102" s="269" t="s">
        <v>29</v>
      </c>
      <c r="I102" s="116" t="s">
        <v>29</v>
      </c>
      <c r="J102" s="116" t="s">
        <v>29</v>
      </c>
      <c r="K102" s="269" t="s">
        <v>29</v>
      </c>
      <c r="L102" s="269" t="s">
        <v>29</v>
      </c>
      <c r="M102" s="230" t="s">
        <v>29</v>
      </c>
      <c r="N102" s="91"/>
      <c r="O102" s="91"/>
      <c r="P102" s="91"/>
      <c r="Q102" s="91"/>
      <c r="R102" s="91"/>
      <c r="S102" s="91"/>
      <c r="T102" s="91"/>
      <c r="U102" s="91"/>
      <c r="V102" s="91"/>
      <c r="W102" s="91"/>
      <c r="X102" s="91"/>
      <c r="Y102" s="91"/>
    </row>
    <row r="103" spans="1:25" ht="14.5">
      <c r="A103" s="91"/>
      <c r="B103" s="90" t="s">
        <v>93</v>
      </c>
      <c r="C103" s="242">
        <v>0</v>
      </c>
      <c r="D103" s="242">
        <v>0</v>
      </c>
      <c r="E103" s="116" t="s">
        <v>29</v>
      </c>
      <c r="F103" s="242" t="s">
        <v>29</v>
      </c>
      <c r="G103" s="116" t="str">
        <f t="shared" si="27"/>
        <v>N/A</v>
      </c>
      <c r="H103" s="268">
        <v>42821</v>
      </c>
      <c r="I103" s="267">
        <v>0</v>
      </c>
      <c r="J103" s="267">
        <v>0</v>
      </c>
      <c r="K103" s="268">
        <v>964534</v>
      </c>
      <c r="L103" s="268">
        <v>47238</v>
      </c>
      <c r="M103" s="115">
        <f>H103/L103</f>
        <v>0.90649477115881283</v>
      </c>
      <c r="N103" s="91"/>
      <c r="O103" s="91"/>
      <c r="P103" s="91"/>
      <c r="Q103" s="91"/>
      <c r="R103" s="91"/>
      <c r="S103" s="91"/>
      <c r="T103" s="91"/>
      <c r="U103" s="91"/>
      <c r="V103" s="91"/>
      <c r="W103" s="91"/>
      <c r="X103" s="91"/>
      <c r="Y103" s="91"/>
    </row>
    <row r="104" spans="1:25" ht="20.149999999999999" customHeight="1">
      <c r="A104" s="91"/>
      <c r="B104" s="54" t="s">
        <v>94</v>
      </c>
      <c r="C104" s="256">
        <f>SUM(C101:C103)</f>
        <v>39872</v>
      </c>
      <c r="D104" s="257">
        <f>SUM(D101:D103)</f>
        <v>179471.22235</v>
      </c>
      <c r="E104" s="257">
        <f>D104</f>
        <v>179471.22235</v>
      </c>
      <c r="F104" s="257">
        <f>SUM(F101:F102)</f>
        <v>179471</v>
      </c>
      <c r="G104" s="117">
        <f t="shared" si="27"/>
        <v>0.22216402650010308</v>
      </c>
      <c r="H104" s="275">
        <f>SUM(H101:H103)</f>
        <v>6570464.4099999992</v>
      </c>
      <c r="I104" s="275">
        <f>SUM(I101:I103)</f>
        <v>0</v>
      </c>
      <c r="J104" s="275">
        <f>SUM(J101:J103)</f>
        <v>6527643.4099999992</v>
      </c>
      <c r="K104" s="275">
        <f>SUM(K101:K103)</f>
        <v>10598046</v>
      </c>
      <c r="L104" s="275">
        <f>SUM(L101:L103)</f>
        <v>10503195.41</v>
      </c>
      <c r="M104" s="231">
        <f>H104/L104</f>
        <v>0.62556813936302824</v>
      </c>
      <c r="N104" s="91"/>
      <c r="O104" s="91"/>
      <c r="P104" s="91"/>
      <c r="Q104" s="91"/>
      <c r="R104" s="91"/>
      <c r="S104" s="91"/>
      <c r="T104" s="91"/>
      <c r="U104" s="91"/>
      <c r="V104" s="91"/>
      <c r="W104" s="91"/>
      <c r="X104" s="91"/>
      <c r="Y104" s="91"/>
    </row>
    <row r="105" spans="1:25" ht="20.149999999999999" customHeight="1">
      <c r="A105" s="91"/>
      <c r="B105" s="54" t="s">
        <v>95</v>
      </c>
      <c r="C105" s="256">
        <v>126466.13465079</v>
      </c>
      <c r="D105" s="257">
        <v>145396</v>
      </c>
      <c r="E105" s="257">
        <f>D105</f>
        <v>145396</v>
      </c>
      <c r="F105" s="257">
        <v>145396.1742641567</v>
      </c>
      <c r="G105" s="117">
        <f t="shared" si="27"/>
        <v>0.86980372964302022</v>
      </c>
      <c r="H105" s="275" t="s">
        <v>29</v>
      </c>
      <c r="I105" s="275" t="s">
        <v>29</v>
      </c>
      <c r="J105" s="275" t="s">
        <v>29</v>
      </c>
      <c r="K105" s="275" t="s">
        <v>29</v>
      </c>
      <c r="L105" s="275" t="s">
        <v>29</v>
      </c>
      <c r="M105" s="231" t="s">
        <v>29</v>
      </c>
      <c r="N105" s="91"/>
      <c r="O105" s="91"/>
      <c r="P105" s="91"/>
      <c r="Q105" s="91"/>
      <c r="R105" s="91"/>
      <c r="S105" s="91"/>
      <c r="T105" s="91"/>
      <c r="U105" s="91"/>
      <c r="V105" s="91"/>
      <c r="W105" s="91"/>
      <c r="X105" s="91"/>
      <c r="Y105" s="91"/>
    </row>
    <row r="106" spans="1:25" ht="20.149999999999999" customHeight="1">
      <c r="A106" s="91"/>
      <c r="B106" s="54" t="s">
        <v>96</v>
      </c>
      <c r="C106" s="256">
        <v>57689.25</v>
      </c>
      <c r="D106" s="257">
        <v>76919.195533937731</v>
      </c>
      <c r="E106" s="257">
        <f>D106</f>
        <v>76919.195533937731</v>
      </c>
      <c r="F106" s="257">
        <v>76919</v>
      </c>
      <c r="G106" s="117">
        <f t="shared" si="27"/>
        <v>0.75</v>
      </c>
      <c r="H106" s="275" t="s">
        <v>29</v>
      </c>
      <c r="I106" s="275" t="s">
        <v>29</v>
      </c>
      <c r="J106" s="275" t="s">
        <v>29</v>
      </c>
      <c r="K106" s="275" t="s">
        <v>29</v>
      </c>
      <c r="L106" s="275" t="s">
        <v>29</v>
      </c>
      <c r="M106" s="231" t="s">
        <v>29</v>
      </c>
      <c r="N106" s="91"/>
      <c r="O106" s="139"/>
      <c r="P106" s="91"/>
      <c r="Q106" s="91"/>
      <c r="R106" s="91"/>
      <c r="S106" s="91"/>
      <c r="T106" s="91"/>
      <c r="U106" s="91"/>
      <c r="V106" s="91"/>
      <c r="W106" s="91"/>
      <c r="X106" s="91"/>
      <c r="Y106" s="91"/>
    </row>
    <row r="107" spans="1:25" s="229" customFormat="1" ht="25.25" customHeight="1">
      <c r="A107" s="226"/>
      <c r="B107" s="227" t="s">
        <v>97</v>
      </c>
      <c r="C107" s="274">
        <f>SUM(C104:C106,C76,C36)</f>
        <v>936695.12490229611</v>
      </c>
      <c r="D107" s="274">
        <f>SUM(D36,D76,D104,D106,D105)</f>
        <v>1739719.6029029083</v>
      </c>
      <c r="E107" s="274">
        <f>SUM(E36,E88,E99,E104,E106,E105)</f>
        <v>1739719.6029029083</v>
      </c>
      <c r="F107" s="274">
        <f>SUM(F36,F88,F99,F104,F106,F105)</f>
        <v>1756472.2752641565</v>
      </c>
      <c r="G107" s="225">
        <f t="shared" si="27"/>
        <v>0.53328204384064426</v>
      </c>
      <c r="H107" s="276">
        <f>SUM(H36,H88,H99,H104,H106,H105)</f>
        <v>192370440.02410975</v>
      </c>
      <c r="I107" s="276">
        <f>SUM(I36,I88,I99,I104,I106,I105)</f>
        <v>114071947.98983027</v>
      </c>
      <c r="J107" s="276">
        <f>SUM(J36,J88,J99,J104,J106,J105)</f>
        <v>78255671.03427951</v>
      </c>
      <c r="K107" s="276">
        <f>SUM(K36,K88,K99,K104,K106,K105)</f>
        <v>368053061.47511679</v>
      </c>
      <c r="L107" s="276">
        <f>SUM(L36,L88,L99,L104,L106,L105)</f>
        <v>357675420.23952842</v>
      </c>
      <c r="M107" s="225">
        <f>H107/L107</f>
        <v>0.5378352247277236</v>
      </c>
      <c r="N107" s="226"/>
      <c r="O107" s="228"/>
      <c r="P107" s="226"/>
      <c r="Q107" s="226"/>
      <c r="R107" s="226"/>
      <c r="S107" s="226"/>
      <c r="T107" s="226"/>
      <c r="U107" s="226"/>
      <c r="V107" s="226"/>
      <c r="W107" s="226"/>
      <c r="X107" s="226"/>
      <c r="Y107" s="226"/>
    </row>
    <row r="108" spans="1:25" ht="22.5" customHeight="1">
      <c r="A108" s="91"/>
      <c r="B108" s="181"/>
      <c r="C108" s="182"/>
      <c r="D108" s="238"/>
      <c r="E108" s="183"/>
      <c r="F108" s="184"/>
      <c r="G108" s="185"/>
      <c r="H108" s="186"/>
      <c r="I108" s="187"/>
      <c r="J108" s="187"/>
      <c r="K108" s="186"/>
      <c r="L108" s="186"/>
      <c r="M108" s="188"/>
      <c r="N108" s="91"/>
      <c r="O108" s="189"/>
      <c r="P108" s="91"/>
      <c r="Q108" s="91"/>
      <c r="R108" s="91"/>
      <c r="S108" s="91"/>
      <c r="T108" s="91"/>
      <c r="U108" s="91"/>
      <c r="V108" s="91"/>
      <c r="W108" s="91"/>
      <c r="X108" s="91"/>
      <c r="Y108" s="91"/>
    </row>
    <row r="109" spans="1:25" ht="22.5" customHeight="1">
      <c r="A109" s="91"/>
      <c r="B109" s="190"/>
      <c r="C109" s="190"/>
      <c r="D109" s="210"/>
      <c r="E109" s="183"/>
      <c r="F109" s="191"/>
      <c r="G109" s="192"/>
      <c r="H109" s="234"/>
      <c r="I109" s="187"/>
      <c r="J109" s="187"/>
      <c r="K109" s="187"/>
      <c r="L109" s="187"/>
      <c r="M109" s="188"/>
      <c r="N109" s="91"/>
      <c r="O109" s="193"/>
      <c r="P109" s="91"/>
      <c r="Q109" s="91"/>
      <c r="R109" s="91"/>
      <c r="S109" s="91"/>
      <c r="T109" s="91"/>
      <c r="U109" s="91"/>
      <c r="V109" s="91"/>
      <c r="W109" s="91"/>
      <c r="X109" s="91"/>
      <c r="Y109" s="91"/>
    </row>
    <row r="110" spans="1:25" ht="22.5" customHeight="1">
      <c r="A110" s="91"/>
      <c r="B110" s="182" t="s">
        <v>98</v>
      </c>
      <c r="C110" s="182"/>
      <c r="D110" s="237"/>
      <c r="E110" s="237"/>
      <c r="F110" s="91"/>
      <c r="G110" s="194"/>
      <c r="H110" s="91"/>
      <c r="I110" s="91"/>
      <c r="J110" s="91"/>
      <c r="K110" s="91"/>
      <c r="L110" s="131"/>
      <c r="M110" s="91"/>
      <c r="N110" s="91"/>
      <c r="O110" s="91"/>
      <c r="P110" s="91"/>
      <c r="Q110" s="91"/>
      <c r="R110" s="91"/>
      <c r="S110" s="91"/>
      <c r="T110" s="91"/>
      <c r="U110" s="91"/>
      <c r="V110" s="91"/>
      <c r="W110" s="91"/>
      <c r="X110" s="91"/>
      <c r="Y110" s="91"/>
    </row>
    <row r="111" spans="1:25" ht="27.5" customHeight="1">
      <c r="A111" s="91"/>
      <c r="B111" s="11" t="s">
        <v>99</v>
      </c>
      <c r="C111" s="11"/>
      <c r="D111" s="11"/>
      <c r="E111" s="11"/>
      <c r="F111" s="11"/>
      <c r="G111" s="11"/>
      <c r="H111" s="11"/>
      <c r="I111" s="11"/>
      <c r="J111" s="11"/>
      <c r="K111" s="11"/>
      <c r="L111" s="11"/>
      <c r="M111" s="11"/>
      <c r="N111" s="91"/>
      <c r="O111" s="91"/>
      <c r="P111" s="91"/>
      <c r="Q111" s="91"/>
      <c r="R111" s="91"/>
      <c r="S111" s="91"/>
      <c r="T111" s="91"/>
      <c r="U111" s="91"/>
      <c r="V111" s="91"/>
      <c r="W111" s="91"/>
      <c r="X111" s="91"/>
      <c r="Y111" s="91"/>
    </row>
    <row r="112" spans="1:25" ht="30.75" customHeight="1">
      <c r="A112" s="91"/>
      <c r="B112" s="11" t="s">
        <v>100</v>
      </c>
      <c r="C112" s="11"/>
      <c r="D112" s="11"/>
      <c r="E112" s="11"/>
      <c r="F112" s="11"/>
      <c r="G112" s="11"/>
      <c r="H112" s="11"/>
      <c r="I112" s="11"/>
      <c r="J112" s="11"/>
      <c r="K112" s="11"/>
      <c r="L112" s="11"/>
      <c r="M112" s="11"/>
      <c r="N112" s="91"/>
      <c r="O112" s="91"/>
      <c r="P112" s="91"/>
      <c r="Q112" s="91"/>
      <c r="R112" s="91"/>
      <c r="S112" s="91"/>
      <c r="T112" s="91"/>
      <c r="U112" s="91"/>
      <c r="V112" s="91"/>
      <c r="W112" s="91"/>
      <c r="X112" s="91"/>
      <c r="Y112" s="91"/>
    </row>
    <row r="113" spans="1:25" ht="34.5" customHeight="1">
      <c r="A113" s="91"/>
      <c r="B113" s="11" t="s">
        <v>101</v>
      </c>
      <c r="C113" s="11"/>
      <c r="D113" s="11"/>
      <c r="E113" s="11"/>
      <c r="F113" s="11"/>
      <c r="G113" s="11"/>
      <c r="H113" s="11"/>
      <c r="I113" s="11"/>
      <c r="J113" s="11"/>
      <c r="K113" s="11"/>
      <c r="L113" s="11"/>
      <c r="M113" s="11"/>
      <c r="N113" s="91"/>
      <c r="O113" s="91"/>
      <c r="P113" s="91"/>
      <c r="Q113" s="91"/>
      <c r="R113" s="91"/>
      <c r="S113" s="91"/>
      <c r="T113" s="91"/>
      <c r="U113" s="91"/>
      <c r="V113" s="91"/>
      <c r="W113" s="91"/>
      <c r="X113" s="91"/>
      <c r="Y113" s="91"/>
    </row>
    <row r="114" spans="1:25" ht="22.5" customHeight="1">
      <c r="A114" s="91"/>
      <c r="B114" s="3" t="s">
        <v>102</v>
      </c>
      <c r="C114" s="2"/>
      <c r="D114" s="2"/>
      <c r="E114" s="2"/>
      <c r="F114" s="2"/>
      <c r="G114" s="2"/>
      <c r="H114" s="2"/>
      <c r="I114" s="2"/>
      <c r="J114" s="2"/>
      <c r="K114" s="2"/>
      <c r="L114" s="2"/>
      <c r="M114" s="1"/>
      <c r="N114" s="91"/>
      <c r="O114" s="91"/>
      <c r="P114" s="91"/>
      <c r="Q114" s="91"/>
      <c r="R114" s="91"/>
      <c r="S114" s="91"/>
      <c r="T114" s="91"/>
      <c r="U114" s="91"/>
      <c r="V114" s="91"/>
      <c r="W114" s="91"/>
      <c r="X114" s="91"/>
      <c r="Y114" s="91"/>
    </row>
    <row r="115" spans="1:25" ht="22.5" customHeight="1">
      <c r="A115" s="91"/>
      <c r="B115" s="14" t="s">
        <v>103</v>
      </c>
      <c r="C115" s="13"/>
      <c r="D115" s="13"/>
      <c r="E115" s="13"/>
      <c r="F115" s="13"/>
      <c r="G115" s="13"/>
      <c r="H115" s="13"/>
      <c r="I115" s="13"/>
      <c r="J115" s="13"/>
      <c r="K115" s="13"/>
      <c r="L115" s="13"/>
      <c r="M115" s="12"/>
      <c r="N115" s="91"/>
      <c r="O115" s="91"/>
      <c r="P115" s="91"/>
      <c r="Q115" s="91"/>
      <c r="R115" s="91"/>
      <c r="S115" s="91"/>
      <c r="T115" s="91"/>
      <c r="U115" s="91"/>
      <c r="V115" s="91"/>
      <c r="W115" s="91"/>
      <c r="X115" s="91"/>
      <c r="Y115" s="91"/>
    </row>
    <row r="116" spans="1:25" ht="45" customHeight="1">
      <c r="A116" s="91"/>
      <c r="B116" s="91"/>
      <c r="C116" s="91"/>
      <c r="D116" s="91"/>
      <c r="E116" s="91"/>
      <c r="F116" s="91"/>
      <c r="G116" s="131"/>
      <c r="H116" s="91"/>
      <c r="I116" s="91"/>
      <c r="J116" s="91"/>
      <c r="K116" s="91"/>
      <c r="L116" s="91"/>
      <c r="M116" s="91"/>
      <c r="N116" s="91"/>
      <c r="O116" s="91"/>
      <c r="P116" s="91"/>
      <c r="Q116" s="91"/>
      <c r="R116" s="91"/>
      <c r="S116" s="91"/>
      <c r="T116" s="91"/>
      <c r="U116" s="91"/>
      <c r="V116" s="91"/>
      <c r="W116" s="91"/>
      <c r="X116" s="91"/>
      <c r="Y116" s="91"/>
    </row>
    <row r="117" spans="1:25" ht="43.5" customHeight="1">
      <c r="A117" s="91"/>
      <c r="B117" s="91"/>
      <c r="C117" s="91"/>
      <c r="D117" s="91"/>
      <c r="E117" s="91"/>
      <c r="F117" s="91"/>
      <c r="G117" s="131"/>
      <c r="H117" s="91"/>
      <c r="I117" s="91"/>
      <c r="J117" s="91"/>
      <c r="K117" s="91"/>
      <c r="L117" s="91"/>
      <c r="M117" s="91"/>
      <c r="N117" s="91"/>
      <c r="O117" s="91"/>
      <c r="P117" s="91"/>
      <c r="Q117" s="91"/>
      <c r="R117" s="91"/>
      <c r="S117" s="91"/>
      <c r="T117" s="91"/>
      <c r="U117" s="91"/>
      <c r="V117" s="91"/>
      <c r="W117" s="91"/>
      <c r="X117" s="91"/>
      <c r="Y117" s="91"/>
    </row>
    <row r="118" spans="1:25" ht="22.5" customHeight="1">
      <c r="A118" s="91"/>
      <c r="B118" s="91"/>
      <c r="C118" s="91"/>
      <c r="D118" s="91"/>
      <c r="E118" s="91"/>
      <c r="F118" s="91"/>
      <c r="G118" s="131"/>
      <c r="H118" s="91"/>
      <c r="I118" s="91"/>
      <c r="J118" s="91"/>
      <c r="K118" s="91"/>
      <c r="L118" s="91"/>
      <c r="M118" s="91"/>
      <c r="N118" s="91"/>
      <c r="O118" s="91"/>
      <c r="P118" s="91"/>
      <c r="Q118" s="91"/>
      <c r="R118" s="91"/>
      <c r="S118" s="91"/>
      <c r="T118" s="91"/>
      <c r="U118" s="91"/>
      <c r="V118" s="91"/>
      <c r="W118" s="91"/>
      <c r="X118" s="91"/>
      <c r="Y118" s="91"/>
    </row>
    <row r="119" spans="1:25" ht="22.5" customHeight="1">
      <c r="A119" s="91"/>
      <c r="B119" s="91"/>
      <c r="C119" s="91"/>
      <c r="D119" s="91"/>
      <c r="E119" s="91"/>
      <c r="F119" s="91"/>
      <c r="G119" s="131"/>
      <c r="H119" s="91"/>
      <c r="I119" s="91"/>
      <c r="J119" s="91"/>
      <c r="K119" s="91"/>
      <c r="L119" s="91"/>
      <c r="M119" s="91"/>
      <c r="N119" s="91"/>
      <c r="O119" s="91"/>
      <c r="P119" s="91"/>
      <c r="Q119" s="91"/>
      <c r="R119" s="91"/>
      <c r="S119" s="91"/>
      <c r="T119" s="91"/>
      <c r="U119" s="91"/>
      <c r="V119" s="91"/>
      <c r="W119" s="91"/>
      <c r="X119" s="91"/>
      <c r="Y119" s="91"/>
    </row>
    <row r="120" spans="1:25" ht="22.5" customHeight="1">
      <c r="A120" s="91"/>
      <c r="B120" s="91"/>
      <c r="C120" s="91"/>
      <c r="D120" s="91"/>
      <c r="E120" s="91"/>
      <c r="F120" s="91"/>
      <c r="G120" s="131"/>
      <c r="H120" s="91"/>
      <c r="I120" s="91"/>
      <c r="J120" s="91"/>
      <c r="K120" s="91"/>
      <c r="L120" s="91"/>
      <c r="M120" s="91"/>
      <c r="N120" s="91"/>
      <c r="O120" s="91"/>
      <c r="P120" s="91"/>
      <c r="Q120" s="91"/>
      <c r="R120" s="91"/>
      <c r="S120" s="91"/>
      <c r="T120" s="91"/>
      <c r="U120" s="91"/>
      <c r="V120" s="91"/>
      <c r="W120" s="91"/>
      <c r="X120" s="91"/>
      <c r="Y120" s="91"/>
    </row>
    <row r="121" spans="1:25" ht="22.5" customHeight="1">
      <c r="A121" s="91"/>
      <c r="B121" s="91"/>
      <c r="C121" s="91"/>
      <c r="D121" s="91"/>
      <c r="E121" s="91"/>
      <c r="F121" s="91"/>
      <c r="G121" s="131"/>
      <c r="H121" s="91"/>
      <c r="I121" s="91"/>
      <c r="J121" s="91"/>
      <c r="K121" s="91"/>
      <c r="L121" s="91"/>
      <c r="M121" s="91"/>
      <c r="N121" s="91"/>
      <c r="O121" s="91"/>
      <c r="P121" s="91"/>
      <c r="Q121" s="91"/>
      <c r="R121" s="91"/>
      <c r="S121" s="91"/>
      <c r="T121" s="91"/>
      <c r="U121" s="91"/>
      <c r="V121" s="91"/>
      <c r="W121" s="91"/>
      <c r="X121" s="91"/>
      <c r="Y121" s="91"/>
    </row>
    <row r="122" spans="1:25" ht="22.5" customHeight="1">
      <c r="A122" s="91"/>
      <c r="B122" s="91"/>
      <c r="C122" s="91"/>
      <c r="D122" s="91"/>
      <c r="E122" s="91"/>
      <c r="F122" s="91"/>
      <c r="G122" s="131"/>
      <c r="H122" s="91"/>
      <c r="I122" s="91"/>
      <c r="J122" s="91"/>
      <c r="K122" s="91"/>
      <c r="L122" s="91"/>
      <c r="M122" s="91"/>
      <c r="N122" s="91"/>
      <c r="O122" s="91"/>
      <c r="P122" s="91"/>
      <c r="Q122" s="91"/>
      <c r="R122" s="91"/>
      <c r="S122" s="91"/>
      <c r="T122" s="91"/>
      <c r="U122" s="91"/>
      <c r="V122" s="91"/>
      <c r="W122" s="91"/>
      <c r="X122" s="91"/>
      <c r="Y122" s="91"/>
    </row>
    <row r="123" spans="1:25" ht="22.5" customHeight="1">
      <c r="A123" s="91"/>
      <c r="B123" s="91"/>
      <c r="C123" s="91"/>
      <c r="D123" s="91"/>
      <c r="E123" s="91"/>
      <c r="F123" s="91"/>
      <c r="G123" s="131"/>
      <c r="H123" s="91"/>
      <c r="I123" s="91"/>
      <c r="J123" s="91"/>
      <c r="K123" s="91"/>
      <c r="L123" s="91"/>
      <c r="M123" s="91"/>
      <c r="N123" s="91"/>
      <c r="O123" s="91"/>
      <c r="P123" s="91"/>
      <c r="Q123" s="91"/>
      <c r="R123" s="91"/>
      <c r="S123" s="91"/>
      <c r="T123" s="91"/>
      <c r="U123" s="91"/>
      <c r="V123" s="91"/>
      <c r="W123" s="91"/>
      <c r="X123" s="91"/>
      <c r="Y123" s="91"/>
    </row>
    <row r="124" spans="1:25" ht="22.5" customHeight="1">
      <c r="A124" s="91"/>
      <c r="B124" s="91"/>
      <c r="C124" s="91"/>
      <c r="D124" s="91"/>
      <c r="E124" s="91"/>
      <c r="F124" s="91"/>
      <c r="G124" s="131"/>
      <c r="H124" s="91"/>
      <c r="I124" s="91"/>
      <c r="J124" s="91"/>
      <c r="K124" s="91"/>
      <c r="L124" s="91"/>
      <c r="M124" s="91"/>
      <c r="N124" s="91"/>
      <c r="O124" s="91"/>
      <c r="P124" s="91"/>
      <c r="Q124" s="91"/>
      <c r="R124" s="91"/>
      <c r="S124" s="91"/>
      <c r="T124" s="91"/>
      <c r="U124" s="91"/>
      <c r="V124" s="91"/>
      <c r="W124" s="91"/>
      <c r="X124" s="91"/>
      <c r="Y124" s="91"/>
    </row>
    <row r="125" spans="1:25" ht="22.5" customHeight="1">
      <c r="A125" s="91"/>
      <c r="B125" s="91"/>
      <c r="C125" s="91"/>
      <c r="D125" s="91"/>
      <c r="E125" s="91"/>
      <c r="F125" s="91"/>
      <c r="G125" s="131"/>
      <c r="H125" s="91"/>
      <c r="I125" s="91"/>
      <c r="J125" s="91"/>
      <c r="K125" s="91"/>
      <c r="L125" s="91"/>
      <c r="M125" s="91"/>
      <c r="N125" s="91"/>
      <c r="O125" s="91"/>
      <c r="P125" s="91"/>
      <c r="Q125" s="91"/>
      <c r="R125" s="91"/>
      <c r="S125" s="91"/>
      <c r="T125" s="91"/>
      <c r="U125" s="91"/>
      <c r="V125" s="91"/>
      <c r="W125" s="91"/>
      <c r="X125" s="91"/>
      <c r="Y125" s="91"/>
    </row>
    <row r="126" spans="1:25" ht="22.5" customHeight="1">
      <c r="A126" s="91"/>
      <c r="B126" s="91"/>
      <c r="C126" s="91"/>
      <c r="D126" s="91"/>
      <c r="E126" s="91"/>
      <c r="F126" s="91"/>
      <c r="G126" s="131"/>
      <c r="H126" s="91"/>
      <c r="I126" s="91"/>
      <c r="J126" s="91"/>
      <c r="K126" s="91"/>
      <c r="L126" s="91"/>
      <c r="M126" s="91"/>
      <c r="N126" s="91"/>
      <c r="O126" s="91"/>
      <c r="P126" s="91"/>
      <c r="Q126" s="91"/>
      <c r="R126" s="91"/>
      <c r="S126" s="91"/>
      <c r="T126" s="91"/>
      <c r="U126" s="91"/>
      <c r="V126" s="91"/>
      <c r="W126" s="91"/>
      <c r="X126" s="91"/>
      <c r="Y126" s="91"/>
    </row>
    <row r="127" spans="1:25" ht="22.5" customHeight="1">
      <c r="B127" s="91"/>
      <c r="C127" s="91"/>
      <c r="D127" s="91"/>
      <c r="E127" s="91"/>
      <c r="F127" s="91"/>
      <c r="G127" s="131"/>
      <c r="H127" s="91"/>
      <c r="I127" s="91"/>
      <c r="J127" s="91"/>
      <c r="K127" s="91"/>
      <c r="L127" s="91"/>
      <c r="M127" s="91"/>
      <c r="N127" s="91"/>
      <c r="O127" s="91"/>
      <c r="P127" s="91"/>
      <c r="Q127" s="91"/>
      <c r="R127" s="91"/>
      <c r="S127" s="91"/>
      <c r="T127" s="91"/>
      <c r="U127" s="91"/>
      <c r="V127" s="91"/>
      <c r="W127" s="91"/>
      <c r="X127" s="91"/>
      <c r="Y127" s="91"/>
    </row>
  </sheetData>
  <autoFilter ref="B20:M107" xr:uid="{00000000-0009-0000-0000-000000000000}"/>
  <mergeCells count="7">
    <mergeCell ref="B115:M115"/>
    <mergeCell ref="B111:M111"/>
    <mergeCell ref="B113:M113"/>
    <mergeCell ref="B5:M6"/>
    <mergeCell ref="B8:M16"/>
    <mergeCell ref="B114:M114"/>
    <mergeCell ref="B112:M112"/>
  </mergeCells>
  <printOptions horizontalCentered="1" headings="1"/>
  <pageMargins left="1" right="1" top="1.25" bottom="0.5" header="0.5" footer="0.5"/>
  <pageSetup scale="10" orientation="portrait" r:id="rId1"/>
  <headerFooter scaleWithDoc="0">
    <oddHeader>&amp;R&amp;"Times New Roman,Bold"&amp;10ICC Docket No. 21-0155
Statewide Quarterly Report
ComEd 2022 Q3 
Tab: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58800012207406E-2"/>
    <pageSetUpPr fitToPage="1"/>
  </sheetPr>
  <dimension ref="A1:N246"/>
  <sheetViews>
    <sheetView topLeftCell="A15" workbookViewId="0"/>
  </sheetViews>
  <sheetFormatPr defaultColWidth="0" defaultRowHeight="14.5"/>
  <cols>
    <col min="1" max="1" width="3.36328125" customWidth="1"/>
    <col min="2" max="2" width="62.54296875" style="18" customWidth="1"/>
    <col min="3" max="3" width="21.36328125" style="18" customWidth="1"/>
    <col min="4" max="4" width="19.54296875" customWidth="1"/>
    <col min="5" max="5" width="19.1796875" customWidth="1"/>
    <col min="6" max="6" width="14.36328125" bestFit="1" customWidth="1"/>
    <col min="7" max="7" width="16.81640625" customWidth="1"/>
    <col min="8" max="8" width="9.1796875" customWidth="1"/>
    <col min="9" max="9" width="13.54296875" bestFit="1" customWidth="1"/>
    <col min="10" max="13" width="9.1796875" customWidth="1"/>
    <col min="14" max="14" width="0" hidden="1" customWidth="1"/>
    <col min="15" max="16384" width="9.1796875" hidden="1"/>
  </cols>
  <sheetData>
    <row r="1" spans="1:14">
      <c r="A1" s="91"/>
      <c r="B1" s="98" t="s">
        <v>0</v>
      </c>
      <c r="C1" s="125"/>
      <c r="D1" s="91"/>
      <c r="E1" s="91"/>
      <c r="F1" s="91"/>
      <c r="G1" s="91"/>
      <c r="H1" s="91"/>
      <c r="I1" s="91"/>
      <c r="J1" s="91"/>
      <c r="K1" s="91"/>
      <c r="L1" s="91"/>
      <c r="M1" s="91"/>
    </row>
    <row r="2" spans="1:14">
      <c r="A2" s="91"/>
      <c r="B2" s="98" t="s">
        <v>104</v>
      </c>
      <c r="C2" s="125"/>
      <c r="D2" s="91"/>
      <c r="E2" s="91"/>
      <c r="F2" s="91"/>
      <c r="G2" s="91"/>
      <c r="H2" s="91"/>
      <c r="I2" s="91"/>
      <c r="J2" s="91"/>
      <c r="K2" s="91"/>
      <c r="L2" s="91"/>
      <c r="M2" s="91"/>
    </row>
    <row r="3" spans="1:14">
      <c r="A3" s="91"/>
      <c r="B3" s="98"/>
      <c r="C3" s="125"/>
      <c r="D3" s="91"/>
      <c r="E3" s="91"/>
      <c r="F3" s="91"/>
      <c r="G3" s="91"/>
      <c r="H3" s="91"/>
      <c r="I3" s="91"/>
      <c r="J3" s="91"/>
      <c r="K3" s="91"/>
      <c r="L3" s="91"/>
      <c r="M3" s="91"/>
    </row>
    <row r="4" spans="1:14">
      <c r="A4" s="91"/>
      <c r="B4" s="98"/>
      <c r="C4" s="125"/>
      <c r="D4" s="91"/>
      <c r="E4" s="91"/>
      <c r="F4" s="91"/>
      <c r="G4" s="91"/>
      <c r="H4" s="91"/>
      <c r="I4" s="91"/>
      <c r="J4" s="91"/>
      <c r="K4" s="91"/>
      <c r="L4" s="91"/>
      <c r="M4" s="91"/>
    </row>
    <row r="5" spans="1:14" ht="37.5" customHeight="1">
      <c r="A5" s="91"/>
      <c r="B5" s="291" t="s">
        <v>105</v>
      </c>
      <c r="C5" s="292"/>
      <c r="D5" s="292"/>
      <c r="E5" s="293"/>
      <c r="F5" s="91"/>
      <c r="G5" s="91"/>
      <c r="H5" s="91"/>
      <c r="I5" s="91"/>
      <c r="J5" s="91"/>
      <c r="K5" s="91"/>
      <c r="L5" s="91"/>
      <c r="M5" s="91"/>
    </row>
    <row r="6" spans="1:14" ht="37.5" customHeight="1">
      <c r="A6" s="91"/>
      <c r="B6" s="294"/>
      <c r="C6" s="295"/>
      <c r="D6" s="295"/>
      <c r="E6" s="296"/>
      <c r="F6" s="91"/>
      <c r="G6" s="91"/>
      <c r="H6" s="91"/>
      <c r="I6" s="91"/>
      <c r="J6" s="91"/>
      <c r="K6" s="91"/>
      <c r="L6" s="91"/>
      <c r="M6" s="91"/>
    </row>
    <row r="7" spans="1:14" ht="18.75" customHeight="1">
      <c r="A7" s="91"/>
      <c r="B7" s="297"/>
      <c r="C7" s="298"/>
      <c r="D7" s="298"/>
      <c r="E7" s="299"/>
      <c r="F7" s="91"/>
      <c r="G7" s="91"/>
      <c r="H7" s="91"/>
      <c r="I7" s="91"/>
      <c r="J7" s="91"/>
      <c r="K7" s="91"/>
      <c r="L7" s="91"/>
      <c r="M7" s="91"/>
    </row>
    <row r="8" spans="1:14">
      <c r="A8" s="91"/>
      <c r="B8" s="125"/>
      <c r="C8" s="125"/>
      <c r="D8" s="91"/>
      <c r="E8" s="91"/>
      <c r="F8" s="91"/>
      <c r="G8" s="91"/>
      <c r="H8" s="91"/>
      <c r="I8" s="91"/>
      <c r="J8" s="91"/>
      <c r="K8" s="91"/>
      <c r="L8" s="91"/>
      <c r="M8" s="91"/>
    </row>
    <row r="9" spans="1:14">
      <c r="A9" s="91"/>
      <c r="B9" s="98" t="s">
        <v>300</v>
      </c>
      <c r="C9" s="125"/>
      <c r="D9" s="91"/>
      <c r="E9" s="91"/>
      <c r="F9" s="91"/>
      <c r="G9" s="91"/>
      <c r="H9" s="91"/>
      <c r="I9" s="91"/>
      <c r="J9" s="91"/>
      <c r="K9" s="91"/>
      <c r="L9" s="91"/>
      <c r="M9" s="91"/>
    </row>
    <row r="10" spans="1:14" ht="19.75" customHeight="1">
      <c r="A10" s="91"/>
      <c r="B10" s="282" t="str">
        <f>'1- Ex Ante Results'!B19</f>
        <v>CY2022 Q3</v>
      </c>
      <c r="C10" s="125"/>
      <c r="D10" s="91"/>
      <c r="E10" s="91"/>
      <c r="F10" s="91"/>
      <c r="G10" s="91"/>
      <c r="H10" s="91"/>
      <c r="I10" s="91"/>
      <c r="J10" s="91"/>
      <c r="K10" s="91"/>
      <c r="L10" s="91"/>
      <c r="M10" s="91"/>
    </row>
    <row r="11" spans="1:14" ht="32.75" customHeight="1">
      <c r="A11" s="91"/>
      <c r="B11" s="40" t="s">
        <v>106</v>
      </c>
      <c r="C11" s="41" t="s">
        <v>107</v>
      </c>
      <c r="D11" s="156"/>
      <c r="E11" s="156"/>
      <c r="F11" s="91"/>
      <c r="G11" s="142"/>
      <c r="H11" s="91"/>
      <c r="I11" s="91"/>
      <c r="J11" s="91"/>
      <c r="K11" s="91"/>
      <c r="L11" s="91"/>
      <c r="M11" s="91"/>
    </row>
    <row r="12" spans="1:14" s="27" customFormat="1" ht="21" customHeight="1">
      <c r="A12" s="96"/>
      <c r="B12" s="287" t="s">
        <v>108</v>
      </c>
      <c r="C12" s="288"/>
      <c r="D12" s="96"/>
      <c r="E12" s="96"/>
      <c r="F12" s="96"/>
      <c r="G12" s="96"/>
      <c r="H12" s="96"/>
      <c r="I12" s="96"/>
      <c r="J12" s="96"/>
      <c r="K12" s="96"/>
      <c r="L12" s="96"/>
      <c r="M12" s="96"/>
      <c r="N12" s="96"/>
    </row>
    <row r="13" spans="1:14">
      <c r="A13" s="91"/>
      <c r="B13" s="20" t="s">
        <v>305</v>
      </c>
      <c r="C13" s="87">
        <f>'1- Ex Ante Results'!H51</f>
        <v>82670490.488333344</v>
      </c>
      <c r="D13" s="91"/>
      <c r="E13" s="91"/>
      <c r="F13" s="91"/>
      <c r="G13" s="142"/>
      <c r="H13" s="91"/>
      <c r="I13" s="91"/>
      <c r="J13" s="91"/>
      <c r="K13" s="91"/>
      <c r="L13" s="91"/>
      <c r="M13" s="91"/>
      <c r="N13" s="91"/>
    </row>
    <row r="14" spans="1:14">
      <c r="A14" s="91"/>
      <c r="B14" s="82" t="s">
        <v>306</v>
      </c>
      <c r="C14" s="81">
        <f>'1- Ex Ante Results'!H64</f>
        <v>23024591.784999996</v>
      </c>
      <c r="D14" s="91"/>
      <c r="E14" s="91"/>
      <c r="F14" s="91"/>
      <c r="G14" s="142"/>
      <c r="H14" s="91"/>
      <c r="I14" s="91"/>
      <c r="J14" s="91"/>
      <c r="K14" s="91"/>
      <c r="L14" s="91"/>
      <c r="M14" s="91"/>
      <c r="N14" s="91"/>
    </row>
    <row r="15" spans="1:14">
      <c r="A15" s="91"/>
      <c r="B15" s="20" t="s">
        <v>307</v>
      </c>
      <c r="C15" s="83">
        <f>'1- Ex Ante Results'!H88</f>
        <v>31114497.053264067</v>
      </c>
      <c r="D15" s="91"/>
      <c r="E15" s="91"/>
      <c r="F15" s="91"/>
      <c r="G15" s="142"/>
      <c r="H15" s="91"/>
      <c r="I15" s="91"/>
      <c r="J15" s="91"/>
      <c r="K15" s="91"/>
      <c r="L15" s="91"/>
      <c r="M15" s="91"/>
      <c r="N15" s="91"/>
    </row>
    <row r="16" spans="1:14">
      <c r="A16" s="91"/>
      <c r="B16" s="20" t="s">
        <v>81</v>
      </c>
      <c r="C16" s="44">
        <f>'1- Ex Ante Results'!H99</f>
        <v>48990396.287512377</v>
      </c>
      <c r="D16" s="91"/>
      <c r="E16" s="91"/>
      <c r="F16" s="91"/>
      <c r="G16" s="91"/>
      <c r="H16" s="91"/>
      <c r="I16" s="91"/>
      <c r="J16" s="91"/>
      <c r="K16" s="91"/>
      <c r="L16" s="91"/>
      <c r="M16" s="91"/>
      <c r="N16" s="91"/>
    </row>
    <row r="17" spans="1:14">
      <c r="A17" s="91"/>
      <c r="B17" s="20" t="s">
        <v>109</v>
      </c>
      <c r="C17" s="44">
        <v>935107.72000000009</v>
      </c>
      <c r="D17" s="91"/>
      <c r="E17" s="91"/>
      <c r="F17" s="91"/>
      <c r="G17" s="91"/>
      <c r="H17" s="91"/>
      <c r="I17" s="91"/>
      <c r="J17" s="91"/>
      <c r="K17" s="91"/>
      <c r="L17" s="91"/>
      <c r="M17" s="91"/>
      <c r="N17" s="91"/>
    </row>
    <row r="18" spans="1:14" hidden="1">
      <c r="A18" s="91"/>
      <c r="B18" s="20" t="s">
        <v>110</v>
      </c>
      <c r="C18" s="42"/>
      <c r="D18" s="91"/>
      <c r="E18" s="139"/>
      <c r="F18" s="91"/>
      <c r="G18" s="91"/>
      <c r="H18" s="91"/>
      <c r="I18" s="91"/>
      <c r="J18" s="91"/>
      <c r="K18" s="91"/>
      <c r="L18" s="91"/>
      <c r="M18" s="91"/>
      <c r="N18" s="91"/>
    </row>
    <row r="19" spans="1:14" s="27" customFormat="1" ht="21" customHeight="1">
      <c r="A19" s="96"/>
      <c r="B19" s="56" t="s">
        <v>111</v>
      </c>
      <c r="C19" s="57">
        <f>SUM(C13:C17)</f>
        <v>186735083.33410975</v>
      </c>
      <c r="D19" s="143"/>
      <c r="E19" s="96"/>
      <c r="F19" s="141"/>
      <c r="G19" s="96"/>
      <c r="H19" s="96"/>
      <c r="I19" s="96"/>
      <c r="J19" s="96"/>
      <c r="K19" s="96"/>
      <c r="L19" s="96"/>
      <c r="M19" s="96"/>
      <c r="N19" s="96"/>
    </row>
    <row r="20" spans="1:14" s="27" customFormat="1" ht="21" customHeight="1">
      <c r="A20" s="96"/>
      <c r="B20" s="289" t="s">
        <v>112</v>
      </c>
      <c r="C20" s="290"/>
      <c r="D20" s="144"/>
      <c r="E20" s="145"/>
      <c r="F20" s="96"/>
      <c r="G20" s="96"/>
      <c r="H20" s="96"/>
      <c r="I20" s="96"/>
      <c r="J20" s="96"/>
      <c r="K20" s="96"/>
      <c r="L20" s="96"/>
      <c r="M20" s="96"/>
      <c r="N20" s="96"/>
    </row>
    <row r="21" spans="1:14" ht="29.75" customHeight="1">
      <c r="A21" s="91"/>
      <c r="B21" s="43" t="s">
        <v>113</v>
      </c>
      <c r="C21" s="69">
        <f>'1- Ex Ante Results'!H104</f>
        <v>6570464.4099999992</v>
      </c>
      <c r="D21" s="146"/>
      <c r="E21" s="147"/>
      <c r="F21" s="139"/>
      <c r="G21" s="148"/>
      <c r="H21" s="91"/>
      <c r="I21" s="91"/>
      <c r="J21" s="91"/>
      <c r="K21" s="91"/>
      <c r="L21" s="91"/>
      <c r="M21" s="91"/>
      <c r="N21" s="91"/>
    </row>
    <row r="22" spans="1:14">
      <c r="A22" s="91"/>
      <c r="B22" s="20" t="s">
        <v>114</v>
      </c>
      <c r="C22" s="69">
        <f>3191.81+3695312.6287725+3484526.18007</f>
        <v>7183030.6188424993</v>
      </c>
      <c r="D22" s="149"/>
      <c r="E22" s="150"/>
      <c r="F22" s="91"/>
      <c r="G22" s="148"/>
      <c r="H22" s="91"/>
      <c r="I22" s="91"/>
      <c r="J22" s="91"/>
      <c r="K22" s="91"/>
      <c r="L22" s="91"/>
      <c r="M22" s="91"/>
      <c r="N22" s="91"/>
    </row>
    <row r="23" spans="1:14">
      <c r="A23" s="91"/>
      <c r="B23" s="45" t="s">
        <v>115</v>
      </c>
      <c r="C23" s="69">
        <f>1384866.76+400205.67</f>
        <v>1785072.43</v>
      </c>
      <c r="D23" s="146"/>
      <c r="E23" s="151"/>
      <c r="F23" s="91"/>
      <c r="G23" s="148"/>
      <c r="H23" s="91"/>
      <c r="I23" s="91"/>
      <c r="J23" s="91"/>
      <c r="K23" s="91"/>
      <c r="L23" s="91"/>
      <c r="M23" s="91"/>
      <c r="N23" s="91"/>
    </row>
    <row r="24" spans="1:14">
      <c r="A24" s="91"/>
      <c r="B24" s="20" t="s">
        <v>116</v>
      </c>
      <c r="C24" s="69">
        <v>14202782.739859998</v>
      </c>
      <c r="D24" s="132"/>
      <c r="E24" s="151"/>
      <c r="F24" s="91"/>
      <c r="G24" s="148"/>
      <c r="H24" s="91"/>
      <c r="I24" s="139"/>
      <c r="J24" s="91"/>
      <c r="K24" s="91"/>
      <c r="L24" s="91"/>
      <c r="M24" s="91"/>
      <c r="N24" s="91"/>
    </row>
    <row r="25" spans="1:14">
      <c r="A25" s="91"/>
      <c r="B25" s="20" t="s">
        <v>117</v>
      </c>
      <c r="C25" s="44">
        <v>4018943.61</v>
      </c>
      <c r="D25" s="152"/>
      <c r="E25" s="142"/>
      <c r="F25" s="139"/>
      <c r="G25" s="148"/>
      <c r="H25" s="91"/>
      <c r="I25" s="91"/>
      <c r="J25" s="91"/>
      <c r="K25" s="91"/>
      <c r="L25" s="91"/>
      <c r="M25" s="91"/>
      <c r="N25" s="91"/>
    </row>
    <row r="26" spans="1:14" s="27" customFormat="1" ht="21" customHeight="1">
      <c r="A26" s="96"/>
      <c r="B26" s="56" t="s">
        <v>118</v>
      </c>
      <c r="C26" s="70">
        <f>SUM(C21:C25)</f>
        <v>33760293.808702499</v>
      </c>
      <c r="D26" s="223"/>
      <c r="E26" s="153"/>
      <c r="F26" s="141"/>
      <c r="G26" s="141"/>
      <c r="H26" s="96"/>
      <c r="I26" s="141"/>
      <c r="J26" s="96"/>
      <c r="K26" s="96"/>
      <c r="L26" s="96"/>
      <c r="M26" s="96"/>
      <c r="N26" s="96"/>
    </row>
    <row r="27" spans="1:14" s="27" customFormat="1" ht="32.75" customHeight="1">
      <c r="A27" s="96"/>
      <c r="B27" s="59" t="s">
        <v>119</v>
      </c>
      <c r="C27" s="71">
        <f>C19+C26</f>
        <v>220495377.14281225</v>
      </c>
      <c r="D27" s="224"/>
      <c r="E27" s="154"/>
      <c r="F27" s="141"/>
      <c r="G27" s="155"/>
      <c r="H27" s="96"/>
      <c r="I27" s="141"/>
      <c r="J27" s="96"/>
      <c r="K27" s="96"/>
      <c r="L27" s="96"/>
      <c r="M27" s="96"/>
      <c r="N27" s="96"/>
    </row>
    <row r="28" spans="1:14">
      <c r="A28" s="91"/>
      <c r="B28" s="128"/>
      <c r="C28" s="128"/>
      <c r="D28" s="91"/>
      <c r="E28" s="139"/>
      <c r="F28" s="139"/>
      <c r="G28" s="91"/>
      <c r="H28" s="91"/>
      <c r="I28" s="91"/>
      <c r="J28" s="91"/>
      <c r="K28" s="91"/>
      <c r="L28" s="91"/>
      <c r="M28" s="91"/>
      <c r="N28" s="91"/>
    </row>
    <row r="29" spans="1:14" s="27" customFormat="1" ht="17.75" customHeight="1">
      <c r="A29" s="96"/>
      <c r="B29" s="140"/>
      <c r="C29" s="140"/>
      <c r="D29" s="141"/>
      <c r="E29" s="141"/>
      <c r="F29" s="96"/>
      <c r="G29" s="96"/>
      <c r="H29" s="96"/>
      <c r="I29" s="96"/>
      <c r="J29" s="96"/>
      <c r="K29" s="96"/>
      <c r="L29" s="96"/>
      <c r="M29" s="96"/>
      <c r="N29" s="96"/>
    </row>
    <row r="30" spans="1:14" s="27" customFormat="1" ht="20.25" customHeight="1">
      <c r="A30" s="96"/>
      <c r="B30" s="97" t="str">
        <f>"ComEd Section 8-103B/8-104 (EEPS) Costs as of "&amp;'1- Ex Ante Results'!B19</f>
        <v>ComEd Section 8-103B/8-104 (EEPS) Costs as of CY2022 Q3</v>
      </c>
      <c r="C30" s="140"/>
      <c r="D30" s="96"/>
      <c r="E30" s="96"/>
      <c r="F30" s="96"/>
      <c r="G30" s="96"/>
      <c r="H30" s="96"/>
      <c r="I30" s="96"/>
      <c r="J30" s="96"/>
      <c r="K30" s="96"/>
      <c r="L30" s="96"/>
      <c r="M30" s="96"/>
      <c r="N30" s="96"/>
    </row>
    <row r="31" spans="1:14" ht="36" customHeight="1">
      <c r="A31" s="91"/>
      <c r="B31" s="41" t="s">
        <v>120</v>
      </c>
      <c r="C31" s="41" t="s">
        <v>121</v>
      </c>
      <c r="D31" s="41" t="s">
        <v>122</v>
      </c>
      <c r="E31" s="35" t="s">
        <v>15</v>
      </c>
      <c r="F31" s="91"/>
      <c r="G31" s="91"/>
      <c r="H31" s="91"/>
      <c r="I31" s="91"/>
      <c r="J31" s="91"/>
      <c r="K31" s="91"/>
      <c r="L31" s="91"/>
      <c r="M31" s="91"/>
      <c r="N31" s="91"/>
    </row>
    <row r="32" spans="1:14" s="27" customFormat="1" ht="35.75" customHeight="1">
      <c r="A32" s="96"/>
      <c r="B32" s="58" t="s">
        <v>119</v>
      </c>
      <c r="C32" s="72">
        <f>C27</f>
        <v>220495377.14281225</v>
      </c>
      <c r="D32" s="72">
        <v>427470990.62366009</v>
      </c>
      <c r="E32" s="277">
        <f>C32/D32</f>
        <v>0.51581366216481694</v>
      </c>
      <c r="F32" s="96"/>
      <c r="G32" s="96"/>
      <c r="H32" s="96"/>
      <c r="I32" s="96"/>
      <c r="J32" s="96"/>
      <c r="K32" s="96"/>
      <c r="L32" s="96"/>
      <c r="M32" s="96"/>
      <c r="N32" s="96"/>
    </row>
    <row r="33" spans="1:14">
      <c r="A33" s="91"/>
      <c r="B33" s="125"/>
      <c r="C33" s="125"/>
      <c r="D33" s="91"/>
      <c r="E33" s="91"/>
      <c r="F33" s="91"/>
      <c r="G33" s="91"/>
      <c r="H33" s="91"/>
      <c r="I33" s="91"/>
      <c r="J33" s="91"/>
      <c r="K33" s="91"/>
      <c r="L33" s="91"/>
      <c r="M33" s="91"/>
      <c r="N33" s="91"/>
    </row>
    <row r="34" spans="1:14">
      <c r="A34" s="91"/>
      <c r="B34" s="125"/>
      <c r="C34" s="157"/>
      <c r="D34" s="157"/>
      <c r="E34" s="91"/>
      <c r="F34" s="91"/>
      <c r="G34" s="91"/>
      <c r="H34" s="91"/>
      <c r="I34" s="91"/>
      <c r="J34" s="91"/>
      <c r="K34" s="91"/>
      <c r="L34" s="91"/>
      <c r="M34" s="91"/>
      <c r="N34" s="91"/>
    </row>
    <row r="35" spans="1:14">
      <c r="A35" s="91"/>
      <c r="B35" s="125"/>
      <c r="C35" s="125"/>
      <c r="D35" s="91"/>
      <c r="E35" s="91"/>
      <c r="F35" s="91"/>
      <c r="G35" s="91"/>
      <c r="H35" s="91"/>
      <c r="I35" s="91"/>
      <c r="J35" s="91"/>
      <c r="K35" s="91"/>
      <c r="L35" s="91"/>
      <c r="M35" s="91"/>
      <c r="N35" s="91"/>
    </row>
    <row r="36" spans="1:14">
      <c r="A36" s="91"/>
      <c r="B36" s="125"/>
      <c r="C36" s="125"/>
      <c r="D36" s="91"/>
      <c r="E36" s="91"/>
      <c r="F36" s="91"/>
      <c r="G36" s="91"/>
      <c r="H36" s="91"/>
      <c r="I36" s="91"/>
      <c r="J36" s="91"/>
      <c r="K36" s="91"/>
      <c r="L36" s="91"/>
      <c r="M36" s="91"/>
      <c r="N36" s="91"/>
    </row>
    <row r="37" spans="1:14">
      <c r="A37" s="91"/>
      <c r="B37" s="125"/>
      <c r="C37" s="125"/>
      <c r="D37" s="91"/>
      <c r="E37" s="91"/>
      <c r="F37" s="91"/>
      <c r="G37" s="91"/>
      <c r="H37" s="91"/>
      <c r="I37" s="91"/>
      <c r="J37" s="91"/>
      <c r="K37" s="91"/>
      <c r="L37" s="91"/>
      <c r="M37" s="91"/>
      <c r="N37" s="91"/>
    </row>
    <row r="38" spans="1:14">
      <c r="A38" s="91"/>
      <c r="B38" s="125"/>
      <c r="C38" s="125"/>
      <c r="D38" s="91"/>
      <c r="E38" s="91"/>
      <c r="F38" s="91"/>
      <c r="G38" s="91"/>
      <c r="H38" s="91"/>
      <c r="I38" s="91"/>
      <c r="J38" s="91"/>
      <c r="K38" s="91"/>
      <c r="L38" s="91"/>
      <c r="M38" s="91"/>
      <c r="N38" s="91"/>
    </row>
    <row r="39" spans="1:14">
      <c r="A39" s="91"/>
      <c r="B39" s="125"/>
      <c r="C39" s="125"/>
      <c r="D39" s="91"/>
      <c r="E39" s="91"/>
      <c r="F39" s="91"/>
      <c r="G39" s="91"/>
      <c r="H39" s="91"/>
      <c r="I39" s="91"/>
      <c r="J39" s="91"/>
      <c r="K39" s="91"/>
      <c r="L39" s="91"/>
      <c r="M39" s="91"/>
      <c r="N39" s="91"/>
    </row>
    <row r="40" spans="1:14">
      <c r="A40" s="91"/>
      <c r="B40" s="125"/>
      <c r="C40" s="125"/>
      <c r="D40" s="91"/>
      <c r="E40" s="91"/>
      <c r="F40" s="91"/>
      <c r="G40" s="91"/>
      <c r="H40" s="91"/>
      <c r="I40" s="91"/>
      <c r="J40" s="91"/>
      <c r="K40" s="91"/>
      <c r="L40" s="91"/>
      <c r="M40" s="91"/>
      <c r="N40" s="91"/>
    </row>
    <row r="41" spans="1:14">
      <c r="A41" s="91"/>
      <c r="B41" s="125"/>
      <c r="C41" s="125"/>
      <c r="D41" s="91"/>
      <c r="E41" s="91"/>
      <c r="F41" s="91"/>
      <c r="G41" s="91"/>
      <c r="H41" s="91"/>
      <c r="I41" s="91"/>
      <c r="J41" s="91"/>
      <c r="K41" s="91"/>
      <c r="L41" s="91"/>
      <c r="M41" s="91"/>
      <c r="N41" s="91"/>
    </row>
    <row r="42" spans="1:14">
      <c r="A42" s="91"/>
      <c r="B42" s="125"/>
      <c r="C42" s="125"/>
      <c r="D42" s="91"/>
      <c r="E42" s="91"/>
      <c r="F42" s="91"/>
      <c r="G42" s="91"/>
      <c r="H42" s="91"/>
      <c r="I42" s="91"/>
      <c r="J42" s="91"/>
      <c r="K42" s="91"/>
      <c r="L42" s="91"/>
      <c r="M42" s="91"/>
      <c r="N42" s="91"/>
    </row>
    <row r="43" spans="1:14">
      <c r="A43" s="91"/>
      <c r="B43" s="125"/>
      <c r="C43" s="125"/>
      <c r="D43" s="91"/>
      <c r="E43" s="91"/>
      <c r="F43" s="91"/>
      <c r="G43" s="91"/>
      <c r="H43" s="91"/>
      <c r="I43" s="91"/>
      <c r="J43" s="91"/>
      <c r="K43" s="91"/>
      <c r="L43" s="91"/>
      <c r="M43" s="91"/>
      <c r="N43" s="91"/>
    </row>
    <row r="44" spans="1:14">
      <c r="A44" s="91"/>
      <c r="B44" s="125"/>
      <c r="C44" s="125"/>
      <c r="D44" s="91"/>
      <c r="E44" s="91"/>
      <c r="F44" s="91"/>
      <c r="G44" s="91"/>
      <c r="H44" s="91"/>
      <c r="I44" s="91"/>
      <c r="J44" s="91"/>
      <c r="K44" s="91"/>
      <c r="L44" s="91"/>
      <c r="M44" s="91"/>
      <c r="N44" s="91"/>
    </row>
    <row r="45" spans="1:14">
      <c r="A45" s="91"/>
      <c r="B45" s="125"/>
      <c r="C45" s="125"/>
      <c r="D45" s="91"/>
      <c r="E45" s="91"/>
      <c r="F45" s="91"/>
      <c r="G45" s="91"/>
      <c r="H45" s="91"/>
      <c r="I45" s="91"/>
      <c r="J45" s="91"/>
      <c r="K45" s="91"/>
      <c r="L45" s="91"/>
      <c r="M45" s="91"/>
      <c r="N45" s="91"/>
    </row>
    <row r="46" spans="1:14">
      <c r="A46" s="91"/>
      <c r="B46" s="125"/>
      <c r="C46" s="125"/>
      <c r="D46" s="91"/>
      <c r="E46" s="91"/>
      <c r="F46" s="91"/>
      <c r="G46" s="91"/>
      <c r="H46" s="91"/>
      <c r="I46" s="91"/>
      <c r="J46" s="91"/>
      <c r="K46" s="91"/>
      <c r="L46" s="91"/>
      <c r="M46" s="91"/>
      <c r="N46" s="91"/>
    </row>
    <row r="47" spans="1:14">
      <c r="A47" s="91"/>
      <c r="B47" s="125"/>
      <c r="C47" s="125"/>
      <c r="D47" s="91"/>
      <c r="E47" s="91"/>
      <c r="F47" s="91"/>
      <c r="G47" s="91"/>
      <c r="H47" s="91"/>
      <c r="I47" s="91"/>
      <c r="J47" s="91"/>
      <c r="K47" s="91"/>
      <c r="L47" s="91"/>
      <c r="M47" s="91"/>
      <c r="N47" s="91"/>
    </row>
    <row r="48" spans="1:14">
      <c r="A48" s="91"/>
      <c r="B48" s="125"/>
      <c r="C48" s="125"/>
      <c r="D48" s="91"/>
      <c r="E48" s="91"/>
      <c r="F48" s="91"/>
      <c r="G48" s="91"/>
      <c r="H48" s="91"/>
      <c r="I48" s="91"/>
      <c r="J48" s="91"/>
      <c r="K48" s="91"/>
      <c r="L48" s="91"/>
      <c r="M48" s="91"/>
      <c r="N48" s="91"/>
    </row>
    <row r="49" spans="1:14">
      <c r="A49" s="91"/>
      <c r="B49" s="125"/>
      <c r="C49" s="125"/>
      <c r="D49" s="91"/>
      <c r="E49" s="91"/>
      <c r="F49" s="91"/>
      <c r="G49" s="91"/>
      <c r="H49" s="91"/>
      <c r="I49" s="91"/>
      <c r="J49" s="91"/>
      <c r="K49" s="91"/>
      <c r="L49" s="91"/>
      <c r="M49" s="91"/>
      <c r="N49" s="91"/>
    </row>
    <row r="50" spans="1:14">
      <c r="A50" s="91"/>
      <c r="B50" s="125"/>
      <c r="C50" s="125"/>
      <c r="D50" s="91"/>
      <c r="E50" s="91"/>
      <c r="F50" s="91"/>
      <c r="G50" s="91"/>
      <c r="H50" s="91"/>
      <c r="I50" s="91"/>
      <c r="J50" s="91"/>
      <c r="K50" s="91"/>
      <c r="L50" s="91"/>
      <c r="M50" s="91"/>
      <c r="N50" s="91"/>
    </row>
    <row r="51" spans="1:14">
      <c r="A51" s="91"/>
      <c r="B51" s="125"/>
      <c r="C51" s="125"/>
      <c r="D51" s="91"/>
      <c r="E51" s="91"/>
      <c r="F51" s="91"/>
      <c r="G51" s="91"/>
      <c r="H51" s="91"/>
      <c r="I51" s="91"/>
      <c r="J51" s="91"/>
      <c r="K51" s="91"/>
      <c r="L51" s="91"/>
      <c r="M51" s="91"/>
      <c r="N51" s="91"/>
    </row>
    <row r="52" spans="1:14">
      <c r="A52" s="91"/>
      <c r="B52" s="125"/>
      <c r="C52" s="125"/>
      <c r="D52" s="91"/>
      <c r="E52" s="91"/>
      <c r="F52" s="91"/>
      <c r="G52" s="91"/>
      <c r="H52" s="91"/>
      <c r="I52" s="91"/>
      <c r="J52" s="91"/>
      <c r="K52" s="91"/>
      <c r="L52" s="91"/>
      <c r="M52" s="91"/>
      <c r="N52" s="91"/>
    </row>
    <row r="53" spans="1:14">
      <c r="A53" s="91"/>
      <c r="B53" s="125"/>
      <c r="C53" s="125"/>
      <c r="D53" s="91"/>
      <c r="E53" s="91"/>
      <c r="F53" s="91"/>
      <c r="G53" s="91"/>
      <c r="H53" s="91"/>
      <c r="I53" s="91"/>
      <c r="J53" s="91"/>
      <c r="K53" s="91"/>
      <c r="L53" s="91"/>
      <c r="M53" s="91"/>
      <c r="N53" s="91"/>
    </row>
    <row r="54" spans="1:14">
      <c r="A54" s="91"/>
      <c r="B54" s="125"/>
      <c r="C54" s="125"/>
      <c r="D54" s="91"/>
      <c r="E54" s="91"/>
      <c r="F54" s="91"/>
      <c r="G54" s="91"/>
      <c r="H54" s="91"/>
      <c r="I54" s="91"/>
      <c r="J54" s="91"/>
      <c r="K54" s="91"/>
      <c r="L54" s="91"/>
      <c r="M54" s="91"/>
      <c r="N54" s="91"/>
    </row>
    <row r="55" spans="1:14">
      <c r="A55" s="91"/>
      <c r="B55" s="125"/>
      <c r="C55" s="125"/>
      <c r="D55" s="91"/>
      <c r="E55" s="91"/>
      <c r="F55" s="91"/>
      <c r="G55" s="91"/>
      <c r="H55" s="91"/>
      <c r="I55" s="91"/>
      <c r="J55" s="91"/>
      <c r="K55" s="91"/>
      <c r="L55" s="91"/>
      <c r="M55" s="91"/>
      <c r="N55" s="91"/>
    </row>
    <row r="56" spans="1:14">
      <c r="A56" s="91"/>
      <c r="B56" s="125"/>
      <c r="C56" s="125"/>
      <c r="D56" s="91"/>
      <c r="E56" s="91"/>
      <c r="F56" s="91"/>
      <c r="G56" s="91"/>
      <c r="H56" s="91"/>
      <c r="I56" s="91"/>
      <c r="J56" s="91"/>
      <c r="K56" s="91"/>
      <c r="L56" s="91"/>
      <c r="M56" s="91"/>
      <c r="N56" s="91"/>
    </row>
    <row r="57" spans="1:14">
      <c r="A57" s="91"/>
      <c r="B57" s="125"/>
      <c r="C57" s="125"/>
      <c r="D57" s="91"/>
      <c r="E57" s="91"/>
      <c r="F57" s="91"/>
      <c r="G57" s="91"/>
      <c r="H57" s="91"/>
      <c r="I57" s="91"/>
      <c r="J57" s="91"/>
      <c r="K57" s="91"/>
      <c r="L57" s="91"/>
      <c r="M57" s="91"/>
      <c r="N57" s="91"/>
    </row>
    <row r="58" spans="1:14">
      <c r="A58" s="91"/>
      <c r="B58" s="125"/>
      <c r="C58" s="125"/>
      <c r="D58" s="91"/>
      <c r="E58" s="91"/>
      <c r="F58" s="91"/>
      <c r="G58" s="91"/>
      <c r="H58" s="91"/>
      <c r="I58" s="91"/>
      <c r="J58" s="91"/>
      <c r="K58" s="91"/>
      <c r="L58" s="91"/>
      <c r="M58" s="91"/>
      <c r="N58" s="91"/>
    </row>
    <row r="59" spans="1:14">
      <c r="A59" s="91"/>
      <c r="B59" s="125"/>
      <c r="C59" s="125"/>
      <c r="D59" s="91"/>
      <c r="E59" s="91"/>
      <c r="F59" s="91"/>
      <c r="G59" s="91"/>
      <c r="H59" s="91"/>
      <c r="I59" s="91"/>
      <c r="J59" s="91"/>
      <c r="K59" s="91"/>
      <c r="L59" s="91"/>
      <c r="M59" s="91"/>
      <c r="N59" s="91"/>
    </row>
    <row r="60" spans="1:14">
      <c r="A60" s="91"/>
      <c r="B60" s="125"/>
      <c r="C60" s="125"/>
      <c r="D60" s="91"/>
      <c r="E60" s="91"/>
      <c r="F60" s="91"/>
      <c r="G60" s="91"/>
      <c r="H60" s="91"/>
      <c r="I60" s="91"/>
      <c r="J60" s="91"/>
      <c r="K60" s="91"/>
      <c r="L60" s="91"/>
      <c r="M60" s="91"/>
      <c r="N60" s="91"/>
    </row>
    <row r="61" spans="1:14">
      <c r="A61" s="91"/>
      <c r="B61" s="125"/>
      <c r="C61" s="125"/>
      <c r="D61" s="91"/>
      <c r="E61" s="91"/>
      <c r="F61" s="91"/>
      <c r="G61" s="91"/>
      <c r="H61" s="91"/>
      <c r="I61" s="91"/>
      <c r="J61" s="91"/>
      <c r="K61" s="91"/>
      <c r="L61" s="91"/>
      <c r="M61" s="91"/>
      <c r="N61" s="91"/>
    </row>
    <row r="62" spans="1:14">
      <c r="A62" s="91"/>
    </row>
    <row r="63" spans="1:14">
      <c r="A63" s="91"/>
    </row>
    <row r="64" spans="1:14">
      <c r="A64" s="91"/>
    </row>
    <row r="65" spans="1:1">
      <c r="A65" s="91"/>
    </row>
    <row r="66" spans="1:1">
      <c r="A66" s="91"/>
    </row>
    <row r="67" spans="1:1">
      <c r="A67" s="91"/>
    </row>
    <row r="68" spans="1:1">
      <c r="A68" s="91"/>
    </row>
    <row r="69" spans="1:1">
      <c r="A69" s="91"/>
    </row>
    <row r="70" spans="1:1">
      <c r="A70" s="91"/>
    </row>
    <row r="71" spans="1:1">
      <c r="A71" s="91"/>
    </row>
    <row r="72" spans="1:1">
      <c r="A72" s="91"/>
    </row>
    <row r="73" spans="1:1">
      <c r="A73" s="91"/>
    </row>
    <row r="74" spans="1:1">
      <c r="A74" s="91"/>
    </row>
    <row r="75" spans="1:1">
      <c r="A75" s="91"/>
    </row>
    <row r="76" spans="1:1">
      <c r="A76" s="91"/>
    </row>
    <row r="77" spans="1:1">
      <c r="A77" s="91"/>
    </row>
    <row r="78" spans="1:1">
      <c r="A78" s="91"/>
    </row>
    <row r="79" spans="1:1">
      <c r="A79" s="91"/>
    </row>
    <row r="80" spans="1:1">
      <c r="A80" s="91"/>
    </row>
    <row r="81" spans="1:1">
      <c r="A81" s="91"/>
    </row>
    <row r="82" spans="1:1">
      <c r="A82" s="91"/>
    </row>
    <row r="83" spans="1:1">
      <c r="A83" s="91"/>
    </row>
    <row r="84" spans="1:1">
      <c r="A84" s="91"/>
    </row>
    <row r="85" spans="1:1">
      <c r="A85" s="91"/>
    </row>
    <row r="86" spans="1:1">
      <c r="A86" s="91"/>
    </row>
    <row r="87" spans="1:1">
      <c r="A87" s="91"/>
    </row>
    <row r="88" spans="1:1">
      <c r="A88" s="91"/>
    </row>
    <row r="89" spans="1:1">
      <c r="A89" s="91"/>
    </row>
    <row r="90" spans="1:1">
      <c r="A90" s="91"/>
    </row>
    <row r="91" spans="1:1">
      <c r="A91" s="91"/>
    </row>
    <row r="92" spans="1:1">
      <c r="A92" s="91"/>
    </row>
    <row r="93" spans="1:1">
      <c r="A93" s="91"/>
    </row>
    <row r="94" spans="1:1">
      <c r="A94" s="91"/>
    </row>
    <row r="95" spans="1:1">
      <c r="A95" s="91"/>
    </row>
    <row r="96" spans="1:1">
      <c r="A96" s="91"/>
    </row>
    <row r="97" spans="1:1">
      <c r="A97" s="91"/>
    </row>
    <row r="98" spans="1:1">
      <c r="A98" s="91"/>
    </row>
    <row r="99" spans="1:1">
      <c r="A99" s="91"/>
    </row>
    <row r="100" spans="1:1">
      <c r="A100" s="91"/>
    </row>
    <row r="101" spans="1:1">
      <c r="A101" s="91"/>
    </row>
    <row r="102" spans="1:1">
      <c r="A102" s="91"/>
    </row>
    <row r="103" spans="1:1">
      <c r="A103" s="91"/>
    </row>
    <row r="104" spans="1:1">
      <c r="A104" s="91"/>
    </row>
    <row r="105" spans="1:1">
      <c r="A105" s="91"/>
    </row>
    <row r="106" spans="1:1">
      <c r="A106" s="91"/>
    </row>
    <row r="107" spans="1:1">
      <c r="A107" s="91"/>
    </row>
    <row r="108" spans="1:1">
      <c r="A108" s="91"/>
    </row>
    <row r="109" spans="1:1">
      <c r="A109" s="91"/>
    </row>
    <row r="110" spans="1:1">
      <c r="A110" s="91"/>
    </row>
    <row r="111" spans="1:1">
      <c r="A111" s="91"/>
    </row>
    <row r="112" spans="1:1">
      <c r="A112" s="91"/>
    </row>
    <row r="113" spans="1:1">
      <c r="A113" s="91"/>
    </row>
    <row r="114" spans="1:1">
      <c r="A114" s="91"/>
    </row>
    <row r="115" spans="1:1">
      <c r="A115" s="91"/>
    </row>
    <row r="116" spans="1:1">
      <c r="A116" s="91"/>
    </row>
    <row r="117" spans="1:1">
      <c r="A117" s="91"/>
    </row>
    <row r="118" spans="1:1">
      <c r="A118" s="91"/>
    </row>
    <row r="119" spans="1:1">
      <c r="A119" s="91"/>
    </row>
    <row r="120" spans="1:1">
      <c r="A120" s="91"/>
    </row>
    <row r="121" spans="1:1">
      <c r="A121" s="91"/>
    </row>
    <row r="122" spans="1:1">
      <c r="A122" s="91"/>
    </row>
    <row r="123" spans="1:1">
      <c r="A123" s="91"/>
    </row>
    <row r="124" spans="1:1">
      <c r="A124" s="91"/>
    </row>
    <row r="125" spans="1:1">
      <c r="A125" s="91"/>
    </row>
    <row r="126" spans="1:1">
      <c r="A126" s="91"/>
    </row>
    <row r="127" spans="1:1">
      <c r="A127" s="91"/>
    </row>
    <row r="128" spans="1:1">
      <c r="A128" s="91"/>
    </row>
    <row r="129" spans="1:1">
      <c r="A129" s="91"/>
    </row>
    <row r="130" spans="1:1">
      <c r="A130" s="91"/>
    </row>
    <row r="131" spans="1:1">
      <c r="A131" s="91"/>
    </row>
    <row r="132" spans="1:1">
      <c r="A132" s="91"/>
    </row>
    <row r="133" spans="1:1">
      <c r="A133" s="91"/>
    </row>
    <row r="134" spans="1:1">
      <c r="A134" s="91"/>
    </row>
    <row r="135" spans="1:1">
      <c r="A135" s="91"/>
    </row>
    <row r="136" spans="1:1">
      <c r="A136" s="91"/>
    </row>
    <row r="137" spans="1:1">
      <c r="A137" s="91"/>
    </row>
    <row r="138" spans="1:1">
      <c r="A138" s="91"/>
    </row>
    <row r="139" spans="1:1">
      <c r="A139" s="91"/>
    </row>
    <row r="140" spans="1:1">
      <c r="A140" s="91"/>
    </row>
    <row r="141" spans="1:1">
      <c r="A141" s="91"/>
    </row>
    <row r="142" spans="1:1">
      <c r="A142" s="91"/>
    </row>
    <row r="143" spans="1:1">
      <c r="A143" s="91"/>
    </row>
    <row r="144" spans="1:1">
      <c r="A144" s="91"/>
    </row>
    <row r="145" spans="1:1">
      <c r="A145" s="91"/>
    </row>
    <row r="146" spans="1:1">
      <c r="A146" s="91"/>
    </row>
    <row r="147" spans="1:1">
      <c r="A147" s="91"/>
    </row>
    <row r="148" spans="1:1">
      <c r="A148" s="91"/>
    </row>
    <row r="149" spans="1:1">
      <c r="A149" s="91"/>
    </row>
    <row r="150" spans="1:1">
      <c r="A150" s="91"/>
    </row>
    <row r="151" spans="1:1">
      <c r="A151" s="91"/>
    </row>
    <row r="152" spans="1:1">
      <c r="A152" s="91"/>
    </row>
    <row r="153" spans="1:1">
      <c r="A153" s="91"/>
    </row>
    <row r="154" spans="1:1">
      <c r="A154" s="91"/>
    </row>
    <row r="155" spans="1:1">
      <c r="A155" s="91"/>
    </row>
    <row r="156" spans="1:1">
      <c r="A156" s="91"/>
    </row>
    <row r="157" spans="1:1">
      <c r="A157" s="91"/>
    </row>
    <row r="158" spans="1:1">
      <c r="A158" s="91"/>
    </row>
    <row r="159" spans="1:1">
      <c r="A159" s="91"/>
    </row>
    <row r="160" spans="1:1">
      <c r="A160" s="91"/>
    </row>
    <row r="161" spans="1:1">
      <c r="A161" s="91"/>
    </row>
    <row r="162" spans="1:1">
      <c r="A162" s="91"/>
    </row>
    <row r="163" spans="1:1">
      <c r="A163" s="91"/>
    </row>
    <row r="164" spans="1:1">
      <c r="A164" s="91"/>
    </row>
    <row r="165" spans="1:1">
      <c r="A165" s="91"/>
    </row>
    <row r="166" spans="1:1">
      <c r="A166" s="91"/>
    </row>
    <row r="167" spans="1:1">
      <c r="A167" s="91"/>
    </row>
    <row r="168" spans="1:1">
      <c r="A168" s="91"/>
    </row>
    <row r="169" spans="1:1">
      <c r="A169" s="91"/>
    </row>
    <row r="170" spans="1:1">
      <c r="A170" s="91"/>
    </row>
    <row r="171" spans="1:1">
      <c r="A171" s="91"/>
    </row>
    <row r="172" spans="1:1">
      <c r="A172" s="91"/>
    </row>
    <row r="173" spans="1:1">
      <c r="A173" s="91"/>
    </row>
    <row r="174" spans="1:1">
      <c r="A174" s="91"/>
    </row>
    <row r="175" spans="1:1">
      <c r="A175" s="91"/>
    </row>
    <row r="176" spans="1:1">
      <c r="A176" s="91"/>
    </row>
    <row r="177" spans="1:1">
      <c r="A177" s="91"/>
    </row>
    <row r="178" spans="1:1">
      <c r="A178" s="91"/>
    </row>
    <row r="179" spans="1:1">
      <c r="A179" s="91"/>
    </row>
    <row r="180" spans="1:1">
      <c r="A180" s="91"/>
    </row>
    <row r="181" spans="1:1">
      <c r="A181" s="91"/>
    </row>
    <row r="182" spans="1:1">
      <c r="A182" s="91"/>
    </row>
    <row r="183" spans="1:1">
      <c r="A183" s="91"/>
    </row>
    <row r="184" spans="1:1">
      <c r="A184" s="91"/>
    </row>
    <row r="185" spans="1:1">
      <c r="A185" s="91"/>
    </row>
    <row r="186" spans="1:1">
      <c r="A186" s="91"/>
    </row>
    <row r="187" spans="1:1">
      <c r="A187" s="91"/>
    </row>
    <row r="188" spans="1:1">
      <c r="A188" s="91"/>
    </row>
    <row r="189" spans="1:1">
      <c r="A189" s="91"/>
    </row>
    <row r="190" spans="1:1">
      <c r="A190" s="91"/>
    </row>
    <row r="191" spans="1:1">
      <c r="A191" s="91"/>
    </row>
    <row r="192" spans="1:1">
      <c r="A192" s="91"/>
    </row>
    <row r="193" spans="1:1">
      <c r="A193" s="91"/>
    </row>
    <row r="194" spans="1:1">
      <c r="A194" s="91"/>
    </row>
    <row r="195" spans="1:1">
      <c r="A195" s="91"/>
    </row>
    <row r="196" spans="1:1">
      <c r="A196" s="91"/>
    </row>
    <row r="197" spans="1:1">
      <c r="A197" s="91"/>
    </row>
    <row r="198" spans="1:1">
      <c r="A198" s="91"/>
    </row>
    <row r="199" spans="1:1">
      <c r="A199" s="91"/>
    </row>
    <row r="200" spans="1:1">
      <c r="A200" s="91"/>
    </row>
    <row r="201" spans="1:1">
      <c r="A201" s="91"/>
    </row>
    <row r="202" spans="1:1">
      <c r="A202" s="91"/>
    </row>
    <row r="203" spans="1:1">
      <c r="A203" s="91"/>
    </row>
    <row r="204" spans="1:1">
      <c r="A204" s="91"/>
    </row>
    <row r="205" spans="1:1">
      <c r="A205" s="91"/>
    </row>
    <row r="206" spans="1:1">
      <c r="A206" s="91"/>
    </row>
    <row r="207" spans="1:1">
      <c r="A207" s="91"/>
    </row>
    <row r="208" spans="1:1">
      <c r="A208" s="91"/>
    </row>
    <row r="209" spans="1:1">
      <c r="A209" s="91"/>
    </row>
    <row r="210" spans="1:1">
      <c r="A210" s="91"/>
    </row>
    <row r="211" spans="1:1">
      <c r="A211" s="91"/>
    </row>
    <row r="212" spans="1:1">
      <c r="A212" s="91"/>
    </row>
    <row r="213" spans="1:1">
      <c r="A213" s="91"/>
    </row>
    <row r="214" spans="1:1">
      <c r="A214" s="91"/>
    </row>
    <row r="215" spans="1:1">
      <c r="A215" s="91"/>
    </row>
    <row r="216" spans="1:1">
      <c r="A216" s="91"/>
    </row>
    <row r="217" spans="1:1">
      <c r="A217" s="91"/>
    </row>
    <row r="218" spans="1:1">
      <c r="A218" s="91"/>
    </row>
    <row r="219" spans="1:1">
      <c r="A219" s="91"/>
    </row>
    <row r="220" spans="1:1">
      <c r="A220" s="91"/>
    </row>
    <row r="221" spans="1:1">
      <c r="A221" s="91"/>
    </row>
    <row r="222" spans="1:1">
      <c r="A222" s="91"/>
    </row>
    <row r="223" spans="1:1">
      <c r="A223" s="91"/>
    </row>
    <row r="224" spans="1:1">
      <c r="A224" s="91"/>
    </row>
    <row r="225" spans="1:1">
      <c r="A225" s="91"/>
    </row>
    <row r="226" spans="1:1">
      <c r="A226" s="91"/>
    </row>
    <row r="227" spans="1:1">
      <c r="A227" s="91"/>
    </row>
    <row r="228" spans="1:1">
      <c r="A228" s="91"/>
    </row>
    <row r="229" spans="1:1">
      <c r="A229" s="91"/>
    </row>
    <row r="230" spans="1:1">
      <c r="A230" s="91"/>
    </row>
    <row r="231" spans="1:1">
      <c r="A231" s="91"/>
    </row>
    <row r="232" spans="1:1">
      <c r="A232" s="91"/>
    </row>
    <row r="233" spans="1:1">
      <c r="A233" s="91"/>
    </row>
    <row r="234" spans="1:1">
      <c r="A234" s="91"/>
    </row>
    <row r="235" spans="1:1">
      <c r="A235" s="91"/>
    </row>
    <row r="236" spans="1:1">
      <c r="A236" s="91"/>
    </row>
    <row r="237" spans="1:1">
      <c r="A237" s="91"/>
    </row>
    <row r="238" spans="1:1">
      <c r="A238" s="91"/>
    </row>
    <row r="239" spans="1:1">
      <c r="A239" s="91"/>
    </row>
    <row r="240" spans="1:1">
      <c r="A240" s="91"/>
    </row>
    <row r="241" spans="1:1">
      <c r="A241" s="91"/>
    </row>
    <row r="242" spans="1:1">
      <c r="A242" s="91"/>
    </row>
    <row r="243" spans="1:1">
      <c r="A243" s="91"/>
    </row>
    <row r="244" spans="1:1">
      <c r="A244" s="91"/>
    </row>
    <row r="245" spans="1:1">
      <c r="A245" s="91"/>
    </row>
    <row r="246" spans="1:1">
      <c r="A246" s="91"/>
    </row>
  </sheetData>
  <mergeCells count="3">
    <mergeCell ref="B12:C12"/>
    <mergeCell ref="B20:C20"/>
    <mergeCell ref="B5:E7"/>
  </mergeCells>
  <printOptions horizontalCentered="1" headings="1"/>
  <pageMargins left="1" right="1" top="1.25" bottom="0.5" header="0.5" footer="0.5"/>
  <pageSetup scale="10" orientation="portrait" r:id="rId1"/>
  <headerFooter scaleWithDoc="0">
    <oddHeader>&amp;R&amp;"Times New Roman,Bold"&amp;10ICC Docket No. 21-0155
Statewide Quarterly Report
ComEd 2022 Q3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58800012207406E-2"/>
    <pageSetUpPr fitToPage="1"/>
  </sheetPr>
  <dimension ref="A1:V153"/>
  <sheetViews>
    <sheetView topLeftCell="A32" zoomScale="70" zoomScaleNormal="70" workbookViewId="0"/>
  </sheetViews>
  <sheetFormatPr defaultColWidth="9.1796875" defaultRowHeight="14.5"/>
  <cols>
    <col min="1" max="1" width="3.54296875" customWidth="1"/>
    <col min="2" max="2" width="18.54296875" style="27" customWidth="1"/>
    <col min="3" max="3" width="22.26953125" customWidth="1"/>
    <col min="4" max="4" width="24.26953125" customWidth="1"/>
    <col min="5" max="6" width="18.54296875" customWidth="1"/>
    <col min="7" max="7" width="19.36328125" customWidth="1"/>
    <col min="8" max="8" width="3.36328125" customWidth="1"/>
    <col min="9" max="9" width="31.54296875" customWidth="1"/>
    <col min="10" max="10" width="11.54296875" customWidth="1"/>
    <col min="11" max="11" width="15.7265625" customWidth="1"/>
    <col min="12" max="13" width="12.36328125" customWidth="1"/>
    <col min="14" max="14" width="13.36328125" customWidth="1"/>
    <col min="15" max="15" width="12.54296875" customWidth="1"/>
    <col min="16" max="17" width="12.36328125" customWidth="1"/>
    <col min="18" max="18" width="12.54296875" customWidth="1"/>
    <col min="19" max="19" width="12.36328125" customWidth="1"/>
  </cols>
  <sheetData>
    <row r="1" spans="1:22">
      <c r="A1" s="91"/>
      <c r="B1" s="97" t="s">
        <v>0</v>
      </c>
      <c r="C1" s="91"/>
      <c r="D1" s="91"/>
      <c r="E1" s="91"/>
      <c r="F1" s="91"/>
      <c r="G1" s="91"/>
      <c r="H1" s="91"/>
      <c r="I1" s="91"/>
      <c r="J1" s="91"/>
      <c r="K1" s="91"/>
      <c r="L1" s="91"/>
      <c r="M1" s="91"/>
      <c r="N1" s="91"/>
      <c r="O1" s="91"/>
      <c r="P1" s="91"/>
      <c r="Q1" s="91"/>
      <c r="R1" s="91"/>
      <c r="S1" s="91"/>
      <c r="T1" s="91"/>
      <c r="U1" s="91"/>
      <c r="V1" s="91"/>
    </row>
    <row r="2" spans="1:22">
      <c r="A2" s="91"/>
      <c r="B2" s="97" t="s">
        <v>123</v>
      </c>
      <c r="C2" s="91"/>
      <c r="D2" s="91"/>
      <c r="E2" s="91"/>
      <c r="F2" s="91"/>
      <c r="G2" s="91"/>
      <c r="H2" s="91"/>
      <c r="I2" s="91"/>
      <c r="J2" s="91"/>
      <c r="K2" s="91"/>
      <c r="L2" s="91"/>
      <c r="M2" s="91"/>
      <c r="N2" s="91"/>
      <c r="O2" s="91"/>
      <c r="P2" s="91"/>
      <c r="Q2" s="91"/>
      <c r="R2" s="91"/>
      <c r="S2" s="91"/>
      <c r="T2" s="91"/>
      <c r="U2" s="91"/>
      <c r="V2" s="91"/>
    </row>
    <row r="3" spans="1:22">
      <c r="A3" s="91"/>
      <c r="B3" s="97"/>
      <c r="C3" s="91"/>
      <c r="D3" s="91"/>
      <c r="E3" s="91"/>
      <c r="F3" s="91"/>
      <c r="G3" s="91"/>
      <c r="H3" s="91"/>
      <c r="I3" s="91"/>
      <c r="J3" s="91"/>
      <c r="K3" s="91"/>
      <c r="L3" s="91"/>
      <c r="M3" s="91"/>
      <c r="N3" s="91"/>
      <c r="O3" s="91"/>
      <c r="P3" s="91"/>
      <c r="Q3" s="91"/>
      <c r="R3" s="91"/>
      <c r="S3" s="91"/>
      <c r="T3" s="91"/>
      <c r="U3" s="91"/>
      <c r="V3" s="91"/>
    </row>
    <row r="4" spans="1:22">
      <c r="A4" s="91"/>
      <c r="B4" s="97"/>
      <c r="C4" s="91"/>
      <c r="D4" s="91"/>
      <c r="E4" s="91"/>
      <c r="F4" s="91"/>
      <c r="G4" s="91"/>
      <c r="H4" s="91"/>
      <c r="I4" s="91"/>
      <c r="J4" s="91"/>
      <c r="K4" s="91"/>
      <c r="L4" s="91"/>
      <c r="M4" s="91"/>
      <c r="N4" s="91"/>
      <c r="O4" s="91"/>
      <c r="P4" s="91"/>
      <c r="Q4" s="91"/>
      <c r="R4" s="91"/>
      <c r="S4" s="91"/>
      <c r="T4" s="91"/>
      <c r="U4" s="91"/>
      <c r="V4" s="91"/>
    </row>
    <row r="5" spans="1:22" ht="14.75" customHeight="1">
      <c r="A5" s="91"/>
      <c r="B5" s="304" t="s">
        <v>124</v>
      </c>
      <c r="C5" s="304"/>
      <c r="D5" s="304"/>
      <c r="E5" s="304"/>
      <c r="F5" s="304"/>
      <c r="G5" s="304"/>
      <c r="H5" s="91"/>
      <c r="I5" s="91"/>
      <c r="J5" s="91"/>
      <c r="K5" s="91"/>
      <c r="L5" s="91"/>
      <c r="M5" s="91"/>
      <c r="N5" s="91"/>
      <c r="O5" s="91"/>
      <c r="P5" s="91"/>
      <c r="Q5" s="91"/>
      <c r="R5" s="91"/>
      <c r="S5" s="91"/>
      <c r="T5" s="91"/>
      <c r="U5" s="91"/>
      <c r="V5" s="91"/>
    </row>
    <row r="6" spans="1:22">
      <c r="A6" s="91"/>
      <c r="B6" s="304"/>
      <c r="C6" s="304"/>
      <c r="D6" s="304"/>
      <c r="E6" s="304"/>
      <c r="F6" s="304"/>
      <c r="G6" s="304"/>
      <c r="H6" s="91"/>
      <c r="I6" s="91"/>
      <c r="J6" s="91"/>
      <c r="K6" s="91"/>
      <c r="L6" s="91"/>
      <c r="M6" s="91"/>
      <c r="N6" s="91"/>
      <c r="O6" s="91"/>
      <c r="P6" s="91"/>
      <c r="Q6" s="91"/>
      <c r="R6" s="91"/>
      <c r="S6" s="91"/>
      <c r="T6" s="91"/>
      <c r="U6" s="91"/>
      <c r="V6" s="91"/>
    </row>
    <row r="7" spans="1:22">
      <c r="A7" s="91"/>
      <c r="B7" s="304"/>
      <c r="C7" s="304"/>
      <c r="D7" s="304"/>
      <c r="E7" s="304"/>
      <c r="F7" s="304"/>
      <c r="G7" s="304"/>
      <c r="H7" s="91"/>
      <c r="I7" s="91"/>
      <c r="J7" s="91"/>
      <c r="K7" s="91"/>
      <c r="L7" s="91"/>
      <c r="M7" s="91"/>
      <c r="N7" s="91"/>
      <c r="O7" s="91"/>
      <c r="P7" s="91"/>
      <c r="Q7" s="91"/>
      <c r="R7" s="91"/>
      <c r="S7" s="91"/>
      <c r="T7" s="91"/>
      <c r="U7" s="91"/>
      <c r="V7" s="91"/>
    </row>
    <row r="8" spans="1:22">
      <c r="A8" s="91"/>
      <c r="B8" s="304"/>
      <c r="C8" s="304"/>
      <c r="D8" s="304"/>
      <c r="E8" s="304"/>
      <c r="F8" s="304"/>
      <c r="G8" s="304"/>
      <c r="H8" s="91"/>
      <c r="I8" s="91"/>
      <c r="J8" s="91"/>
      <c r="K8" s="91"/>
      <c r="L8" s="91"/>
      <c r="M8" s="91"/>
      <c r="N8" s="91"/>
      <c r="O8" s="91"/>
      <c r="P8" s="91"/>
      <c r="Q8" s="91"/>
      <c r="R8" s="91"/>
      <c r="S8" s="91"/>
      <c r="T8" s="91"/>
      <c r="U8" s="91"/>
      <c r="V8" s="91"/>
    </row>
    <row r="9" spans="1:22">
      <c r="A9" s="91"/>
      <c r="B9" s="304"/>
      <c r="C9" s="304"/>
      <c r="D9" s="304"/>
      <c r="E9" s="304"/>
      <c r="F9" s="304"/>
      <c r="G9" s="304"/>
      <c r="H9" s="91"/>
      <c r="I9" s="91"/>
      <c r="J9" s="91"/>
      <c r="K9" s="91"/>
      <c r="L9" s="91"/>
      <c r="M9" s="91"/>
      <c r="N9" s="91"/>
      <c r="O9" s="91"/>
      <c r="P9" s="91"/>
      <c r="Q9" s="91"/>
      <c r="R9" s="91"/>
      <c r="S9" s="91"/>
      <c r="T9" s="91"/>
      <c r="U9" s="91"/>
      <c r="V9" s="91"/>
    </row>
    <row r="10" spans="1:22">
      <c r="A10" s="91"/>
      <c r="B10" s="96"/>
      <c r="C10" s="91"/>
      <c r="D10" s="91"/>
      <c r="E10" s="91"/>
      <c r="F10" s="91"/>
      <c r="G10" s="91"/>
      <c r="H10" s="91"/>
      <c r="I10" s="91"/>
      <c r="J10" s="91"/>
      <c r="K10" s="91"/>
      <c r="L10" s="91"/>
      <c r="M10" s="91"/>
      <c r="N10" s="91"/>
      <c r="O10" s="91"/>
      <c r="P10" s="91"/>
      <c r="Q10" s="91"/>
      <c r="R10" s="91"/>
      <c r="S10" s="91"/>
      <c r="T10" s="91"/>
      <c r="U10" s="91"/>
      <c r="V10" s="91"/>
    </row>
    <row r="11" spans="1:22" ht="18">
      <c r="A11" s="91"/>
      <c r="B11" s="99" t="s">
        <v>299</v>
      </c>
      <c r="C11" s="99"/>
      <c r="D11" s="100"/>
      <c r="E11" s="100"/>
      <c r="F11" s="100"/>
      <c r="G11" s="100"/>
      <c r="H11" s="91"/>
      <c r="I11" s="173" t="s">
        <v>125</v>
      </c>
      <c r="J11" s="91"/>
      <c r="K11" s="91"/>
      <c r="L11" s="91"/>
      <c r="M11" s="91"/>
      <c r="N11" s="91"/>
      <c r="O11" s="91"/>
      <c r="P11" s="91"/>
      <c r="Q11" s="91"/>
      <c r="R11" s="91"/>
      <c r="S11" s="91"/>
      <c r="T11" s="91"/>
      <c r="U11" s="91"/>
      <c r="V11" s="91"/>
    </row>
    <row r="12" spans="1:22" ht="18" customHeight="1">
      <c r="A12" s="91"/>
      <c r="B12" s="282" t="str">
        <f>'1- Ex Ante Results'!B19</f>
        <v>CY2022 Q3</v>
      </c>
      <c r="C12" s="101"/>
      <c r="D12" s="100"/>
      <c r="E12" s="100"/>
      <c r="F12" s="100"/>
      <c r="G12" s="100"/>
      <c r="H12" s="91"/>
      <c r="I12" s="174"/>
      <c r="J12" s="91"/>
      <c r="K12" s="91"/>
      <c r="L12" s="91"/>
      <c r="M12" s="91"/>
      <c r="N12" s="91"/>
      <c r="O12" s="91"/>
      <c r="P12" s="91"/>
      <c r="Q12" s="91"/>
      <c r="R12" s="91"/>
      <c r="S12" s="91"/>
      <c r="T12" s="91"/>
      <c r="U12" s="91"/>
      <c r="V12" s="91"/>
    </row>
    <row r="13" spans="1:22" s="27" customFormat="1" ht="47.25" customHeight="1">
      <c r="A13" s="96"/>
      <c r="B13" s="25" t="s">
        <v>126</v>
      </c>
      <c r="C13" s="19" t="s">
        <v>127</v>
      </c>
      <c r="D13" s="19" t="s">
        <v>5</v>
      </c>
      <c r="E13" s="19" t="s">
        <v>128</v>
      </c>
      <c r="F13" s="19" t="s">
        <v>129</v>
      </c>
      <c r="G13" s="19" t="s">
        <v>130</v>
      </c>
      <c r="H13" s="96"/>
      <c r="I13" s="28" t="s">
        <v>131</v>
      </c>
      <c r="J13" s="19" t="s">
        <v>132</v>
      </c>
      <c r="K13" s="19" t="s">
        <v>133</v>
      </c>
      <c r="L13" s="19" t="s">
        <v>134</v>
      </c>
      <c r="M13" s="19" t="s">
        <v>135</v>
      </c>
      <c r="N13" s="19" t="s">
        <v>136</v>
      </c>
      <c r="O13" s="19" t="s">
        <v>137</v>
      </c>
      <c r="P13" s="19" t="s">
        <v>138</v>
      </c>
      <c r="Q13" s="19" t="s">
        <v>139</v>
      </c>
      <c r="R13" s="19" t="s">
        <v>140</v>
      </c>
      <c r="S13" s="96"/>
      <c r="T13" s="96"/>
      <c r="U13" s="96"/>
      <c r="V13" s="96"/>
    </row>
    <row r="14" spans="1:22" ht="27">
      <c r="A14" s="91"/>
      <c r="B14" s="65" t="s">
        <v>141</v>
      </c>
      <c r="C14" s="21" t="s">
        <v>142</v>
      </c>
      <c r="D14" s="22">
        <v>163717</v>
      </c>
      <c r="E14" s="22">
        <v>148842</v>
      </c>
      <c r="F14" s="22">
        <f>E14</f>
        <v>148842</v>
      </c>
      <c r="G14" s="23">
        <f>D14/F14</f>
        <v>1.0999381894895257</v>
      </c>
      <c r="H14" s="91"/>
      <c r="I14" s="51" t="s">
        <v>143</v>
      </c>
      <c r="J14" s="26">
        <v>18636</v>
      </c>
      <c r="K14" s="26">
        <v>34038</v>
      </c>
      <c r="L14" s="26">
        <v>54130</v>
      </c>
      <c r="M14" s="26">
        <v>107640</v>
      </c>
      <c r="N14" s="26">
        <v>98944</v>
      </c>
      <c r="O14" s="26">
        <v>86439</v>
      </c>
      <c r="P14" s="26">
        <v>85124.305999999997</v>
      </c>
      <c r="Q14" s="158">
        <v>30340.597000000002</v>
      </c>
      <c r="R14" s="26">
        <v>171941.09</v>
      </c>
      <c r="S14" s="91"/>
      <c r="T14" s="91"/>
      <c r="U14" s="91"/>
      <c r="V14" s="91"/>
    </row>
    <row r="15" spans="1:22" s="27" customFormat="1" ht="27">
      <c r="A15" s="96"/>
      <c r="B15" s="65" t="s">
        <v>144</v>
      </c>
      <c r="C15" s="21" t="s">
        <v>142</v>
      </c>
      <c r="D15" s="49">
        <v>472132</v>
      </c>
      <c r="E15" s="49">
        <v>312339</v>
      </c>
      <c r="F15" s="22">
        <f>E15</f>
        <v>312339</v>
      </c>
      <c r="G15" s="50">
        <f t="shared" ref="G15:G30" si="0">D15/F15</f>
        <v>1.5116011769263524</v>
      </c>
      <c r="H15" s="96"/>
      <c r="I15" s="47" t="s">
        <v>145</v>
      </c>
      <c r="J15" s="52" t="s">
        <v>142</v>
      </c>
      <c r="K15" s="52" t="s">
        <v>142</v>
      </c>
      <c r="L15" s="52" t="s">
        <v>142</v>
      </c>
      <c r="M15" s="52" t="s">
        <v>142</v>
      </c>
      <c r="N15" s="52" t="s">
        <v>142</v>
      </c>
      <c r="O15" s="52" t="s">
        <v>142</v>
      </c>
      <c r="P15" s="53" t="s">
        <v>146</v>
      </c>
      <c r="Q15" s="53" t="s">
        <v>146</v>
      </c>
      <c r="R15" s="53" t="s">
        <v>146</v>
      </c>
      <c r="S15" s="96"/>
      <c r="T15" s="96"/>
      <c r="U15" s="96"/>
      <c r="V15" s="96"/>
    </row>
    <row r="16" spans="1:22" ht="27">
      <c r="A16" s="91"/>
      <c r="B16" s="65" t="s">
        <v>147</v>
      </c>
      <c r="C16" s="21" t="s">
        <v>142</v>
      </c>
      <c r="D16" s="22">
        <v>626715</v>
      </c>
      <c r="E16" s="22">
        <v>458919</v>
      </c>
      <c r="F16" s="22">
        <f>E16</f>
        <v>458919</v>
      </c>
      <c r="G16" s="23">
        <f t="shared" si="0"/>
        <v>1.3656331509482065</v>
      </c>
      <c r="H16" s="91"/>
      <c r="I16" s="47" t="s">
        <v>148</v>
      </c>
      <c r="J16" s="66" t="s">
        <v>149</v>
      </c>
      <c r="K16" s="66" t="s">
        <v>150</v>
      </c>
      <c r="L16" s="67" t="s">
        <v>151</v>
      </c>
      <c r="M16" s="67" t="s">
        <v>152</v>
      </c>
      <c r="N16" s="67" t="s">
        <v>153</v>
      </c>
      <c r="O16" s="67" t="s">
        <v>154</v>
      </c>
      <c r="P16" s="66" t="s">
        <v>155</v>
      </c>
      <c r="Q16" s="67" t="s">
        <v>156</v>
      </c>
      <c r="R16" s="76" t="s">
        <v>156</v>
      </c>
      <c r="S16" s="91"/>
      <c r="T16" s="91"/>
      <c r="U16" s="91"/>
      <c r="V16" s="91"/>
    </row>
    <row r="17" spans="1:22" ht="28">
      <c r="A17" s="91"/>
      <c r="B17" s="55" t="s">
        <v>157</v>
      </c>
      <c r="C17" s="37"/>
      <c r="D17" s="38">
        <f>SUM(D14:D16)</f>
        <v>1262564</v>
      </c>
      <c r="E17" s="38">
        <f>SUM(E14:E16)</f>
        <v>920100</v>
      </c>
      <c r="F17" s="38">
        <f>SUM(F14:F16)</f>
        <v>920100</v>
      </c>
      <c r="G17" s="39">
        <f t="shared" si="0"/>
        <v>1.3722030214107162</v>
      </c>
      <c r="H17" s="91"/>
      <c r="I17" s="207"/>
      <c r="J17" s="91"/>
      <c r="K17" s="91"/>
      <c r="L17" s="91"/>
      <c r="M17" s="91"/>
      <c r="N17" s="91"/>
      <c r="O17" s="91"/>
      <c r="P17" s="91"/>
      <c r="Q17" s="91"/>
      <c r="R17" s="91"/>
      <c r="S17" s="91"/>
      <c r="T17" s="91"/>
      <c r="U17" s="91"/>
      <c r="V17" s="91"/>
    </row>
    <row r="18" spans="1:22" ht="33" customHeight="1">
      <c r="A18" s="91"/>
      <c r="B18" s="65" t="s">
        <v>158</v>
      </c>
      <c r="C18" s="21" t="s">
        <v>142</v>
      </c>
      <c r="D18" s="22">
        <v>944111</v>
      </c>
      <c r="E18" s="22">
        <v>610804</v>
      </c>
      <c r="F18" s="22">
        <f>E18</f>
        <v>610804</v>
      </c>
      <c r="G18" s="23">
        <f t="shared" si="0"/>
        <v>1.5456856864067687</v>
      </c>
      <c r="H18" s="91"/>
      <c r="I18" s="207" t="s">
        <v>98</v>
      </c>
      <c r="J18" s="91"/>
      <c r="K18" s="91"/>
      <c r="L18" s="91"/>
      <c r="M18" s="91"/>
      <c r="N18" s="91"/>
      <c r="O18" s="91"/>
      <c r="P18" s="91"/>
      <c r="Q18" s="91"/>
      <c r="R18" s="91"/>
      <c r="S18" s="91"/>
      <c r="T18" s="91"/>
      <c r="U18" s="91"/>
      <c r="V18" s="91"/>
    </row>
    <row r="19" spans="1:22" ht="33" customHeight="1">
      <c r="A19" s="91"/>
      <c r="B19" s="65" t="s">
        <v>159</v>
      </c>
      <c r="C19" s="21" t="s">
        <v>142</v>
      </c>
      <c r="D19" s="22">
        <v>942061</v>
      </c>
      <c r="E19" s="22">
        <v>806353</v>
      </c>
      <c r="F19" s="22">
        <f>E19</f>
        <v>806353</v>
      </c>
      <c r="G19" s="23">
        <f t="shared" si="0"/>
        <v>1.1682984995405239</v>
      </c>
      <c r="H19" s="91"/>
      <c r="I19" s="14" t="s">
        <v>160</v>
      </c>
      <c r="J19" s="13"/>
      <c r="K19" s="13"/>
      <c r="L19" s="13"/>
      <c r="M19" s="13"/>
      <c r="N19" s="13"/>
      <c r="O19" s="13"/>
      <c r="P19" s="13"/>
      <c r="Q19" s="13"/>
      <c r="R19" s="12"/>
      <c r="S19" s="91"/>
      <c r="T19" s="91"/>
      <c r="U19" s="91"/>
      <c r="V19" s="91"/>
    </row>
    <row r="20" spans="1:22" ht="40.5" customHeight="1">
      <c r="A20" s="91"/>
      <c r="B20" s="65" t="s">
        <v>161</v>
      </c>
      <c r="C20" s="21" t="s">
        <v>142</v>
      </c>
      <c r="D20" s="22">
        <v>977911</v>
      </c>
      <c r="E20" s="22">
        <v>809556</v>
      </c>
      <c r="F20" s="22">
        <v>791103</v>
      </c>
      <c r="G20" s="23">
        <f t="shared" si="0"/>
        <v>1.2361361289237938</v>
      </c>
      <c r="H20" s="91"/>
      <c r="I20" s="14" t="s">
        <v>162</v>
      </c>
      <c r="J20" s="13"/>
      <c r="K20" s="13"/>
      <c r="L20" s="13"/>
      <c r="M20" s="13"/>
      <c r="N20" s="13"/>
      <c r="O20" s="13"/>
      <c r="P20" s="13"/>
      <c r="Q20" s="13"/>
      <c r="R20" s="12"/>
      <c r="S20" s="91"/>
      <c r="T20" s="91"/>
      <c r="U20" s="91"/>
      <c r="V20" s="91"/>
    </row>
    <row r="21" spans="1:22" ht="43.5" customHeight="1">
      <c r="A21" s="91"/>
      <c r="B21" s="55" t="s">
        <v>163</v>
      </c>
      <c r="C21" s="37"/>
      <c r="D21" s="38">
        <f>SUM(D18:D20)</f>
        <v>2864083</v>
      </c>
      <c r="E21" s="38">
        <f>SUM(E18:E20)</f>
        <v>2226713</v>
      </c>
      <c r="F21" s="38">
        <f>SUM(F18:F20)</f>
        <v>2208260</v>
      </c>
      <c r="G21" s="39">
        <f t="shared" si="0"/>
        <v>1.2969863150172534</v>
      </c>
      <c r="H21" s="91"/>
      <c r="I21" s="91"/>
      <c r="J21" s="91"/>
      <c r="K21" s="91"/>
      <c r="L21" s="91"/>
      <c r="M21" s="91"/>
      <c r="N21" s="91"/>
      <c r="O21" s="91"/>
      <c r="P21" s="91"/>
      <c r="Q21" s="91"/>
      <c r="R21" s="91"/>
      <c r="S21" s="91"/>
      <c r="T21" s="91"/>
      <c r="U21" s="91"/>
      <c r="V21" s="91"/>
    </row>
    <row r="22" spans="1:22" ht="27">
      <c r="A22" s="91"/>
      <c r="B22" s="65" t="s">
        <v>164</v>
      </c>
      <c r="C22" s="21" t="s">
        <v>146</v>
      </c>
      <c r="D22" s="22">
        <v>809877.65800000005</v>
      </c>
      <c r="E22" s="22">
        <v>648029</v>
      </c>
      <c r="F22" s="79">
        <f>E22</f>
        <v>648029</v>
      </c>
      <c r="G22" s="23">
        <f t="shared" si="0"/>
        <v>1.2497552702116728</v>
      </c>
      <c r="H22" s="91"/>
      <c r="I22" s="91"/>
      <c r="J22" s="91"/>
      <c r="K22" s="91"/>
      <c r="L22" s="91"/>
      <c r="M22" s="91"/>
      <c r="N22" s="91"/>
      <c r="O22" s="91"/>
      <c r="P22" s="91"/>
      <c r="Q22" s="91"/>
      <c r="R22" s="91"/>
      <c r="S22" s="91"/>
      <c r="T22" s="91"/>
      <c r="U22" s="91"/>
      <c r="V22" s="91"/>
    </row>
    <row r="23" spans="1:22" ht="27">
      <c r="A23" s="91"/>
      <c r="B23" s="65" t="s">
        <v>165</v>
      </c>
      <c r="C23" s="21" t="s">
        <v>146</v>
      </c>
      <c r="D23" s="22">
        <v>671027.05099999998</v>
      </c>
      <c r="E23" s="22">
        <v>541983</v>
      </c>
      <c r="F23" s="79">
        <f>E23</f>
        <v>541983</v>
      </c>
      <c r="G23" s="23">
        <f t="shared" si="0"/>
        <v>1.2380961229411254</v>
      </c>
      <c r="H23" s="91"/>
      <c r="I23" s="91"/>
      <c r="J23" s="91"/>
      <c r="K23" s="91"/>
      <c r="L23" s="91"/>
      <c r="M23" s="91"/>
      <c r="N23" s="91"/>
      <c r="O23" s="91"/>
      <c r="P23" s="91"/>
      <c r="Q23" s="91"/>
      <c r="R23" s="91"/>
      <c r="S23" s="91"/>
      <c r="T23" s="91"/>
      <c r="U23" s="91"/>
      <c r="V23" s="91"/>
    </row>
    <row r="24" spans="1:22" ht="27">
      <c r="A24" s="91"/>
      <c r="B24" s="65" t="s">
        <v>166</v>
      </c>
      <c r="C24" s="24" t="s">
        <v>146</v>
      </c>
      <c r="D24" s="22">
        <v>1087076</v>
      </c>
      <c r="E24" s="22">
        <v>787629</v>
      </c>
      <c r="F24" s="79">
        <f>E24</f>
        <v>787629</v>
      </c>
      <c r="G24" s="23">
        <f t="shared" si="0"/>
        <v>1.3801878803345229</v>
      </c>
      <c r="H24" s="91"/>
      <c r="I24" s="91"/>
      <c r="J24" s="91"/>
      <c r="K24" s="91"/>
      <c r="L24" s="91"/>
      <c r="M24" s="91"/>
      <c r="N24" s="91"/>
      <c r="O24" s="91"/>
      <c r="P24" s="91"/>
      <c r="Q24" s="91"/>
      <c r="R24" s="91"/>
      <c r="S24" s="91"/>
      <c r="T24" s="91"/>
      <c r="U24" s="91"/>
      <c r="V24" s="91"/>
    </row>
    <row r="25" spans="1:22" ht="44.25" customHeight="1">
      <c r="A25" s="91"/>
      <c r="B25" s="55" t="s">
        <v>167</v>
      </c>
      <c r="C25" s="37"/>
      <c r="D25" s="38">
        <f>SUM(D22:D24)</f>
        <v>2567980.7089999998</v>
      </c>
      <c r="E25" s="38">
        <f>SUM(E22:E24)</f>
        <v>1977641</v>
      </c>
      <c r="F25" s="80">
        <f>SUM(F22:F24)</f>
        <v>1977641</v>
      </c>
      <c r="G25" s="39">
        <f t="shared" si="0"/>
        <v>1.298507013659203</v>
      </c>
      <c r="H25" s="91"/>
      <c r="I25" s="91"/>
      <c r="J25" s="91"/>
      <c r="K25" s="91"/>
      <c r="L25" s="91"/>
      <c r="M25" s="91"/>
      <c r="N25" s="91"/>
      <c r="O25" s="91"/>
      <c r="P25" s="91"/>
      <c r="Q25" s="91"/>
      <c r="R25" s="91"/>
      <c r="S25" s="91"/>
      <c r="T25" s="91"/>
      <c r="U25" s="91"/>
      <c r="V25" s="91"/>
    </row>
    <row r="26" spans="1:22">
      <c r="A26" s="300" t="s">
        <v>168</v>
      </c>
      <c r="B26" s="48">
        <v>2018</v>
      </c>
      <c r="C26" s="24" t="s">
        <v>146</v>
      </c>
      <c r="D26" s="22">
        <v>1859773.2879999999</v>
      </c>
      <c r="E26" s="107">
        <v>1713349</v>
      </c>
      <c r="F26" s="79">
        <f>E26</f>
        <v>1713349</v>
      </c>
      <c r="G26" s="23">
        <f>D26/F26</f>
        <v>1.0854608652411155</v>
      </c>
      <c r="H26" s="91"/>
      <c r="I26" s="91"/>
      <c r="J26" s="91"/>
      <c r="K26" s="91"/>
      <c r="L26" s="91"/>
      <c r="M26" s="91"/>
      <c r="N26" s="91"/>
      <c r="O26" s="91"/>
      <c r="P26" s="91"/>
      <c r="Q26" s="91"/>
      <c r="R26" s="91"/>
      <c r="S26" s="91"/>
      <c r="T26" s="91"/>
      <c r="U26" s="91"/>
      <c r="V26" s="91"/>
    </row>
    <row r="27" spans="1:22">
      <c r="A27" s="301"/>
      <c r="B27" s="48">
        <v>2019</v>
      </c>
      <c r="C27" s="24" t="s">
        <v>146</v>
      </c>
      <c r="D27" s="22">
        <v>1700029.4500006568</v>
      </c>
      <c r="E27" s="107">
        <v>1629672</v>
      </c>
      <c r="F27" s="79">
        <f>E27</f>
        <v>1629672</v>
      </c>
      <c r="G27" s="23">
        <f t="shared" si="0"/>
        <v>1.043172767281181</v>
      </c>
      <c r="H27" s="91"/>
      <c r="I27" s="91"/>
      <c r="J27" s="91"/>
      <c r="K27" s="91"/>
      <c r="L27" s="91"/>
      <c r="M27" s="91"/>
      <c r="N27" s="91"/>
      <c r="O27" s="91"/>
      <c r="P27" s="91"/>
      <c r="Q27" s="91"/>
      <c r="R27" s="91"/>
      <c r="S27" s="91"/>
      <c r="T27" s="91"/>
      <c r="U27" s="91"/>
      <c r="V27" s="91"/>
    </row>
    <row r="28" spans="1:22">
      <c r="A28" s="301"/>
      <c r="B28" s="48">
        <v>2020</v>
      </c>
      <c r="C28" s="24" t="s">
        <v>146</v>
      </c>
      <c r="D28" s="22">
        <v>1821166.2136200001</v>
      </c>
      <c r="E28" s="107">
        <v>1637572</v>
      </c>
      <c r="F28" s="79">
        <f>E28</f>
        <v>1637572</v>
      </c>
      <c r="G28" s="23">
        <f t="shared" si="0"/>
        <v>1.1121136741590598</v>
      </c>
      <c r="H28" s="91"/>
      <c r="I28" s="91"/>
      <c r="J28" s="91"/>
      <c r="K28" s="91"/>
      <c r="L28" s="91"/>
      <c r="M28" s="91"/>
      <c r="N28" s="91"/>
      <c r="O28" s="91"/>
      <c r="P28" s="91"/>
      <c r="Q28" s="91"/>
      <c r="R28" s="91"/>
      <c r="S28" s="91"/>
      <c r="T28" s="91"/>
      <c r="U28" s="91"/>
      <c r="V28" s="91"/>
    </row>
    <row r="29" spans="1:22">
      <c r="A29" s="301"/>
      <c r="B29" s="48">
        <v>2021</v>
      </c>
      <c r="C29" s="24" t="s">
        <v>146</v>
      </c>
      <c r="D29" s="22">
        <v>1849877.162</v>
      </c>
      <c r="E29" s="107">
        <v>1658918</v>
      </c>
      <c r="F29" s="22">
        <f>E29</f>
        <v>1658918</v>
      </c>
      <c r="G29" s="78">
        <f t="shared" si="0"/>
        <v>1.1151106697256887</v>
      </c>
      <c r="H29" s="91"/>
      <c r="I29" s="95"/>
      <c r="J29" s="91"/>
      <c r="K29" s="91"/>
      <c r="L29" s="91"/>
      <c r="M29" s="91"/>
      <c r="N29" s="91"/>
      <c r="O29" s="91"/>
      <c r="P29" s="91"/>
      <c r="Q29" s="91"/>
      <c r="R29" s="91"/>
      <c r="S29" s="91"/>
      <c r="T29" s="91"/>
      <c r="U29" s="91"/>
      <c r="V29" s="91"/>
    </row>
    <row r="30" spans="1:22" ht="42" customHeight="1">
      <c r="A30" s="302"/>
      <c r="B30" s="55" t="s">
        <v>169</v>
      </c>
      <c r="C30" s="37"/>
      <c r="D30" s="38">
        <f>SUM(D26:D29)</f>
        <v>7230846.1136206575</v>
      </c>
      <c r="E30" s="38">
        <f>SUM(E26:E29)</f>
        <v>6639511</v>
      </c>
      <c r="F30" s="38">
        <f>SUM(F26:F29)</f>
        <v>6639511</v>
      </c>
      <c r="G30" s="39">
        <f t="shared" si="0"/>
        <v>1.0890630520260689</v>
      </c>
      <c r="H30" s="91"/>
      <c r="I30" s="91"/>
      <c r="J30" s="91"/>
      <c r="K30" s="91"/>
      <c r="L30" s="91"/>
      <c r="M30" s="91"/>
      <c r="N30" s="91"/>
      <c r="O30" s="91"/>
      <c r="P30" s="91"/>
      <c r="Q30" s="91"/>
      <c r="R30" s="91"/>
      <c r="S30" s="91"/>
      <c r="T30" s="91"/>
      <c r="U30" s="91"/>
      <c r="V30" s="91"/>
    </row>
    <row r="31" spans="1:22" ht="14.75" customHeight="1">
      <c r="A31" s="300" t="s">
        <v>170</v>
      </c>
      <c r="B31" s="48">
        <v>2022</v>
      </c>
      <c r="C31" s="24" t="s">
        <v>171</v>
      </c>
      <c r="D31" s="22">
        <f>'1- Ex Ante Results'!C107</f>
        <v>936695.12490229611</v>
      </c>
      <c r="E31" s="107">
        <v>1738072.0006030924</v>
      </c>
      <c r="F31" s="79">
        <f>E31</f>
        <v>1738072.0006030924</v>
      </c>
      <c r="G31" s="23">
        <f>D31/F31</f>
        <v>0.53892768802286262</v>
      </c>
      <c r="H31" s="91"/>
      <c r="I31" s="91"/>
      <c r="J31" s="91"/>
      <c r="K31" s="91"/>
      <c r="L31" s="91"/>
      <c r="M31" s="91"/>
      <c r="N31" s="91"/>
      <c r="O31" s="91"/>
      <c r="P31" s="91"/>
      <c r="Q31" s="91"/>
      <c r="R31" s="91"/>
      <c r="S31" s="91"/>
      <c r="T31" s="91"/>
      <c r="U31" s="91"/>
      <c r="V31" s="91"/>
    </row>
    <row r="32" spans="1:22">
      <c r="A32" s="301"/>
      <c r="B32" s="48">
        <v>2023</v>
      </c>
      <c r="C32" s="24" t="s">
        <v>171</v>
      </c>
      <c r="D32" s="22" t="s">
        <v>172</v>
      </c>
      <c r="E32" s="107">
        <v>1745585.8051912286</v>
      </c>
      <c r="F32" s="79">
        <f>E32</f>
        <v>1745585.8051912286</v>
      </c>
      <c r="G32" s="23">
        <v>0</v>
      </c>
      <c r="H32" s="91"/>
      <c r="I32" s="91"/>
      <c r="J32" s="91"/>
      <c r="K32" s="91"/>
      <c r="L32" s="91"/>
      <c r="M32" s="91"/>
      <c r="N32" s="91"/>
      <c r="O32" s="91"/>
      <c r="P32" s="91"/>
      <c r="Q32" s="91"/>
      <c r="R32" s="91"/>
      <c r="S32" s="91"/>
      <c r="T32" s="91"/>
      <c r="U32" s="91"/>
      <c r="V32" s="91"/>
    </row>
    <row r="33" spans="1:22">
      <c r="A33" s="301"/>
      <c r="B33" s="48">
        <v>2024</v>
      </c>
      <c r="C33" s="24" t="s">
        <v>171</v>
      </c>
      <c r="D33" s="22" t="s">
        <v>172</v>
      </c>
      <c r="E33" s="107">
        <v>1745420.9082263184</v>
      </c>
      <c r="F33" s="79">
        <f>E33</f>
        <v>1745420.9082263184</v>
      </c>
      <c r="G33" s="23">
        <v>0</v>
      </c>
      <c r="H33" s="91"/>
      <c r="I33" s="91"/>
      <c r="J33" s="91"/>
      <c r="K33" s="91"/>
      <c r="L33" s="91"/>
      <c r="M33" s="91"/>
      <c r="N33" s="91"/>
      <c r="O33" s="91"/>
      <c r="P33" s="91"/>
      <c r="Q33" s="91"/>
      <c r="R33" s="91"/>
      <c r="S33" s="91"/>
      <c r="T33" s="91"/>
      <c r="U33" s="91"/>
      <c r="V33" s="91"/>
    </row>
    <row r="34" spans="1:22">
      <c r="A34" s="301"/>
      <c r="B34" s="48">
        <v>2025</v>
      </c>
      <c r="C34" s="24" t="s">
        <v>171</v>
      </c>
      <c r="D34" s="22" t="s">
        <v>172</v>
      </c>
      <c r="E34" s="107">
        <v>1747847.8958436295</v>
      </c>
      <c r="F34" s="22">
        <f>E34</f>
        <v>1747847.8958436295</v>
      </c>
      <c r="G34" s="78">
        <v>0</v>
      </c>
      <c r="H34" s="91"/>
      <c r="I34" s="91"/>
      <c r="J34" s="91"/>
      <c r="K34" s="91"/>
      <c r="L34" s="91"/>
      <c r="M34" s="91"/>
      <c r="N34" s="91"/>
      <c r="O34" s="91"/>
      <c r="P34" s="91"/>
      <c r="Q34" s="91"/>
      <c r="R34" s="91"/>
      <c r="S34" s="91"/>
      <c r="T34" s="91"/>
      <c r="U34" s="91"/>
      <c r="V34" s="91"/>
    </row>
    <row r="35" spans="1:22" ht="42" customHeight="1">
      <c r="A35" s="302"/>
      <c r="B35" s="55" t="s">
        <v>173</v>
      </c>
      <c r="C35" s="37"/>
      <c r="D35" s="38">
        <f>SUM(D31:D34)</f>
        <v>936695.12490229611</v>
      </c>
      <c r="E35" s="38">
        <f>SUM(E31:E34)</f>
        <v>6976926.6098642694</v>
      </c>
      <c r="F35" s="38">
        <f>SUM(F31:F34)</f>
        <v>6976926.6098642694</v>
      </c>
      <c r="G35" s="39">
        <f>D35/F35</f>
        <v>0.13425612411888604</v>
      </c>
      <c r="H35" s="91"/>
      <c r="I35" s="91"/>
      <c r="J35" s="91"/>
      <c r="K35" s="91"/>
      <c r="L35" s="91"/>
      <c r="M35" s="91"/>
      <c r="N35" s="91"/>
      <c r="O35" s="91"/>
      <c r="P35" s="91"/>
      <c r="Q35" s="91"/>
      <c r="R35" s="91"/>
      <c r="S35" s="91"/>
      <c r="T35" s="91"/>
      <c r="U35" s="91"/>
      <c r="V35" s="91"/>
    </row>
    <row r="36" spans="1:22">
      <c r="A36" s="91"/>
      <c r="B36" s="96"/>
      <c r="C36" s="91"/>
      <c r="D36" s="91"/>
      <c r="E36" s="91"/>
      <c r="F36" s="91"/>
      <c r="G36" s="91"/>
      <c r="H36" s="91"/>
      <c r="I36" s="91"/>
      <c r="J36" s="91"/>
      <c r="K36" s="91"/>
      <c r="L36" s="91"/>
      <c r="M36" s="91"/>
      <c r="N36" s="91"/>
      <c r="O36" s="91"/>
      <c r="P36" s="91"/>
      <c r="Q36" s="91"/>
      <c r="R36" s="91"/>
      <c r="S36" s="91"/>
      <c r="T36" s="91"/>
      <c r="U36" s="91"/>
      <c r="V36" s="91"/>
    </row>
    <row r="37" spans="1:22">
      <c r="A37" s="91"/>
      <c r="B37" s="96"/>
      <c r="C37" s="91"/>
      <c r="D37" s="91"/>
      <c r="E37" s="91"/>
      <c r="F37" s="91"/>
      <c r="G37" s="91"/>
      <c r="H37" s="91"/>
      <c r="I37" s="91"/>
      <c r="J37" s="91"/>
      <c r="K37" s="91"/>
      <c r="L37" s="91"/>
      <c r="M37" s="91"/>
      <c r="N37" s="91"/>
      <c r="O37" s="91"/>
      <c r="P37" s="91"/>
      <c r="Q37" s="91"/>
      <c r="R37" s="91"/>
      <c r="S37" s="91"/>
      <c r="T37" s="91"/>
      <c r="U37" s="91"/>
      <c r="V37" s="91"/>
    </row>
    <row r="38" spans="1:22">
      <c r="A38" s="91"/>
      <c r="B38" s="96"/>
      <c r="C38" s="91"/>
      <c r="D38" s="91"/>
      <c r="E38" s="91"/>
      <c r="F38" s="91"/>
      <c r="G38" s="91"/>
      <c r="H38" s="91"/>
      <c r="I38" s="91"/>
      <c r="J38" s="91"/>
      <c r="K38" s="91"/>
      <c r="L38" s="91"/>
      <c r="M38" s="91"/>
      <c r="N38" s="91"/>
      <c r="O38" s="91"/>
      <c r="P38" s="91"/>
      <c r="Q38" s="91"/>
      <c r="R38" s="91"/>
      <c r="S38" s="91"/>
      <c r="T38" s="91"/>
      <c r="U38" s="91"/>
      <c r="V38" s="91"/>
    </row>
    <row r="39" spans="1:22">
      <c r="A39" s="91"/>
      <c r="B39" s="96"/>
      <c r="C39" s="91"/>
      <c r="D39" s="91"/>
      <c r="E39" s="91"/>
      <c r="F39" s="91"/>
      <c r="G39" s="91"/>
      <c r="H39" s="91"/>
      <c r="I39" s="91"/>
      <c r="J39" s="91"/>
      <c r="K39" s="91"/>
      <c r="L39" s="91"/>
      <c r="M39" s="91"/>
      <c r="N39" s="91"/>
      <c r="O39" s="91"/>
      <c r="P39" s="91"/>
      <c r="Q39" s="91"/>
      <c r="R39" s="91"/>
      <c r="S39" s="91"/>
      <c r="T39" s="91"/>
      <c r="U39" s="91"/>
      <c r="V39" s="91"/>
    </row>
    <row r="40" spans="1:22">
      <c r="A40" s="91"/>
      <c r="B40" s="96"/>
      <c r="C40" s="91"/>
      <c r="D40" s="91"/>
      <c r="E40" s="91"/>
      <c r="F40" s="91"/>
      <c r="G40" s="91"/>
      <c r="H40" s="91"/>
      <c r="I40" s="91"/>
      <c r="J40" s="91"/>
      <c r="K40" s="91"/>
      <c r="L40" s="91"/>
      <c r="M40" s="91"/>
      <c r="N40" s="91"/>
      <c r="O40" s="91"/>
      <c r="P40" s="91"/>
      <c r="Q40" s="91"/>
      <c r="R40" s="91"/>
      <c r="S40" s="91"/>
      <c r="T40" s="91"/>
      <c r="U40" s="91"/>
      <c r="V40" s="91"/>
    </row>
    <row r="41" spans="1:22">
      <c r="A41" s="91"/>
      <c r="B41" s="207" t="s">
        <v>98</v>
      </c>
      <c r="C41" s="91"/>
      <c r="D41" s="91"/>
      <c r="E41" s="91"/>
      <c r="F41" s="91"/>
      <c r="G41" s="91"/>
      <c r="H41" s="91"/>
      <c r="I41" s="91"/>
      <c r="J41" s="91"/>
      <c r="K41" s="91"/>
      <c r="L41" s="91"/>
      <c r="M41" s="91"/>
      <c r="N41" s="91"/>
      <c r="O41" s="91"/>
      <c r="P41" s="91"/>
      <c r="Q41" s="91"/>
      <c r="R41" s="91"/>
      <c r="S41" s="91"/>
      <c r="T41" s="91"/>
      <c r="U41" s="91"/>
      <c r="V41" s="91"/>
    </row>
    <row r="42" spans="1:22" s="106" customFormat="1" ht="44" customHeight="1">
      <c r="A42" s="208"/>
      <c r="B42" s="305" t="s">
        <v>174</v>
      </c>
      <c r="C42" s="305"/>
      <c r="D42" s="305"/>
      <c r="E42" s="305"/>
      <c r="F42" s="305"/>
      <c r="G42" s="305"/>
      <c r="H42" s="208"/>
      <c r="I42" s="208"/>
      <c r="J42" s="208"/>
      <c r="K42" s="208"/>
      <c r="L42" s="208"/>
      <c r="M42" s="208"/>
      <c r="N42" s="208"/>
      <c r="O42" s="208"/>
      <c r="P42" s="208"/>
      <c r="Q42" s="208"/>
      <c r="R42" s="208"/>
      <c r="S42" s="208"/>
      <c r="T42" s="208"/>
      <c r="U42" s="208"/>
      <c r="V42" s="208"/>
    </row>
    <row r="43" spans="1:22" s="106" customFormat="1" ht="44" customHeight="1">
      <c r="A43" s="208"/>
      <c r="B43" s="305" t="s">
        <v>175</v>
      </c>
      <c r="C43" s="305"/>
      <c r="D43" s="305"/>
      <c r="E43" s="305"/>
      <c r="F43" s="305"/>
      <c r="G43" s="305"/>
      <c r="H43" s="208"/>
      <c r="I43" s="208"/>
      <c r="J43" s="208"/>
      <c r="K43" s="208"/>
      <c r="L43" s="208"/>
      <c r="M43" s="208"/>
      <c r="N43" s="208"/>
      <c r="O43" s="208"/>
      <c r="P43" s="208"/>
      <c r="Q43" s="208"/>
      <c r="R43" s="208"/>
      <c r="S43" s="208"/>
      <c r="T43" s="208"/>
      <c r="U43" s="208"/>
      <c r="V43" s="208"/>
    </row>
    <row r="44" spans="1:22" s="106" customFormat="1" ht="44" customHeight="1">
      <c r="A44" s="208"/>
      <c r="B44" s="303" t="s">
        <v>176</v>
      </c>
      <c r="C44" s="303"/>
      <c r="D44" s="303"/>
      <c r="E44" s="303"/>
      <c r="F44" s="303"/>
      <c r="G44" s="303"/>
      <c r="H44" s="208"/>
      <c r="I44" s="208"/>
      <c r="J44" s="208"/>
      <c r="K44" s="208"/>
      <c r="L44" s="208"/>
      <c r="M44" s="208"/>
      <c r="N44" s="208"/>
      <c r="O44" s="208"/>
      <c r="P44" s="208"/>
      <c r="Q44" s="208"/>
      <c r="R44" s="208"/>
      <c r="S44" s="208"/>
      <c r="T44" s="208"/>
      <c r="U44" s="208"/>
      <c r="V44" s="208"/>
    </row>
    <row r="45" spans="1:22">
      <c r="A45" s="91"/>
      <c r="B45" s="96"/>
      <c r="C45" s="91"/>
      <c r="D45" s="91"/>
      <c r="E45" s="91"/>
      <c r="F45" s="91"/>
      <c r="G45" s="91"/>
      <c r="H45" s="91"/>
      <c r="I45" s="91"/>
      <c r="J45" s="91"/>
      <c r="K45" s="91"/>
      <c r="L45" s="91"/>
      <c r="M45" s="91"/>
      <c r="N45" s="91"/>
      <c r="O45" s="91"/>
      <c r="P45" s="91"/>
      <c r="Q45" s="91"/>
      <c r="R45" s="91"/>
      <c r="S45" s="91"/>
      <c r="T45" s="91"/>
      <c r="U45" s="91"/>
      <c r="V45" s="91"/>
    </row>
    <row r="46" spans="1:22">
      <c r="A46" s="91"/>
      <c r="B46" s="96"/>
      <c r="C46" s="91"/>
      <c r="D46" s="91"/>
      <c r="E46" s="91"/>
      <c r="F46" s="91"/>
      <c r="G46" s="91"/>
      <c r="H46" s="91"/>
      <c r="I46" s="91"/>
      <c r="J46" s="91"/>
      <c r="K46" s="91"/>
      <c r="L46" s="91"/>
      <c r="M46" s="91"/>
      <c r="N46" s="91"/>
      <c r="O46" s="91"/>
      <c r="P46" s="91"/>
      <c r="Q46" s="91"/>
      <c r="R46" s="91"/>
      <c r="S46" s="91"/>
      <c r="T46" s="91"/>
      <c r="U46" s="91"/>
      <c r="V46" s="91"/>
    </row>
    <row r="47" spans="1:22">
      <c r="A47" s="91"/>
      <c r="B47" s="96"/>
      <c r="C47" s="91"/>
      <c r="D47" s="91"/>
      <c r="E47" s="91"/>
      <c r="F47" s="91"/>
      <c r="G47" s="91"/>
      <c r="H47" s="91"/>
      <c r="I47" s="91"/>
      <c r="J47" s="91"/>
      <c r="K47" s="91"/>
      <c r="L47" s="91"/>
      <c r="M47" s="91"/>
      <c r="N47" s="91"/>
      <c r="O47" s="91"/>
      <c r="P47" s="91"/>
      <c r="Q47" s="91"/>
      <c r="R47" s="91"/>
      <c r="S47" s="91"/>
      <c r="T47" s="91"/>
      <c r="U47" s="91"/>
      <c r="V47" s="91"/>
    </row>
    <row r="48" spans="1:22">
      <c r="A48" s="91"/>
      <c r="B48" s="96"/>
      <c r="C48" s="91"/>
      <c r="D48" s="91"/>
      <c r="E48" s="91"/>
      <c r="F48" s="91"/>
      <c r="G48" s="91"/>
      <c r="H48" s="91"/>
      <c r="I48" s="91"/>
      <c r="J48" s="91"/>
      <c r="K48" s="91"/>
      <c r="L48" s="91"/>
      <c r="M48" s="91"/>
      <c r="N48" s="91"/>
      <c r="O48" s="91"/>
      <c r="P48" s="91"/>
      <c r="Q48" s="91"/>
      <c r="R48" s="91"/>
      <c r="S48" s="91"/>
      <c r="T48" s="91"/>
      <c r="U48" s="91"/>
      <c r="V48" s="91"/>
    </row>
    <row r="49" spans="1:22">
      <c r="A49" s="91"/>
      <c r="B49" s="96"/>
      <c r="C49" s="91"/>
      <c r="D49" s="91"/>
      <c r="E49" s="91"/>
      <c r="F49" s="91"/>
      <c r="G49" s="91"/>
      <c r="H49" s="91"/>
      <c r="I49" s="91"/>
      <c r="J49" s="91"/>
      <c r="K49" s="91"/>
      <c r="L49" s="91"/>
      <c r="M49" s="91"/>
      <c r="N49" s="91"/>
      <c r="O49" s="91"/>
      <c r="P49" s="91"/>
      <c r="Q49" s="91"/>
      <c r="R49" s="91"/>
      <c r="S49" s="91"/>
      <c r="T49" s="91"/>
      <c r="U49" s="91"/>
      <c r="V49" s="91"/>
    </row>
    <row r="50" spans="1:22">
      <c r="A50" s="91"/>
      <c r="B50" s="96"/>
      <c r="C50" s="91"/>
      <c r="D50" s="91"/>
      <c r="E50" s="91"/>
      <c r="F50" s="91"/>
      <c r="G50" s="91"/>
      <c r="H50" s="91"/>
      <c r="I50" s="91"/>
      <c r="J50" s="91"/>
      <c r="K50" s="91"/>
      <c r="L50" s="91"/>
      <c r="M50" s="91"/>
      <c r="N50" s="91"/>
      <c r="O50" s="91"/>
      <c r="P50" s="91"/>
      <c r="Q50" s="91"/>
      <c r="R50" s="91"/>
      <c r="S50" s="91"/>
      <c r="T50" s="91"/>
      <c r="U50" s="91"/>
      <c r="V50" s="91"/>
    </row>
    <row r="51" spans="1:22">
      <c r="A51" s="91"/>
      <c r="B51" s="96"/>
      <c r="C51" s="91"/>
      <c r="D51" s="91"/>
      <c r="E51" s="91"/>
      <c r="F51" s="91"/>
      <c r="G51" s="91"/>
      <c r="H51" s="91"/>
      <c r="I51" s="91"/>
      <c r="J51" s="91"/>
      <c r="K51" s="91"/>
      <c r="L51" s="91"/>
      <c r="M51" s="91"/>
      <c r="N51" s="91"/>
      <c r="O51" s="91"/>
      <c r="P51" s="91"/>
      <c r="Q51" s="91"/>
      <c r="R51" s="91"/>
      <c r="S51" s="91"/>
      <c r="T51" s="91"/>
      <c r="U51" s="91"/>
      <c r="V51" s="91"/>
    </row>
    <row r="52" spans="1:22">
      <c r="A52" s="91"/>
      <c r="B52" s="96"/>
      <c r="C52" s="91"/>
      <c r="D52" s="91"/>
      <c r="E52" s="91"/>
      <c r="F52" s="91"/>
      <c r="G52" s="91"/>
      <c r="H52" s="91"/>
      <c r="I52" s="91"/>
      <c r="J52" s="91"/>
      <c r="K52" s="91"/>
      <c r="L52" s="91"/>
      <c r="M52" s="91"/>
      <c r="N52" s="91"/>
      <c r="O52" s="91"/>
      <c r="P52" s="91"/>
      <c r="Q52" s="91"/>
      <c r="R52" s="91"/>
      <c r="S52" s="91"/>
      <c r="T52" s="91"/>
      <c r="U52" s="91"/>
      <c r="V52" s="91"/>
    </row>
    <row r="53" spans="1:22">
      <c r="A53" s="91"/>
      <c r="B53" s="96"/>
      <c r="C53" s="91"/>
      <c r="D53" s="91"/>
      <c r="E53" s="91"/>
      <c r="F53" s="91"/>
      <c r="G53" s="91"/>
      <c r="H53" s="91"/>
      <c r="I53" s="91"/>
      <c r="J53" s="91"/>
      <c r="K53" s="91"/>
      <c r="L53" s="91"/>
      <c r="M53" s="91"/>
      <c r="N53" s="91"/>
      <c r="O53" s="91"/>
      <c r="P53" s="91"/>
      <c r="Q53" s="91"/>
      <c r="R53" s="91"/>
      <c r="S53" s="91"/>
      <c r="T53" s="91"/>
      <c r="U53" s="91"/>
      <c r="V53" s="91"/>
    </row>
    <row r="54" spans="1:22">
      <c r="A54" s="91"/>
      <c r="B54" s="96"/>
      <c r="C54" s="91"/>
      <c r="D54" s="91"/>
      <c r="E54" s="91"/>
      <c r="F54" s="91"/>
      <c r="G54" s="91"/>
      <c r="H54" s="91"/>
      <c r="I54" s="91"/>
      <c r="J54" s="91"/>
      <c r="K54" s="91"/>
      <c r="L54" s="91"/>
      <c r="M54" s="91"/>
      <c r="N54" s="91"/>
      <c r="O54" s="91"/>
      <c r="P54" s="91"/>
      <c r="Q54" s="91"/>
      <c r="R54" s="91"/>
      <c r="S54" s="91"/>
      <c r="T54" s="91"/>
      <c r="U54" s="91"/>
      <c r="V54" s="91"/>
    </row>
    <row r="55" spans="1:22">
      <c r="A55" s="91"/>
      <c r="B55" s="96"/>
      <c r="C55" s="91"/>
      <c r="D55" s="91"/>
      <c r="E55" s="91"/>
      <c r="F55" s="91"/>
      <c r="G55" s="91"/>
      <c r="H55" s="91"/>
      <c r="I55" s="91"/>
      <c r="J55" s="91"/>
      <c r="K55" s="91"/>
      <c r="L55" s="91"/>
      <c r="M55" s="91"/>
      <c r="N55" s="91"/>
      <c r="O55" s="91"/>
      <c r="P55" s="91"/>
      <c r="Q55" s="91"/>
      <c r="R55" s="91"/>
      <c r="S55" s="91"/>
      <c r="T55" s="91"/>
      <c r="U55" s="91"/>
      <c r="V55" s="91"/>
    </row>
    <row r="56" spans="1:22">
      <c r="A56" s="91"/>
      <c r="B56" s="96"/>
      <c r="C56" s="91"/>
      <c r="D56" s="91"/>
      <c r="E56" s="91"/>
      <c r="F56" s="91"/>
      <c r="G56" s="91"/>
      <c r="H56" s="91"/>
      <c r="I56" s="91"/>
      <c r="J56" s="91"/>
      <c r="K56" s="91"/>
      <c r="L56" s="91"/>
      <c r="M56" s="91"/>
      <c r="N56" s="91"/>
      <c r="O56" s="91"/>
      <c r="P56" s="91"/>
      <c r="Q56" s="91"/>
      <c r="R56" s="91"/>
      <c r="S56" s="91"/>
      <c r="T56" s="91"/>
      <c r="U56" s="91"/>
      <c r="V56" s="91"/>
    </row>
    <row r="57" spans="1:22">
      <c r="A57" s="91"/>
      <c r="B57" s="96"/>
      <c r="C57" s="91"/>
      <c r="D57" s="91"/>
      <c r="E57" s="91"/>
      <c r="F57" s="91"/>
      <c r="G57" s="91"/>
      <c r="H57" s="91"/>
      <c r="I57" s="91"/>
      <c r="J57" s="91"/>
      <c r="K57" s="91"/>
      <c r="L57" s="91"/>
      <c r="M57" s="91"/>
      <c r="N57" s="91"/>
      <c r="O57" s="91"/>
      <c r="P57" s="91"/>
      <c r="Q57" s="91"/>
      <c r="R57" s="91"/>
      <c r="S57" s="91"/>
      <c r="T57" s="91"/>
      <c r="U57" s="91"/>
      <c r="V57" s="91"/>
    </row>
    <row r="58" spans="1:22">
      <c r="A58" s="91"/>
      <c r="B58" s="96"/>
      <c r="C58" s="91"/>
      <c r="D58" s="91"/>
      <c r="E58" s="91"/>
      <c r="F58" s="91"/>
      <c r="G58" s="91"/>
      <c r="H58" s="91"/>
      <c r="I58" s="91"/>
      <c r="J58" s="91"/>
      <c r="K58" s="91"/>
      <c r="L58" s="91"/>
      <c r="M58" s="91"/>
      <c r="N58" s="91"/>
      <c r="O58" s="91"/>
      <c r="P58" s="91"/>
      <c r="Q58" s="91"/>
      <c r="R58" s="91"/>
      <c r="S58" s="91"/>
      <c r="T58" s="91"/>
      <c r="U58" s="91"/>
      <c r="V58" s="91"/>
    </row>
    <row r="59" spans="1:22">
      <c r="A59" s="91"/>
      <c r="B59" s="96"/>
      <c r="C59" s="91"/>
      <c r="D59" s="91"/>
      <c r="E59" s="91"/>
      <c r="F59" s="91"/>
      <c r="G59" s="91"/>
      <c r="H59" s="91"/>
      <c r="I59" s="91"/>
      <c r="J59" s="91"/>
      <c r="K59" s="91"/>
      <c r="L59" s="91"/>
      <c r="M59" s="91"/>
      <c r="N59" s="91"/>
      <c r="O59" s="91"/>
      <c r="P59" s="91"/>
      <c r="Q59" s="91"/>
      <c r="R59" s="91"/>
      <c r="S59" s="91"/>
      <c r="T59" s="91"/>
      <c r="U59" s="91"/>
      <c r="V59" s="91"/>
    </row>
    <row r="60" spans="1:22">
      <c r="A60" s="91"/>
      <c r="B60" s="96"/>
      <c r="C60" s="91"/>
      <c r="D60" s="91"/>
      <c r="E60" s="91"/>
      <c r="F60" s="91"/>
      <c r="G60" s="91"/>
      <c r="H60" s="91"/>
      <c r="I60" s="91"/>
      <c r="J60" s="91"/>
      <c r="K60" s="91"/>
      <c r="L60" s="91"/>
      <c r="M60" s="91"/>
      <c r="N60" s="91"/>
      <c r="O60" s="91"/>
      <c r="P60" s="91"/>
      <c r="Q60" s="91"/>
      <c r="R60" s="91"/>
      <c r="S60" s="91"/>
      <c r="T60" s="91"/>
      <c r="U60" s="91"/>
      <c r="V60" s="91"/>
    </row>
    <row r="61" spans="1:22">
      <c r="A61" s="91"/>
      <c r="B61" s="96"/>
      <c r="C61" s="91"/>
      <c r="D61" s="91"/>
      <c r="E61" s="91"/>
      <c r="F61" s="91"/>
      <c r="G61" s="91"/>
      <c r="H61" s="91"/>
      <c r="I61" s="91"/>
      <c r="J61" s="91"/>
      <c r="K61" s="91"/>
      <c r="L61" s="91"/>
      <c r="M61" s="91"/>
      <c r="N61" s="91"/>
      <c r="O61" s="91"/>
      <c r="P61" s="91"/>
      <c r="Q61" s="91"/>
      <c r="R61" s="91"/>
      <c r="S61" s="91"/>
      <c r="T61" s="91"/>
      <c r="U61" s="91"/>
      <c r="V61" s="91"/>
    </row>
    <row r="62" spans="1:22">
      <c r="A62" s="91"/>
      <c r="B62" s="96"/>
      <c r="C62" s="91"/>
      <c r="D62" s="91"/>
      <c r="E62" s="91"/>
      <c r="F62" s="91"/>
      <c r="G62" s="91"/>
      <c r="H62" s="91"/>
      <c r="I62" s="91"/>
      <c r="J62" s="91"/>
      <c r="K62" s="91"/>
      <c r="L62" s="91"/>
      <c r="M62" s="91"/>
      <c r="N62" s="91"/>
      <c r="O62" s="91"/>
      <c r="P62" s="91"/>
      <c r="Q62" s="91"/>
      <c r="R62" s="91"/>
      <c r="S62" s="91"/>
      <c r="T62" s="91"/>
      <c r="U62" s="91"/>
      <c r="V62" s="91"/>
    </row>
    <row r="63" spans="1:22">
      <c r="A63" s="91"/>
      <c r="B63" s="96"/>
      <c r="C63" s="91"/>
      <c r="D63" s="91"/>
      <c r="E63" s="91"/>
      <c r="F63" s="91"/>
      <c r="G63" s="91"/>
      <c r="H63" s="91"/>
      <c r="I63" s="91"/>
      <c r="J63" s="91"/>
      <c r="K63" s="91"/>
      <c r="L63" s="91"/>
      <c r="M63" s="91"/>
      <c r="N63" s="91"/>
      <c r="O63" s="91"/>
      <c r="P63" s="91"/>
      <c r="Q63" s="91"/>
      <c r="R63" s="91"/>
      <c r="S63" s="91"/>
      <c r="T63" s="91"/>
      <c r="U63" s="91"/>
      <c r="V63" s="91"/>
    </row>
    <row r="64" spans="1:22">
      <c r="A64" s="91"/>
      <c r="B64" s="96"/>
      <c r="C64" s="91"/>
      <c r="D64" s="91"/>
      <c r="E64" s="91"/>
      <c r="F64" s="91"/>
      <c r="G64" s="91"/>
      <c r="H64" s="91"/>
      <c r="I64" s="91"/>
      <c r="J64" s="91"/>
      <c r="K64" s="91"/>
      <c r="L64" s="91"/>
      <c r="M64" s="91"/>
      <c r="N64" s="91"/>
      <c r="O64" s="91"/>
      <c r="P64" s="91"/>
      <c r="Q64" s="91"/>
      <c r="R64" s="91"/>
      <c r="S64" s="91"/>
      <c r="T64" s="91"/>
      <c r="U64" s="91"/>
      <c r="V64" s="91"/>
    </row>
    <row r="65" spans="1:22">
      <c r="A65" s="91"/>
      <c r="B65" s="96"/>
      <c r="C65" s="91"/>
      <c r="D65" s="91"/>
      <c r="E65" s="91"/>
      <c r="F65" s="91"/>
      <c r="G65" s="91"/>
      <c r="H65" s="91"/>
      <c r="I65" s="91"/>
      <c r="J65" s="91"/>
      <c r="K65" s="91"/>
      <c r="L65" s="91"/>
      <c r="M65" s="91"/>
      <c r="N65" s="91"/>
      <c r="O65" s="91"/>
      <c r="P65" s="91"/>
      <c r="Q65" s="91"/>
      <c r="R65" s="91"/>
      <c r="S65" s="91"/>
      <c r="T65" s="91"/>
      <c r="U65" s="91"/>
      <c r="V65" s="91"/>
    </row>
    <row r="66" spans="1:22">
      <c r="A66" s="91"/>
      <c r="B66" s="96"/>
      <c r="C66" s="91"/>
      <c r="D66" s="91"/>
      <c r="E66" s="91"/>
      <c r="F66" s="91"/>
      <c r="G66" s="91"/>
      <c r="H66" s="91"/>
      <c r="I66" s="91"/>
      <c r="J66" s="91"/>
      <c r="K66" s="91"/>
      <c r="L66" s="91"/>
      <c r="M66" s="91"/>
      <c r="N66" s="91"/>
      <c r="O66" s="91"/>
      <c r="P66" s="91"/>
      <c r="Q66" s="91"/>
      <c r="R66" s="91"/>
      <c r="S66" s="91"/>
      <c r="T66" s="91"/>
      <c r="U66" s="91"/>
      <c r="V66" s="91"/>
    </row>
    <row r="67" spans="1:22">
      <c r="A67" s="91"/>
      <c r="B67" s="96"/>
      <c r="C67" s="91"/>
      <c r="D67" s="91"/>
      <c r="E67" s="91"/>
      <c r="F67" s="91"/>
      <c r="G67" s="91"/>
      <c r="H67" s="91"/>
      <c r="I67" s="91"/>
      <c r="J67" s="91"/>
      <c r="K67" s="91"/>
      <c r="L67" s="91"/>
      <c r="M67" s="91"/>
      <c r="N67" s="91"/>
      <c r="O67" s="91"/>
      <c r="P67" s="91"/>
      <c r="Q67" s="91"/>
      <c r="R67" s="91"/>
      <c r="S67" s="91"/>
      <c r="T67" s="91"/>
      <c r="U67" s="91"/>
      <c r="V67" s="91"/>
    </row>
    <row r="68" spans="1:22">
      <c r="A68" s="91"/>
      <c r="B68" s="96"/>
      <c r="C68" s="91"/>
      <c r="D68" s="91"/>
      <c r="E68" s="91"/>
      <c r="F68" s="91"/>
      <c r="G68" s="91"/>
      <c r="H68" s="91"/>
      <c r="I68" s="91"/>
      <c r="J68" s="91"/>
      <c r="K68" s="91"/>
      <c r="L68" s="91"/>
      <c r="M68" s="91"/>
      <c r="N68" s="91"/>
      <c r="O68" s="91"/>
      <c r="P68" s="91"/>
      <c r="Q68" s="91"/>
      <c r="R68" s="91"/>
      <c r="S68" s="91"/>
      <c r="T68" s="91"/>
      <c r="U68" s="91"/>
      <c r="V68" s="91"/>
    </row>
    <row r="69" spans="1:22">
      <c r="A69" s="91"/>
      <c r="B69" s="96"/>
      <c r="C69" s="91"/>
      <c r="D69" s="91"/>
      <c r="E69" s="91"/>
      <c r="F69" s="91"/>
      <c r="G69" s="91"/>
      <c r="H69" s="91"/>
      <c r="I69" s="91"/>
      <c r="J69" s="91"/>
      <c r="K69" s="91"/>
      <c r="L69" s="91"/>
      <c r="M69" s="91"/>
      <c r="N69" s="91"/>
      <c r="O69" s="91"/>
      <c r="P69" s="91"/>
      <c r="Q69" s="91"/>
      <c r="R69" s="91"/>
      <c r="S69" s="91"/>
      <c r="T69" s="91"/>
      <c r="U69" s="91"/>
      <c r="V69" s="91"/>
    </row>
    <row r="70" spans="1:22">
      <c r="A70" s="91"/>
      <c r="B70" s="96"/>
      <c r="C70" s="91"/>
      <c r="D70" s="91"/>
      <c r="E70" s="91"/>
      <c r="F70" s="91"/>
      <c r="G70" s="91"/>
      <c r="H70" s="91"/>
      <c r="I70" s="91"/>
      <c r="J70" s="91"/>
      <c r="K70" s="91"/>
      <c r="L70" s="91"/>
      <c r="M70" s="91"/>
      <c r="N70" s="91"/>
      <c r="O70" s="91"/>
      <c r="P70" s="91"/>
      <c r="Q70" s="91"/>
      <c r="R70" s="91"/>
      <c r="S70" s="91"/>
      <c r="T70" s="91"/>
      <c r="U70" s="91"/>
      <c r="V70" s="91"/>
    </row>
    <row r="71" spans="1:22">
      <c r="A71" s="91"/>
      <c r="B71" s="96"/>
      <c r="C71" s="91"/>
      <c r="D71" s="91"/>
      <c r="E71" s="91"/>
      <c r="F71" s="91"/>
      <c r="G71" s="91"/>
      <c r="H71" s="91"/>
      <c r="I71" s="91"/>
      <c r="J71" s="91"/>
      <c r="K71" s="91"/>
      <c r="L71" s="91"/>
      <c r="M71" s="91"/>
      <c r="N71" s="91"/>
      <c r="O71" s="91"/>
      <c r="P71" s="91"/>
      <c r="Q71" s="91"/>
      <c r="R71" s="91"/>
      <c r="S71" s="91"/>
      <c r="T71" s="91"/>
      <c r="U71" s="91"/>
      <c r="V71" s="91"/>
    </row>
    <row r="72" spans="1:22">
      <c r="A72" s="91"/>
      <c r="B72" s="96"/>
      <c r="C72" s="91"/>
      <c r="D72" s="91"/>
      <c r="E72" s="91"/>
      <c r="F72" s="91"/>
      <c r="G72" s="91"/>
      <c r="H72" s="91"/>
      <c r="I72" s="91"/>
      <c r="J72" s="91"/>
      <c r="K72" s="91"/>
      <c r="L72" s="91"/>
      <c r="M72" s="91"/>
      <c r="N72" s="91"/>
      <c r="O72" s="91"/>
      <c r="P72" s="91"/>
      <c r="Q72" s="91"/>
      <c r="R72" s="91"/>
      <c r="S72" s="91"/>
      <c r="T72" s="91"/>
      <c r="U72" s="91"/>
      <c r="V72" s="91"/>
    </row>
    <row r="73" spans="1:22">
      <c r="A73" s="91"/>
      <c r="B73" s="96"/>
      <c r="C73" s="91"/>
      <c r="D73" s="91"/>
      <c r="E73" s="91"/>
      <c r="F73" s="91"/>
      <c r="G73" s="91"/>
      <c r="H73" s="91"/>
      <c r="I73" s="91"/>
      <c r="J73" s="91"/>
      <c r="K73" s="91"/>
      <c r="L73" s="91"/>
      <c r="M73" s="91"/>
      <c r="N73" s="91"/>
      <c r="O73" s="91"/>
      <c r="P73" s="91"/>
      <c r="Q73" s="91"/>
      <c r="R73" s="91"/>
      <c r="S73" s="91"/>
      <c r="T73" s="91"/>
      <c r="U73" s="91"/>
      <c r="V73" s="91"/>
    </row>
    <row r="74" spans="1:22">
      <c r="A74" s="91"/>
      <c r="B74" s="96"/>
      <c r="C74" s="91"/>
      <c r="D74" s="91"/>
      <c r="E74" s="91"/>
      <c r="F74" s="91"/>
      <c r="G74" s="91"/>
      <c r="H74" s="91"/>
      <c r="I74" s="91"/>
      <c r="J74" s="91"/>
      <c r="K74" s="91"/>
      <c r="L74" s="91"/>
      <c r="M74" s="91"/>
      <c r="N74" s="91"/>
      <c r="O74" s="91"/>
      <c r="P74" s="91"/>
      <c r="Q74" s="91"/>
      <c r="R74" s="91"/>
      <c r="S74" s="91"/>
      <c r="T74" s="91"/>
      <c r="U74" s="91"/>
      <c r="V74" s="91"/>
    </row>
    <row r="75" spans="1:22">
      <c r="A75" s="91"/>
      <c r="B75" s="96"/>
      <c r="C75" s="91"/>
      <c r="D75" s="91"/>
      <c r="E75" s="91"/>
      <c r="F75" s="91"/>
      <c r="G75" s="91"/>
      <c r="H75" s="91"/>
      <c r="I75" s="91"/>
      <c r="J75" s="91"/>
      <c r="K75" s="91"/>
      <c r="L75" s="91"/>
      <c r="M75" s="91"/>
      <c r="N75" s="91"/>
      <c r="O75" s="91"/>
      <c r="P75" s="91"/>
      <c r="Q75" s="91"/>
      <c r="R75" s="91"/>
      <c r="S75" s="91"/>
      <c r="T75" s="91"/>
      <c r="U75" s="91"/>
      <c r="V75" s="91"/>
    </row>
    <row r="76" spans="1:22">
      <c r="A76" s="91"/>
      <c r="B76" s="96"/>
      <c r="C76" s="91"/>
      <c r="D76" s="91"/>
      <c r="E76" s="91"/>
      <c r="F76" s="91"/>
      <c r="G76" s="91"/>
      <c r="H76" s="91"/>
      <c r="I76" s="91"/>
      <c r="J76" s="91"/>
      <c r="K76" s="91"/>
      <c r="L76" s="91"/>
      <c r="M76" s="91"/>
      <c r="N76" s="91"/>
      <c r="O76" s="91"/>
      <c r="P76" s="91"/>
      <c r="Q76" s="91"/>
      <c r="R76" s="91"/>
      <c r="S76" s="91"/>
      <c r="T76" s="91"/>
      <c r="U76" s="91"/>
      <c r="V76" s="91"/>
    </row>
    <row r="77" spans="1:22">
      <c r="A77" s="91"/>
      <c r="B77" s="96"/>
      <c r="C77" s="91"/>
      <c r="D77" s="91"/>
      <c r="E77" s="91"/>
      <c r="F77" s="91"/>
      <c r="G77" s="91"/>
      <c r="H77" s="91"/>
      <c r="I77" s="91"/>
      <c r="J77" s="91"/>
      <c r="K77" s="91"/>
      <c r="L77" s="91"/>
      <c r="M77" s="91"/>
      <c r="N77" s="91"/>
      <c r="O77" s="91"/>
      <c r="P77" s="91"/>
      <c r="Q77" s="91"/>
      <c r="R77" s="91"/>
      <c r="S77" s="91"/>
      <c r="T77" s="91"/>
      <c r="U77" s="91"/>
      <c r="V77" s="91"/>
    </row>
    <row r="78" spans="1:22">
      <c r="A78" s="91"/>
      <c r="B78" s="96"/>
      <c r="C78" s="91"/>
      <c r="D78" s="91"/>
      <c r="E78" s="91"/>
      <c r="F78" s="91"/>
      <c r="G78" s="91"/>
      <c r="H78" s="91"/>
      <c r="I78" s="91"/>
      <c r="J78" s="91"/>
      <c r="K78" s="91"/>
      <c r="L78" s="91"/>
      <c r="M78" s="91"/>
      <c r="N78" s="91"/>
      <c r="O78" s="91"/>
      <c r="P78" s="91"/>
      <c r="Q78" s="91"/>
      <c r="R78" s="91"/>
      <c r="S78" s="91"/>
      <c r="T78" s="91"/>
      <c r="U78" s="91"/>
      <c r="V78" s="91"/>
    </row>
    <row r="79" spans="1:22">
      <c r="A79" s="91"/>
      <c r="B79" s="96"/>
      <c r="C79" s="91"/>
      <c r="D79" s="91"/>
      <c r="E79" s="91"/>
      <c r="F79" s="91"/>
      <c r="G79" s="91"/>
      <c r="H79" s="91"/>
      <c r="I79" s="91"/>
      <c r="J79" s="91"/>
      <c r="K79" s="91"/>
      <c r="L79" s="91"/>
      <c r="M79" s="91"/>
      <c r="N79" s="91"/>
      <c r="O79" s="91"/>
      <c r="P79" s="91"/>
      <c r="Q79" s="91"/>
      <c r="R79" s="91"/>
      <c r="S79" s="91"/>
      <c r="T79" s="91"/>
      <c r="U79" s="91"/>
      <c r="V79" s="91"/>
    </row>
    <row r="80" spans="1:22">
      <c r="A80" s="91"/>
      <c r="B80" s="96"/>
      <c r="C80" s="91"/>
      <c r="D80" s="91"/>
      <c r="E80" s="91"/>
      <c r="F80" s="91"/>
      <c r="G80" s="91"/>
      <c r="H80" s="91"/>
      <c r="I80" s="91"/>
      <c r="J80" s="91"/>
      <c r="K80" s="91"/>
      <c r="L80" s="91"/>
      <c r="M80" s="91"/>
      <c r="N80" s="91"/>
      <c r="O80" s="91"/>
      <c r="P80" s="91"/>
      <c r="Q80" s="91"/>
      <c r="R80" s="91"/>
      <c r="S80" s="91"/>
      <c r="T80" s="91"/>
      <c r="U80" s="91"/>
      <c r="V80" s="91"/>
    </row>
    <row r="81" spans="1:22">
      <c r="A81" s="91"/>
      <c r="B81" s="96"/>
      <c r="C81" s="91"/>
      <c r="D81" s="91"/>
      <c r="E81" s="91"/>
      <c r="F81" s="91"/>
      <c r="G81" s="91"/>
      <c r="H81" s="91"/>
      <c r="I81" s="91"/>
      <c r="J81" s="91"/>
      <c r="K81" s="91"/>
      <c r="L81" s="91"/>
      <c r="M81" s="91"/>
      <c r="N81" s="91"/>
      <c r="O81" s="91"/>
      <c r="P81" s="91"/>
      <c r="Q81" s="91"/>
      <c r="R81" s="91"/>
      <c r="S81" s="91"/>
      <c r="T81" s="91"/>
      <c r="U81" s="91"/>
      <c r="V81" s="91"/>
    </row>
    <row r="82" spans="1:22">
      <c r="A82" s="91"/>
      <c r="B82" s="96"/>
      <c r="C82" s="91"/>
      <c r="D82" s="91"/>
      <c r="E82" s="91"/>
      <c r="F82" s="91"/>
      <c r="G82" s="91"/>
      <c r="H82" s="91"/>
      <c r="I82" s="91"/>
      <c r="J82" s="91"/>
      <c r="K82" s="91"/>
      <c r="L82" s="91"/>
      <c r="M82" s="91"/>
      <c r="N82" s="91"/>
      <c r="O82" s="91"/>
      <c r="P82" s="91"/>
      <c r="Q82" s="91"/>
      <c r="R82" s="91"/>
      <c r="S82" s="91"/>
      <c r="T82" s="91"/>
      <c r="U82" s="91"/>
      <c r="V82" s="91"/>
    </row>
    <row r="83" spans="1:22">
      <c r="A83" s="91"/>
      <c r="B83" s="96"/>
      <c r="C83" s="91"/>
      <c r="D83" s="91"/>
      <c r="E83" s="91"/>
      <c r="F83" s="91"/>
      <c r="G83" s="91"/>
      <c r="H83" s="91"/>
      <c r="I83" s="91"/>
      <c r="J83" s="91"/>
      <c r="K83" s="91"/>
      <c r="L83" s="91"/>
      <c r="M83" s="91"/>
      <c r="N83" s="91"/>
      <c r="O83" s="91"/>
      <c r="P83" s="91"/>
      <c r="Q83" s="91"/>
      <c r="R83" s="91"/>
      <c r="S83" s="91"/>
      <c r="T83" s="91"/>
      <c r="U83" s="91"/>
      <c r="V83" s="91"/>
    </row>
    <row r="84" spans="1:22">
      <c r="A84" s="91"/>
      <c r="B84" s="96"/>
      <c r="C84" s="91"/>
      <c r="D84" s="91"/>
      <c r="E84" s="91"/>
      <c r="F84" s="91"/>
      <c r="G84" s="91"/>
      <c r="H84" s="91"/>
      <c r="I84" s="91"/>
      <c r="J84" s="91"/>
      <c r="K84" s="91"/>
      <c r="L84" s="91"/>
      <c r="M84" s="91"/>
      <c r="N84" s="91"/>
      <c r="O84" s="91"/>
      <c r="P84" s="91"/>
      <c r="Q84" s="91"/>
      <c r="R84" s="91"/>
      <c r="S84" s="91"/>
      <c r="T84" s="91"/>
      <c r="U84" s="91"/>
      <c r="V84" s="91"/>
    </row>
    <row r="85" spans="1:22">
      <c r="A85" s="91"/>
      <c r="B85" s="96"/>
      <c r="C85" s="91"/>
      <c r="D85" s="91"/>
      <c r="E85" s="91"/>
      <c r="F85" s="91"/>
      <c r="G85" s="91"/>
      <c r="H85" s="91"/>
      <c r="I85" s="91"/>
      <c r="J85" s="91"/>
      <c r="K85" s="91"/>
      <c r="L85" s="91"/>
      <c r="M85" s="91"/>
      <c r="N85" s="91"/>
      <c r="O85" s="91"/>
      <c r="P85" s="91"/>
      <c r="Q85" s="91"/>
      <c r="R85" s="91"/>
      <c r="S85" s="91"/>
      <c r="T85" s="91"/>
      <c r="U85" s="91"/>
      <c r="V85" s="91"/>
    </row>
    <row r="86" spans="1:22">
      <c r="A86" s="91"/>
      <c r="B86" s="96"/>
      <c r="C86" s="91"/>
      <c r="D86" s="91"/>
      <c r="E86" s="91"/>
      <c r="F86" s="91"/>
      <c r="G86" s="91"/>
      <c r="H86" s="91"/>
      <c r="I86" s="91"/>
      <c r="J86" s="91"/>
      <c r="K86" s="91"/>
      <c r="L86" s="91"/>
      <c r="M86" s="91"/>
      <c r="N86" s="91"/>
      <c r="O86" s="91"/>
      <c r="P86" s="91"/>
      <c r="Q86" s="91"/>
      <c r="R86" s="91"/>
      <c r="S86" s="91"/>
      <c r="T86" s="91"/>
      <c r="U86" s="91"/>
      <c r="V86" s="91"/>
    </row>
    <row r="87" spans="1:22">
      <c r="A87" s="91"/>
      <c r="B87" s="96"/>
      <c r="C87" s="91"/>
      <c r="D87" s="91"/>
      <c r="E87" s="91"/>
      <c r="F87" s="91"/>
      <c r="G87" s="91"/>
      <c r="H87" s="91"/>
      <c r="I87" s="91"/>
      <c r="J87" s="91"/>
      <c r="K87" s="91"/>
      <c r="L87" s="91"/>
      <c r="M87" s="91"/>
      <c r="N87" s="91"/>
      <c r="O87" s="91"/>
      <c r="P87" s="91"/>
      <c r="Q87" s="91"/>
      <c r="R87" s="91"/>
      <c r="S87" s="91"/>
      <c r="T87" s="91"/>
      <c r="U87" s="91"/>
      <c r="V87" s="91"/>
    </row>
    <row r="88" spans="1:22">
      <c r="A88" s="91"/>
      <c r="B88" s="96"/>
      <c r="C88" s="91"/>
      <c r="D88" s="91"/>
      <c r="E88" s="91"/>
      <c r="F88" s="91"/>
      <c r="G88" s="91"/>
      <c r="H88" s="91"/>
      <c r="I88" s="91"/>
      <c r="J88" s="91"/>
      <c r="K88" s="91"/>
      <c r="L88" s="91"/>
      <c r="M88" s="91"/>
      <c r="N88" s="91"/>
      <c r="O88" s="91"/>
      <c r="P88" s="91"/>
      <c r="Q88" s="91"/>
      <c r="R88" s="91"/>
      <c r="S88" s="91"/>
      <c r="T88" s="91"/>
      <c r="U88" s="91"/>
      <c r="V88" s="91"/>
    </row>
    <row r="89" spans="1:22">
      <c r="A89" s="91"/>
      <c r="B89" s="96"/>
      <c r="C89" s="91"/>
      <c r="D89" s="91"/>
      <c r="E89" s="91"/>
      <c r="F89" s="91"/>
      <c r="G89" s="91"/>
      <c r="H89" s="91"/>
      <c r="I89" s="91"/>
      <c r="J89" s="91"/>
      <c r="K89" s="91"/>
      <c r="L89" s="91"/>
      <c r="M89" s="91"/>
      <c r="N89" s="91"/>
      <c r="O89" s="91"/>
      <c r="P89" s="91"/>
      <c r="Q89" s="91"/>
      <c r="R89" s="91"/>
      <c r="S89" s="91"/>
      <c r="T89" s="91"/>
      <c r="U89" s="91"/>
      <c r="V89" s="91"/>
    </row>
    <row r="90" spans="1:22">
      <c r="A90" s="91"/>
      <c r="B90" s="96"/>
      <c r="C90" s="91"/>
      <c r="D90" s="91"/>
      <c r="E90" s="91"/>
      <c r="F90" s="91"/>
      <c r="G90" s="91"/>
      <c r="H90" s="91"/>
      <c r="I90" s="91"/>
      <c r="J90" s="91"/>
      <c r="K90" s="91"/>
      <c r="L90" s="91"/>
      <c r="M90" s="91"/>
      <c r="N90" s="91"/>
      <c r="O90" s="91"/>
      <c r="P90" s="91"/>
      <c r="Q90" s="91"/>
      <c r="R90" s="91"/>
      <c r="S90" s="91"/>
      <c r="T90" s="91"/>
      <c r="U90" s="91"/>
      <c r="V90" s="91"/>
    </row>
    <row r="91" spans="1:22">
      <c r="A91" s="91"/>
      <c r="B91" s="96"/>
      <c r="C91" s="91"/>
      <c r="D91" s="91"/>
      <c r="E91" s="91"/>
      <c r="F91" s="91"/>
      <c r="G91" s="91"/>
      <c r="H91" s="91"/>
      <c r="I91" s="91"/>
      <c r="J91" s="91"/>
      <c r="K91" s="91"/>
      <c r="L91" s="91"/>
      <c r="M91" s="91"/>
      <c r="N91" s="91"/>
      <c r="O91" s="91"/>
      <c r="P91" s="91"/>
      <c r="Q91" s="91"/>
      <c r="R91" s="91"/>
      <c r="S91" s="91"/>
      <c r="T91" s="91"/>
      <c r="U91" s="91"/>
      <c r="V91" s="91"/>
    </row>
    <row r="92" spans="1:22">
      <c r="A92" s="91"/>
      <c r="B92" s="96"/>
      <c r="C92" s="91"/>
      <c r="D92" s="91"/>
      <c r="E92" s="91"/>
      <c r="F92" s="91"/>
      <c r="G92" s="91"/>
      <c r="H92" s="91"/>
      <c r="I92" s="91"/>
      <c r="J92" s="91"/>
      <c r="K92" s="91"/>
      <c r="L92" s="91"/>
      <c r="M92" s="91"/>
      <c r="N92" s="91"/>
      <c r="O92" s="91"/>
      <c r="P92" s="91"/>
      <c r="Q92" s="91"/>
      <c r="R92" s="91"/>
      <c r="S92" s="91"/>
      <c r="T92" s="91"/>
      <c r="U92" s="91"/>
      <c r="V92" s="91"/>
    </row>
    <row r="93" spans="1:22">
      <c r="A93" s="91"/>
      <c r="B93" s="96"/>
      <c r="C93" s="91"/>
      <c r="D93" s="91"/>
      <c r="E93" s="91"/>
      <c r="F93" s="91"/>
      <c r="G93" s="91"/>
      <c r="H93" s="91"/>
      <c r="I93" s="91"/>
      <c r="J93" s="91"/>
      <c r="K93" s="91"/>
      <c r="L93" s="91"/>
      <c r="M93" s="91"/>
      <c r="N93" s="91"/>
      <c r="O93" s="91"/>
      <c r="P93" s="91"/>
      <c r="Q93" s="91"/>
      <c r="R93" s="91"/>
      <c r="S93" s="91"/>
      <c r="T93" s="91"/>
      <c r="U93" s="91"/>
      <c r="V93" s="91"/>
    </row>
    <row r="94" spans="1:22">
      <c r="A94" s="91"/>
      <c r="B94" s="96"/>
      <c r="C94" s="91"/>
      <c r="D94" s="91"/>
      <c r="E94" s="91"/>
      <c r="F94" s="91"/>
      <c r="G94" s="91"/>
      <c r="H94" s="91"/>
      <c r="I94" s="91"/>
      <c r="J94" s="91"/>
      <c r="K94" s="91"/>
      <c r="L94" s="91"/>
      <c r="M94" s="91"/>
      <c r="N94" s="91"/>
      <c r="O94" s="91"/>
      <c r="P94" s="91"/>
      <c r="Q94" s="91"/>
      <c r="R94" s="91"/>
      <c r="S94" s="91"/>
      <c r="T94" s="91"/>
      <c r="U94" s="91"/>
      <c r="V94" s="91"/>
    </row>
    <row r="95" spans="1:22">
      <c r="A95" s="91"/>
      <c r="B95" s="96"/>
      <c r="C95" s="91"/>
      <c r="D95" s="91"/>
      <c r="E95" s="91"/>
      <c r="F95" s="91"/>
      <c r="G95" s="91"/>
      <c r="H95" s="91"/>
      <c r="I95" s="91"/>
      <c r="J95" s="91"/>
      <c r="K95" s="91"/>
      <c r="L95" s="91"/>
      <c r="M95" s="91"/>
      <c r="N95" s="91"/>
      <c r="O95" s="91"/>
      <c r="P95" s="91"/>
      <c r="Q95" s="91"/>
      <c r="R95" s="91"/>
      <c r="S95" s="91"/>
      <c r="T95" s="91"/>
      <c r="U95" s="91"/>
      <c r="V95" s="91"/>
    </row>
    <row r="96" spans="1:22">
      <c r="A96" s="91"/>
      <c r="B96" s="96"/>
      <c r="C96" s="91"/>
      <c r="D96" s="91"/>
      <c r="E96" s="91"/>
      <c r="F96" s="91"/>
      <c r="G96" s="91"/>
      <c r="H96" s="91"/>
      <c r="I96" s="91"/>
      <c r="J96" s="91"/>
      <c r="K96" s="91"/>
      <c r="L96" s="91"/>
      <c r="M96" s="91"/>
      <c r="N96" s="91"/>
      <c r="O96" s="91"/>
      <c r="P96" s="91"/>
      <c r="Q96" s="91"/>
      <c r="R96" s="91"/>
      <c r="S96" s="91"/>
      <c r="T96" s="91"/>
      <c r="U96" s="91"/>
      <c r="V96" s="91"/>
    </row>
    <row r="97" spans="1:22">
      <c r="A97" s="91"/>
      <c r="B97" s="96"/>
      <c r="C97" s="91"/>
      <c r="D97" s="91"/>
      <c r="E97" s="91"/>
      <c r="F97" s="91"/>
      <c r="G97" s="91"/>
      <c r="H97" s="91"/>
      <c r="I97" s="91"/>
      <c r="J97" s="91"/>
      <c r="K97" s="91"/>
      <c r="L97" s="91"/>
      <c r="M97" s="91"/>
      <c r="N97" s="91"/>
      <c r="O97" s="91"/>
      <c r="P97" s="91"/>
      <c r="Q97" s="91"/>
      <c r="R97" s="91"/>
      <c r="S97" s="91"/>
      <c r="T97" s="91"/>
      <c r="U97" s="91"/>
      <c r="V97" s="91"/>
    </row>
    <row r="98" spans="1:22">
      <c r="A98" s="91"/>
      <c r="B98" s="96"/>
      <c r="C98" s="91"/>
      <c r="D98" s="91"/>
      <c r="E98" s="91"/>
      <c r="F98" s="91"/>
      <c r="G98" s="91"/>
      <c r="H98" s="91"/>
      <c r="I98" s="91"/>
      <c r="J98" s="91"/>
      <c r="K98" s="91"/>
      <c r="L98" s="91"/>
      <c r="M98" s="91"/>
      <c r="N98" s="91"/>
      <c r="O98" s="91"/>
      <c r="P98" s="91"/>
      <c r="Q98" s="91"/>
      <c r="R98" s="91"/>
      <c r="S98" s="91"/>
      <c r="T98" s="91"/>
      <c r="U98" s="91"/>
      <c r="V98" s="91"/>
    </row>
    <row r="99" spans="1:22">
      <c r="A99" s="91"/>
      <c r="B99" s="96"/>
      <c r="C99" s="91"/>
      <c r="D99" s="91"/>
      <c r="E99" s="91"/>
      <c r="F99" s="91"/>
      <c r="G99" s="91"/>
      <c r="H99" s="91"/>
      <c r="I99" s="91"/>
      <c r="J99" s="91"/>
      <c r="K99" s="91"/>
      <c r="L99" s="91"/>
      <c r="M99" s="91"/>
      <c r="N99" s="91"/>
      <c r="O99" s="91"/>
      <c r="P99" s="91"/>
      <c r="Q99" s="91"/>
      <c r="R99" s="91"/>
      <c r="S99" s="91"/>
      <c r="T99" s="91"/>
      <c r="U99" s="91"/>
      <c r="V99" s="91"/>
    </row>
    <row r="100" spans="1:22">
      <c r="A100" s="91"/>
      <c r="B100" s="96"/>
      <c r="C100" s="91"/>
      <c r="D100" s="91"/>
      <c r="E100" s="91"/>
      <c r="F100" s="91"/>
      <c r="G100" s="91"/>
      <c r="H100" s="91"/>
      <c r="I100" s="91"/>
      <c r="J100" s="91"/>
      <c r="K100" s="91"/>
      <c r="L100" s="91"/>
      <c r="M100" s="91"/>
      <c r="N100" s="91"/>
      <c r="O100" s="91"/>
      <c r="P100" s="91"/>
      <c r="Q100" s="91"/>
      <c r="R100" s="91"/>
      <c r="S100" s="91"/>
      <c r="T100" s="91"/>
      <c r="U100" s="91"/>
      <c r="V100" s="91"/>
    </row>
    <row r="101" spans="1:22">
      <c r="A101" s="91"/>
      <c r="B101" s="96"/>
      <c r="C101" s="91"/>
      <c r="D101" s="91"/>
      <c r="E101" s="91"/>
      <c r="F101" s="91"/>
      <c r="G101" s="91"/>
      <c r="H101" s="91"/>
      <c r="I101" s="91"/>
      <c r="J101" s="91"/>
      <c r="K101" s="91"/>
      <c r="L101" s="91"/>
      <c r="M101" s="91"/>
      <c r="N101" s="91"/>
      <c r="O101" s="91"/>
      <c r="P101" s="91"/>
      <c r="Q101" s="91"/>
      <c r="R101" s="91"/>
      <c r="S101" s="91"/>
      <c r="T101" s="91"/>
      <c r="U101" s="91"/>
      <c r="V101" s="91"/>
    </row>
    <row r="102" spans="1:22">
      <c r="A102" s="91"/>
      <c r="B102" s="96"/>
      <c r="C102" s="91"/>
      <c r="D102" s="91"/>
      <c r="E102" s="91"/>
      <c r="F102" s="91"/>
      <c r="G102" s="91"/>
      <c r="H102" s="91"/>
      <c r="I102" s="91"/>
      <c r="J102" s="91"/>
      <c r="K102" s="91"/>
      <c r="L102" s="91"/>
      <c r="M102" s="91"/>
      <c r="N102" s="91"/>
      <c r="O102" s="91"/>
      <c r="P102" s="91"/>
      <c r="Q102" s="91"/>
      <c r="R102" s="91"/>
      <c r="S102" s="91"/>
      <c r="T102" s="91"/>
      <c r="U102" s="91"/>
      <c r="V102" s="91"/>
    </row>
    <row r="103" spans="1:22">
      <c r="A103" s="91"/>
      <c r="B103" s="96"/>
      <c r="C103" s="91"/>
      <c r="D103" s="91"/>
      <c r="E103" s="91"/>
      <c r="F103" s="91"/>
      <c r="G103" s="91"/>
      <c r="H103" s="91"/>
      <c r="I103" s="91"/>
      <c r="J103" s="91"/>
      <c r="K103" s="91"/>
      <c r="L103" s="91"/>
      <c r="M103" s="91"/>
      <c r="N103" s="91"/>
      <c r="O103" s="91"/>
      <c r="P103" s="91"/>
      <c r="Q103" s="91"/>
      <c r="R103" s="91"/>
      <c r="S103" s="91"/>
      <c r="T103" s="91"/>
      <c r="U103" s="91"/>
      <c r="V103" s="91"/>
    </row>
    <row r="104" spans="1:22">
      <c r="A104" s="91"/>
      <c r="B104" s="96"/>
      <c r="C104" s="91"/>
      <c r="D104" s="91"/>
      <c r="E104" s="91"/>
      <c r="F104" s="91"/>
      <c r="G104" s="91"/>
      <c r="H104" s="91"/>
      <c r="I104" s="91"/>
      <c r="J104" s="91"/>
      <c r="K104" s="91"/>
      <c r="L104" s="91"/>
      <c r="M104" s="91"/>
      <c r="N104" s="91"/>
      <c r="O104" s="91"/>
      <c r="P104" s="91"/>
      <c r="Q104" s="91"/>
      <c r="R104" s="91"/>
      <c r="S104" s="91"/>
      <c r="T104" s="91"/>
      <c r="U104" s="91"/>
      <c r="V104" s="91"/>
    </row>
    <row r="105" spans="1:22">
      <c r="A105" s="91"/>
      <c r="B105" s="96"/>
      <c r="C105" s="91"/>
      <c r="D105" s="91"/>
      <c r="E105" s="91"/>
      <c r="F105" s="91"/>
      <c r="G105" s="91"/>
      <c r="H105" s="91"/>
      <c r="I105" s="91"/>
      <c r="J105" s="91"/>
      <c r="K105" s="91"/>
      <c r="L105" s="91"/>
      <c r="M105" s="91"/>
      <c r="N105" s="91"/>
      <c r="O105" s="91"/>
      <c r="P105" s="91"/>
      <c r="Q105" s="91"/>
      <c r="R105" s="91"/>
      <c r="S105" s="91"/>
      <c r="T105" s="91"/>
      <c r="U105" s="91"/>
      <c r="V105" s="91"/>
    </row>
    <row r="106" spans="1:22">
      <c r="A106" s="91"/>
      <c r="B106" s="96"/>
      <c r="C106" s="91"/>
      <c r="D106" s="91"/>
      <c r="E106" s="91"/>
      <c r="F106" s="91"/>
      <c r="G106" s="91"/>
      <c r="H106" s="91"/>
      <c r="I106" s="91"/>
      <c r="J106" s="91"/>
      <c r="K106" s="91"/>
      <c r="L106" s="91"/>
      <c r="M106" s="91"/>
      <c r="N106" s="91"/>
      <c r="O106" s="91"/>
      <c r="P106" s="91"/>
      <c r="Q106" s="91"/>
      <c r="R106" s="91"/>
      <c r="S106" s="91"/>
      <c r="T106" s="91"/>
      <c r="U106" s="91"/>
      <c r="V106" s="91"/>
    </row>
    <row r="107" spans="1:22">
      <c r="A107" s="91"/>
      <c r="B107" s="96"/>
      <c r="C107" s="91"/>
      <c r="D107" s="91"/>
      <c r="E107" s="91"/>
      <c r="F107" s="91"/>
      <c r="G107" s="91"/>
      <c r="H107" s="91"/>
      <c r="I107" s="91"/>
      <c r="J107" s="91"/>
      <c r="K107" s="91"/>
      <c r="L107" s="91"/>
      <c r="M107" s="91"/>
      <c r="N107" s="91"/>
      <c r="O107" s="91"/>
      <c r="P107" s="91"/>
      <c r="Q107" s="91"/>
      <c r="R107" s="91"/>
      <c r="S107" s="91"/>
      <c r="T107" s="91"/>
      <c r="U107" s="91"/>
      <c r="V107" s="91"/>
    </row>
    <row r="108" spans="1:22">
      <c r="A108" s="91"/>
      <c r="B108" s="96"/>
      <c r="C108" s="91"/>
      <c r="D108" s="91"/>
      <c r="E108" s="91"/>
      <c r="F108" s="91"/>
      <c r="G108" s="91"/>
      <c r="H108" s="91"/>
      <c r="I108" s="91"/>
      <c r="J108" s="91"/>
      <c r="K108" s="91"/>
      <c r="L108" s="91"/>
      <c r="M108" s="91"/>
      <c r="N108" s="91"/>
      <c r="O108" s="91"/>
      <c r="P108" s="91"/>
      <c r="Q108" s="91"/>
      <c r="R108" s="91"/>
      <c r="S108" s="91"/>
      <c r="T108" s="91"/>
      <c r="U108" s="91"/>
      <c r="V108" s="91"/>
    </row>
    <row r="109" spans="1:22">
      <c r="A109" s="91"/>
      <c r="B109" s="96"/>
      <c r="C109" s="91"/>
      <c r="D109" s="91"/>
      <c r="E109" s="91"/>
      <c r="F109" s="91"/>
      <c r="G109" s="91"/>
      <c r="H109" s="91"/>
      <c r="I109" s="91"/>
      <c r="J109" s="91"/>
      <c r="K109" s="91"/>
      <c r="L109" s="91"/>
      <c r="M109" s="91"/>
      <c r="N109" s="91"/>
      <c r="O109" s="91"/>
      <c r="P109" s="91"/>
      <c r="Q109" s="91"/>
      <c r="R109" s="91"/>
      <c r="S109" s="91"/>
      <c r="T109" s="91"/>
      <c r="U109" s="91"/>
      <c r="V109" s="91"/>
    </row>
    <row r="110" spans="1:22">
      <c r="A110" s="91"/>
      <c r="B110" s="96"/>
      <c r="C110" s="91"/>
      <c r="D110" s="91"/>
      <c r="E110" s="91"/>
      <c r="F110" s="91"/>
      <c r="G110" s="91"/>
      <c r="H110" s="91"/>
      <c r="I110" s="91"/>
      <c r="J110" s="91"/>
      <c r="K110" s="91"/>
      <c r="L110" s="91"/>
      <c r="M110" s="91"/>
      <c r="N110" s="91"/>
      <c r="O110" s="91"/>
      <c r="P110" s="91"/>
      <c r="Q110" s="91"/>
      <c r="R110" s="91"/>
      <c r="S110" s="91"/>
      <c r="T110" s="91"/>
      <c r="U110" s="91"/>
      <c r="V110" s="91"/>
    </row>
    <row r="111" spans="1:22">
      <c r="A111" s="91"/>
      <c r="B111" s="96"/>
      <c r="C111" s="91"/>
      <c r="D111" s="91"/>
      <c r="E111" s="91"/>
      <c r="F111" s="91"/>
      <c r="G111" s="91"/>
      <c r="H111" s="91"/>
      <c r="I111" s="91"/>
      <c r="J111" s="91"/>
      <c r="K111" s="91"/>
      <c r="L111" s="91"/>
      <c r="M111" s="91"/>
      <c r="N111" s="91"/>
      <c r="O111" s="91"/>
      <c r="P111" s="91"/>
      <c r="Q111" s="91"/>
      <c r="R111" s="91"/>
      <c r="S111" s="91"/>
      <c r="T111" s="91"/>
      <c r="U111" s="91"/>
      <c r="V111" s="91"/>
    </row>
    <row r="112" spans="1:22">
      <c r="A112" s="91"/>
      <c r="B112" s="96"/>
      <c r="C112" s="91"/>
      <c r="D112" s="91"/>
      <c r="E112" s="91"/>
      <c r="F112" s="91"/>
      <c r="G112" s="91"/>
      <c r="H112" s="91"/>
      <c r="I112" s="91"/>
      <c r="J112" s="91"/>
      <c r="K112" s="91"/>
      <c r="L112" s="91"/>
      <c r="M112" s="91"/>
      <c r="N112" s="91"/>
      <c r="O112" s="91"/>
      <c r="P112" s="91"/>
      <c r="Q112" s="91"/>
      <c r="R112" s="91"/>
      <c r="S112" s="91"/>
      <c r="T112" s="91"/>
      <c r="U112" s="91"/>
      <c r="V112" s="91"/>
    </row>
    <row r="113" spans="1:22">
      <c r="A113" s="91"/>
      <c r="B113" s="96"/>
      <c r="C113" s="91"/>
      <c r="D113" s="91"/>
      <c r="E113" s="91"/>
      <c r="F113" s="91"/>
      <c r="G113" s="91"/>
      <c r="H113" s="91"/>
      <c r="I113" s="91"/>
      <c r="J113" s="91"/>
      <c r="K113" s="91"/>
      <c r="L113" s="91"/>
      <c r="M113" s="91"/>
      <c r="N113" s="91"/>
      <c r="O113" s="91"/>
      <c r="P113" s="91"/>
      <c r="Q113" s="91"/>
      <c r="R113" s="91"/>
      <c r="S113" s="91"/>
      <c r="T113" s="91"/>
      <c r="U113" s="91"/>
      <c r="V113" s="91"/>
    </row>
    <row r="114" spans="1:22">
      <c r="A114" s="91"/>
      <c r="B114" s="96"/>
      <c r="C114" s="91"/>
      <c r="D114" s="91"/>
      <c r="E114" s="91"/>
      <c r="F114" s="91"/>
      <c r="G114" s="91"/>
      <c r="H114" s="91"/>
      <c r="I114" s="91"/>
      <c r="J114" s="91"/>
      <c r="K114" s="91"/>
      <c r="L114" s="91"/>
      <c r="M114" s="91"/>
      <c r="N114" s="91"/>
      <c r="O114" s="91"/>
      <c r="P114" s="91"/>
      <c r="Q114" s="91"/>
      <c r="R114" s="91"/>
      <c r="S114" s="91"/>
      <c r="T114" s="91"/>
      <c r="U114" s="91"/>
      <c r="V114" s="91"/>
    </row>
    <row r="115" spans="1:22">
      <c r="A115" s="91"/>
      <c r="B115" s="96"/>
      <c r="C115" s="91"/>
      <c r="D115" s="91"/>
      <c r="E115" s="91"/>
      <c r="F115" s="91"/>
      <c r="G115" s="91"/>
      <c r="H115" s="91"/>
      <c r="I115" s="91"/>
      <c r="J115" s="91"/>
      <c r="K115" s="91"/>
      <c r="L115" s="91"/>
      <c r="M115" s="91"/>
      <c r="N115" s="91"/>
      <c r="O115" s="91"/>
      <c r="P115" s="91"/>
      <c r="Q115" s="91"/>
      <c r="R115" s="91"/>
      <c r="S115" s="91"/>
      <c r="T115" s="91"/>
      <c r="U115" s="91"/>
      <c r="V115" s="91"/>
    </row>
    <row r="116" spans="1:22">
      <c r="A116" s="91"/>
      <c r="B116" s="96"/>
      <c r="C116" s="91"/>
      <c r="D116" s="91"/>
      <c r="E116" s="91"/>
      <c r="F116" s="91"/>
      <c r="G116" s="91"/>
      <c r="H116" s="91"/>
      <c r="I116" s="91"/>
      <c r="J116" s="91"/>
      <c r="K116" s="91"/>
      <c r="L116" s="91"/>
      <c r="M116" s="91"/>
      <c r="N116" s="91"/>
      <c r="O116" s="91"/>
      <c r="P116" s="91"/>
      <c r="Q116" s="91"/>
      <c r="R116" s="91"/>
      <c r="S116" s="91"/>
      <c r="T116" s="91"/>
      <c r="U116" s="91"/>
      <c r="V116" s="91"/>
    </row>
    <row r="117" spans="1:22">
      <c r="A117" s="91"/>
      <c r="B117" s="96"/>
      <c r="C117" s="91"/>
      <c r="D117" s="91"/>
      <c r="E117" s="91"/>
      <c r="F117" s="91"/>
      <c r="G117" s="91"/>
      <c r="H117" s="91"/>
      <c r="I117" s="91"/>
      <c r="J117" s="91"/>
      <c r="K117" s="91"/>
      <c r="L117" s="91"/>
      <c r="M117" s="91"/>
      <c r="N117" s="91"/>
      <c r="O117" s="91"/>
      <c r="P117" s="91"/>
      <c r="Q117" s="91"/>
      <c r="R117" s="91"/>
      <c r="S117" s="91"/>
      <c r="T117" s="91"/>
      <c r="U117" s="91"/>
      <c r="V117" s="91"/>
    </row>
    <row r="118" spans="1:22">
      <c r="A118" s="91"/>
      <c r="B118" s="96"/>
      <c r="C118" s="91"/>
      <c r="D118" s="91"/>
      <c r="E118" s="91"/>
      <c r="F118" s="91"/>
      <c r="G118" s="91"/>
      <c r="H118" s="91"/>
      <c r="I118" s="91"/>
      <c r="J118" s="91"/>
      <c r="K118" s="91"/>
      <c r="L118" s="91"/>
      <c r="M118" s="91"/>
      <c r="N118" s="91"/>
      <c r="O118" s="91"/>
      <c r="P118" s="91"/>
      <c r="Q118" s="91"/>
      <c r="R118" s="91"/>
      <c r="S118" s="91"/>
      <c r="T118" s="91"/>
      <c r="U118" s="91"/>
      <c r="V118" s="91"/>
    </row>
    <row r="119" spans="1:22">
      <c r="A119" s="91"/>
      <c r="B119" s="96"/>
      <c r="C119" s="91"/>
      <c r="D119" s="91"/>
      <c r="E119" s="91"/>
      <c r="F119" s="91"/>
      <c r="G119" s="91"/>
      <c r="H119" s="91"/>
      <c r="I119" s="91"/>
      <c r="J119" s="91"/>
      <c r="K119" s="91"/>
      <c r="L119" s="91"/>
      <c r="M119" s="91"/>
      <c r="N119" s="91"/>
      <c r="O119" s="91"/>
      <c r="P119" s="91"/>
      <c r="Q119" s="91"/>
      <c r="R119" s="91"/>
      <c r="S119" s="91"/>
      <c r="T119" s="91"/>
      <c r="U119" s="91"/>
      <c r="V119" s="91"/>
    </row>
    <row r="120" spans="1:22">
      <c r="A120" s="91"/>
      <c r="B120" s="96"/>
      <c r="C120" s="91"/>
      <c r="D120" s="91"/>
      <c r="E120" s="91"/>
      <c r="F120" s="91"/>
      <c r="G120" s="91"/>
      <c r="H120" s="91"/>
      <c r="I120" s="91"/>
      <c r="J120" s="91"/>
      <c r="K120" s="91"/>
      <c r="L120" s="91"/>
      <c r="M120" s="91"/>
      <c r="N120" s="91"/>
      <c r="O120" s="91"/>
      <c r="P120" s="91"/>
      <c r="Q120" s="91"/>
      <c r="R120" s="91"/>
      <c r="S120" s="91"/>
      <c r="T120" s="91"/>
      <c r="U120" s="91"/>
      <c r="V120" s="91"/>
    </row>
    <row r="121" spans="1:22">
      <c r="A121" s="91"/>
      <c r="B121" s="96"/>
      <c r="C121" s="91"/>
      <c r="D121" s="91"/>
      <c r="E121" s="91"/>
      <c r="F121" s="91"/>
      <c r="G121" s="91"/>
      <c r="H121" s="91"/>
      <c r="I121" s="91"/>
      <c r="J121" s="91"/>
      <c r="K121" s="91"/>
      <c r="L121" s="91"/>
      <c r="M121" s="91"/>
      <c r="N121" s="91"/>
      <c r="O121" s="91"/>
      <c r="P121" s="91"/>
      <c r="Q121" s="91"/>
      <c r="R121" s="91"/>
      <c r="S121" s="91"/>
      <c r="T121" s="91"/>
      <c r="U121" s="91"/>
      <c r="V121" s="91"/>
    </row>
    <row r="122" spans="1:22">
      <c r="A122" s="91"/>
      <c r="B122" s="96"/>
      <c r="C122" s="91"/>
      <c r="D122" s="91"/>
      <c r="E122" s="91"/>
      <c r="F122" s="91"/>
      <c r="G122" s="91"/>
      <c r="H122" s="91"/>
      <c r="I122" s="91"/>
      <c r="J122" s="91"/>
      <c r="K122" s="91"/>
      <c r="L122" s="91"/>
      <c r="M122" s="91"/>
      <c r="N122" s="91"/>
      <c r="O122" s="91"/>
      <c r="P122" s="91"/>
      <c r="Q122" s="91"/>
      <c r="R122" s="91"/>
      <c r="S122" s="91"/>
      <c r="T122" s="91"/>
      <c r="U122" s="91"/>
      <c r="V122" s="91"/>
    </row>
    <row r="123" spans="1:22">
      <c r="A123" s="91"/>
      <c r="B123" s="96"/>
      <c r="C123" s="91"/>
      <c r="D123" s="91"/>
      <c r="E123" s="91"/>
      <c r="F123" s="91"/>
      <c r="G123" s="91"/>
      <c r="H123" s="91"/>
      <c r="I123" s="91"/>
      <c r="J123" s="91"/>
      <c r="K123" s="91"/>
      <c r="L123" s="91"/>
      <c r="M123" s="91"/>
      <c r="N123" s="91"/>
      <c r="O123" s="91"/>
      <c r="P123" s="91"/>
      <c r="Q123" s="91"/>
      <c r="R123" s="91"/>
      <c r="S123" s="91"/>
      <c r="T123" s="91"/>
      <c r="U123" s="91"/>
      <c r="V123" s="91"/>
    </row>
    <row r="124" spans="1:22">
      <c r="A124" s="91"/>
      <c r="B124" s="96"/>
      <c r="C124" s="91"/>
      <c r="D124" s="91"/>
      <c r="E124" s="91"/>
      <c r="F124" s="91"/>
      <c r="G124" s="91"/>
      <c r="H124" s="91"/>
      <c r="I124" s="91"/>
      <c r="J124" s="91"/>
      <c r="K124" s="91"/>
      <c r="L124" s="91"/>
      <c r="M124" s="91"/>
      <c r="N124" s="91"/>
      <c r="O124" s="91"/>
      <c r="P124" s="91"/>
      <c r="Q124" s="91"/>
      <c r="R124" s="91"/>
      <c r="S124" s="91"/>
      <c r="T124" s="91"/>
      <c r="U124" s="91"/>
      <c r="V124" s="91"/>
    </row>
    <row r="125" spans="1:22">
      <c r="A125" s="91"/>
      <c r="B125" s="96"/>
      <c r="C125" s="91"/>
      <c r="D125" s="91"/>
      <c r="E125" s="91"/>
      <c r="F125" s="91"/>
      <c r="G125" s="91"/>
      <c r="H125" s="91"/>
      <c r="I125" s="91"/>
      <c r="J125" s="91"/>
      <c r="K125" s="91"/>
      <c r="L125" s="91"/>
      <c r="M125" s="91"/>
      <c r="N125" s="91"/>
      <c r="O125" s="91"/>
      <c r="P125" s="91"/>
      <c r="Q125" s="91"/>
      <c r="R125" s="91"/>
      <c r="S125" s="91"/>
      <c r="T125" s="91"/>
      <c r="U125" s="91"/>
      <c r="V125" s="91"/>
    </row>
    <row r="126" spans="1:22">
      <c r="A126" s="91"/>
      <c r="B126" s="96"/>
      <c r="C126" s="91"/>
      <c r="D126" s="91"/>
      <c r="E126" s="91"/>
      <c r="F126" s="91"/>
      <c r="G126" s="91"/>
      <c r="H126" s="91"/>
      <c r="I126" s="91"/>
      <c r="J126" s="91"/>
      <c r="K126" s="91"/>
      <c r="L126" s="91"/>
      <c r="M126" s="91"/>
      <c r="N126" s="91"/>
      <c r="O126" s="91"/>
      <c r="P126" s="91"/>
      <c r="Q126" s="91"/>
      <c r="R126" s="91"/>
      <c r="S126" s="91"/>
      <c r="T126" s="91"/>
      <c r="U126" s="91"/>
      <c r="V126" s="91"/>
    </row>
    <row r="127" spans="1:22">
      <c r="A127" s="91"/>
      <c r="B127" s="96"/>
      <c r="C127" s="91"/>
      <c r="D127" s="91"/>
      <c r="E127" s="91"/>
      <c r="F127" s="91"/>
      <c r="G127" s="91"/>
      <c r="H127" s="91"/>
      <c r="I127" s="91"/>
      <c r="J127" s="91"/>
      <c r="K127" s="91"/>
      <c r="L127" s="91"/>
      <c r="M127" s="91"/>
      <c r="N127" s="91"/>
      <c r="O127" s="91"/>
      <c r="P127" s="91"/>
      <c r="Q127" s="91"/>
      <c r="R127" s="91"/>
      <c r="S127" s="91"/>
      <c r="T127" s="91"/>
      <c r="U127" s="91"/>
      <c r="V127" s="91"/>
    </row>
    <row r="128" spans="1:22">
      <c r="A128" s="91"/>
      <c r="B128" s="96"/>
      <c r="C128" s="91"/>
      <c r="D128" s="91"/>
      <c r="E128" s="91"/>
      <c r="F128" s="91"/>
      <c r="G128" s="91"/>
      <c r="H128" s="91"/>
      <c r="I128" s="91"/>
      <c r="J128" s="91"/>
      <c r="K128" s="91"/>
      <c r="L128" s="91"/>
      <c r="M128" s="91"/>
      <c r="N128" s="91"/>
      <c r="O128" s="91"/>
      <c r="P128" s="91"/>
      <c r="Q128" s="91"/>
      <c r="R128" s="91"/>
      <c r="S128" s="91"/>
      <c r="T128" s="91"/>
      <c r="U128" s="91"/>
      <c r="V128" s="91"/>
    </row>
    <row r="129" spans="1:22">
      <c r="A129" s="91"/>
      <c r="B129" s="96"/>
      <c r="C129" s="91"/>
      <c r="D129" s="91"/>
      <c r="E129" s="91"/>
      <c r="F129" s="91"/>
      <c r="G129" s="91"/>
      <c r="H129" s="91"/>
      <c r="I129" s="91"/>
      <c r="J129" s="91"/>
      <c r="K129" s="91"/>
      <c r="L129" s="91"/>
      <c r="M129" s="91"/>
      <c r="N129" s="91"/>
      <c r="O129" s="91"/>
      <c r="P129" s="91"/>
      <c r="Q129" s="91"/>
      <c r="R129" s="91"/>
      <c r="S129" s="91"/>
      <c r="T129" s="91"/>
      <c r="U129" s="91"/>
      <c r="V129" s="91"/>
    </row>
    <row r="130" spans="1:22">
      <c r="A130" s="91"/>
      <c r="B130" s="96"/>
      <c r="C130" s="91"/>
      <c r="D130" s="91"/>
      <c r="E130" s="91"/>
      <c r="F130" s="91"/>
      <c r="G130" s="91"/>
      <c r="H130" s="91"/>
      <c r="I130" s="91"/>
      <c r="J130" s="91"/>
      <c r="K130" s="91"/>
      <c r="L130" s="91"/>
      <c r="M130" s="91"/>
      <c r="N130" s="91"/>
      <c r="O130" s="91"/>
      <c r="P130" s="91"/>
      <c r="Q130" s="91"/>
      <c r="R130" s="91"/>
      <c r="S130" s="91"/>
      <c r="T130" s="91"/>
      <c r="U130" s="91"/>
      <c r="V130" s="91"/>
    </row>
    <row r="131" spans="1:22">
      <c r="A131" s="91"/>
      <c r="B131" s="96"/>
      <c r="C131" s="91"/>
      <c r="D131" s="91"/>
      <c r="E131" s="91"/>
      <c r="F131" s="91"/>
      <c r="G131" s="91"/>
      <c r="H131" s="91"/>
      <c r="I131" s="91"/>
      <c r="J131" s="91"/>
      <c r="K131" s="91"/>
      <c r="L131" s="91"/>
      <c r="M131" s="91"/>
      <c r="N131" s="91"/>
      <c r="O131" s="91"/>
      <c r="P131" s="91"/>
      <c r="Q131" s="91"/>
      <c r="R131" s="91"/>
      <c r="S131" s="91"/>
      <c r="T131" s="91"/>
      <c r="U131" s="91"/>
      <c r="V131" s="91"/>
    </row>
    <row r="132" spans="1:22">
      <c r="A132" s="91"/>
      <c r="B132" s="96"/>
      <c r="C132" s="91"/>
      <c r="D132" s="91"/>
      <c r="E132" s="91"/>
      <c r="F132" s="91"/>
      <c r="G132" s="91"/>
      <c r="H132" s="91"/>
      <c r="I132" s="91"/>
      <c r="J132" s="91"/>
      <c r="K132" s="91"/>
      <c r="L132" s="91"/>
      <c r="M132" s="91"/>
      <c r="N132" s="91"/>
      <c r="O132" s="91"/>
      <c r="P132" s="91"/>
      <c r="Q132" s="91"/>
      <c r="R132" s="91"/>
      <c r="S132" s="91"/>
      <c r="T132" s="91"/>
      <c r="U132" s="91"/>
      <c r="V132" s="91"/>
    </row>
    <row r="133" spans="1:22">
      <c r="A133" s="91"/>
      <c r="B133" s="96"/>
      <c r="C133" s="91"/>
      <c r="D133" s="91"/>
      <c r="E133" s="91"/>
      <c r="F133" s="91"/>
      <c r="G133" s="91"/>
      <c r="H133" s="91"/>
      <c r="I133" s="91"/>
      <c r="J133" s="91"/>
      <c r="K133" s="91"/>
      <c r="L133" s="91"/>
      <c r="M133" s="91"/>
      <c r="N133" s="91"/>
      <c r="O133" s="91"/>
      <c r="P133" s="91"/>
      <c r="Q133" s="91"/>
      <c r="R133" s="91"/>
      <c r="S133" s="91"/>
      <c r="T133" s="91"/>
      <c r="U133" s="91"/>
      <c r="V133" s="91"/>
    </row>
    <row r="134" spans="1:22">
      <c r="A134" s="91"/>
      <c r="B134" s="96"/>
      <c r="C134" s="91"/>
      <c r="D134" s="91"/>
      <c r="E134" s="91"/>
      <c r="F134" s="91"/>
      <c r="G134" s="91"/>
      <c r="H134" s="91"/>
      <c r="I134" s="91"/>
      <c r="J134" s="91"/>
      <c r="K134" s="91"/>
      <c r="L134" s="91"/>
      <c r="M134" s="91"/>
      <c r="N134" s="91"/>
      <c r="O134" s="91"/>
      <c r="P134" s="91"/>
      <c r="Q134" s="91"/>
      <c r="R134" s="91"/>
      <c r="S134" s="91"/>
      <c r="T134" s="91"/>
      <c r="U134" s="91"/>
      <c r="V134" s="91"/>
    </row>
    <row r="135" spans="1:22">
      <c r="A135" s="91"/>
      <c r="B135" s="96"/>
      <c r="C135" s="91"/>
      <c r="D135" s="91"/>
      <c r="E135" s="91"/>
      <c r="F135" s="91"/>
      <c r="G135" s="91"/>
      <c r="H135" s="91"/>
      <c r="I135" s="91"/>
      <c r="J135" s="91"/>
      <c r="K135" s="91"/>
      <c r="L135" s="91"/>
      <c r="M135" s="91"/>
      <c r="N135" s="91"/>
      <c r="O135" s="91"/>
      <c r="P135" s="91"/>
      <c r="Q135" s="91"/>
      <c r="R135" s="91"/>
      <c r="S135" s="91"/>
      <c r="T135" s="91"/>
      <c r="U135" s="91"/>
      <c r="V135" s="91"/>
    </row>
    <row r="136" spans="1:22">
      <c r="A136" s="91"/>
      <c r="B136" s="96"/>
      <c r="C136" s="91"/>
      <c r="D136" s="91"/>
      <c r="E136" s="91"/>
      <c r="F136" s="91"/>
      <c r="G136" s="91"/>
      <c r="H136" s="91"/>
      <c r="I136" s="91"/>
      <c r="J136" s="91"/>
      <c r="K136" s="91"/>
      <c r="L136" s="91"/>
      <c r="M136" s="91"/>
      <c r="N136" s="91"/>
      <c r="O136" s="91"/>
      <c r="P136" s="91"/>
      <c r="Q136" s="91"/>
      <c r="R136" s="91"/>
      <c r="S136" s="91"/>
      <c r="T136" s="91"/>
      <c r="U136" s="91"/>
      <c r="V136" s="91"/>
    </row>
    <row r="137" spans="1:22">
      <c r="A137" s="91"/>
      <c r="B137" s="96"/>
      <c r="C137" s="91"/>
      <c r="D137" s="91"/>
      <c r="E137" s="91"/>
      <c r="F137" s="91"/>
      <c r="G137" s="91"/>
      <c r="H137" s="91"/>
      <c r="I137" s="91"/>
      <c r="J137" s="91"/>
      <c r="K137" s="91"/>
      <c r="L137" s="91"/>
      <c r="M137" s="91"/>
      <c r="N137" s="91"/>
      <c r="O137" s="91"/>
      <c r="P137" s="91"/>
      <c r="Q137" s="91"/>
      <c r="R137" s="91"/>
      <c r="S137" s="91"/>
      <c r="T137" s="91"/>
      <c r="U137" s="91"/>
      <c r="V137" s="91"/>
    </row>
    <row r="138" spans="1:22">
      <c r="A138" s="91"/>
      <c r="B138" s="96"/>
      <c r="C138" s="91"/>
      <c r="D138" s="91"/>
      <c r="E138" s="91"/>
      <c r="F138" s="91"/>
      <c r="G138" s="91"/>
      <c r="H138" s="91"/>
      <c r="I138" s="91"/>
      <c r="J138" s="91"/>
      <c r="K138" s="91"/>
      <c r="L138" s="91"/>
      <c r="M138" s="91"/>
      <c r="N138" s="91"/>
      <c r="O138" s="91"/>
      <c r="P138" s="91"/>
      <c r="Q138" s="91"/>
      <c r="R138" s="91"/>
      <c r="S138" s="91"/>
      <c r="T138" s="91"/>
      <c r="U138" s="91"/>
      <c r="V138" s="91"/>
    </row>
    <row r="139" spans="1:22">
      <c r="A139" s="91"/>
      <c r="B139" s="96"/>
      <c r="C139" s="91"/>
      <c r="D139" s="91"/>
      <c r="E139" s="91"/>
      <c r="F139" s="91"/>
      <c r="G139" s="91"/>
      <c r="H139" s="91"/>
      <c r="I139" s="91"/>
      <c r="J139" s="91"/>
      <c r="K139" s="91"/>
      <c r="L139" s="91"/>
      <c r="M139" s="91"/>
      <c r="N139" s="91"/>
      <c r="O139" s="91"/>
      <c r="P139" s="91"/>
      <c r="Q139" s="91"/>
      <c r="R139" s="91"/>
      <c r="S139" s="91"/>
      <c r="T139" s="91"/>
      <c r="U139" s="91"/>
      <c r="V139" s="91"/>
    </row>
    <row r="140" spans="1:22">
      <c r="A140" s="91"/>
      <c r="B140" s="96"/>
      <c r="C140" s="91"/>
      <c r="D140" s="91"/>
      <c r="E140" s="91"/>
      <c r="F140" s="91"/>
      <c r="G140" s="91"/>
      <c r="H140" s="91"/>
      <c r="I140" s="91"/>
      <c r="J140" s="91"/>
      <c r="K140" s="91"/>
      <c r="L140" s="91"/>
      <c r="M140" s="91"/>
      <c r="N140" s="91"/>
      <c r="O140" s="91"/>
      <c r="P140" s="91"/>
      <c r="Q140" s="91"/>
      <c r="R140" s="91"/>
      <c r="S140" s="91"/>
      <c r="T140" s="91"/>
      <c r="U140" s="91"/>
      <c r="V140" s="91"/>
    </row>
    <row r="141" spans="1:22">
      <c r="A141" s="91"/>
      <c r="B141" s="96"/>
      <c r="C141" s="91"/>
      <c r="D141" s="91"/>
      <c r="E141" s="91"/>
      <c r="F141" s="91"/>
      <c r="G141" s="91"/>
      <c r="H141" s="91"/>
      <c r="I141" s="91"/>
      <c r="J141" s="91"/>
      <c r="K141" s="91"/>
      <c r="L141" s="91"/>
      <c r="M141" s="91"/>
      <c r="N141" s="91"/>
      <c r="O141" s="91"/>
      <c r="P141" s="91"/>
      <c r="Q141" s="91"/>
      <c r="R141" s="91"/>
      <c r="S141" s="91"/>
      <c r="T141" s="91"/>
      <c r="U141" s="91"/>
      <c r="V141" s="91"/>
    </row>
    <row r="142" spans="1:22">
      <c r="A142" s="91"/>
      <c r="B142" s="96"/>
      <c r="C142" s="91"/>
      <c r="D142" s="91"/>
      <c r="E142" s="91"/>
      <c r="F142" s="91"/>
      <c r="G142" s="91"/>
      <c r="H142" s="91"/>
      <c r="I142" s="91"/>
      <c r="J142" s="91"/>
      <c r="K142" s="91"/>
      <c r="L142" s="91"/>
      <c r="M142" s="91"/>
      <c r="N142" s="91"/>
      <c r="O142" s="91"/>
      <c r="P142" s="91"/>
      <c r="Q142" s="91"/>
      <c r="R142" s="91"/>
      <c r="S142" s="91"/>
      <c r="T142" s="91"/>
      <c r="U142" s="91"/>
      <c r="V142" s="91"/>
    </row>
    <row r="143" spans="1:22">
      <c r="A143" s="91"/>
      <c r="B143" s="96"/>
      <c r="C143" s="91"/>
      <c r="D143" s="91"/>
      <c r="E143" s="91"/>
      <c r="F143" s="91"/>
      <c r="G143" s="91"/>
      <c r="H143" s="91"/>
      <c r="I143" s="91"/>
      <c r="J143" s="91"/>
      <c r="K143" s="91"/>
      <c r="L143" s="91"/>
      <c r="M143" s="91"/>
      <c r="N143" s="91"/>
      <c r="O143" s="91"/>
      <c r="P143" s="91"/>
      <c r="Q143" s="91"/>
      <c r="R143" s="91"/>
      <c r="S143" s="91"/>
      <c r="T143" s="91"/>
      <c r="U143" s="91"/>
      <c r="V143" s="91"/>
    </row>
    <row r="144" spans="1:22">
      <c r="A144" s="91"/>
      <c r="B144" s="96"/>
      <c r="C144" s="91"/>
      <c r="D144" s="91"/>
      <c r="E144" s="91"/>
      <c r="F144" s="91"/>
      <c r="G144" s="91"/>
      <c r="H144" s="91"/>
      <c r="I144" s="91"/>
      <c r="J144" s="91"/>
      <c r="K144" s="91"/>
      <c r="L144" s="91"/>
      <c r="M144" s="91"/>
      <c r="N144" s="91"/>
      <c r="O144" s="91"/>
      <c r="P144" s="91"/>
      <c r="Q144" s="91"/>
      <c r="R144" s="91"/>
      <c r="S144" s="91"/>
      <c r="T144" s="91"/>
      <c r="U144" s="91"/>
      <c r="V144" s="91"/>
    </row>
    <row r="145" spans="1:22">
      <c r="A145" s="91"/>
      <c r="B145" s="96"/>
      <c r="C145" s="91"/>
      <c r="D145" s="91"/>
      <c r="E145" s="91"/>
      <c r="F145" s="91"/>
      <c r="G145" s="91"/>
      <c r="H145" s="91"/>
      <c r="I145" s="91"/>
      <c r="J145" s="91"/>
      <c r="K145" s="91"/>
      <c r="L145" s="91"/>
      <c r="M145" s="91"/>
      <c r="N145" s="91"/>
      <c r="O145" s="91"/>
      <c r="P145" s="91"/>
      <c r="Q145" s="91"/>
      <c r="R145" s="91"/>
      <c r="S145" s="91"/>
      <c r="T145" s="91"/>
      <c r="U145" s="91"/>
      <c r="V145" s="91"/>
    </row>
    <row r="146" spans="1:22">
      <c r="A146" s="91"/>
      <c r="B146" s="96"/>
      <c r="C146" s="91"/>
      <c r="D146" s="91"/>
      <c r="E146" s="91"/>
      <c r="F146" s="91"/>
      <c r="G146" s="91"/>
      <c r="H146" s="91"/>
      <c r="I146" s="91"/>
      <c r="J146" s="91"/>
      <c r="K146" s="91"/>
      <c r="L146" s="91"/>
      <c r="M146" s="91"/>
      <c r="N146" s="91"/>
      <c r="O146" s="91"/>
      <c r="P146" s="91"/>
      <c r="Q146" s="91"/>
      <c r="R146" s="91"/>
      <c r="S146" s="91"/>
      <c r="T146" s="91"/>
      <c r="U146" s="91"/>
      <c r="V146" s="91"/>
    </row>
    <row r="147" spans="1:22">
      <c r="A147" s="91"/>
      <c r="B147" s="96"/>
      <c r="C147" s="91"/>
      <c r="D147" s="91"/>
      <c r="E147" s="91"/>
      <c r="F147" s="91"/>
      <c r="G147" s="91"/>
      <c r="H147" s="91"/>
      <c r="I147" s="91"/>
      <c r="J147" s="91"/>
      <c r="K147" s="91"/>
      <c r="L147" s="91"/>
      <c r="M147" s="91"/>
      <c r="N147" s="91"/>
      <c r="O147" s="91"/>
      <c r="P147" s="91"/>
      <c r="Q147" s="91"/>
      <c r="R147" s="91"/>
      <c r="S147" s="91"/>
      <c r="T147" s="91"/>
      <c r="U147" s="91"/>
      <c r="V147" s="91"/>
    </row>
    <row r="148" spans="1:22">
      <c r="A148" s="91"/>
      <c r="B148" s="96"/>
      <c r="C148" s="91"/>
      <c r="D148" s="91"/>
      <c r="E148" s="91"/>
      <c r="F148" s="91"/>
      <c r="G148" s="91"/>
      <c r="H148" s="91"/>
      <c r="I148" s="91"/>
      <c r="J148" s="91"/>
      <c r="K148" s="91"/>
      <c r="L148" s="91"/>
      <c r="M148" s="91"/>
      <c r="N148" s="91"/>
      <c r="O148" s="91"/>
      <c r="P148" s="91"/>
      <c r="Q148" s="91"/>
      <c r="R148" s="91"/>
      <c r="S148" s="91"/>
      <c r="T148" s="91"/>
      <c r="U148" s="91"/>
      <c r="V148" s="91"/>
    </row>
    <row r="149" spans="1:22">
      <c r="A149" s="91"/>
      <c r="B149" s="96"/>
      <c r="C149" s="91"/>
      <c r="D149" s="91"/>
      <c r="E149" s="91"/>
      <c r="F149" s="91"/>
      <c r="G149" s="91"/>
      <c r="H149" s="91"/>
      <c r="I149" s="91"/>
      <c r="J149" s="91"/>
      <c r="K149" s="91"/>
      <c r="L149" s="91"/>
      <c r="M149" s="91"/>
      <c r="N149" s="91"/>
      <c r="O149" s="91"/>
      <c r="P149" s="91"/>
      <c r="Q149" s="91"/>
      <c r="R149" s="91"/>
      <c r="S149" s="91"/>
      <c r="T149" s="91"/>
      <c r="U149" s="91"/>
      <c r="V149" s="91"/>
    </row>
    <row r="150" spans="1:22">
      <c r="A150" s="91"/>
      <c r="B150" s="96"/>
      <c r="C150" s="91"/>
      <c r="D150" s="91"/>
      <c r="E150" s="91"/>
      <c r="F150" s="91"/>
      <c r="G150" s="91"/>
      <c r="H150" s="91"/>
      <c r="I150" s="91"/>
      <c r="J150" s="91"/>
      <c r="K150" s="91"/>
      <c r="L150" s="91"/>
      <c r="M150" s="91"/>
      <c r="N150" s="91"/>
      <c r="O150" s="91"/>
      <c r="P150" s="91"/>
      <c r="Q150" s="91"/>
      <c r="R150" s="91"/>
      <c r="S150" s="91"/>
      <c r="T150" s="91"/>
      <c r="U150" s="91"/>
      <c r="V150" s="91"/>
    </row>
    <row r="151" spans="1:22">
      <c r="A151" s="91"/>
      <c r="B151" s="96"/>
      <c r="C151" s="91"/>
      <c r="D151" s="91"/>
      <c r="E151" s="91"/>
      <c r="F151" s="91"/>
      <c r="G151" s="91"/>
      <c r="H151" s="91"/>
      <c r="I151" s="91"/>
      <c r="J151" s="91"/>
      <c r="K151" s="91"/>
      <c r="L151" s="91"/>
      <c r="M151" s="91"/>
      <c r="N151" s="91"/>
      <c r="O151" s="91"/>
      <c r="P151" s="91"/>
      <c r="Q151" s="91"/>
      <c r="R151" s="91"/>
      <c r="S151" s="91"/>
      <c r="T151" s="91"/>
      <c r="U151" s="91"/>
      <c r="V151" s="91"/>
    </row>
    <row r="152" spans="1:22">
      <c r="A152" s="91"/>
      <c r="B152" s="96"/>
      <c r="C152" s="91"/>
      <c r="D152" s="91"/>
      <c r="E152" s="91"/>
      <c r="F152" s="91"/>
      <c r="G152" s="91"/>
      <c r="H152" s="91"/>
      <c r="I152" s="91"/>
      <c r="J152" s="91"/>
      <c r="K152" s="91"/>
      <c r="L152" s="91"/>
      <c r="M152" s="91"/>
      <c r="N152" s="91"/>
      <c r="O152" s="91"/>
      <c r="P152" s="91"/>
      <c r="Q152" s="91"/>
      <c r="R152" s="91"/>
      <c r="S152" s="91"/>
      <c r="T152" s="91"/>
      <c r="U152" s="91"/>
      <c r="V152" s="91"/>
    </row>
    <row r="153" spans="1:22">
      <c r="A153" s="91"/>
      <c r="B153" s="96"/>
      <c r="C153" s="91"/>
      <c r="D153" s="91"/>
      <c r="E153" s="91"/>
      <c r="F153" s="91"/>
      <c r="G153" s="91"/>
      <c r="H153" s="91"/>
      <c r="I153" s="91"/>
      <c r="J153" s="91"/>
      <c r="K153" s="91"/>
      <c r="L153" s="91"/>
      <c r="M153" s="91"/>
      <c r="N153" s="91"/>
      <c r="O153" s="91"/>
      <c r="P153" s="91"/>
      <c r="Q153" s="91"/>
      <c r="R153" s="91"/>
      <c r="S153" s="91"/>
      <c r="T153" s="91"/>
      <c r="U153" s="91"/>
      <c r="V153" s="91"/>
    </row>
  </sheetData>
  <mergeCells count="8">
    <mergeCell ref="B5:G9"/>
    <mergeCell ref="B42:G42"/>
    <mergeCell ref="B43:G43"/>
    <mergeCell ref="A26:A30"/>
    <mergeCell ref="A31:A35"/>
    <mergeCell ref="I20:R20"/>
    <mergeCell ref="I19:R19"/>
    <mergeCell ref="B44:G4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1" right="1" top="1.25" bottom="0.5" header="0.5" footer="0.5"/>
  <pageSetup scale="10" orientation="landscape" r:id="rId4"/>
  <headerFooter scaleWithDoc="0">
    <oddHeader>&amp;R&amp;"Times New Roman,Bold"&amp;10ICC Docket No. 21-0155
Statewide Quarterly Report
ComEd 2022 Q3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58800012207406E-2"/>
    <pageSetUpPr fitToPage="1"/>
  </sheetPr>
  <dimension ref="A1:X58"/>
  <sheetViews>
    <sheetView tabSelected="1" topLeftCell="B4" zoomScale="70" zoomScaleNormal="70" workbookViewId="0"/>
  </sheetViews>
  <sheetFormatPr defaultColWidth="9.1796875" defaultRowHeight="14.5"/>
  <cols>
    <col min="1" max="1" width="4.36328125" customWidth="1"/>
    <col min="2" max="2" width="51.54296875" customWidth="1"/>
    <col min="3" max="3" width="13.26953125" customWidth="1"/>
    <col min="4" max="4" width="11.54296875" customWidth="1"/>
    <col min="5" max="5" width="11.1796875" customWidth="1"/>
    <col min="6" max="6" width="12" customWidth="1"/>
    <col min="7" max="7" width="13.54296875" customWidth="1"/>
    <col min="8" max="8" width="13.36328125" customWidth="1"/>
    <col min="9" max="9" width="12.7265625" customWidth="1"/>
    <col min="10" max="10" width="14.1796875" customWidth="1"/>
    <col min="11" max="11" width="14.36328125" customWidth="1"/>
    <col min="12" max="12" width="13.81640625" customWidth="1"/>
    <col min="13" max="13" width="14.81640625" customWidth="1"/>
    <col min="14" max="14" width="15.36328125" customWidth="1"/>
    <col min="15" max="15" width="14.81640625" customWidth="1"/>
    <col min="16" max="16" width="14.81640625" bestFit="1" customWidth="1"/>
    <col min="17" max="17" width="13.81640625" bestFit="1" customWidth="1"/>
    <col min="18" max="18" width="11.7265625" bestFit="1" customWidth="1"/>
  </cols>
  <sheetData>
    <row r="1" spans="1:24">
      <c r="A1" s="91"/>
      <c r="B1" s="98" t="s">
        <v>0</v>
      </c>
      <c r="C1" s="98"/>
      <c r="D1" s="91"/>
      <c r="E1" s="91"/>
      <c r="F1" s="91"/>
      <c r="G1" s="91"/>
      <c r="H1" s="91"/>
      <c r="I1" s="91"/>
      <c r="J1" s="91"/>
      <c r="K1" s="91"/>
      <c r="L1" s="91"/>
      <c r="M1" s="91"/>
      <c r="N1" s="91"/>
      <c r="O1" s="91"/>
      <c r="P1" s="91"/>
      <c r="Q1" s="91"/>
      <c r="R1" s="91"/>
      <c r="S1" s="91"/>
      <c r="T1" s="91"/>
      <c r="U1" s="91"/>
      <c r="V1" s="91"/>
      <c r="W1" s="91"/>
      <c r="X1" s="91"/>
    </row>
    <row r="2" spans="1:24">
      <c r="A2" s="91"/>
      <c r="B2" s="98" t="s">
        <v>177</v>
      </c>
      <c r="C2" s="98"/>
      <c r="D2" s="91"/>
      <c r="E2" s="91"/>
      <c r="F2" s="91"/>
      <c r="G2" s="91"/>
      <c r="H2" s="91"/>
      <c r="I2" s="91"/>
      <c r="J2" s="91"/>
      <c r="K2" s="91"/>
      <c r="L2" s="91"/>
      <c r="M2" s="91"/>
      <c r="N2" s="91"/>
      <c r="O2" s="91"/>
      <c r="P2" s="91"/>
      <c r="Q2" s="91"/>
      <c r="R2" s="91"/>
      <c r="S2" s="91"/>
      <c r="T2" s="91"/>
      <c r="U2" s="91"/>
      <c r="V2" s="91"/>
      <c r="W2" s="91"/>
      <c r="X2" s="91"/>
    </row>
    <row r="3" spans="1:24">
      <c r="A3" s="91"/>
      <c r="B3" s="98"/>
      <c r="C3" s="98"/>
      <c r="D3" s="91"/>
      <c r="E3" s="91"/>
      <c r="F3" s="91"/>
      <c r="G3" s="91"/>
      <c r="H3" s="91"/>
      <c r="I3" s="91"/>
      <c r="J3" s="91"/>
      <c r="K3" s="91"/>
      <c r="L3" s="91"/>
      <c r="M3" s="91"/>
      <c r="N3" s="91"/>
      <c r="O3" s="91"/>
      <c r="P3" s="91"/>
      <c r="Q3" s="91"/>
      <c r="R3" s="91"/>
      <c r="S3" s="91"/>
      <c r="T3" s="91"/>
      <c r="U3" s="91"/>
      <c r="V3" s="91"/>
      <c r="W3" s="91"/>
      <c r="X3" s="91"/>
    </row>
    <row r="4" spans="1:24">
      <c r="A4" s="91"/>
      <c r="B4" s="98"/>
      <c r="C4" s="98"/>
      <c r="D4" s="91"/>
      <c r="E4" s="91"/>
      <c r="F4" s="91"/>
      <c r="G4" s="91"/>
      <c r="H4" s="91"/>
      <c r="I4" s="91"/>
      <c r="J4" s="91"/>
      <c r="K4" s="91"/>
      <c r="L4" s="91"/>
      <c r="M4" s="91"/>
      <c r="N4" s="91"/>
      <c r="O4" s="91"/>
      <c r="P4" s="91"/>
      <c r="Q4" s="91"/>
      <c r="R4" s="91"/>
      <c r="S4" s="91"/>
      <c r="T4" s="91"/>
      <c r="U4" s="91"/>
      <c r="V4" s="91"/>
      <c r="W4" s="91"/>
      <c r="X4" s="91"/>
    </row>
    <row r="5" spans="1:24" ht="22.5" customHeight="1">
      <c r="A5" s="91"/>
      <c r="B5" s="4" t="s">
        <v>178</v>
      </c>
      <c r="C5" s="4"/>
      <c r="D5" s="4"/>
      <c r="E5" s="4"/>
      <c r="F5" s="4"/>
      <c r="G5" s="4"/>
      <c r="H5" s="4"/>
      <c r="I5" s="4"/>
      <c r="J5" s="4"/>
      <c r="K5" s="4"/>
      <c r="L5" s="4"/>
      <c r="M5" s="91"/>
      <c r="N5" s="91"/>
      <c r="O5" s="91"/>
      <c r="P5" s="91"/>
      <c r="Q5" s="91"/>
      <c r="R5" s="91"/>
      <c r="S5" s="91"/>
      <c r="T5" s="91"/>
      <c r="U5" s="91"/>
      <c r="V5" s="91"/>
      <c r="W5" s="91"/>
      <c r="X5" s="91"/>
    </row>
    <row r="6" spans="1:24" ht="21" customHeight="1">
      <c r="A6" s="91"/>
      <c r="B6" s="4"/>
      <c r="C6" s="4"/>
      <c r="D6" s="4"/>
      <c r="E6" s="4"/>
      <c r="F6" s="4"/>
      <c r="G6" s="4"/>
      <c r="H6" s="4"/>
      <c r="I6" s="4"/>
      <c r="J6" s="4"/>
      <c r="K6" s="4"/>
      <c r="L6" s="4"/>
      <c r="M6" s="91"/>
      <c r="N6" s="91"/>
      <c r="O6" s="91"/>
      <c r="P6" s="91"/>
      <c r="Q6" s="91"/>
      <c r="R6" s="91"/>
      <c r="S6" s="91"/>
      <c r="T6" s="91"/>
      <c r="U6" s="91"/>
      <c r="V6" s="91"/>
      <c r="W6" s="91"/>
      <c r="X6" s="91"/>
    </row>
    <row r="7" spans="1:24" ht="21" customHeight="1">
      <c r="A7" s="91"/>
      <c r="B7" s="4"/>
      <c r="C7" s="4"/>
      <c r="D7" s="4"/>
      <c r="E7" s="4"/>
      <c r="F7" s="4"/>
      <c r="G7" s="4"/>
      <c r="H7" s="4"/>
      <c r="I7" s="4"/>
      <c r="J7" s="4"/>
      <c r="K7" s="4"/>
      <c r="L7" s="4"/>
      <c r="M7" s="91"/>
      <c r="N7" s="91"/>
      <c r="O7" s="91"/>
      <c r="P7" s="91"/>
      <c r="Q7" s="91"/>
      <c r="R7" s="91"/>
      <c r="S7" s="91"/>
      <c r="T7" s="91"/>
      <c r="U7" s="91"/>
      <c r="V7" s="91"/>
      <c r="W7" s="91"/>
      <c r="X7" s="91"/>
    </row>
    <row r="8" spans="1:24">
      <c r="A8" s="91"/>
      <c r="B8" s="125"/>
      <c r="C8" s="125"/>
      <c r="D8" s="125"/>
      <c r="E8" s="125"/>
      <c r="F8" s="125"/>
      <c r="G8" s="125"/>
      <c r="H8" s="125"/>
      <c r="I8" s="125"/>
      <c r="J8" s="125"/>
      <c r="K8" s="125"/>
      <c r="L8" s="125"/>
      <c r="M8" s="125"/>
      <c r="N8" s="91"/>
      <c r="O8" s="91"/>
      <c r="P8" s="91"/>
      <c r="Q8" s="91"/>
      <c r="R8" s="91"/>
      <c r="S8" s="91"/>
      <c r="T8" s="91"/>
      <c r="U8" s="91"/>
      <c r="V8" s="91"/>
      <c r="W8" s="91"/>
      <c r="X8" s="91"/>
    </row>
    <row r="9" spans="1:24">
      <c r="A9" s="91"/>
      <c r="B9" s="173" t="s">
        <v>301</v>
      </c>
      <c r="C9" s="173"/>
      <c r="D9" s="173"/>
      <c r="E9" s="174"/>
      <c r="F9" s="174"/>
      <c r="G9" s="175"/>
      <c r="H9" s="176"/>
      <c r="I9" s="175"/>
      <c r="J9" s="175"/>
      <c r="K9" s="175"/>
      <c r="L9" s="175"/>
      <c r="M9" s="175"/>
      <c r="N9" s="91"/>
      <c r="O9" s="91"/>
      <c r="P9" s="91"/>
      <c r="Q9" s="91"/>
      <c r="R9" s="91"/>
      <c r="S9" s="91"/>
      <c r="T9" s="91"/>
      <c r="U9" s="91"/>
      <c r="V9" s="91"/>
      <c r="W9" s="91"/>
      <c r="X9" s="91"/>
    </row>
    <row r="10" spans="1:24" ht="18" customHeight="1">
      <c r="A10" s="91"/>
      <c r="B10" s="282" t="str">
        <f>'1- Ex Ante Results'!B19</f>
        <v>CY2022 Q3</v>
      </c>
      <c r="C10" s="174"/>
      <c r="D10" s="174"/>
      <c r="E10" s="174"/>
      <c r="F10" s="174"/>
      <c r="G10" s="175"/>
      <c r="H10" s="175"/>
      <c r="I10" s="175"/>
      <c r="J10" s="175"/>
      <c r="K10" s="175"/>
      <c r="L10" s="175"/>
      <c r="M10" s="177"/>
      <c r="N10" s="91"/>
      <c r="O10" s="91"/>
      <c r="P10" s="91"/>
      <c r="Q10" s="91"/>
      <c r="R10" s="91"/>
      <c r="S10" s="91"/>
      <c r="T10" s="91"/>
      <c r="U10" s="91"/>
      <c r="V10" s="91"/>
      <c r="W10" s="91"/>
      <c r="X10" s="91"/>
    </row>
    <row r="11" spans="1:24" ht="28">
      <c r="A11" s="91"/>
      <c r="B11" s="31" t="s">
        <v>179</v>
      </c>
      <c r="C11" s="31"/>
      <c r="D11" s="25" t="s">
        <v>132</v>
      </c>
      <c r="E11" s="25" t="s">
        <v>133</v>
      </c>
      <c r="F11" s="19" t="s">
        <v>134</v>
      </c>
      <c r="G11" s="19" t="s">
        <v>135</v>
      </c>
      <c r="H11" s="19" t="s">
        <v>136</v>
      </c>
      <c r="I11" s="19" t="s">
        <v>137</v>
      </c>
      <c r="J11" s="19" t="s">
        <v>138</v>
      </c>
      <c r="K11" s="19" t="s">
        <v>139</v>
      </c>
      <c r="L11" s="19" t="s">
        <v>180</v>
      </c>
      <c r="M11" s="19" t="s">
        <v>181</v>
      </c>
      <c r="N11" s="19" t="s">
        <v>182</v>
      </c>
      <c r="O11" s="19" t="s">
        <v>183</v>
      </c>
      <c r="P11" s="19" t="s">
        <v>184</v>
      </c>
      <c r="Q11" s="19" t="s">
        <v>185</v>
      </c>
      <c r="R11" s="91"/>
      <c r="S11" s="91"/>
      <c r="T11" s="91"/>
      <c r="U11" s="91"/>
      <c r="V11" s="91"/>
      <c r="W11" s="91"/>
      <c r="X11" s="91"/>
    </row>
    <row r="12" spans="1:24">
      <c r="A12" s="91"/>
      <c r="B12" s="20" t="s">
        <v>186</v>
      </c>
      <c r="C12" s="73"/>
      <c r="D12" s="29">
        <v>182353</v>
      </c>
      <c r="E12" s="29">
        <v>506170</v>
      </c>
      <c r="F12" s="29">
        <v>680845</v>
      </c>
      <c r="G12" s="29">
        <v>1051751</v>
      </c>
      <c r="H12" s="29">
        <v>1041005</v>
      </c>
      <c r="I12" s="29">
        <v>1205087.922</v>
      </c>
      <c r="J12" s="29">
        <v>1207781.348736</v>
      </c>
      <c r="K12" s="29">
        <v>1382679.5970000001</v>
      </c>
      <c r="L12" s="29">
        <v>2542422.09</v>
      </c>
      <c r="M12" s="29">
        <v>1859773.2879999999</v>
      </c>
      <c r="N12" s="29">
        <v>1700029.4500006568</v>
      </c>
      <c r="O12" s="29">
        <v>1821166.2136200001</v>
      </c>
      <c r="P12" s="68">
        <f>'3- Energy'!$D$29</f>
        <v>1849877.162</v>
      </c>
      <c r="Q12" s="68">
        <f>'3- Energy'!$D$31</f>
        <v>936695.12490229611</v>
      </c>
      <c r="R12" s="91"/>
      <c r="S12" s="91"/>
      <c r="T12" s="91"/>
      <c r="U12" s="91"/>
      <c r="V12" s="91"/>
      <c r="W12" s="91"/>
      <c r="X12" s="91"/>
    </row>
    <row r="13" spans="1:24">
      <c r="A13" s="91"/>
      <c r="B13" s="20" t="s">
        <v>187</v>
      </c>
      <c r="C13" s="73"/>
      <c r="D13" s="29">
        <f>D12*1000*1.3909/2204.62</f>
        <v>115046.94128693381</v>
      </c>
      <c r="E13" s="29">
        <f t="shared" ref="E13:L13" si="0">E12*1000*1.3909/2204.62</f>
        <v>319343.85653763462</v>
      </c>
      <c r="F13" s="29">
        <f t="shared" si="0"/>
        <v>429546.72936832655</v>
      </c>
      <c r="G13" s="29">
        <f t="shared" si="0"/>
        <v>663552.20668414515</v>
      </c>
      <c r="H13" s="29">
        <f t="shared" si="0"/>
        <v>656772.52973301522</v>
      </c>
      <c r="I13" s="29">
        <f t="shared" si="0"/>
        <v>760292.83536836284</v>
      </c>
      <c r="J13" s="29">
        <f t="shared" si="0"/>
        <v>761992.12470035767</v>
      </c>
      <c r="K13" s="29">
        <f t="shared" si="0"/>
        <v>872335.84539163217</v>
      </c>
      <c r="L13" s="29">
        <f t="shared" si="0"/>
        <v>1604020.1417845252</v>
      </c>
      <c r="M13" s="29">
        <f>M12*1000*1.2515/2204.62</f>
        <v>1055740.3407081494</v>
      </c>
      <c r="N13" s="29">
        <f>N12*1000*1.174/2204.62</f>
        <v>905296.41130932816</v>
      </c>
      <c r="O13" s="29">
        <f>O12*1000*1.174/2204.62</f>
        <v>969803.92756569397</v>
      </c>
      <c r="P13" s="29">
        <f>P12*1000*1.074/2204.62</f>
        <v>901183.91014687344</v>
      </c>
      <c r="Q13" s="29">
        <f>(Q12*1000*0.84903)/2204.62</f>
        <v>360734.39499587071</v>
      </c>
      <c r="R13" s="91"/>
      <c r="S13" s="91"/>
      <c r="T13" s="91"/>
      <c r="U13" s="91"/>
      <c r="V13" s="91"/>
      <c r="W13" s="91"/>
      <c r="X13" s="91"/>
    </row>
    <row r="14" spans="1:24">
      <c r="A14" s="91"/>
      <c r="B14" s="20" t="s">
        <v>188</v>
      </c>
      <c r="C14" s="73"/>
      <c r="D14" s="29">
        <f>D12*1000*1.3909/(4.67*2204.62)</f>
        <v>24635.31933339054</v>
      </c>
      <c r="E14" s="29">
        <f t="shared" ref="E14:L14" si="1">E12*1000*1.3909/(4.67*2204.62)</f>
        <v>68381.982127973155</v>
      </c>
      <c r="F14" s="29">
        <f t="shared" si="1"/>
        <v>91980.027701997111</v>
      </c>
      <c r="G14" s="29">
        <f t="shared" si="1"/>
        <v>142088.26695591974</v>
      </c>
      <c r="H14" s="29">
        <f t="shared" si="1"/>
        <v>140636.51600278699</v>
      </c>
      <c r="I14" s="29">
        <f t="shared" si="1"/>
        <v>162803.60500393208</v>
      </c>
      <c r="J14" s="29">
        <f t="shared" si="1"/>
        <v>163167.47852256053</v>
      </c>
      <c r="K14" s="29">
        <f t="shared" si="1"/>
        <v>186795.68423803686</v>
      </c>
      <c r="L14" s="29">
        <f t="shared" si="1"/>
        <v>343473.26376542298</v>
      </c>
      <c r="M14" s="29">
        <f>M12*1000*1.2515/(4.67*2204.62)</f>
        <v>226068.59544071721</v>
      </c>
      <c r="N14" s="29">
        <f>N12*1000*1.174/(4.63*2204.62)</f>
        <v>195528.38257220911</v>
      </c>
      <c r="O14" s="29">
        <f>O12*1000*1.174/(4.63*2204.62)</f>
        <v>209460.89148287126</v>
      </c>
      <c r="P14" s="29">
        <f>P12*1000*1.074/(4.6*2204.62)</f>
        <v>195909.54568410295</v>
      </c>
      <c r="Q14" s="29">
        <f>Q12*1000*0.84903/(4.6*2204.62)</f>
        <v>78420.520651276252</v>
      </c>
      <c r="R14" s="91"/>
      <c r="S14" s="91"/>
      <c r="T14" s="91"/>
      <c r="U14" s="91"/>
      <c r="V14" s="91"/>
      <c r="W14" s="91"/>
      <c r="X14" s="91"/>
    </row>
    <row r="15" spans="1:24">
      <c r="A15" s="91"/>
      <c r="B15" s="20" t="s">
        <v>189</v>
      </c>
      <c r="C15" s="73"/>
      <c r="D15" s="29">
        <f>(D12*1000*1.3909)/(0.85*2204.62)</f>
        <v>135349.34269051038</v>
      </c>
      <c r="E15" s="29">
        <f t="shared" ref="E15:L15" si="2">(E12*1000*1.3909)/(0.85*2204.62)</f>
        <v>375698.65475015837</v>
      </c>
      <c r="F15" s="29">
        <f t="shared" si="2"/>
        <v>505349.0933745018</v>
      </c>
      <c r="G15" s="29">
        <f t="shared" si="2"/>
        <v>780649.65492252377</v>
      </c>
      <c r="H15" s="29">
        <f t="shared" si="2"/>
        <v>772673.56439178262</v>
      </c>
      <c r="I15" s="29">
        <f t="shared" si="2"/>
        <v>894462.15925689752</v>
      </c>
      <c r="J15" s="29">
        <f t="shared" si="2"/>
        <v>896461.32317689143</v>
      </c>
      <c r="K15" s="29">
        <f t="shared" si="2"/>
        <v>1026277.465166626</v>
      </c>
      <c r="L15" s="29">
        <f t="shared" si="2"/>
        <v>1887082.5197465003</v>
      </c>
      <c r="M15" s="29">
        <f>(M12*1000*1.2515)/(0.85*2204.62)</f>
        <v>1242047.4596566462</v>
      </c>
      <c r="N15" s="29">
        <f>(N12*1000*1.174)/(0.77*2204.62)</f>
        <v>1175709.6250770495</v>
      </c>
      <c r="O15" s="29">
        <f>(O12*1000*1.174)/(0.77*2204.62)</f>
        <v>1259485.6202151868</v>
      </c>
      <c r="P15" s="29">
        <f>(P12*1000*1.074)/(0.82*2204.62)</f>
        <v>1099004.768471797</v>
      </c>
      <c r="Q15" s="29">
        <f>(Q12*1000*0.84903)/(0.82*2204.62)</f>
        <v>439919.9938974033</v>
      </c>
      <c r="R15" s="91"/>
      <c r="S15" s="91"/>
      <c r="T15" s="91"/>
      <c r="U15" s="91"/>
      <c r="V15" s="91"/>
      <c r="W15" s="91"/>
      <c r="X15" s="91"/>
    </row>
    <row r="16" spans="1:24">
      <c r="A16" s="91"/>
      <c r="B16" s="20" t="s">
        <v>190</v>
      </c>
      <c r="C16" s="73"/>
      <c r="D16" s="29">
        <f>D12*1000/8916</f>
        <v>20452.33288470166</v>
      </c>
      <c r="E16" s="29">
        <f t="shared" ref="E16:M16" si="3">E12*1000/8916</f>
        <v>56770.973530731273</v>
      </c>
      <c r="F16" s="29">
        <f t="shared" si="3"/>
        <v>76362.157918349039</v>
      </c>
      <c r="G16" s="29">
        <f t="shared" si="3"/>
        <v>117962.20278151637</v>
      </c>
      <c r="H16" s="29">
        <f t="shared" si="3"/>
        <v>116756.95379093764</v>
      </c>
      <c r="I16" s="29">
        <f t="shared" si="3"/>
        <v>135160.1527590848</v>
      </c>
      <c r="J16" s="29">
        <f t="shared" si="3"/>
        <v>135462.24189502018</v>
      </c>
      <c r="K16" s="29">
        <f t="shared" si="3"/>
        <v>155078.46534320322</v>
      </c>
      <c r="L16" s="29">
        <f t="shared" si="3"/>
        <v>285152.76917900401</v>
      </c>
      <c r="M16" s="29">
        <f t="shared" si="3"/>
        <v>208588.30058322116</v>
      </c>
      <c r="N16" s="29">
        <f>N12*1000/8640</f>
        <v>196762.66782415009</v>
      </c>
      <c r="O16" s="29">
        <f>O12*1000/8652</f>
        <v>210490.77827323164</v>
      </c>
      <c r="P16" s="29">
        <f>P12*1000/8652</f>
        <v>213809.19579288026</v>
      </c>
      <c r="Q16" s="29">
        <f>Q12*1000/8700</f>
        <v>107666.10631060874</v>
      </c>
      <c r="R16" s="91"/>
      <c r="S16" s="91"/>
      <c r="T16" s="91"/>
      <c r="U16" s="91"/>
      <c r="V16" s="91"/>
      <c r="W16" s="91"/>
      <c r="X16" s="91"/>
    </row>
    <row r="17" spans="1:24">
      <c r="A17" s="91"/>
      <c r="B17" s="20" t="s">
        <v>191</v>
      </c>
      <c r="C17" s="73"/>
      <c r="D17" s="29">
        <v>66</v>
      </c>
      <c r="E17" s="29">
        <v>84</v>
      </c>
      <c r="F17" s="29">
        <v>154</v>
      </c>
      <c r="G17" s="29">
        <v>179</v>
      </c>
      <c r="H17" s="30">
        <v>196</v>
      </c>
      <c r="I17" s="30">
        <v>234</v>
      </c>
      <c r="J17" s="30">
        <v>260</v>
      </c>
      <c r="K17" s="29">
        <v>267</v>
      </c>
      <c r="L17" s="29">
        <v>376</v>
      </c>
      <c r="M17" s="30">
        <v>412.48</v>
      </c>
      <c r="N17" s="88">
        <v>482</v>
      </c>
      <c r="O17" s="89">
        <v>475</v>
      </c>
      <c r="P17" s="68">
        <v>400</v>
      </c>
      <c r="Q17" s="68">
        <v>442</v>
      </c>
      <c r="R17" s="172"/>
      <c r="S17" s="172"/>
      <c r="T17" s="172"/>
      <c r="U17" s="172"/>
      <c r="V17" s="172"/>
      <c r="W17" s="91"/>
      <c r="X17" s="91"/>
    </row>
    <row r="18" spans="1:24" s="27" customFormat="1">
      <c r="A18" s="96"/>
      <c r="B18" s="46" t="s">
        <v>192</v>
      </c>
      <c r="C18" s="73"/>
      <c r="D18" s="73"/>
      <c r="E18" s="73"/>
      <c r="F18" s="73"/>
      <c r="G18" s="73"/>
      <c r="H18" s="73"/>
      <c r="I18" s="73"/>
      <c r="J18" s="73"/>
      <c r="K18" s="73"/>
      <c r="L18" s="29">
        <f>459+1299+1+318</f>
        <v>2077</v>
      </c>
      <c r="M18" s="68">
        <f>1561+5119+2497+9+34899</f>
        <v>44085</v>
      </c>
      <c r="N18" s="68">
        <v>75450</v>
      </c>
      <c r="O18" s="68">
        <v>73577</v>
      </c>
      <c r="P18" s="68">
        <v>79722</v>
      </c>
      <c r="Q18" s="68">
        <v>15498</v>
      </c>
      <c r="R18" s="178"/>
      <c r="S18" s="178"/>
      <c r="T18" s="178"/>
      <c r="U18" s="178"/>
      <c r="V18" s="178"/>
      <c r="W18" s="96"/>
      <c r="X18" s="96"/>
    </row>
    <row r="19" spans="1:24">
      <c r="A19" s="91"/>
      <c r="B19" s="129"/>
      <c r="C19" s="129"/>
      <c r="D19" s="169"/>
      <c r="E19" s="169"/>
      <c r="F19" s="169"/>
      <c r="G19" s="169"/>
      <c r="H19" s="169"/>
      <c r="I19" s="169"/>
      <c r="J19" s="169"/>
      <c r="K19" s="169"/>
      <c r="L19" s="169"/>
      <c r="M19" s="171"/>
      <c r="N19" s="91"/>
      <c r="O19" s="91"/>
      <c r="P19" s="91"/>
      <c r="Q19" s="91"/>
      <c r="R19" s="172"/>
      <c r="S19" s="172"/>
      <c r="T19" s="172"/>
      <c r="U19" s="172"/>
      <c r="V19" s="172"/>
      <c r="W19" s="91"/>
      <c r="X19" s="91"/>
    </row>
    <row r="20" spans="1:24" ht="48.75" customHeight="1">
      <c r="A20" s="91"/>
      <c r="B20" s="31" t="s">
        <v>193</v>
      </c>
      <c r="C20" s="19" t="s">
        <v>194</v>
      </c>
      <c r="D20" s="19" t="s">
        <v>195</v>
      </c>
      <c r="E20" s="19" t="s">
        <v>196</v>
      </c>
      <c r="F20" s="19" t="s">
        <v>197</v>
      </c>
      <c r="G20" s="19" t="s">
        <v>198</v>
      </c>
      <c r="H20" s="19" t="s">
        <v>199</v>
      </c>
      <c r="I20" s="19" t="s">
        <v>200</v>
      </c>
      <c r="J20" s="19" t="s">
        <v>201</v>
      </c>
      <c r="K20" s="19" t="s">
        <v>202</v>
      </c>
      <c r="L20" s="19" t="s">
        <v>203</v>
      </c>
      <c r="M20" s="19" t="s">
        <v>181</v>
      </c>
      <c r="N20" s="19" t="s">
        <v>182</v>
      </c>
      <c r="O20" s="19" t="s">
        <v>183</v>
      </c>
      <c r="P20" s="19" t="s">
        <v>184</v>
      </c>
      <c r="Q20" s="19" t="s">
        <v>185</v>
      </c>
      <c r="R20" s="172"/>
      <c r="S20" s="172"/>
      <c r="T20" s="172"/>
      <c r="U20" s="172"/>
      <c r="V20" s="172"/>
      <c r="W20" s="91"/>
      <c r="X20" s="91"/>
    </row>
    <row r="21" spans="1:24" ht="24.75" customHeight="1">
      <c r="A21" s="91"/>
      <c r="B21" s="20" t="s">
        <v>204</v>
      </c>
      <c r="C21" s="29">
        <v>1400000</v>
      </c>
      <c r="D21" s="29">
        <v>19800000</v>
      </c>
      <c r="E21" s="29">
        <v>84500000</v>
      </c>
      <c r="F21" s="29">
        <v>211600000</v>
      </c>
      <c r="G21" s="29">
        <v>429800000</v>
      </c>
      <c r="H21" s="29">
        <v>691400000</v>
      </c>
      <c r="I21" s="29">
        <v>1153200000</v>
      </c>
      <c r="J21" s="29">
        <v>1715400000</v>
      </c>
      <c r="K21" s="29">
        <v>2344700000</v>
      </c>
      <c r="L21" s="68">
        <f>3002600000</f>
        <v>3002600000</v>
      </c>
      <c r="M21" s="68">
        <v>3764700000</v>
      </c>
      <c r="N21" s="68">
        <v>4559500000</v>
      </c>
      <c r="O21" s="68">
        <v>5442800000</v>
      </c>
      <c r="P21" s="68">
        <v>6424097000</v>
      </c>
      <c r="Q21" s="68">
        <f>7313712*1000</f>
        <v>7313712000</v>
      </c>
      <c r="R21" s="172"/>
      <c r="S21" s="172"/>
      <c r="T21" s="172"/>
      <c r="U21" s="172"/>
      <c r="V21" s="172"/>
      <c r="W21" s="91"/>
      <c r="X21" s="91"/>
    </row>
    <row r="22" spans="1:24">
      <c r="A22" s="91"/>
      <c r="B22" s="20" t="s">
        <v>205</v>
      </c>
      <c r="C22" s="29">
        <v>12997.1693670485</v>
      </c>
      <c r="D22" s="29">
        <v>187713.304494382</v>
      </c>
      <c r="E22" s="29">
        <v>653580.80466569797</v>
      </c>
      <c r="F22" s="29">
        <v>1265042.7655790001</v>
      </c>
      <c r="G22" s="29">
        <v>2136490.2403814155</v>
      </c>
      <c r="H22" s="29">
        <v>2958586.2127598412</v>
      </c>
      <c r="I22" s="29">
        <v>3934604.1171026533</v>
      </c>
      <c r="J22" s="29">
        <v>4855779.8367007999</v>
      </c>
      <c r="K22" s="68">
        <v>5452538.5959787779</v>
      </c>
      <c r="L22" s="68">
        <v>5721960.3020907417</v>
      </c>
      <c r="M22" s="68">
        <v>33597909.552505702</v>
      </c>
      <c r="N22" s="68">
        <v>41111935.064689398</v>
      </c>
      <c r="O22" s="68">
        <v>49782658.144593798</v>
      </c>
      <c r="P22" s="68">
        <v>59434169.137077436</v>
      </c>
      <c r="Q22" s="68">
        <v>67339700</v>
      </c>
      <c r="R22" s="172"/>
      <c r="S22" s="172"/>
      <c r="T22" s="172"/>
      <c r="U22" s="172"/>
      <c r="V22" s="172"/>
      <c r="W22" s="91"/>
      <c r="X22" s="91"/>
    </row>
    <row r="23" spans="1:24">
      <c r="A23" s="91"/>
      <c r="B23" s="20" t="s">
        <v>206</v>
      </c>
      <c r="C23" s="29">
        <v>6331.6852338317221</v>
      </c>
      <c r="D23" s="29">
        <v>91446.185295863368</v>
      </c>
      <c r="E23" s="29">
        <v>318397.63052633096</v>
      </c>
      <c r="F23" s="29">
        <v>616276.69631584862</v>
      </c>
      <c r="G23" s="29">
        <v>1040809.9891000015</v>
      </c>
      <c r="H23" s="29">
        <v>1441301.2639384875</v>
      </c>
      <c r="I23" s="29">
        <v>1916776.9600966366</v>
      </c>
      <c r="J23" s="29">
        <v>2365535.8041824256</v>
      </c>
      <c r="K23" s="68">
        <v>2656252.0761315832</v>
      </c>
      <c r="L23" s="68">
        <v>2787503.2270620135</v>
      </c>
      <c r="M23" s="68">
        <v>16367516.787197396</v>
      </c>
      <c r="N23" s="68">
        <v>20028040.324172158</v>
      </c>
      <c r="O23" s="68">
        <v>24252059.242542364</v>
      </c>
      <c r="P23" s="68">
        <f>P$22*1000*1.074/2204.62</f>
        <v>28953877.608486351</v>
      </c>
      <c r="Q23" s="68">
        <f>(Q$22*1000*0.84903)/2204.62</f>
        <v>25933460.410864457</v>
      </c>
      <c r="R23" s="172"/>
      <c r="S23" s="172"/>
      <c r="T23" s="172"/>
      <c r="U23" s="172"/>
      <c r="V23" s="172"/>
      <c r="W23" s="91"/>
      <c r="X23" s="91"/>
    </row>
    <row r="24" spans="1:24">
      <c r="A24" s="91"/>
      <c r="B24" s="20" t="s">
        <v>207</v>
      </c>
      <c r="C24" s="29">
        <v>1367.5346077390329</v>
      </c>
      <c r="D24" s="29">
        <v>19750.795960229669</v>
      </c>
      <c r="E24" s="29">
        <v>68768.386722749681</v>
      </c>
      <c r="F24" s="29">
        <v>133105.11799478374</v>
      </c>
      <c r="G24" s="29">
        <v>224796.97388768932</v>
      </c>
      <c r="H24" s="29">
        <v>311296.16931716795</v>
      </c>
      <c r="I24" s="29">
        <v>413990.70412454358</v>
      </c>
      <c r="J24" s="29">
        <v>510914.86051456281</v>
      </c>
      <c r="K24" s="68">
        <v>573704.55208025558</v>
      </c>
      <c r="L24" s="68">
        <v>602052.53284276754</v>
      </c>
      <c r="M24" s="68">
        <v>3535100.8179692002</v>
      </c>
      <c r="N24" s="68">
        <v>4325710.6531689325</v>
      </c>
      <c r="O24" s="68">
        <v>5238025.754328805</v>
      </c>
      <c r="P24" s="68">
        <f>$P$22*1000*1.074/(4.6*2204.62)</f>
        <v>6294321.2192361634</v>
      </c>
      <c r="Q24" s="68">
        <f>Q$22*1000*0.84903/(4.6*2204.62)</f>
        <v>5637708.784970535</v>
      </c>
      <c r="R24" s="172"/>
      <c r="S24" s="172"/>
      <c r="T24" s="172"/>
      <c r="U24" s="172"/>
      <c r="V24" s="172"/>
      <c r="W24" s="91"/>
      <c r="X24" s="91"/>
    </row>
    <row r="25" spans="1:24">
      <c r="A25" s="91"/>
      <c r="B25" s="20" t="s">
        <v>208</v>
      </c>
      <c r="C25" s="29">
        <v>8222.9678361450933</v>
      </c>
      <c r="D25" s="29">
        <v>118761.27960501735</v>
      </c>
      <c r="E25" s="29">
        <v>413503.41626796231</v>
      </c>
      <c r="F25" s="29">
        <v>800359.34586473845</v>
      </c>
      <c r="G25" s="29">
        <v>1351701.2845454565</v>
      </c>
      <c r="H25" s="29">
        <v>1871819.8232967372</v>
      </c>
      <c r="I25" s="29">
        <v>2489320.7273982293</v>
      </c>
      <c r="J25" s="29">
        <v>3072124.4210161371</v>
      </c>
      <c r="K25" s="68">
        <v>3449678.0209501078</v>
      </c>
      <c r="L25" s="68">
        <v>3620134.0611194978</v>
      </c>
      <c r="M25" s="68">
        <v>21256515.308048565</v>
      </c>
      <c r="N25" s="68">
        <v>26010441.979444358</v>
      </c>
      <c r="O25" s="68">
        <v>31496180.834470604</v>
      </c>
      <c r="P25" s="68">
        <f>($P$22*1000*1.074)/(0.82*2204.62)</f>
        <v>35309606.839617498</v>
      </c>
      <c r="Q25" s="68">
        <f>(Q$22*1000*0.84903)/(0.82*2204.62)</f>
        <v>31626171.232761536</v>
      </c>
      <c r="R25" s="172"/>
      <c r="S25" s="172"/>
      <c r="T25" s="172"/>
      <c r="U25" s="172"/>
      <c r="V25" s="172"/>
      <c r="W25" s="91"/>
      <c r="X25" s="91"/>
    </row>
    <row r="26" spans="1:24">
      <c r="A26" s="91"/>
      <c r="B26" s="20" t="s">
        <v>209</v>
      </c>
      <c r="C26" s="29">
        <v>1502.2155995201688</v>
      </c>
      <c r="D26" s="29">
        <v>21695.943653996994</v>
      </c>
      <c r="E26" s="29">
        <v>75541.008398716833</v>
      </c>
      <c r="F26" s="29">
        <v>146213.91187921868</v>
      </c>
      <c r="G26" s="29">
        <v>246935.99634551778</v>
      </c>
      <c r="H26" s="29">
        <v>341954.02366618585</v>
      </c>
      <c r="I26" s="29">
        <v>454762.38061750465</v>
      </c>
      <c r="J26" s="29">
        <v>561232.06619288027</v>
      </c>
      <c r="K26" s="68">
        <v>630205.57050147711</v>
      </c>
      <c r="L26" s="68">
        <v>661345.38859116274</v>
      </c>
      <c r="M26" s="68">
        <v>3883253.5312651061</v>
      </c>
      <c r="N26" s="68">
        <v>4751726.1979530053</v>
      </c>
      <c r="O26" s="68">
        <v>5753890.2155101486</v>
      </c>
      <c r="P26" s="68">
        <f>$P$22*1000/8652</f>
        <v>6869413.9085850017</v>
      </c>
      <c r="Q26" s="68">
        <f>Q$22*1000/8700</f>
        <v>7740195.4022988509</v>
      </c>
      <c r="R26" s="172"/>
      <c r="S26" s="172"/>
      <c r="T26" s="172"/>
      <c r="U26" s="172"/>
      <c r="V26" s="172"/>
      <c r="W26" s="91"/>
      <c r="X26" s="91"/>
    </row>
    <row r="27" spans="1:24">
      <c r="A27" s="91"/>
      <c r="B27" s="129"/>
      <c r="C27" s="129"/>
      <c r="D27" s="169"/>
      <c r="E27" s="169"/>
      <c r="F27" s="169"/>
      <c r="G27" s="169"/>
      <c r="H27" s="170"/>
      <c r="I27" s="170"/>
      <c r="J27" s="170"/>
      <c r="K27" s="169"/>
      <c r="L27" s="169"/>
      <c r="M27" s="171"/>
      <c r="N27" s="91"/>
      <c r="O27" s="91"/>
      <c r="P27" s="91"/>
      <c r="Q27" s="172"/>
      <c r="R27" s="172"/>
      <c r="S27" s="172"/>
      <c r="T27" s="172"/>
      <c r="U27" s="172"/>
      <c r="V27" s="172"/>
      <c r="W27" s="91"/>
      <c r="X27" s="91"/>
    </row>
    <row r="28" spans="1:24">
      <c r="A28" s="91"/>
      <c r="B28" s="128" t="s">
        <v>98</v>
      </c>
      <c r="C28" s="128"/>
      <c r="D28" s="129"/>
      <c r="E28" s="128"/>
      <c r="F28" s="128"/>
      <c r="G28" s="130"/>
      <c r="H28" s="133"/>
      <c r="I28" s="133"/>
      <c r="J28" s="133"/>
      <c r="K28" s="130"/>
      <c r="L28" s="130"/>
      <c r="M28" s="134"/>
      <c r="N28" s="91"/>
      <c r="O28" s="91"/>
      <c r="P28" s="91"/>
      <c r="Q28" s="91"/>
      <c r="R28" s="91"/>
      <c r="S28" s="91"/>
      <c r="T28" s="91"/>
      <c r="U28" s="91"/>
      <c r="V28" s="91"/>
      <c r="W28" s="91"/>
      <c r="X28" s="91"/>
    </row>
    <row r="29" spans="1:24" ht="29.75" customHeight="1">
      <c r="A29" s="91"/>
      <c r="B29" s="11" t="s">
        <v>210</v>
      </c>
      <c r="C29" s="11"/>
      <c r="D29" s="11"/>
      <c r="E29" s="11"/>
      <c r="F29" s="11"/>
      <c r="G29" s="11"/>
      <c r="H29" s="11"/>
      <c r="I29" s="11"/>
      <c r="J29" s="11"/>
      <c r="K29" s="11"/>
      <c r="L29" s="11"/>
      <c r="M29" s="11"/>
      <c r="N29" s="91"/>
      <c r="O29" s="91"/>
      <c r="P29" s="91"/>
      <c r="Q29" s="91"/>
      <c r="R29" s="91"/>
      <c r="S29" s="91"/>
      <c r="T29" s="91"/>
      <c r="U29" s="91"/>
      <c r="V29" s="91"/>
      <c r="W29" s="91"/>
      <c r="X29" s="91"/>
    </row>
    <row r="30" spans="1:24" ht="27.75" customHeight="1">
      <c r="A30" s="91"/>
      <c r="B30" s="14" t="s">
        <v>211</v>
      </c>
      <c r="C30" s="13"/>
      <c r="D30" s="13"/>
      <c r="E30" s="13"/>
      <c r="F30" s="13"/>
      <c r="G30" s="13"/>
      <c r="H30" s="13"/>
      <c r="I30" s="13"/>
      <c r="J30" s="13"/>
      <c r="K30" s="13"/>
      <c r="L30" s="13"/>
      <c r="M30" s="12"/>
      <c r="N30" s="91"/>
      <c r="O30" s="91"/>
      <c r="P30" s="91"/>
      <c r="Q30" s="91"/>
      <c r="R30" s="91"/>
      <c r="S30" s="91"/>
      <c r="T30" s="91"/>
      <c r="U30" s="91"/>
      <c r="V30" s="91"/>
      <c r="W30" s="91"/>
      <c r="X30" s="91"/>
    </row>
    <row r="31" spans="1:24" ht="45" customHeight="1">
      <c r="A31" s="91"/>
      <c r="B31" s="14" t="s">
        <v>212</v>
      </c>
      <c r="C31" s="13"/>
      <c r="D31" s="13"/>
      <c r="E31" s="13"/>
      <c r="F31" s="13"/>
      <c r="G31" s="13"/>
      <c r="H31" s="13"/>
      <c r="I31" s="13"/>
      <c r="J31" s="13"/>
      <c r="K31" s="13"/>
      <c r="L31" s="13"/>
      <c r="M31" s="12"/>
      <c r="N31" s="91"/>
      <c r="O31" s="91"/>
      <c r="P31" s="91"/>
      <c r="Q31" s="91"/>
      <c r="R31" s="91"/>
      <c r="S31" s="91"/>
      <c r="T31" s="91"/>
      <c r="U31" s="91"/>
      <c r="V31" s="91"/>
      <c r="W31" s="91"/>
      <c r="X31" s="91"/>
    </row>
    <row r="32" spans="1:24" ht="20.75" customHeight="1">
      <c r="A32" s="91"/>
      <c r="B32" s="310" t="s">
        <v>213</v>
      </c>
      <c r="C32" s="310"/>
      <c r="D32" s="310"/>
      <c r="E32" s="310"/>
      <c r="F32" s="310"/>
      <c r="G32" s="310"/>
      <c r="H32" s="310"/>
      <c r="I32" s="310"/>
      <c r="J32" s="310"/>
      <c r="K32" s="310"/>
      <c r="L32" s="310"/>
      <c r="M32" s="310"/>
      <c r="N32" s="91"/>
      <c r="O32" s="91"/>
      <c r="P32" s="91"/>
      <c r="Q32" s="91"/>
      <c r="R32" s="91"/>
      <c r="S32" s="91"/>
      <c r="T32" s="91"/>
      <c r="U32" s="91"/>
      <c r="V32" s="91"/>
      <c r="W32" s="91"/>
      <c r="X32" s="91"/>
    </row>
    <row r="33" spans="1:24" ht="30" customHeight="1">
      <c r="A33" s="91"/>
      <c r="B33" s="307" t="s">
        <v>214</v>
      </c>
      <c r="C33" s="308"/>
      <c r="D33" s="308"/>
      <c r="E33" s="308"/>
      <c r="F33" s="308"/>
      <c r="G33" s="308"/>
      <c r="H33" s="308"/>
      <c r="I33" s="308"/>
      <c r="J33" s="308"/>
      <c r="K33" s="308"/>
      <c r="L33" s="308"/>
      <c r="M33" s="309"/>
      <c r="N33" s="91"/>
      <c r="O33" s="91"/>
      <c r="P33" s="91"/>
      <c r="Q33" s="91"/>
      <c r="R33" s="91"/>
      <c r="S33" s="91"/>
      <c r="T33" s="91"/>
      <c r="U33" s="91"/>
      <c r="V33" s="91"/>
      <c r="W33" s="91"/>
      <c r="X33" s="91"/>
    </row>
    <row r="34" spans="1:24" ht="30" customHeight="1">
      <c r="A34" s="91"/>
      <c r="B34" s="306" t="s">
        <v>215</v>
      </c>
      <c r="C34" s="306"/>
      <c r="D34" s="306"/>
      <c r="E34" s="306"/>
      <c r="F34" s="306"/>
      <c r="G34" s="306"/>
      <c r="H34" s="306"/>
      <c r="I34" s="306"/>
      <c r="J34" s="306"/>
      <c r="K34" s="306"/>
      <c r="L34" s="306"/>
      <c r="M34" s="306"/>
      <c r="N34" s="91"/>
      <c r="O34" s="91"/>
      <c r="P34" s="91"/>
      <c r="Q34" s="91"/>
      <c r="R34" s="91"/>
      <c r="S34" s="91"/>
      <c r="T34" s="91"/>
      <c r="U34" s="91"/>
      <c r="V34" s="91"/>
      <c r="W34" s="91"/>
      <c r="X34" s="91"/>
    </row>
    <row r="35" spans="1:24" ht="33.75" customHeight="1">
      <c r="A35" s="91"/>
      <c r="B35" s="306" t="s">
        <v>216</v>
      </c>
      <c r="C35" s="306"/>
      <c r="D35" s="306"/>
      <c r="E35" s="306"/>
      <c r="F35" s="306"/>
      <c r="G35" s="306"/>
      <c r="H35" s="306"/>
      <c r="I35" s="306"/>
      <c r="J35" s="306"/>
      <c r="K35" s="306"/>
      <c r="L35" s="306"/>
      <c r="M35" s="306"/>
      <c r="N35" s="91"/>
      <c r="O35" s="91"/>
      <c r="P35" s="91"/>
      <c r="Q35" s="91"/>
      <c r="R35" s="91"/>
      <c r="S35" s="91"/>
      <c r="T35" s="91"/>
      <c r="U35" s="91"/>
      <c r="V35" s="91"/>
      <c r="W35" s="91"/>
      <c r="X35" s="91"/>
    </row>
    <row r="36" spans="1:24" ht="27.75" customHeight="1">
      <c r="A36" s="91"/>
      <c r="B36" s="306" t="s">
        <v>217</v>
      </c>
      <c r="C36" s="306"/>
      <c r="D36" s="306"/>
      <c r="E36" s="306"/>
      <c r="F36" s="306"/>
      <c r="G36" s="306"/>
      <c r="H36" s="306"/>
      <c r="I36" s="306"/>
      <c r="J36" s="306"/>
      <c r="K36" s="306"/>
      <c r="L36" s="306"/>
      <c r="M36" s="306"/>
      <c r="N36" s="91"/>
      <c r="O36" s="91"/>
      <c r="P36" s="91"/>
      <c r="Q36" s="91"/>
      <c r="R36" s="91"/>
      <c r="S36" s="91"/>
      <c r="T36" s="91"/>
      <c r="U36" s="91"/>
      <c r="V36" s="91"/>
      <c r="W36" s="91"/>
      <c r="X36" s="91"/>
    </row>
    <row r="37" spans="1:24" ht="15" customHeight="1">
      <c r="A37" s="91"/>
      <c r="B37" s="91"/>
      <c r="C37" s="91"/>
      <c r="D37" s="91"/>
      <c r="E37" s="91"/>
      <c r="F37" s="91"/>
      <c r="G37" s="91"/>
      <c r="H37" s="91"/>
      <c r="I37" s="91"/>
      <c r="J37" s="91"/>
      <c r="K37" s="91"/>
      <c r="L37" s="91"/>
      <c r="M37" s="91"/>
      <c r="N37" s="91"/>
      <c r="O37" s="91"/>
      <c r="P37" s="91"/>
      <c r="Q37" s="91"/>
      <c r="R37" s="91"/>
      <c r="S37" s="91"/>
      <c r="T37" s="91"/>
      <c r="U37" s="91"/>
      <c r="V37" s="91"/>
      <c r="W37" s="91"/>
      <c r="X37" s="91"/>
    </row>
    <row r="38" spans="1:24">
      <c r="A38" s="91"/>
      <c r="B38" s="91"/>
      <c r="C38" s="91"/>
      <c r="D38" s="91"/>
      <c r="E38" s="91"/>
      <c r="F38" s="91"/>
      <c r="G38" s="91"/>
      <c r="H38" s="91"/>
      <c r="I38" s="91"/>
      <c r="J38" s="91"/>
      <c r="K38" s="91"/>
      <c r="L38" s="91"/>
      <c r="M38" s="91"/>
      <c r="N38" s="91"/>
      <c r="O38" s="91"/>
      <c r="P38" s="91"/>
      <c r="Q38" s="91"/>
      <c r="R38" s="91"/>
      <c r="S38" s="91"/>
      <c r="T38" s="91"/>
      <c r="U38" s="91"/>
      <c r="V38" s="91"/>
      <c r="W38" s="91"/>
      <c r="X38" s="91"/>
    </row>
    <row r="39" spans="1:24">
      <c r="A39" s="91"/>
      <c r="B39" s="91"/>
      <c r="C39" s="91"/>
      <c r="D39" s="91"/>
      <c r="E39" s="91"/>
      <c r="F39" s="91"/>
      <c r="G39" s="91"/>
      <c r="H39" s="91"/>
      <c r="I39" s="91"/>
      <c r="J39" s="91"/>
      <c r="K39" s="91"/>
      <c r="L39" s="91"/>
      <c r="M39" s="91"/>
      <c r="N39" s="91"/>
      <c r="O39" s="91"/>
      <c r="P39" s="91"/>
      <c r="Q39" s="91"/>
      <c r="R39" s="91"/>
      <c r="S39" s="91"/>
      <c r="T39" s="91"/>
      <c r="U39" s="91"/>
      <c r="V39" s="91"/>
      <c r="W39" s="91"/>
      <c r="X39" s="91"/>
    </row>
    <row r="40" spans="1:24">
      <c r="A40" s="91"/>
      <c r="B40" s="91"/>
      <c r="C40" s="91"/>
      <c r="D40" s="91"/>
      <c r="E40" s="91"/>
      <c r="F40" s="91"/>
      <c r="G40" s="91"/>
      <c r="H40" s="91"/>
      <c r="I40" s="91"/>
      <c r="J40" s="91"/>
      <c r="K40" s="91"/>
      <c r="L40" s="91"/>
      <c r="M40" s="91"/>
      <c r="N40" s="91"/>
      <c r="O40" s="91"/>
      <c r="P40" s="91"/>
      <c r="Q40" s="91"/>
      <c r="R40" s="91"/>
      <c r="S40" s="91"/>
      <c r="T40" s="91"/>
      <c r="U40" s="91"/>
      <c r="V40" s="91"/>
      <c r="W40" s="91"/>
      <c r="X40" s="91"/>
    </row>
    <row r="41" spans="1:24">
      <c r="A41" s="91"/>
      <c r="B41" s="91"/>
      <c r="C41" s="91"/>
      <c r="D41" s="91"/>
      <c r="E41" s="91"/>
      <c r="F41" s="91"/>
      <c r="G41" s="91"/>
      <c r="H41" s="91"/>
      <c r="I41" s="91"/>
      <c r="J41" s="91"/>
      <c r="K41" s="91"/>
      <c r="L41" s="91"/>
      <c r="M41" s="91"/>
      <c r="N41" s="91"/>
      <c r="O41" s="91"/>
      <c r="P41" s="91"/>
      <c r="Q41" s="91"/>
      <c r="R41" s="91"/>
      <c r="S41" s="91"/>
      <c r="T41" s="91"/>
      <c r="U41" s="91"/>
      <c r="V41" s="91"/>
      <c r="W41" s="91"/>
      <c r="X41" s="91"/>
    </row>
    <row r="42" spans="1:24">
      <c r="A42" s="91"/>
      <c r="B42" s="91"/>
      <c r="C42" s="91"/>
      <c r="D42" s="91"/>
      <c r="E42" s="91"/>
      <c r="F42" s="91"/>
      <c r="G42" s="91"/>
      <c r="H42" s="91"/>
      <c r="I42" s="91"/>
      <c r="J42" s="91"/>
      <c r="K42" s="91"/>
      <c r="L42" s="91"/>
      <c r="M42" s="91"/>
      <c r="N42" s="91"/>
      <c r="O42" s="91"/>
      <c r="P42" s="91"/>
      <c r="Q42" s="91"/>
      <c r="R42" s="91"/>
      <c r="S42" s="91"/>
      <c r="T42" s="91"/>
      <c r="U42" s="91"/>
      <c r="V42" s="91"/>
      <c r="W42" s="91"/>
      <c r="X42" s="91"/>
    </row>
    <row r="43" spans="1:24">
      <c r="A43" s="91"/>
      <c r="B43" s="91"/>
      <c r="C43" s="91"/>
      <c r="D43" s="91"/>
      <c r="E43" s="91"/>
      <c r="F43" s="91"/>
      <c r="G43" s="91"/>
      <c r="H43" s="91"/>
      <c r="I43" s="91"/>
      <c r="J43" s="91"/>
      <c r="K43" s="91"/>
      <c r="L43" s="91"/>
      <c r="M43" s="91"/>
      <c r="N43" s="91"/>
      <c r="O43" s="91"/>
      <c r="P43" s="91"/>
      <c r="Q43" s="91"/>
      <c r="R43" s="91"/>
      <c r="S43" s="91"/>
      <c r="T43" s="91"/>
      <c r="U43" s="91"/>
      <c r="V43" s="91"/>
      <c r="W43" s="91"/>
      <c r="X43" s="91"/>
    </row>
    <row r="44" spans="1:24">
      <c r="A44" s="91"/>
      <c r="B44" s="91"/>
      <c r="C44" s="91"/>
      <c r="D44" s="91"/>
      <c r="E44" s="91"/>
      <c r="F44" s="91"/>
      <c r="G44" s="91"/>
      <c r="H44" s="91"/>
      <c r="I44" s="91"/>
      <c r="J44" s="91"/>
      <c r="K44" s="91"/>
      <c r="L44" s="91"/>
      <c r="M44" s="91"/>
      <c r="N44" s="91"/>
      <c r="O44" s="91"/>
      <c r="P44" s="91"/>
      <c r="Q44" s="91"/>
      <c r="R44" s="91"/>
      <c r="S44" s="91"/>
      <c r="T44" s="91"/>
      <c r="U44" s="91"/>
      <c r="V44" s="91"/>
      <c r="W44" s="91"/>
      <c r="X44" s="91"/>
    </row>
    <row r="45" spans="1:24">
      <c r="A45" s="91"/>
      <c r="B45" s="91"/>
      <c r="C45" s="91"/>
      <c r="D45" s="91"/>
      <c r="E45" s="91"/>
      <c r="F45" s="91"/>
      <c r="G45" s="91"/>
      <c r="H45" s="91"/>
      <c r="I45" s="91"/>
      <c r="J45" s="91"/>
      <c r="K45" s="91"/>
      <c r="L45" s="91"/>
      <c r="M45" s="91"/>
      <c r="N45" s="91"/>
      <c r="O45" s="91"/>
      <c r="P45" s="91"/>
      <c r="Q45" s="91"/>
      <c r="R45" s="91"/>
      <c r="S45" s="91"/>
      <c r="T45" s="91"/>
      <c r="U45" s="91"/>
      <c r="V45" s="91"/>
      <c r="W45" s="91"/>
      <c r="X45" s="91"/>
    </row>
    <row r="46" spans="1:24">
      <c r="A46" s="91"/>
      <c r="B46" s="91"/>
      <c r="C46" s="91"/>
      <c r="D46" s="91"/>
      <c r="E46" s="91"/>
      <c r="F46" s="91"/>
      <c r="G46" s="91"/>
      <c r="H46" s="91"/>
      <c r="I46" s="91"/>
      <c r="J46" s="91"/>
      <c r="K46" s="91"/>
      <c r="L46" s="91"/>
      <c r="M46" s="91"/>
      <c r="N46" s="91"/>
      <c r="O46" s="91"/>
      <c r="P46" s="91"/>
      <c r="Q46" s="91"/>
      <c r="R46" s="91"/>
      <c r="S46" s="91"/>
      <c r="T46" s="91"/>
      <c r="U46" s="91"/>
      <c r="V46" s="91"/>
      <c r="W46" s="91"/>
      <c r="X46" s="91"/>
    </row>
    <row r="47" spans="1:24">
      <c r="A47" s="91"/>
      <c r="B47" s="91"/>
      <c r="C47" s="91"/>
      <c r="D47" s="91"/>
      <c r="E47" s="91"/>
      <c r="F47" s="91"/>
      <c r="G47" s="91"/>
      <c r="H47" s="91"/>
      <c r="I47" s="91"/>
      <c r="J47" s="91"/>
      <c r="K47" s="91"/>
      <c r="L47" s="91"/>
      <c r="M47" s="91"/>
      <c r="N47" s="91"/>
      <c r="O47" s="91"/>
      <c r="P47" s="91"/>
      <c r="Q47" s="91"/>
      <c r="R47" s="91"/>
      <c r="S47" s="91"/>
      <c r="T47" s="91"/>
      <c r="U47" s="91"/>
      <c r="V47" s="91"/>
      <c r="W47" s="91"/>
      <c r="X47" s="91"/>
    </row>
    <row r="48" spans="1:24">
      <c r="A48" s="91"/>
      <c r="B48" s="91"/>
      <c r="C48" s="91"/>
      <c r="D48" s="91"/>
      <c r="E48" s="91"/>
      <c r="F48" s="91"/>
      <c r="G48" s="91"/>
      <c r="H48" s="91"/>
      <c r="I48" s="91"/>
      <c r="J48" s="91"/>
      <c r="K48" s="91"/>
      <c r="L48" s="91"/>
      <c r="M48" s="91"/>
      <c r="N48" s="91"/>
      <c r="O48" s="91"/>
      <c r="P48" s="91"/>
      <c r="Q48" s="91"/>
      <c r="R48" s="91"/>
      <c r="S48" s="91"/>
      <c r="T48" s="91"/>
      <c r="U48" s="91"/>
      <c r="V48" s="91"/>
      <c r="W48" s="91"/>
      <c r="X48" s="91"/>
    </row>
    <row r="49" spans="1:24">
      <c r="A49" s="91"/>
      <c r="B49" s="91"/>
      <c r="C49" s="91"/>
      <c r="D49" s="91"/>
      <c r="E49" s="91"/>
      <c r="F49" s="91"/>
      <c r="G49" s="91"/>
      <c r="H49" s="91"/>
      <c r="I49" s="91"/>
      <c r="J49" s="91"/>
      <c r="K49" s="91"/>
      <c r="L49" s="91"/>
      <c r="M49" s="91"/>
      <c r="N49" s="91"/>
      <c r="O49" s="91"/>
      <c r="P49" s="91"/>
      <c r="Q49" s="91"/>
      <c r="R49" s="91"/>
      <c r="S49" s="91"/>
      <c r="T49" s="91"/>
      <c r="U49" s="91"/>
      <c r="V49" s="91"/>
      <c r="W49" s="91"/>
      <c r="X49" s="91"/>
    </row>
    <row r="50" spans="1:24">
      <c r="A50" s="91"/>
      <c r="B50" s="91"/>
      <c r="C50" s="91"/>
      <c r="D50" s="91"/>
      <c r="E50" s="91"/>
      <c r="F50" s="91"/>
      <c r="G50" s="91"/>
      <c r="H50" s="91"/>
      <c r="I50" s="91"/>
      <c r="J50" s="91"/>
      <c r="K50" s="91"/>
      <c r="L50" s="91"/>
      <c r="M50" s="91"/>
      <c r="N50" s="91"/>
      <c r="O50" s="91"/>
      <c r="P50" s="91"/>
      <c r="Q50" s="91"/>
      <c r="R50" s="91"/>
      <c r="S50" s="91"/>
      <c r="T50" s="91"/>
      <c r="U50" s="91"/>
      <c r="V50" s="91"/>
      <c r="W50" s="91"/>
      <c r="X50" s="91"/>
    </row>
    <row r="51" spans="1:24">
      <c r="A51" s="91"/>
      <c r="B51" s="91"/>
      <c r="C51" s="91"/>
      <c r="D51" s="91"/>
      <c r="E51" s="91"/>
      <c r="F51" s="91"/>
      <c r="G51" s="91"/>
      <c r="H51" s="91"/>
      <c r="I51" s="91"/>
      <c r="J51" s="91"/>
      <c r="K51" s="91"/>
      <c r="L51" s="91"/>
      <c r="M51" s="91"/>
      <c r="N51" s="91"/>
      <c r="O51" s="91"/>
      <c r="P51" s="91"/>
      <c r="Q51" s="91"/>
      <c r="R51" s="91"/>
      <c r="S51" s="91"/>
      <c r="T51" s="91"/>
      <c r="U51" s="91"/>
      <c r="V51" s="91"/>
      <c r="W51" s="91"/>
      <c r="X51" s="91"/>
    </row>
    <row r="52" spans="1:24">
      <c r="A52" s="91"/>
      <c r="B52" s="91"/>
      <c r="C52" s="91"/>
      <c r="D52" s="91"/>
      <c r="E52" s="91"/>
      <c r="F52" s="91"/>
      <c r="G52" s="91"/>
      <c r="H52" s="91"/>
      <c r="I52" s="91"/>
      <c r="J52" s="91"/>
      <c r="K52" s="91"/>
      <c r="L52" s="91"/>
      <c r="M52" s="91"/>
      <c r="N52" s="91"/>
      <c r="O52" s="91"/>
      <c r="P52" s="91"/>
      <c r="Q52" s="91"/>
      <c r="R52" s="91"/>
      <c r="S52" s="91"/>
      <c r="T52" s="91"/>
      <c r="U52" s="91"/>
      <c r="V52" s="91"/>
      <c r="W52" s="91"/>
      <c r="X52" s="91"/>
    </row>
    <row r="53" spans="1:24">
      <c r="A53" s="91"/>
      <c r="B53" s="91"/>
      <c r="C53" s="91"/>
      <c r="D53" s="91"/>
      <c r="E53" s="91"/>
      <c r="F53" s="91"/>
      <c r="G53" s="91"/>
      <c r="H53" s="91"/>
      <c r="I53" s="91"/>
      <c r="J53" s="91"/>
      <c r="K53" s="91"/>
      <c r="L53" s="91"/>
      <c r="M53" s="91"/>
      <c r="N53" s="91"/>
      <c r="O53" s="91"/>
      <c r="P53" s="91"/>
      <c r="Q53" s="91"/>
      <c r="R53" s="91"/>
      <c r="S53" s="91"/>
      <c r="T53" s="91"/>
      <c r="U53" s="91"/>
      <c r="V53" s="91"/>
      <c r="W53" s="91"/>
      <c r="X53" s="91"/>
    </row>
    <row r="54" spans="1:24">
      <c r="A54" s="91"/>
      <c r="B54" s="91"/>
      <c r="C54" s="91"/>
      <c r="D54" s="91"/>
      <c r="E54" s="91"/>
      <c r="F54" s="91"/>
      <c r="G54" s="91"/>
      <c r="H54" s="91"/>
      <c r="I54" s="91"/>
      <c r="J54" s="91"/>
      <c r="K54" s="91"/>
      <c r="L54" s="91"/>
      <c r="M54" s="91"/>
      <c r="N54" s="91"/>
      <c r="O54" s="91"/>
      <c r="P54" s="91"/>
      <c r="Q54" s="91"/>
      <c r="R54" s="91"/>
      <c r="S54" s="91"/>
      <c r="T54" s="91"/>
      <c r="U54" s="91"/>
      <c r="V54" s="91"/>
      <c r="W54" s="91"/>
      <c r="X54" s="91"/>
    </row>
    <row r="55" spans="1:24">
      <c r="A55" s="91"/>
      <c r="B55" s="91"/>
      <c r="C55" s="91"/>
      <c r="D55" s="91"/>
      <c r="E55" s="91"/>
      <c r="F55" s="91"/>
      <c r="G55" s="91"/>
      <c r="H55" s="91"/>
      <c r="I55" s="91"/>
      <c r="J55" s="91"/>
      <c r="K55" s="91"/>
      <c r="L55" s="91"/>
      <c r="M55" s="91"/>
      <c r="N55" s="91"/>
      <c r="O55" s="91"/>
      <c r="P55" s="91"/>
      <c r="Q55" s="91"/>
      <c r="R55" s="91"/>
      <c r="S55" s="91"/>
      <c r="T55" s="91"/>
      <c r="U55" s="91"/>
      <c r="V55" s="91"/>
      <c r="W55" s="91"/>
      <c r="X55" s="91"/>
    </row>
    <row r="56" spans="1:24">
      <c r="A56" s="91"/>
      <c r="B56" s="91"/>
      <c r="C56" s="91"/>
      <c r="D56" s="91"/>
      <c r="E56" s="91"/>
      <c r="F56" s="91"/>
      <c r="G56" s="91"/>
      <c r="H56" s="91"/>
      <c r="I56" s="91"/>
      <c r="J56" s="91"/>
      <c r="K56" s="91"/>
      <c r="L56" s="91"/>
      <c r="M56" s="91"/>
      <c r="N56" s="91"/>
      <c r="O56" s="91"/>
      <c r="P56" s="91"/>
      <c r="Q56" s="91"/>
      <c r="R56" s="91"/>
      <c r="S56" s="91"/>
      <c r="T56" s="91"/>
      <c r="U56" s="91"/>
      <c r="V56" s="91"/>
      <c r="W56" s="91"/>
      <c r="X56" s="91"/>
    </row>
    <row r="57" spans="1:24">
      <c r="A57" s="91"/>
      <c r="B57" s="91"/>
      <c r="C57" s="91"/>
      <c r="D57" s="91"/>
      <c r="E57" s="91"/>
      <c r="F57" s="91"/>
      <c r="G57" s="91"/>
      <c r="H57" s="91"/>
      <c r="I57" s="91"/>
      <c r="J57" s="91"/>
      <c r="K57" s="91"/>
      <c r="L57" s="91"/>
      <c r="M57" s="91"/>
      <c r="N57" s="91"/>
      <c r="O57" s="91"/>
      <c r="P57" s="91"/>
      <c r="Q57" s="91"/>
      <c r="R57" s="91"/>
      <c r="S57" s="91"/>
      <c r="T57" s="91"/>
      <c r="U57" s="91"/>
      <c r="V57" s="91"/>
      <c r="W57" s="91"/>
      <c r="X57" s="91"/>
    </row>
    <row r="58" spans="1:24">
      <c r="A58" s="91"/>
      <c r="B58" s="91"/>
      <c r="C58" s="91"/>
      <c r="D58" s="91"/>
      <c r="E58" s="91"/>
      <c r="F58" s="91"/>
      <c r="G58" s="91"/>
      <c r="H58" s="91"/>
      <c r="I58" s="91"/>
      <c r="J58" s="91"/>
      <c r="K58" s="91"/>
      <c r="L58" s="91"/>
      <c r="M58" s="91"/>
      <c r="N58" s="91"/>
      <c r="O58" s="91"/>
      <c r="P58" s="91"/>
      <c r="Q58" s="91"/>
      <c r="R58" s="91"/>
      <c r="S58" s="91"/>
      <c r="T58" s="91"/>
      <c r="U58" s="91"/>
      <c r="V58" s="91"/>
      <c r="W58" s="91"/>
      <c r="X58" s="91"/>
    </row>
  </sheetData>
  <mergeCells count="9">
    <mergeCell ref="B36:M36"/>
    <mergeCell ref="B35:M35"/>
    <mergeCell ref="B33:M33"/>
    <mergeCell ref="B34:M34"/>
    <mergeCell ref="B5:L7"/>
    <mergeCell ref="B30:M30"/>
    <mergeCell ref="B29:M29"/>
    <mergeCell ref="B32:M32"/>
    <mergeCell ref="B31:M31"/>
  </mergeCells>
  <printOptions horizontalCentered="1" headings="1"/>
  <pageMargins left="1" right="1" top="1.25" bottom="0.5" header="0.5" footer="0.5"/>
  <pageSetup scale="10" orientation="landscape" r:id="rId1"/>
  <headerFooter scaleWithDoc="0">
    <oddHeader>&amp;R&amp;"Times New Roman,Bold"&amp;10ICC Docket No. 21-0155
Statewide Quarterly Report
ComEd 2022 Q3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58800012207406E-2"/>
    <pageSetUpPr fitToPage="1"/>
  </sheetPr>
  <dimension ref="A1:M57"/>
  <sheetViews>
    <sheetView workbookViewId="0"/>
  </sheetViews>
  <sheetFormatPr defaultColWidth="0" defaultRowHeight="14.5" zeroHeight="1"/>
  <cols>
    <col min="1" max="1" width="2.54296875" customWidth="1"/>
    <col min="2" max="2" width="4.54296875" style="17" customWidth="1"/>
    <col min="3" max="3" width="4.54296875" customWidth="1"/>
    <col min="4" max="4" width="76.54296875" customWidth="1"/>
    <col min="5" max="5" width="12.1796875" bestFit="1" customWidth="1"/>
    <col min="6" max="6" width="44.26953125" customWidth="1"/>
    <col min="7" max="7" width="30.7265625" bestFit="1" customWidth="1"/>
    <col min="8" max="8" width="10.54296875" bestFit="1" customWidth="1"/>
    <col min="9" max="10" width="9.1796875" customWidth="1"/>
    <col min="11" max="11" width="9.1796875" hidden="1" customWidth="1"/>
    <col min="12" max="13" width="0" hidden="1" customWidth="1"/>
    <col min="14" max="16384" width="9.1796875" hidden="1"/>
  </cols>
  <sheetData>
    <row r="1" spans="1:13" ht="16.5" customHeight="1">
      <c r="A1" s="91"/>
      <c r="B1" s="98" t="s">
        <v>0</v>
      </c>
      <c r="C1" s="91"/>
      <c r="D1" s="91"/>
      <c r="E1" s="118"/>
      <c r="F1" s="118"/>
      <c r="G1" s="91"/>
      <c r="H1" s="91"/>
      <c r="I1" s="91"/>
      <c r="J1" s="91"/>
      <c r="K1" s="91"/>
      <c r="L1" s="91"/>
      <c r="M1" s="91"/>
    </row>
    <row r="2" spans="1:13" ht="14.25" customHeight="1">
      <c r="A2" s="91"/>
      <c r="B2" s="98" t="s">
        <v>218</v>
      </c>
      <c r="C2" s="91"/>
      <c r="D2" s="91"/>
      <c r="E2" s="119"/>
      <c r="F2" s="119"/>
      <c r="G2" s="91"/>
      <c r="H2" s="91"/>
      <c r="I2" s="91"/>
      <c r="J2" s="91"/>
      <c r="K2" s="91"/>
      <c r="L2" s="91"/>
      <c r="M2" s="91"/>
    </row>
    <row r="3" spans="1:13" ht="15.5">
      <c r="A3" s="91"/>
      <c r="B3" s="98"/>
      <c r="C3" s="91"/>
      <c r="D3" s="91"/>
      <c r="E3" s="120"/>
      <c r="F3" s="120"/>
      <c r="G3" s="91"/>
      <c r="H3" s="91"/>
      <c r="I3" s="91"/>
      <c r="J3" s="91"/>
      <c r="K3" s="91"/>
      <c r="L3" s="91"/>
      <c r="M3" s="91"/>
    </row>
    <row r="4" spans="1:13" ht="18.5">
      <c r="A4" s="91"/>
      <c r="B4" s="121"/>
      <c r="C4" s="91"/>
      <c r="D4" s="91"/>
      <c r="E4" s="120"/>
      <c r="F4" s="120"/>
      <c r="G4" s="91"/>
      <c r="H4" s="91"/>
      <c r="I4" s="91"/>
      <c r="J4" s="91"/>
      <c r="K4" s="91"/>
      <c r="L4" s="91"/>
      <c r="M4" s="91"/>
    </row>
    <row r="5" spans="1:13" ht="22.5" customHeight="1">
      <c r="A5" s="91"/>
      <c r="B5" s="4" t="s">
        <v>219</v>
      </c>
      <c r="C5" s="4"/>
      <c r="D5" s="4"/>
      <c r="E5" s="122"/>
      <c r="F5" s="122"/>
      <c r="G5" s="122"/>
      <c r="H5" s="122"/>
      <c r="I5" s="122"/>
      <c r="J5" s="122"/>
      <c r="K5" s="122"/>
      <c r="L5" s="91"/>
      <c r="M5" s="91"/>
    </row>
    <row r="6" spans="1:13" ht="27" customHeight="1">
      <c r="A6" s="91"/>
      <c r="B6" s="4"/>
      <c r="C6" s="4"/>
      <c r="D6" s="4"/>
      <c r="E6" s="122"/>
      <c r="F6" s="122"/>
      <c r="G6" s="122"/>
      <c r="H6" s="122"/>
      <c r="I6" s="122"/>
      <c r="J6" s="122"/>
      <c r="K6" s="122"/>
      <c r="L6" s="91"/>
      <c r="M6" s="91"/>
    </row>
    <row r="7" spans="1:13" ht="22.5" customHeight="1">
      <c r="A7" s="91"/>
      <c r="B7" s="123"/>
      <c r="C7" s="123"/>
      <c r="D7" s="123"/>
      <c r="E7" s="122"/>
      <c r="F7" s="122"/>
      <c r="G7" s="122"/>
      <c r="H7" s="122"/>
      <c r="I7" s="122"/>
      <c r="J7" s="122"/>
      <c r="K7" s="122"/>
      <c r="L7" s="91"/>
      <c r="M7" s="91"/>
    </row>
    <row r="8" spans="1:13" ht="22.5" customHeight="1">
      <c r="A8" s="91"/>
      <c r="B8" s="313" t="s">
        <v>220</v>
      </c>
      <c r="C8" s="313"/>
      <c r="D8" s="313"/>
      <c r="E8" s="122"/>
      <c r="F8" s="122"/>
      <c r="G8" s="122"/>
      <c r="H8" s="122"/>
      <c r="I8" s="122"/>
      <c r="J8" s="122"/>
      <c r="K8" s="122"/>
      <c r="L8" s="91"/>
      <c r="M8" s="91"/>
    </row>
    <row r="9" spans="1:13" ht="21" customHeight="1">
      <c r="A9" s="91"/>
      <c r="B9" s="324" t="s">
        <v>221</v>
      </c>
      <c r="C9" s="324"/>
      <c r="D9" s="324"/>
      <c r="E9" s="123"/>
      <c r="F9" s="123"/>
      <c r="G9" s="123"/>
      <c r="H9" s="123"/>
      <c r="I9" s="123"/>
      <c r="J9" s="123"/>
      <c r="K9" s="123"/>
      <c r="L9" s="91"/>
      <c r="M9" s="91"/>
    </row>
    <row r="10" spans="1:13" ht="21" customHeight="1">
      <c r="A10" s="91"/>
      <c r="B10" s="325" t="s">
        <v>222</v>
      </c>
      <c r="C10" s="325"/>
      <c r="D10" s="325"/>
      <c r="E10" s="123"/>
      <c r="F10" s="123"/>
      <c r="G10" s="123"/>
      <c r="H10" s="123"/>
      <c r="I10" s="123"/>
      <c r="J10" s="123"/>
      <c r="K10" s="123"/>
      <c r="L10" s="91"/>
      <c r="M10" s="91"/>
    </row>
    <row r="11" spans="1:13" ht="21" customHeight="1">
      <c r="A11" s="91"/>
      <c r="B11" s="326" t="s">
        <v>223</v>
      </c>
      <c r="C11" s="326"/>
      <c r="D11" s="326"/>
      <c r="E11" s="123"/>
      <c r="F11" s="123"/>
      <c r="G11" s="123"/>
      <c r="H11" s="123"/>
      <c r="I11" s="123"/>
      <c r="J11" s="123"/>
      <c r="K11" s="123"/>
      <c r="L11" s="91"/>
      <c r="M11" s="91"/>
    </row>
    <row r="12" spans="1:13" ht="21" customHeight="1">
      <c r="A12" s="91"/>
      <c r="B12" s="137"/>
      <c r="C12" s="137"/>
      <c r="D12" s="137"/>
      <c r="E12" s="123"/>
      <c r="F12" s="123"/>
      <c r="G12" s="123"/>
      <c r="H12" s="123"/>
      <c r="I12" s="123"/>
      <c r="J12" s="123"/>
      <c r="K12" s="123"/>
      <c r="L12" s="91"/>
      <c r="M12" s="91"/>
    </row>
    <row r="13" spans="1:13" ht="21" customHeight="1">
      <c r="A13" s="91"/>
      <c r="B13" s="138" t="s">
        <v>302</v>
      </c>
      <c r="C13" s="137"/>
      <c r="D13" s="137"/>
      <c r="E13" s="123"/>
      <c r="F13" s="123"/>
      <c r="G13" s="123"/>
      <c r="H13" s="123"/>
      <c r="I13" s="123"/>
      <c r="J13" s="123"/>
      <c r="K13" s="123"/>
      <c r="L13" s="91"/>
      <c r="M13" s="91"/>
    </row>
    <row r="14" spans="1:13" ht="21" customHeight="1">
      <c r="A14" s="91"/>
      <c r="B14" s="279" t="str">
        <f>'1- Ex Ante Results'!B19</f>
        <v>CY2022 Q3</v>
      </c>
      <c r="C14" s="278"/>
      <c r="D14" s="278"/>
      <c r="E14" s="123"/>
      <c r="F14" s="123"/>
      <c r="G14" s="123"/>
      <c r="H14" s="123"/>
      <c r="I14" s="123"/>
      <c r="J14" s="123"/>
      <c r="K14" s="123"/>
      <c r="L14" s="91"/>
      <c r="M14" s="91"/>
    </row>
    <row r="15" spans="1:13" ht="18" customHeight="1">
      <c r="A15" s="91"/>
      <c r="B15" s="314" t="str">
        <f>"Cumulative Persisting Annual Savings (CPAS) Goal Progress "&amp;'1- Ex Ante Results'!B19</f>
        <v>Cumulative Persisting Annual Savings (CPAS) Goal Progress CY2022 Q3</v>
      </c>
      <c r="C15" s="314"/>
      <c r="D15" s="314"/>
      <c r="E15" s="314"/>
      <c r="F15" s="314"/>
      <c r="G15" s="91"/>
      <c r="H15" s="91"/>
      <c r="I15" s="91"/>
      <c r="J15" s="91"/>
      <c r="K15" s="91"/>
      <c r="L15" s="91"/>
      <c r="M15" s="91"/>
    </row>
    <row r="16" spans="1:13">
      <c r="A16" s="91"/>
      <c r="B16" s="64" t="s">
        <v>224</v>
      </c>
      <c r="C16" s="315" t="s">
        <v>225</v>
      </c>
      <c r="D16" s="316"/>
      <c r="E16" s="211">
        <v>0.13100000000000001</v>
      </c>
      <c r="F16" s="84" t="s">
        <v>226</v>
      </c>
      <c r="G16" s="91"/>
      <c r="H16" s="91"/>
      <c r="I16" s="91"/>
      <c r="J16" s="91"/>
      <c r="K16" s="91"/>
      <c r="L16" s="91"/>
      <c r="M16" s="91"/>
    </row>
    <row r="17" spans="1:13">
      <c r="A17" s="91"/>
      <c r="B17" s="64" t="s">
        <v>227</v>
      </c>
      <c r="C17" s="315" t="s">
        <v>228</v>
      </c>
      <c r="D17" s="316"/>
      <c r="E17" s="212">
        <v>83828493.309333339</v>
      </c>
      <c r="F17" s="84" t="s">
        <v>226</v>
      </c>
      <c r="G17" s="136"/>
      <c r="H17" s="91"/>
      <c r="I17" s="91"/>
      <c r="J17" s="91"/>
      <c r="K17" s="91"/>
      <c r="L17" s="91"/>
      <c r="M17" s="91"/>
    </row>
    <row r="18" spans="1:13">
      <c r="A18" s="91"/>
      <c r="B18" s="64" t="s">
        <v>229</v>
      </c>
      <c r="C18" s="315" t="s">
        <v>230</v>
      </c>
      <c r="D18" s="316"/>
      <c r="E18" s="213">
        <f>E17*E16</f>
        <v>10981532.623522667</v>
      </c>
      <c r="F18" s="85" t="s">
        <v>231</v>
      </c>
      <c r="G18" s="91"/>
      <c r="H18" s="91"/>
      <c r="I18" s="91"/>
      <c r="J18" s="91"/>
      <c r="K18" s="91"/>
      <c r="L18" s="91"/>
      <c r="M18" s="91"/>
    </row>
    <row r="19" spans="1:13">
      <c r="A19" s="91"/>
      <c r="B19" s="64" t="s">
        <v>232</v>
      </c>
      <c r="C19" s="315" t="s">
        <v>233</v>
      </c>
      <c r="D19" s="316"/>
      <c r="E19" s="214">
        <v>10996650</v>
      </c>
      <c r="F19" s="86" t="s">
        <v>234</v>
      </c>
      <c r="G19" s="91"/>
      <c r="H19" s="93"/>
      <c r="I19" s="91"/>
      <c r="J19" s="91"/>
      <c r="K19" s="91"/>
      <c r="L19" s="91"/>
      <c r="M19" s="91"/>
    </row>
    <row r="20" spans="1:13" ht="16.5" customHeight="1">
      <c r="A20" s="91"/>
      <c r="B20" s="64"/>
      <c r="C20" s="321" t="s">
        <v>235</v>
      </c>
      <c r="D20" s="322"/>
      <c r="E20" s="322"/>
      <c r="F20" s="323"/>
      <c r="G20" s="91"/>
      <c r="H20" s="91"/>
      <c r="I20" s="91"/>
      <c r="J20" s="91"/>
      <c r="K20" s="91"/>
      <c r="L20" s="91"/>
      <c r="M20" s="91"/>
    </row>
    <row r="21" spans="1:13">
      <c r="A21" s="91"/>
      <c r="B21" s="64" t="s">
        <v>236</v>
      </c>
      <c r="C21" s="332" t="s">
        <v>237</v>
      </c>
      <c r="D21" s="333"/>
      <c r="E21" s="211">
        <v>3.5000000000000003E-2</v>
      </c>
      <c r="F21" s="84" t="s">
        <v>238</v>
      </c>
      <c r="G21" s="91"/>
      <c r="H21" s="91"/>
      <c r="I21" s="91"/>
      <c r="J21" s="91"/>
      <c r="K21" s="91"/>
      <c r="L21" s="91"/>
      <c r="M21" s="91"/>
    </row>
    <row r="22" spans="1:13">
      <c r="A22" s="91"/>
      <c r="B22" s="64" t="s">
        <v>239</v>
      </c>
      <c r="C22" s="332" t="s">
        <v>240</v>
      </c>
      <c r="D22" s="333"/>
      <c r="E22" s="211">
        <v>0.04</v>
      </c>
      <c r="F22" s="84" t="s">
        <v>238</v>
      </c>
      <c r="G22" s="91"/>
      <c r="H22" s="94"/>
      <c r="I22" s="91"/>
      <c r="J22" s="132"/>
      <c r="K22" s="91"/>
      <c r="L22" s="91"/>
      <c r="M22" s="91"/>
    </row>
    <row r="23" spans="1:13">
      <c r="A23" s="91"/>
      <c r="B23" s="64" t="s">
        <v>241</v>
      </c>
      <c r="C23" s="332" t="s">
        <v>242</v>
      </c>
      <c r="D23" s="333"/>
      <c r="E23" s="215">
        <f>E22-E21</f>
        <v>4.9999999999999975E-3</v>
      </c>
      <c r="F23" s="85" t="s">
        <v>243</v>
      </c>
      <c r="G23" s="91"/>
      <c r="H23" s="91"/>
      <c r="I23" s="91"/>
      <c r="J23" s="91"/>
      <c r="K23" s="91"/>
      <c r="L23" s="91"/>
      <c r="M23" s="91"/>
    </row>
    <row r="24" spans="1:13">
      <c r="A24" s="96"/>
      <c r="B24" s="64" t="s">
        <v>244</v>
      </c>
      <c r="C24" s="332" t="s">
        <v>245</v>
      </c>
      <c r="D24" s="333"/>
      <c r="E24" s="213">
        <v>210032.33107999945</v>
      </c>
      <c r="F24" s="85" t="s">
        <v>310</v>
      </c>
      <c r="G24" s="91"/>
      <c r="H24" s="91"/>
      <c r="I24" s="91"/>
      <c r="J24" s="91"/>
      <c r="K24" s="91"/>
      <c r="L24" s="91"/>
      <c r="M24" s="91"/>
    </row>
    <row r="25" spans="1:13">
      <c r="A25" s="91"/>
      <c r="B25" s="64" t="s">
        <v>246</v>
      </c>
      <c r="C25" s="332" t="s">
        <v>247</v>
      </c>
      <c r="D25" s="333"/>
      <c r="E25" s="214">
        <v>154158.99854023388</v>
      </c>
      <c r="F25" s="86" t="s">
        <v>234</v>
      </c>
      <c r="G25" s="91"/>
      <c r="H25" s="91"/>
      <c r="I25" s="91"/>
      <c r="J25" s="91"/>
      <c r="K25" s="91"/>
      <c r="L25" s="91"/>
      <c r="M25" s="91"/>
    </row>
    <row r="26" spans="1:13">
      <c r="A26" s="91"/>
      <c r="B26" s="64" t="s">
        <v>248</v>
      </c>
      <c r="C26" s="334" t="s">
        <v>249</v>
      </c>
      <c r="D26" s="335"/>
      <c r="E26" s="216">
        <f>E24+E25</f>
        <v>364191.32962023333</v>
      </c>
      <c r="F26" s="85" t="s">
        <v>250</v>
      </c>
      <c r="G26" s="91"/>
      <c r="H26" s="91"/>
      <c r="I26" s="91"/>
      <c r="J26" s="91"/>
      <c r="K26" s="91"/>
      <c r="L26" s="91"/>
      <c r="M26" s="91"/>
    </row>
    <row r="27" spans="1:13">
      <c r="A27" s="91"/>
      <c r="B27" s="64" t="s">
        <v>251</v>
      </c>
      <c r="C27" s="315" t="s">
        <v>252</v>
      </c>
      <c r="D27" s="316"/>
      <c r="E27" s="213">
        <f>E18-E19+E26</f>
        <v>349073.95314290054</v>
      </c>
      <c r="F27" s="85" t="s">
        <v>253</v>
      </c>
      <c r="G27" s="91"/>
      <c r="H27" s="91"/>
      <c r="I27" s="91"/>
      <c r="J27" s="91"/>
      <c r="K27" s="91"/>
      <c r="L27" s="91"/>
      <c r="M27" s="91"/>
    </row>
    <row r="28" spans="1:13">
      <c r="A28" s="91"/>
      <c r="B28" s="64" t="s">
        <v>254</v>
      </c>
      <c r="C28" s="315" t="s">
        <v>255</v>
      </c>
      <c r="D28" s="316"/>
      <c r="E28" s="217">
        <f>'1- Ex Ante Results'!C107</f>
        <v>936695.12490229611</v>
      </c>
      <c r="F28" s="86" t="s">
        <v>256</v>
      </c>
      <c r="G28" s="95"/>
      <c r="H28" s="91"/>
      <c r="I28" s="91"/>
      <c r="J28" s="91"/>
      <c r="K28" s="91"/>
      <c r="L28" s="91"/>
      <c r="M28" s="91"/>
    </row>
    <row r="29" spans="1:13">
      <c r="A29" s="91"/>
      <c r="B29" s="64" t="s">
        <v>257</v>
      </c>
      <c r="C29" s="315" t="s">
        <v>258</v>
      </c>
      <c r="D29" s="316"/>
      <c r="E29" s="217">
        <f>'1- Ex Ante Results'!C107</f>
        <v>936695.12490229611</v>
      </c>
      <c r="F29" s="86" t="s">
        <v>259</v>
      </c>
      <c r="G29" s="95"/>
      <c r="H29" s="91"/>
      <c r="I29" s="91"/>
      <c r="J29" s="91"/>
      <c r="K29" s="91"/>
      <c r="L29" s="91"/>
      <c r="M29" s="91"/>
    </row>
    <row r="30" spans="1:13" ht="27" customHeight="1">
      <c r="A30" s="91"/>
      <c r="B30" s="64" t="s">
        <v>260</v>
      </c>
      <c r="C30" s="317" t="s">
        <v>261</v>
      </c>
      <c r="D30" s="318"/>
      <c r="E30" s="218">
        <f>E29/E27</f>
        <v>2.6833715791989809</v>
      </c>
      <c r="F30" s="85" t="s">
        <v>262</v>
      </c>
      <c r="G30" s="91"/>
      <c r="H30" s="91"/>
      <c r="I30" s="91"/>
      <c r="J30" s="91"/>
      <c r="K30" s="91"/>
      <c r="L30" s="91"/>
      <c r="M30" s="91"/>
    </row>
    <row r="31" spans="1:13" ht="18" customHeight="1">
      <c r="A31" s="91"/>
      <c r="B31" s="327" t="s">
        <v>263</v>
      </c>
      <c r="C31" s="327"/>
      <c r="D31" s="327"/>
      <c r="E31" s="327"/>
      <c r="F31" s="327"/>
      <c r="G31" s="91"/>
      <c r="H31" s="91"/>
      <c r="I31" s="91"/>
      <c r="J31" s="91"/>
      <c r="K31" s="91"/>
      <c r="L31" s="91"/>
      <c r="M31" s="91"/>
    </row>
    <row r="32" spans="1:13">
      <c r="A32" s="91"/>
      <c r="B32" s="64" t="s">
        <v>264</v>
      </c>
      <c r="C32" s="319" t="s">
        <v>265</v>
      </c>
      <c r="D32" s="320"/>
      <c r="E32" s="211">
        <v>0.11799999999999999</v>
      </c>
      <c r="F32" s="62" t="s">
        <v>226</v>
      </c>
      <c r="G32" s="91"/>
      <c r="H32" s="91"/>
      <c r="I32" s="91"/>
      <c r="J32" s="124"/>
      <c r="K32" s="91"/>
      <c r="L32" s="91"/>
      <c r="M32" s="91"/>
    </row>
    <row r="33" spans="1:13">
      <c r="A33" s="91"/>
      <c r="B33" s="64" t="s">
        <v>266</v>
      </c>
      <c r="C33" s="319" t="s">
        <v>267</v>
      </c>
      <c r="D33" s="320"/>
      <c r="E33" s="219">
        <v>9274887.310874667</v>
      </c>
      <c r="F33" s="63" t="s">
        <v>311</v>
      </c>
      <c r="G33" s="91"/>
      <c r="H33" s="91"/>
      <c r="I33" s="91"/>
      <c r="J33" s="91"/>
      <c r="K33" s="91"/>
      <c r="L33" s="91"/>
      <c r="M33" s="91"/>
    </row>
    <row r="34" spans="1:13">
      <c r="A34" s="91"/>
      <c r="B34" s="64" t="s">
        <v>268</v>
      </c>
      <c r="C34" s="61" t="s">
        <v>269</v>
      </c>
      <c r="D34" s="61"/>
      <c r="E34" s="219">
        <v>1089770.4130213335</v>
      </c>
      <c r="F34" s="63" t="s">
        <v>312</v>
      </c>
      <c r="G34" s="91"/>
      <c r="H34" s="91"/>
      <c r="I34" s="91"/>
      <c r="J34" s="91"/>
      <c r="K34" s="91"/>
      <c r="L34" s="91"/>
      <c r="M34" s="91"/>
    </row>
    <row r="35" spans="1:13">
      <c r="A35" s="91"/>
      <c r="B35" s="64" t="s">
        <v>270</v>
      </c>
      <c r="C35" s="61" t="s">
        <v>271</v>
      </c>
      <c r="D35" s="61"/>
      <c r="E35" s="219">
        <f>E34+E26</f>
        <v>1453961.7426415668</v>
      </c>
      <c r="F35" s="63" t="s">
        <v>272</v>
      </c>
      <c r="G35" s="92"/>
      <c r="H35" s="91"/>
      <c r="I35" s="91"/>
      <c r="J35" s="91"/>
      <c r="K35" s="91"/>
      <c r="L35" s="91"/>
      <c r="M35" s="91"/>
    </row>
    <row r="36" spans="1:13">
      <c r="A36" s="91"/>
      <c r="B36" s="64" t="s">
        <v>273</v>
      </c>
      <c r="C36" s="61" t="s">
        <v>274</v>
      </c>
      <c r="D36" s="61"/>
      <c r="E36" s="219">
        <f>E29</f>
        <v>936695.12490229611</v>
      </c>
      <c r="F36" s="63" t="s">
        <v>275</v>
      </c>
      <c r="G36" s="91"/>
      <c r="H36" s="92"/>
      <c r="I36" s="91"/>
      <c r="J36" s="91"/>
      <c r="K36" s="91"/>
      <c r="L36" s="91"/>
      <c r="M36" s="91"/>
    </row>
    <row r="37" spans="1:13" ht="32.75" customHeight="1">
      <c r="A37" s="91"/>
      <c r="B37" s="64" t="s">
        <v>276</v>
      </c>
      <c r="C37" s="328" t="s">
        <v>277</v>
      </c>
      <c r="D37" s="329"/>
      <c r="E37" s="220">
        <f>E26</f>
        <v>364191.32962023333</v>
      </c>
      <c r="F37" s="63" t="s">
        <v>278</v>
      </c>
      <c r="G37" s="91"/>
      <c r="H37" s="91"/>
      <c r="I37" s="91"/>
      <c r="J37" s="91"/>
      <c r="K37" s="91"/>
      <c r="L37" s="91"/>
      <c r="M37" s="91"/>
    </row>
    <row r="38" spans="1:13">
      <c r="A38" s="91"/>
      <c r="B38" s="64" t="s">
        <v>279</v>
      </c>
      <c r="C38" s="328" t="s">
        <v>280</v>
      </c>
      <c r="D38" s="329"/>
      <c r="E38" s="219">
        <f>E36-E37</f>
        <v>572503.79528206284</v>
      </c>
      <c r="F38" s="63" t="s">
        <v>281</v>
      </c>
      <c r="G38" s="91"/>
      <c r="H38" s="91"/>
      <c r="I38" s="91"/>
      <c r="J38" s="91"/>
      <c r="K38" s="91"/>
      <c r="L38" s="91"/>
      <c r="M38" s="91"/>
    </row>
    <row r="39" spans="1:13" ht="30" customHeight="1">
      <c r="A39" s="91"/>
      <c r="B39" s="64" t="s">
        <v>282</v>
      </c>
      <c r="C39" s="330" t="s">
        <v>283</v>
      </c>
      <c r="D39" s="331"/>
      <c r="E39" s="221">
        <f>E38/E34</f>
        <v>0.5253434929425409</v>
      </c>
      <c r="F39" s="63" t="s">
        <v>284</v>
      </c>
      <c r="G39" s="91"/>
      <c r="H39" s="91"/>
      <c r="I39" s="91"/>
      <c r="J39" s="91"/>
      <c r="K39" s="91"/>
      <c r="L39" s="91"/>
      <c r="M39" s="91"/>
    </row>
    <row r="40" spans="1:13">
      <c r="A40" s="91"/>
      <c r="B40" s="124"/>
      <c r="C40" s="125"/>
      <c r="D40" s="125"/>
      <c r="E40" s="126"/>
      <c r="F40" s="127"/>
      <c r="G40" s="91"/>
      <c r="H40" s="91"/>
      <c r="I40" s="91"/>
      <c r="J40" s="91"/>
      <c r="K40" s="91"/>
      <c r="L40" s="91"/>
      <c r="M40" s="91"/>
    </row>
    <row r="41" spans="1:13">
      <c r="A41" s="91"/>
      <c r="B41" s="128" t="s">
        <v>98</v>
      </c>
      <c r="C41" s="129"/>
      <c r="D41" s="128"/>
      <c r="E41" s="128"/>
      <c r="F41" s="130"/>
      <c r="G41" s="133"/>
      <c r="H41" s="133"/>
      <c r="I41" s="133"/>
      <c r="J41" s="130"/>
      <c r="K41" s="130"/>
      <c r="L41" s="134"/>
      <c r="M41" s="91"/>
    </row>
    <row r="42" spans="1:13" ht="39" customHeight="1">
      <c r="A42" s="91"/>
      <c r="B42" s="311" t="s">
        <v>285</v>
      </c>
      <c r="C42" s="312"/>
      <c r="D42" s="312"/>
      <c r="E42" s="312"/>
      <c r="F42" s="312"/>
      <c r="G42" s="135"/>
      <c r="H42" s="135"/>
      <c r="I42" s="135"/>
      <c r="J42" s="135"/>
      <c r="K42" s="135"/>
      <c r="L42" s="135"/>
      <c r="M42" s="91"/>
    </row>
    <row r="43" spans="1:13" ht="14.65" customHeight="1">
      <c r="A43" s="91"/>
      <c r="B43" s="311" t="s">
        <v>313</v>
      </c>
      <c r="C43" s="312"/>
      <c r="D43" s="312"/>
      <c r="E43" s="312"/>
      <c r="F43" s="312"/>
      <c r="G43" s="91"/>
      <c r="H43" s="91"/>
      <c r="I43" s="91"/>
      <c r="J43" s="91"/>
      <c r="K43" s="91"/>
      <c r="L43" s="91"/>
      <c r="M43" s="91"/>
    </row>
    <row r="44" spans="1:13">
      <c r="A44" s="91"/>
      <c r="B44" s="131"/>
      <c r="C44" s="91"/>
      <c r="D44" s="91"/>
      <c r="E44" s="91"/>
      <c r="F44" s="91"/>
      <c r="G44" s="91"/>
      <c r="H44" s="91"/>
      <c r="I44" s="91"/>
      <c r="J44" s="91"/>
      <c r="K44" s="91"/>
      <c r="L44" s="91"/>
      <c r="M44" s="91"/>
    </row>
    <row r="45" spans="1:13">
      <c r="A45" s="91"/>
      <c r="B45" s="131"/>
      <c r="C45" s="91"/>
      <c r="D45" s="91"/>
      <c r="E45" s="91"/>
      <c r="F45" s="91"/>
      <c r="G45" s="91"/>
      <c r="H45" s="91"/>
      <c r="I45" s="91"/>
      <c r="J45" s="91"/>
      <c r="K45" s="91"/>
      <c r="L45" s="91"/>
      <c r="M45" s="91"/>
    </row>
    <row r="46" spans="1:13">
      <c r="A46" s="91"/>
      <c r="B46" s="131"/>
      <c r="C46" s="91"/>
      <c r="D46" s="91"/>
      <c r="E46" s="91"/>
      <c r="F46" s="91"/>
      <c r="G46" s="91"/>
      <c r="H46" s="91"/>
      <c r="I46" s="91"/>
      <c r="J46" s="91"/>
      <c r="K46" s="91"/>
      <c r="L46" s="91"/>
      <c r="M46" s="91"/>
    </row>
    <row r="47" spans="1:13">
      <c r="A47" s="91"/>
      <c r="B47" s="131"/>
      <c r="C47" s="91"/>
      <c r="D47" s="91"/>
      <c r="E47" s="91"/>
      <c r="F47" s="91"/>
      <c r="G47" s="91"/>
      <c r="H47" s="91"/>
      <c r="I47" s="91"/>
      <c r="J47" s="91"/>
      <c r="K47" s="91"/>
      <c r="L47" s="91"/>
      <c r="M47" s="91"/>
    </row>
    <row r="48" spans="1:13">
      <c r="A48" s="91"/>
      <c r="B48" s="131"/>
      <c r="C48" s="91"/>
      <c r="D48" s="91"/>
      <c r="E48" s="91"/>
      <c r="F48" s="91"/>
      <c r="G48" s="91"/>
      <c r="H48" s="91"/>
      <c r="I48" s="91"/>
      <c r="J48" s="91"/>
      <c r="K48" s="91"/>
      <c r="L48" s="91"/>
      <c r="M48" s="91"/>
    </row>
    <row r="49" spans="1:13">
      <c r="A49" s="91"/>
      <c r="B49" s="131"/>
      <c r="C49" s="91"/>
      <c r="D49" s="91"/>
      <c r="E49" s="91"/>
      <c r="F49" s="91"/>
      <c r="G49" s="91"/>
      <c r="H49" s="91"/>
      <c r="I49" s="91"/>
      <c r="J49" s="91"/>
      <c r="K49" s="91"/>
      <c r="L49" s="91"/>
      <c r="M49" s="91"/>
    </row>
    <row r="50" spans="1:13">
      <c r="A50" s="91"/>
      <c r="B50" s="131"/>
      <c r="C50" s="91"/>
      <c r="D50" s="91"/>
      <c r="E50" s="91"/>
      <c r="F50" s="91"/>
      <c r="G50" s="91"/>
      <c r="H50" s="91"/>
      <c r="I50" s="91"/>
      <c r="J50" s="91"/>
      <c r="K50" s="91"/>
      <c r="L50" s="91"/>
      <c r="M50" s="91"/>
    </row>
    <row r="51" spans="1:13">
      <c r="A51" s="91"/>
      <c r="B51" s="131"/>
      <c r="C51" s="91"/>
      <c r="D51" s="91"/>
      <c r="E51" s="91"/>
      <c r="F51" s="91"/>
      <c r="G51" s="91"/>
      <c r="H51" s="91"/>
      <c r="I51" s="91"/>
      <c r="J51" s="91"/>
      <c r="K51" s="91"/>
      <c r="L51" s="91"/>
      <c r="M51" s="91"/>
    </row>
    <row r="52" spans="1:13">
      <c r="A52" s="91"/>
      <c r="B52" s="131"/>
      <c r="C52" s="91"/>
      <c r="D52" s="91"/>
      <c r="E52" s="91"/>
      <c r="F52" s="91"/>
      <c r="G52" s="91"/>
      <c r="H52" s="91"/>
      <c r="I52" s="91"/>
      <c r="J52" s="91"/>
      <c r="K52" s="91"/>
      <c r="L52" s="91"/>
      <c r="M52" s="91"/>
    </row>
    <row r="53" spans="1:13">
      <c r="A53" s="91"/>
      <c r="B53" s="131"/>
      <c r="C53" s="91"/>
      <c r="D53" s="91"/>
      <c r="E53" s="91"/>
      <c r="F53" s="91"/>
      <c r="G53" s="91"/>
      <c r="H53" s="91"/>
      <c r="I53" s="91"/>
      <c r="J53" s="91"/>
      <c r="K53" s="91"/>
      <c r="L53" s="91"/>
      <c r="M53" s="91"/>
    </row>
    <row r="54" spans="1:13">
      <c r="A54" s="91"/>
      <c r="B54" s="131"/>
      <c r="C54" s="91"/>
      <c r="D54" s="91"/>
      <c r="E54" s="91"/>
      <c r="F54" s="91"/>
      <c r="G54" s="91"/>
      <c r="H54" s="91"/>
      <c r="I54" s="91"/>
      <c r="J54" s="91"/>
      <c r="K54" s="91"/>
      <c r="L54" s="91"/>
      <c r="M54" s="91"/>
    </row>
    <row r="55" spans="1:13">
      <c r="A55" s="91"/>
      <c r="B55" s="131"/>
      <c r="C55" s="91"/>
      <c r="D55" s="91"/>
      <c r="E55" s="91"/>
      <c r="F55" s="91"/>
      <c r="G55" s="91"/>
      <c r="H55" s="91"/>
      <c r="I55" s="91"/>
      <c r="J55" s="91"/>
      <c r="K55" s="91"/>
      <c r="L55" s="91"/>
      <c r="M55" s="91"/>
    </row>
    <row r="56" spans="1:13">
      <c r="A56" s="91"/>
      <c r="B56" s="131"/>
      <c r="C56" s="91"/>
      <c r="D56" s="91"/>
      <c r="E56" s="91"/>
      <c r="F56" s="91"/>
      <c r="G56" s="91"/>
      <c r="H56" s="91"/>
      <c r="I56" s="91"/>
      <c r="J56" s="91"/>
      <c r="K56" s="91"/>
      <c r="L56" s="91"/>
      <c r="M56" s="91"/>
    </row>
    <row r="57" spans="1:13">
      <c r="A57" s="91"/>
      <c r="B57" s="131"/>
      <c r="C57" s="91"/>
      <c r="D57" s="91"/>
      <c r="E57" s="91"/>
      <c r="F57" s="91"/>
      <c r="G57" s="91"/>
      <c r="H57" s="91"/>
      <c r="I57" s="91"/>
      <c r="J57" s="91"/>
      <c r="K57" s="91"/>
      <c r="L57" s="91"/>
      <c r="M57" s="91"/>
    </row>
  </sheetData>
  <mergeCells count="29">
    <mergeCell ref="C39:D39"/>
    <mergeCell ref="C21:D21"/>
    <mergeCell ref="C22:D22"/>
    <mergeCell ref="C23:D23"/>
    <mergeCell ref="C24:D24"/>
    <mergeCell ref="C25:D25"/>
    <mergeCell ref="C26:D26"/>
    <mergeCell ref="C27:D27"/>
    <mergeCell ref="B10:D10"/>
    <mergeCell ref="B11:D11"/>
    <mergeCell ref="B31:F31"/>
    <mergeCell ref="C37:D37"/>
    <mergeCell ref="C38:D38"/>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s>
  <printOptions horizontalCentered="1" headings="1"/>
  <pageMargins left="1" right="1" top="1.25" bottom="0.5" header="0.5" footer="0.5"/>
  <pageSetup scale="10" orientation="portrait" r:id="rId1"/>
  <headerFooter scaleWithDoc="0">
    <oddHeader>&amp;R&amp;"Times New Roman,Bold"&amp;10ICC Docket No. 21-0155
Statewide Quarterly Report
ComEd 2022 Q3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58800012207406E-2"/>
    <pageSetUpPr fitToPage="1"/>
  </sheetPr>
  <dimension ref="A1:K42"/>
  <sheetViews>
    <sheetView workbookViewId="0"/>
  </sheetViews>
  <sheetFormatPr defaultColWidth="0" defaultRowHeight="14.5" zeroHeight="1"/>
  <cols>
    <col min="1" max="1" width="6.26953125" customWidth="1"/>
    <col min="2" max="2" width="33.26953125" style="27" customWidth="1"/>
    <col min="3" max="3" width="19.26953125" bestFit="1" customWidth="1"/>
    <col min="4" max="4" width="20.36328125" customWidth="1"/>
    <col min="5" max="5" width="18.81640625" customWidth="1"/>
    <col min="6" max="7" width="18.54296875" customWidth="1"/>
    <col min="8" max="8" width="8.81640625" customWidth="1"/>
    <col min="9" max="11" width="9.1796875" customWidth="1"/>
    <col min="12" max="16384" width="9.1796875" hidden="1"/>
  </cols>
  <sheetData>
    <row r="1" spans="1:11">
      <c r="A1" s="91"/>
      <c r="B1" s="97" t="s">
        <v>0</v>
      </c>
      <c r="C1" s="91"/>
      <c r="D1" s="91"/>
      <c r="E1" s="91"/>
      <c r="F1" s="91"/>
      <c r="G1" s="91"/>
      <c r="H1" s="91"/>
      <c r="I1" s="91"/>
      <c r="J1" s="91"/>
      <c r="K1" s="91"/>
    </row>
    <row r="2" spans="1:11">
      <c r="A2" s="91"/>
      <c r="B2" s="97" t="s">
        <v>286</v>
      </c>
      <c r="C2" s="91"/>
      <c r="D2" s="91"/>
      <c r="E2" s="91"/>
      <c r="F2" s="91"/>
      <c r="G2" s="91"/>
      <c r="H2" s="91"/>
      <c r="I2" s="91"/>
      <c r="J2" s="91"/>
      <c r="K2" s="91"/>
    </row>
    <row r="3" spans="1:11">
      <c r="A3" s="91"/>
      <c r="B3" s="98"/>
      <c r="C3" s="91"/>
      <c r="D3" s="91"/>
      <c r="E3" s="91"/>
      <c r="F3" s="91"/>
      <c r="G3" s="91"/>
      <c r="H3" s="91"/>
      <c r="I3" s="91"/>
      <c r="J3" s="91"/>
      <c r="K3" s="91"/>
    </row>
    <row r="4" spans="1:11">
      <c r="A4" s="91"/>
      <c r="B4" s="97"/>
      <c r="C4" s="91"/>
      <c r="D4" s="91"/>
      <c r="E4" s="91"/>
      <c r="F4" s="91"/>
      <c r="G4" s="91"/>
      <c r="H4" s="91"/>
      <c r="I4" s="91"/>
      <c r="J4" s="91"/>
      <c r="K4" s="91"/>
    </row>
    <row r="5" spans="1:11" ht="29.25" customHeight="1">
      <c r="A5" s="91"/>
      <c r="B5" s="304" t="s">
        <v>287</v>
      </c>
      <c r="C5" s="304"/>
      <c r="D5" s="304"/>
      <c r="E5" s="304"/>
      <c r="F5" s="304"/>
      <c r="G5" s="304"/>
      <c r="H5" s="91"/>
      <c r="I5" s="91"/>
      <c r="J5" s="91"/>
      <c r="K5" s="91"/>
    </row>
    <row r="6" spans="1:11">
      <c r="A6" s="91"/>
      <c r="B6" s="304"/>
      <c r="C6" s="304"/>
      <c r="D6" s="304"/>
      <c r="E6" s="304"/>
      <c r="F6" s="304"/>
      <c r="G6" s="304"/>
      <c r="H6" s="91"/>
      <c r="I6" s="91"/>
      <c r="J6" s="91"/>
      <c r="K6" s="91"/>
    </row>
    <row r="7" spans="1:11">
      <c r="A7" s="91"/>
      <c r="B7" s="304"/>
      <c r="C7" s="304"/>
      <c r="D7" s="304"/>
      <c r="E7" s="304"/>
      <c r="F7" s="304"/>
      <c r="G7" s="304"/>
      <c r="H7" s="91"/>
      <c r="I7" s="91"/>
      <c r="J7" s="91"/>
      <c r="K7" s="91"/>
    </row>
    <row r="8" spans="1:11">
      <c r="A8" s="91"/>
      <c r="B8" s="304"/>
      <c r="C8" s="304"/>
      <c r="D8" s="304"/>
      <c r="E8" s="304"/>
      <c r="F8" s="304"/>
      <c r="G8" s="304"/>
      <c r="H8" s="91"/>
      <c r="I8" s="91"/>
      <c r="J8" s="91"/>
      <c r="K8" s="91"/>
    </row>
    <row r="9" spans="1:11" ht="42" customHeight="1">
      <c r="A9" s="91"/>
      <c r="B9" s="304"/>
      <c r="C9" s="304"/>
      <c r="D9" s="304"/>
      <c r="E9" s="304"/>
      <c r="F9" s="304"/>
      <c r="G9" s="304"/>
      <c r="H9" s="91"/>
      <c r="I9" s="91"/>
      <c r="J9" s="91"/>
      <c r="K9" s="91"/>
    </row>
    <row r="10" spans="1:11">
      <c r="A10" s="91"/>
      <c r="B10" s="96"/>
      <c r="C10" s="91"/>
      <c r="D10" s="91"/>
      <c r="E10" s="91"/>
      <c r="F10" s="91"/>
      <c r="G10" s="91"/>
      <c r="H10" s="91"/>
      <c r="I10" s="91"/>
      <c r="J10" s="91"/>
      <c r="K10" s="91"/>
    </row>
    <row r="11" spans="1:11" ht="18">
      <c r="A11" s="91"/>
      <c r="B11" s="99" t="s">
        <v>303</v>
      </c>
      <c r="C11" s="99"/>
      <c r="D11" s="100"/>
      <c r="E11" s="100"/>
      <c r="F11" s="100"/>
      <c r="G11" s="100"/>
      <c r="H11" s="91"/>
      <c r="I11" s="91"/>
      <c r="J11" s="91"/>
      <c r="K11" s="91"/>
    </row>
    <row r="12" spans="1:11" ht="18">
      <c r="A12" s="91"/>
      <c r="B12" s="282" t="str">
        <f>'1- Ex Ante Results'!B19</f>
        <v>CY2022 Q3</v>
      </c>
      <c r="C12" s="101"/>
      <c r="D12" s="100"/>
      <c r="E12" s="100"/>
      <c r="F12" s="100"/>
      <c r="G12" s="100"/>
      <c r="H12" s="91"/>
      <c r="I12" s="91"/>
      <c r="J12" s="91"/>
      <c r="K12" s="91"/>
    </row>
    <row r="13" spans="1:11" s="27" customFormat="1" ht="42">
      <c r="A13" s="96"/>
      <c r="B13" s="25" t="s">
        <v>126</v>
      </c>
      <c r="C13" s="19" t="s">
        <v>288</v>
      </c>
      <c r="D13" s="19" t="s">
        <v>289</v>
      </c>
      <c r="E13" s="19" t="s">
        <v>290</v>
      </c>
      <c r="F13" s="19" t="s">
        <v>291</v>
      </c>
      <c r="G13" s="19" t="s">
        <v>292</v>
      </c>
      <c r="H13" s="96"/>
      <c r="I13" s="96"/>
      <c r="J13" s="96"/>
      <c r="K13" s="96"/>
    </row>
    <row r="14" spans="1:11">
      <c r="A14" s="91"/>
      <c r="B14" s="65" t="s">
        <v>141</v>
      </c>
      <c r="C14" s="74">
        <v>27356150.450000003</v>
      </c>
      <c r="D14" s="75">
        <v>6949809.1399999997</v>
      </c>
      <c r="E14" s="75">
        <f>C14+D14</f>
        <v>34305959.590000004</v>
      </c>
      <c r="F14" s="75">
        <v>0</v>
      </c>
      <c r="G14" s="75">
        <f>SUM(E14,F14)</f>
        <v>34305959.590000004</v>
      </c>
      <c r="H14" s="91"/>
      <c r="I14" s="91"/>
      <c r="J14" s="91"/>
      <c r="K14" s="91"/>
    </row>
    <row r="15" spans="1:11" s="27" customFormat="1">
      <c r="A15" s="96"/>
      <c r="B15" s="65" t="s">
        <v>144</v>
      </c>
      <c r="C15" s="74">
        <v>52071860.044945925</v>
      </c>
      <c r="D15" s="75">
        <v>11471615</v>
      </c>
      <c r="E15" s="75">
        <f t="shared" ref="E15:E25" si="0">C15+D15</f>
        <v>63543475.044945925</v>
      </c>
      <c r="F15" s="75">
        <v>0</v>
      </c>
      <c r="G15" s="75">
        <f t="shared" ref="G15:G25" si="1">SUM(E15,F15)</f>
        <v>63543475.044945925</v>
      </c>
      <c r="H15" s="96"/>
      <c r="I15" s="96"/>
      <c r="J15" s="96"/>
      <c r="K15" s="96"/>
    </row>
    <row r="16" spans="1:11">
      <c r="A16" s="91"/>
      <c r="B16" s="65" t="s">
        <v>147</v>
      </c>
      <c r="C16" s="74">
        <v>75691132.849999994</v>
      </c>
      <c r="D16" s="75">
        <v>28659010.5</v>
      </c>
      <c r="E16" s="75">
        <f t="shared" si="0"/>
        <v>104350143.34999999</v>
      </c>
      <c r="F16" s="75">
        <v>0</v>
      </c>
      <c r="G16" s="75">
        <f t="shared" si="1"/>
        <v>104350143.34999999</v>
      </c>
      <c r="H16" s="91"/>
      <c r="I16" s="91"/>
      <c r="J16" s="91"/>
      <c r="K16" s="91"/>
    </row>
    <row r="17" spans="1:11">
      <c r="A17" s="91"/>
      <c r="B17" s="55" t="s">
        <v>157</v>
      </c>
      <c r="C17" s="159">
        <f>SUM(C14:C16)</f>
        <v>155119143.34494591</v>
      </c>
      <c r="D17" s="159">
        <f>SUM(D14:D16)</f>
        <v>47080434.640000001</v>
      </c>
      <c r="E17" s="159">
        <f t="shared" si="0"/>
        <v>202199577.98494589</v>
      </c>
      <c r="F17" s="159">
        <f>SUM(F14:F16)</f>
        <v>0</v>
      </c>
      <c r="G17" s="159">
        <f t="shared" si="1"/>
        <v>202199577.98494589</v>
      </c>
      <c r="H17" s="91"/>
      <c r="I17" s="91"/>
      <c r="J17" s="91"/>
      <c r="K17" s="91"/>
    </row>
    <row r="18" spans="1:11">
      <c r="A18" s="91"/>
      <c r="B18" s="65" t="s">
        <v>158</v>
      </c>
      <c r="C18" s="74">
        <v>106315194.5</v>
      </c>
      <c r="D18" s="75">
        <v>35049987</v>
      </c>
      <c r="E18" s="75">
        <f t="shared" si="0"/>
        <v>141365181.5</v>
      </c>
      <c r="F18" s="75">
        <v>0</v>
      </c>
      <c r="G18" s="75">
        <f t="shared" si="1"/>
        <v>141365181.5</v>
      </c>
      <c r="H18" s="91"/>
      <c r="I18" s="91"/>
      <c r="J18" s="91"/>
      <c r="K18" s="91"/>
    </row>
    <row r="19" spans="1:11">
      <c r="A19" s="91"/>
      <c r="B19" s="65" t="s">
        <v>159</v>
      </c>
      <c r="C19" s="74">
        <v>107354963.67</v>
      </c>
      <c r="D19" s="75">
        <v>33565649.329999998</v>
      </c>
      <c r="E19" s="75">
        <f t="shared" si="0"/>
        <v>140920613</v>
      </c>
      <c r="F19" s="75">
        <v>31329</v>
      </c>
      <c r="G19" s="75">
        <f t="shared" si="1"/>
        <v>140951942</v>
      </c>
      <c r="H19" s="91"/>
      <c r="I19" s="91"/>
      <c r="J19" s="91"/>
      <c r="K19" s="91"/>
    </row>
    <row r="20" spans="1:11">
      <c r="A20" s="91"/>
      <c r="B20" s="65" t="s">
        <v>161</v>
      </c>
      <c r="C20" s="74">
        <v>124096016.16999999</v>
      </c>
      <c r="D20" s="75">
        <v>31563417</v>
      </c>
      <c r="E20" s="75">
        <f t="shared" si="0"/>
        <v>155659433.16999999</v>
      </c>
      <c r="F20" s="75">
        <v>29469183.289999999</v>
      </c>
      <c r="G20" s="160">
        <f t="shared" si="1"/>
        <v>185128616.45999998</v>
      </c>
      <c r="H20" s="91"/>
      <c r="I20" s="91"/>
      <c r="J20" s="91"/>
      <c r="K20" s="91"/>
    </row>
    <row r="21" spans="1:11">
      <c r="A21" s="91"/>
      <c r="B21" s="55" t="s">
        <v>163</v>
      </c>
      <c r="C21" s="159">
        <f>SUM(C18:C20)</f>
        <v>337766174.34000003</v>
      </c>
      <c r="D21" s="159">
        <f>SUM(D18:D20)</f>
        <v>100179053.33</v>
      </c>
      <c r="E21" s="159">
        <f t="shared" si="0"/>
        <v>437945227.67000002</v>
      </c>
      <c r="F21" s="159">
        <f>SUM(F18:F20)</f>
        <v>29500512.289999999</v>
      </c>
      <c r="G21" s="161">
        <f t="shared" si="1"/>
        <v>467445739.96000004</v>
      </c>
      <c r="H21" s="91"/>
      <c r="I21" s="91"/>
      <c r="J21" s="91"/>
      <c r="K21" s="91"/>
    </row>
    <row r="22" spans="1:11">
      <c r="A22" s="91"/>
      <c r="B22" s="65" t="s">
        <v>164</v>
      </c>
      <c r="C22" s="75">
        <v>128288585</v>
      </c>
      <c r="D22" s="75">
        <v>33728435</v>
      </c>
      <c r="E22" s="75">
        <f t="shared" si="0"/>
        <v>162017020</v>
      </c>
      <c r="F22" s="162">
        <v>39150326.559999995</v>
      </c>
      <c r="G22" s="75">
        <f t="shared" si="1"/>
        <v>201167346.56</v>
      </c>
      <c r="H22" s="91"/>
      <c r="I22" s="91"/>
      <c r="J22" s="91"/>
      <c r="K22" s="91"/>
    </row>
    <row r="23" spans="1:11">
      <c r="A23" s="91"/>
      <c r="B23" s="65" t="s">
        <v>165</v>
      </c>
      <c r="C23" s="75">
        <v>108343594</v>
      </c>
      <c r="D23" s="75">
        <v>3670970</v>
      </c>
      <c r="E23" s="75">
        <f t="shared" si="0"/>
        <v>112014564</v>
      </c>
      <c r="F23" s="162">
        <v>87103873</v>
      </c>
      <c r="G23" s="75">
        <f t="shared" si="1"/>
        <v>199118437</v>
      </c>
      <c r="H23" s="91"/>
      <c r="I23" s="91"/>
      <c r="J23" s="91"/>
      <c r="K23" s="91"/>
    </row>
    <row r="24" spans="1:11">
      <c r="A24" s="91"/>
      <c r="B24" s="65" t="s">
        <v>166</v>
      </c>
      <c r="C24" s="75">
        <v>222451927.53999999</v>
      </c>
      <c r="D24" s="75">
        <v>57854489</v>
      </c>
      <c r="E24" s="75">
        <f t="shared" si="0"/>
        <v>280306416.53999996</v>
      </c>
      <c r="F24" s="162">
        <v>159497825.46000001</v>
      </c>
      <c r="G24" s="160">
        <f t="shared" si="1"/>
        <v>439804242</v>
      </c>
      <c r="H24" s="91"/>
      <c r="I24" s="91"/>
      <c r="J24" s="91"/>
      <c r="K24" s="91"/>
    </row>
    <row r="25" spans="1:11">
      <c r="A25" s="91"/>
      <c r="B25" s="55" t="s">
        <v>167</v>
      </c>
      <c r="C25" s="159">
        <f>SUM(C22:C24)</f>
        <v>459084106.53999996</v>
      </c>
      <c r="D25" s="159">
        <f>SUM(D22:D24)</f>
        <v>95253894</v>
      </c>
      <c r="E25" s="159">
        <f t="shared" si="0"/>
        <v>554338000.53999996</v>
      </c>
      <c r="F25" s="163">
        <f>SUM(F22:F24)</f>
        <v>285752025.01999998</v>
      </c>
      <c r="G25" s="159">
        <f t="shared" si="1"/>
        <v>840090025.55999994</v>
      </c>
      <c r="H25" s="91"/>
      <c r="I25" s="91"/>
      <c r="J25" s="91"/>
      <c r="K25" s="91"/>
    </row>
    <row r="26" spans="1:11" s="27" customFormat="1" ht="38.25" customHeight="1">
      <c r="B26" s="25" t="s">
        <v>126</v>
      </c>
      <c r="C26" s="19" t="s">
        <v>293</v>
      </c>
      <c r="D26" s="19" t="s">
        <v>294</v>
      </c>
      <c r="E26" s="35" t="s">
        <v>15</v>
      </c>
      <c r="F26" s="102"/>
      <c r="G26" s="103"/>
      <c r="H26" s="96"/>
      <c r="I26" s="96"/>
      <c r="J26" s="96"/>
      <c r="K26" s="96"/>
    </row>
    <row r="27" spans="1:11">
      <c r="A27" s="300" t="s">
        <v>168</v>
      </c>
      <c r="B27" s="48">
        <v>2018</v>
      </c>
      <c r="C27" s="164">
        <v>352988359</v>
      </c>
      <c r="D27" s="165">
        <v>351334190</v>
      </c>
      <c r="E27" s="166">
        <f>C27/D27</f>
        <v>1.0047082494305493</v>
      </c>
      <c r="F27" s="104"/>
      <c r="G27" s="105"/>
      <c r="H27" s="91"/>
      <c r="I27" s="91"/>
      <c r="J27" s="91"/>
      <c r="K27" s="91"/>
    </row>
    <row r="28" spans="1:11">
      <c r="A28" s="301"/>
      <c r="B28" s="48">
        <v>2019</v>
      </c>
      <c r="C28" s="164">
        <v>351381796</v>
      </c>
      <c r="D28" s="165">
        <v>351334190</v>
      </c>
      <c r="E28" s="166">
        <f>IF(C28=0,"N/A",C28/D28)</f>
        <v>1.0001355006183714</v>
      </c>
      <c r="F28" s="104"/>
      <c r="G28" s="105"/>
      <c r="H28" s="91"/>
      <c r="I28" s="91"/>
      <c r="J28" s="91"/>
      <c r="K28" s="91"/>
    </row>
    <row r="29" spans="1:11">
      <c r="A29" s="301"/>
      <c r="B29" s="48">
        <v>2020</v>
      </c>
      <c r="C29" s="164">
        <v>346480330</v>
      </c>
      <c r="D29" s="165">
        <v>351334190</v>
      </c>
      <c r="E29" s="166">
        <f>IF(C29=0,"N/A",C29/D29)</f>
        <v>0.98618449288980381</v>
      </c>
      <c r="F29" s="104"/>
      <c r="G29" s="105"/>
      <c r="H29" s="91"/>
      <c r="I29" s="91"/>
      <c r="J29" s="91"/>
      <c r="K29" s="91"/>
    </row>
    <row r="30" spans="1:11">
      <c r="A30" s="301"/>
      <c r="B30" s="48">
        <v>2021</v>
      </c>
      <c r="C30" s="164">
        <v>351037751.65463001</v>
      </c>
      <c r="D30" s="165">
        <v>351334190</v>
      </c>
      <c r="E30" s="166">
        <f>IF(C30=0,"N/A",C30/D30)</f>
        <v>0.99915624965116545</v>
      </c>
      <c r="F30" s="104"/>
      <c r="G30" s="105"/>
      <c r="H30" s="91"/>
      <c r="I30" s="91"/>
      <c r="J30" s="91"/>
      <c r="K30" s="91"/>
    </row>
    <row r="31" spans="1:11">
      <c r="A31" s="302"/>
      <c r="B31" s="55" t="s">
        <v>169</v>
      </c>
      <c r="C31" s="167">
        <f>SUM(C27:C30)</f>
        <v>1401888236.6546299</v>
      </c>
      <c r="D31" s="167">
        <f>SUM(D27:D30)</f>
        <v>1405336760</v>
      </c>
      <c r="E31" s="168">
        <f>IF(C31=0,"N/A",C31/D31)</f>
        <v>0.99754612314747249</v>
      </c>
      <c r="F31" s="104"/>
      <c r="G31" s="105"/>
      <c r="H31" s="91"/>
      <c r="I31" s="91"/>
      <c r="J31" s="91"/>
      <c r="K31" s="91"/>
    </row>
    <row r="32" spans="1:11">
      <c r="A32" s="300" t="s">
        <v>170</v>
      </c>
      <c r="B32" s="48">
        <v>2022</v>
      </c>
      <c r="C32" s="164">
        <f>'2- Costs'!C32</f>
        <v>220495377.14281225</v>
      </c>
      <c r="D32" s="165">
        <f>'2- Costs'!D32</f>
        <v>427470990.62366009</v>
      </c>
      <c r="E32" s="166">
        <f>C32/D32</f>
        <v>0.51581366216481694</v>
      </c>
      <c r="F32" s="105"/>
      <c r="G32" s="105"/>
      <c r="H32" s="91"/>
      <c r="I32" s="91"/>
      <c r="J32" s="91"/>
      <c r="K32" s="91"/>
    </row>
    <row r="33" spans="1:11">
      <c r="A33" s="301"/>
      <c r="B33" s="48">
        <v>2023</v>
      </c>
      <c r="C33" s="164">
        <v>0</v>
      </c>
      <c r="D33" s="165">
        <v>423304298.49758613</v>
      </c>
      <c r="E33" s="166" t="str">
        <f>IF(C33=0,"N/A",C33/D33)</f>
        <v>N/A</v>
      </c>
      <c r="F33" s="91"/>
      <c r="G33" s="91"/>
      <c r="H33" s="91"/>
      <c r="I33" s="91"/>
      <c r="J33" s="91"/>
      <c r="K33" s="91"/>
    </row>
    <row r="34" spans="1:11">
      <c r="A34" s="301"/>
      <c r="B34" s="48">
        <v>2024</v>
      </c>
      <c r="C34" s="164">
        <v>0</v>
      </c>
      <c r="D34" s="165">
        <v>423304298.49758613</v>
      </c>
      <c r="E34" s="166" t="str">
        <f>IF(C34=0,"N/A",C34/D34)</f>
        <v>N/A</v>
      </c>
      <c r="F34" s="91"/>
      <c r="G34" s="91"/>
      <c r="H34" s="91"/>
      <c r="I34" s="91"/>
      <c r="J34" s="91"/>
      <c r="K34" s="91"/>
    </row>
    <row r="35" spans="1:11">
      <c r="A35" s="301"/>
      <c r="B35" s="48">
        <v>2025</v>
      </c>
      <c r="C35" s="164">
        <v>0</v>
      </c>
      <c r="D35" s="165">
        <v>423304298.49758613</v>
      </c>
      <c r="E35" s="166" t="str">
        <f>IF(C35=0,"N/A",C35/D35)</f>
        <v>N/A</v>
      </c>
      <c r="F35" s="91"/>
      <c r="G35" s="91"/>
      <c r="H35" s="91"/>
      <c r="I35" s="91"/>
      <c r="J35" s="91"/>
      <c r="K35" s="91"/>
    </row>
    <row r="36" spans="1:11">
      <c r="A36" s="302"/>
      <c r="B36" s="55" t="s">
        <v>173</v>
      </c>
      <c r="C36" s="167">
        <f>SUM(C32:C35)</f>
        <v>220495377.14281225</v>
      </c>
      <c r="D36" s="167">
        <f>SUM(D32:D35)</f>
        <v>1697383886.1164184</v>
      </c>
      <c r="E36" s="168">
        <f>IF(C36=0,"N/A",C36/D36)</f>
        <v>0.12990306962752041</v>
      </c>
      <c r="F36" s="91"/>
      <c r="G36" s="91"/>
      <c r="H36" s="91"/>
      <c r="I36" s="91"/>
      <c r="J36" s="91"/>
      <c r="K36" s="91"/>
    </row>
    <row r="37" spans="1:11">
      <c r="A37" s="96"/>
      <c r="B37" s="96"/>
      <c r="C37" s="91"/>
      <c r="D37" s="91"/>
      <c r="E37" s="91"/>
      <c r="F37" s="91"/>
      <c r="G37" s="91"/>
      <c r="H37" s="91"/>
      <c r="I37" s="91"/>
      <c r="J37" s="91"/>
      <c r="K37" s="91"/>
    </row>
    <row r="38" spans="1:11">
      <c r="A38" s="91"/>
      <c r="B38" s="96"/>
      <c r="C38" s="91"/>
      <c r="D38" s="91"/>
      <c r="E38" s="91"/>
      <c r="F38" s="91"/>
      <c r="G38" s="91"/>
      <c r="H38" s="91"/>
      <c r="I38" s="91"/>
      <c r="J38" s="91"/>
      <c r="K38" s="91"/>
    </row>
    <row r="39" spans="1:11">
      <c r="A39" s="91"/>
      <c r="B39" s="96"/>
      <c r="C39" s="91"/>
      <c r="D39" s="91"/>
      <c r="E39" s="91"/>
      <c r="F39" s="91"/>
      <c r="G39" s="91"/>
      <c r="H39" s="91"/>
      <c r="I39" s="91"/>
      <c r="J39" s="91"/>
      <c r="K39" s="91"/>
    </row>
    <row r="40" spans="1:11">
      <c r="A40" s="91"/>
      <c r="B40" s="96"/>
      <c r="C40" s="91"/>
      <c r="D40" s="91"/>
      <c r="E40" s="91"/>
      <c r="F40" s="91"/>
      <c r="G40" s="91"/>
      <c r="H40" s="91"/>
      <c r="I40" s="91"/>
      <c r="J40" s="91"/>
      <c r="K40" s="91"/>
    </row>
    <row r="41" spans="1:11">
      <c r="A41" s="91"/>
      <c r="B41" s="96"/>
      <c r="C41" s="91"/>
      <c r="D41" s="91"/>
      <c r="E41" s="91"/>
      <c r="F41" s="91"/>
      <c r="G41" s="91"/>
      <c r="H41" s="91"/>
      <c r="I41" s="91"/>
      <c r="J41" s="91"/>
      <c r="K41" s="91"/>
    </row>
    <row r="42" spans="1:11">
      <c r="A42" s="91"/>
      <c r="B42" s="96"/>
      <c r="C42" s="91"/>
      <c r="D42" s="91"/>
      <c r="E42" s="91"/>
      <c r="F42" s="91"/>
      <c r="G42" s="91"/>
      <c r="H42" s="91"/>
      <c r="I42" s="91"/>
      <c r="J42" s="91"/>
      <c r="K42" s="91"/>
    </row>
  </sheetData>
  <mergeCells count="3">
    <mergeCell ref="B5:G9"/>
    <mergeCell ref="A32:A36"/>
    <mergeCell ref="A27:A31"/>
  </mergeCells>
  <printOptions horizontalCentered="1" headings="1"/>
  <pageMargins left="1" right="1" top="1.25" bottom="0.5" header="0.5" footer="0.5"/>
  <pageSetup scale="10" orientation="portrait" r:id="rId1"/>
  <headerFooter scaleWithDoc="0">
    <oddHeader>&amp;R&amp;"Times New Roman,Bold"&amp;10ICC Docket No. 21-0155
Statewide Quarterly Report
ComEd 2022 Q3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6" ma:contentTypeDescription="Create a new document." ma:contentTypeScope="" ma:versionID="39094f409d08f88dfb98ba93f713b5c1">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023fd4964b5278e897164156faec4d73"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CB91CF-5463-483A-B537-8D7B40E18DFE}">
  <ds:schemaRefs>
    <ds:schemaRef ds:uri="http://schemas.microsoft.com/sharepoint/v3/contenttype/forms"/>
  </ds:schemaRefs>
</ds:datastoreItem>
</file>

<file path=customXml/itemProps2.xml><?xml version="1.0" encoding="utf-8"?>
<ds:datastoreItem xmlns:ds="http://schemas.openxmlformats.org/officeDocument/2006/customXml" ds:itemID="{7D265358-A200-4181-99F2-5390B7D0CBB5}">
  <ds:schemaRefs>
    <ds:schemaRef ds:uri="34179d51-dc0c-413e-aa1e-3fce419c532c"/>
    <ds:schemaRef ds:uri="36036ecd-8164-441f-a01a-9502deb9fecc"/>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FCF6DD7-B95A-4A2D-965C-940095C3A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Ex Ante Results</vt:lpstr>
      <vt:lpstr>2- Costs</vt:lpstr>
      <vt:lpstr>3- Energy</vt:lpstr>
      <vt:lpstr>4- Other</vt:lpstr>
      <vt:lpstr>5- CPAS</vt:lpstr>
      <vt:lpstr>6- Historical Costs</vt:lpstr>
      <vt:lpstr>'1- Ex Ante Results'!Print_Area</vt:lpstr>
      <vt:lpstr>'2- Costs'!Print_Area</vt:lpstr>
      <vt:lpstr>'3- Energy'!Print_Area</vt:lpstr>
      <vt:lpstr>'6- Historical Costs'!Print_Area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 Consulting</dc:creator>
  <cp:keywords/>
  <dc:description/>
  <cp:lastModifiedBy>CJ Consulting</cp:lastModifiedBy>
  <dcterms:created xsi:type="dcterms:W3CDTF">2022-12-21T21:02:41Z</dcterms:created>
  <dcterms:modified xsi:type="dcterms:W3CDTF">2022-12-21T21:02:42Z</dcterms:modified>
  <cp:category/>
  <cp:contentStatus/>
</cp:coreProperties>
</file>