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ComEd/ComEd 2021/"/>
    </mc:Choice>
  </mc:AlternateContent>
  <xr:revisionPtr revIDLastSave="0" documentId="8_{572BFCF5-1A6A-456A-89EE-30469BE35E12}" xr6:coauthVersionLast="47" xr6:coauthVersionMax="47" xr10:uidLastSave="{00000000-0000-0000-0000-000000000000}"/>
  <bookViews>
    <workbookView xWindow="28680" yWindow="-120" windowWidth="29040" windowHeight="15840" tabRatio="601" xr2:uid="{00000000-000D-0000-FFFF-FFFF00000000}"/>
  </bookViews>
  <sheets>
    <sheet name="1- Ex Ante Results" sheetId="1" r:id="rId1"/>
    <sheet name="2- Costs" sheetId="2" r:id="rId2"/>
    <sheet name="3- Energy" sheetId="3" r:id="rId3"/>
    <sheet name="4- Other" sheetId="4" r:id="rId4"/>
    <sheet name="5- CPAS" sheetId="7" r:id="rId5"/>
    <sheet name="6- Historical Costs" sheetId="8" r:id="rId6"/>
  </sheets>
  <definedNames>
    <definedName name="_xlnm._FilterDatabase" localSheetId="0" hidden="1">'1- Ex Ante Results'!$B$20:$M$119</definedName>
    <definedName name="_xlnm.Print_Area" localSheetId="0">'1- Ex Ante Results'!$A$1:$M$128</definedName>
    <definedName name="_xlnm.Print_Area" localSheetId="5">'6- Historical Costs'!$A$1:$G$31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9" i="8" l="1"/>
  <c r="E28" i="8"/>
  <c r="E27" i="8"/>
  <c r="D27" i="8"/>
  <c r="D31" i="8" s="1"/>
  <c r="F25" i="8"/>
  <c r="D25" i="8"/>
  <c r="C25" i="8"/>
  <c r="E25" i="8" s="1"/>
  <c r="G25" i="8" s="1"/>
  <c r="E24" i="8"/>
  <c r="G24" i="8" s="1"/>
  <c r="E23" i="8"/>
  <c r="G23" i="8" s="1"/>
  <c r="G22" i="8"/>
  <c r="E22" i="8"/>
  <c r="F21" i="8"/>
  <c r="D21" i="8"/>
  <c r="C21" i="8"/>
  <c r="E21" i="8" s="1"/>
  <c r="G21" i="8" s="1"/>
  <c r="G20" i="8"/>
  <c r="E20" i="8"/>
  <c r="E19" i="8"/>
  <c r="G19" i="8" s="1"/>
  <c r="E18" i="8"/>
  <c r="G18" i="8" s="1"/>
  <c r="G17" i="8"/>
  <c r="F17" i="8"/>
  <c r="E17" i="8"/>
  <c r="D17" i="8"/>
  <c r="C17" i="8"/>
  <c r="E16" i="8"/>
  <c r="G16" i="8" s="1"/>
  <c r="E15" i="8"/>
  <c r="G15" i="8" s="1"/>
  <c r="E14" i="8"/>
  <c r="G14" i="8" s="1"/>
  <c r="E34" i="7"/>
  <c r="E33" i="7"/>
  <c r="E23" i="7"/>
  <c r="E24" i="7" s="1"/>
  <c r="E26" i="7" s="1"/>
  <c r="E37" i="7" s="1"/>
  <c r="E18" i="7"/>
  <c r="E27" i="7" s="1"/>
  <c r="P26" i="4"/>
  <c r="P25" i="4"/>
  <c r="P24" i="4"/>
  <c r="P23" i="4"/>
  <c r="L21" i="4"/>
  <c r="M18" i="4"/>
  <c r="L18" i="4"/>
  <c r="O16" i="4"/>
  <c r="N16" i="4"/>
  <c r="M16" i="4"/>
  <c r="L16" i="4"/>
  <c r="K16" i="4"/>
  <c r="J16" i="4"/>
  <c r="I16" i="4"/>
  <c r="H16" i="4"/>
  <c r="G16" i="4"/>
  <c r="F16" i="4"/>
  <c r="E16" i="4"/>
  <c r="D16" i="4"/>
  <c r="O15" i="4"/>
  <c r="N15" i="4"/>
  <c r="M15" i="4"/>
  <c r="L15" i="4"/>
  <c r="K15" i="4"/>
  <c r="J15" i="4"/>
  <c r="I15" i="4"/>
  <c r="H15" i="4"/>
  <c r="G15" i="4"/>
  <c r="F15" i="4"/>
  <c r="E15" i="4"/>
  <c r="D15" i="4"/>
  <c r="O14" i="4"/>
  <c r="N14" i="4"/>
  <c r="M14" i="4"/>
  <c r="L14" i="4"/>
  <c r="K14" i="4"/>
  <c r="J14" i="4"/>
  <c r="I14" i="4"/>
  <c r="H14" i="4"/>
  <c r="G14" i="4"/>
  <c r="F14" i="4"/>
  <c r="E14" i="4"/>
  <c r="D14" i="4"/>
  <c r="O13" i="4"/>
  <c r="N13" i="4"/>
  <c r="M13" i="4"/>
  <c r="L13" i="4"/>
  <c r="K13" i="4"/>
  <c r="J13" i="4"/>
  <c r="I13" i="4"/>
  <c r="H13" i="4"/>
  <c r="G13" i="4"/>
  <c r="F13" i="4"/>
  <c r="E13" i="4"/>
  <c r="D13" i="4"/>
  <c r="E30" i="3"/>
  <c r="F29" i="3"/>
  <c r="F28" i="3"/>
  <c r="G28" i="3" s="1"/>
  <c r="F27" i="3"/>
  <c r="G27" i="3" s="1"/>
  <c r="F26" i="3"/>
  <c r="G26" i="3" s="1"/>
  <c r="E25" i="3"/>
  <c r="D25" i="3"/>
  <c r="F24" i="3"/>
  <c r="G24" i="3" s="1"/>
  <c r="F23" i="3"/>
  <c r="G23" i="3" s="1"/>
  <c r="F22" i="3"/>
  <c r="G22" i="3" s="1"/>
  <c r="F21" i="3"/>
  <c r="E21" i="3"/>
  <c r="D21" i="3"/>
  <c r="G21" i="3" s="1"/>
  <c r="G20" i="3"/>
  <c r="F19" i="3"/>
  <c r="G19" i="3" s="1"/>
  <c r="F18" i="3"/>
  <c r="G18" i="3" s="1"/>
  <c r="E17" i="3"/>
  <c r="D17" i="3"/>
  <c r="F16" i="3"/>
  <c r="G16" i="3" s="1"/>
  <c r="F15" i="3"/>
  <c r="G15" i="3" s="1"/>
  <c r="G14" i="3"/>
  <c r="F14" i="3"/>
  <c r="F17" i="3" s="1"/>
  <c r="G17" i="3" s="1"/>
  <c r="C23" i="2"/>
  <c r="C16" i="2"/>
  <c r="G118" i="1"/>
  <c r="G117" i="1"/>
  <c r="E117" i="1"/>
  <c r="L116" i="1"/>
  <c r="K116" i="1"/>
  <c r="I116" i="1"/>
  <c r="H116" i="1"/>
  <c r="M116" i="1" s="1"/>
  <c r="G116" i="1"/>
  <c r="F116" i="1"/>
  <c r="D116" i="1"/>
  <c r="E116" i="1" s="1"/>
  <c r="C116" i="1"/>
  <c r="M115" i="1"/>
  <c r="G114" i="1"/>
  <c r="E114" i="1"/>
  <c r="M113" i="1"/>
  <c r="J113" i="1"/>
  <c r="J116" i="1" s="1"/>
  <c r="E113" i="1"/>
  <c r="L111" i="1"/>
  <c r="K111" i="1"/>
  <c r="H111" i="1"/>
  <c r="M111" i="1" s="1"/>
  <c r="F111" i="1"/>
  <c r="D111" i="1"/>
  <c r="C111" i="1"/>
  <c r="G111" i="1" s="1"/>
  <c r="M110" i="1"/>
  <c r="J110" i="1"/>
  <c r="G110" i="1"/>
  <c r="E110" i="1"/>
  <c r="M109" i="1"/>
  <c r="J109" i="1"/>
  <c r="G109" i="1"/>
  <c r="E109" i="1"/>
  <c r="M108" i="1"/>
  <c r="J108" i="1"/>
  <c r="G108" i="1"/>
  <c r="E108" i="1"/>
  <c r="M107" i="1"/>
  <c r="I107" i="1"/>
  <c r="J107" i="1" s="1"/>
  <c r="G107" i="1"/>
  <c r="E107" i="1"/>
  <c r="M106" i="1"/>
  <c r="J106" i="1"/>
  <c r="I106" i="1"/>
  <c r="G106" i="1"/>
  <c r="E106" i="1"/>
  <c r="M105" i="1"/>
  <c r="I105" i="1"/>
  <c r="J105" i="1" s="1"/>
  <c r="G105" i="1"/>
  <c r="E105" i="1"/>
  <c r="M104" i="1"/>
  <c r="J104" i="1"/>
  <c r="I104" i="1"/>
  <c r="G104" i="1"/>
  <c r="E104" i="1"/>
  <c r="M103" i="1"/>
  <c r="I103" i="1"/>
  <c r="J103" i="1" s="1"/>
  <c r="G103" i="1"/>
  <c r="E103" i="1"/>
  <c r="M102" i="1"/>
  <c r="J102" i="1"/>
  <c r="I102" i="1"/>
  <c r="G102" i="1"/>
  <c r="E102" i="1"/>
  <c r="M101" i="1"/>
  <c r="I101" i="1"/>
  <c r="J101" i="1" s="1"/>
  <c r="G101" i="1"/>
  <c r="E101" i="1"/>
  <c r="M100" i="1"/>
  <c r="J100" i="1"/>
  <c r="I100" i="1"/>
  <c r="G100" i="1"/>
  <c r="E100" i="1"/>
  <c r="M99" i="1"/>
  <c r="I99" i="1"/>
  <c r="J99" i="1" s="1"/>
  <c r="G99" i="1"/>
  <c r="E99" i="1"/>
  <c r="M98" i="1"/>
  <c r="J98" i="1"/>
  <c r="I98" i="1"/>
  <c r="G98" i="1"/>
  <c r="E98" i="1"/>
  <c r="M97" i="1"/>
  <c r="I97" i="1"/>
  <c r="J97" i="1" s="1"/>
  <c r="J111" i="1" s="1"/>
  <c r="G97" i="1"/>
  <c r="E97" i="1"/>
  <c r="E111" i="1" s="1"/>
  <c r="L95" i="1"/>
  <c r="K95" i="1"/>
  <c r="H95" i="1"/>
  <c r="M95" i="1" s="1"/>
  <c r="F95" i="1"/>
  <c r="G95" i="1" s="1"/>
  <c r="D95" i="1"/>
  <c r="C95" i="1"/>
  <c r="J94" i="1"/>
  <c r="E94" i="1"/>
  <c r="M93" i="1"/>
  <c r="J93" i="1"/>
  <c r="E93" i="1"/>
  <c r="M92" i="1"/>
  <c r="J92" i="1"/>
  <c r="I92" i="1"/>
  <c r="G92" i="1"/>
  <c r="E92" i="1"/>
  <c r="M91" i="1"/>
  <c r="I91" i="1"/>
  <c r="J91" i="1" s="1"/>
  <c r="G91" i="1"/>
  <c r="E91" i="1"/>
  <c r="M90" i="1"/>
  <c r="J90" i="1"/>
  <c r="I90" i="1"/>
  <c r="G90" i="1"/>
  <c r="E90" i="1"/>
  <c r="M89" i="1"/>
  <c r="I89" i="1"/>
  <c r="J89" i="1" s="1"/>
  <c r="J95" i="1" s="1"/>
  <c r="G89" i="1"/>
  <c r="E89" i="1"/>
  <c r="E95" i="1" s="1"/>
  <c r="L87" i="1"/>
  <c r="F87" i="1"/>
  <c r="D87" i="1"/>
  <c r="E87" i="1" s="1"/>
  <c r="C87" i="1"/>
  <c r="G87" i="1" s="1"/>
  <c r="M86" i="1"/>
  <c r="J86" i="1"/>
  <c r="E86" i="1"/>
  <c r="M85" i="1"/>
  <c r="J85" i="1"/>
  <c r="I85" i="1"/>
  <c r="M84" i="1"/>
  <c r="I84" i="1"/>
  <c r="J84" i="1" s="1"/>
  <c r="G84" i="1"/>
  <c r="E84" i="1"/>
  <c r="M83" i="1"/>
  <c r="J83" i="1"/>
  <c r="I83" i="1"/>
  <c r="G83" i="1"/>
  <c r="E83" i="1"/>
  <c r="M82" i="1"/>
  <c r="I82" i="1"/>
  <c r="J82" i="1" s="1"/>
  <c r="G82" i="1"/>
  <c r="E82" i="1"/>
  <c r="M81" i="1"/>
  <c r="J81" i="1"/>
  <c r="I81" i="1"/>
  <c r="G81" i="1"/>
  <c r="E81" i="1"/>
  <c r="M80" i="1"/>
  <c r="I80" i="1"/>
  <c r="J80" i="1" s="1"/>
  <c r="E80" i="1"/>
  <c r="M79" i="1"/>
  <c r="I79" i="1"/>
  <c r="J79" i="1" s="1"/>
  <c r="G79" i="1"/>
  <c r="E79" i="1"/>
  <c r="M78" i="1"/>
  <c r="J78" i="1"/>
  <c r="I78" i="1"/>
  <c r="E78" i="1"/>
  <c r="M77" i="1"/>
  <c r="J77" i="1"/>
  <c r="I77" i="1"/>
  <c r="I87" i="1" s="1"/>
  <c r="G77" i="1"/>
  <c r="E77" i="1"/>
  <c r="L76" i="1"/>
  <c r="K76" i="1"/>
  <c r="K87" i="1" s="1"/>
  <c r="H76" i="1"/>
  <c r="H87" i="1" s="1"/>
  <c r="G76" i="1"/>
  <c r="E76" i="1"/>
  <c r="H74" i="1"/>
  <c r="C14" i="2" s="1"/>
  <c r="D74" i="1"/>
  <c r="M73" i="1"/>
  <c r="J73" i="1"/>
  <c r="E73" i="1"/>
  <c r="M72" i="1"/>
  <c r="J72" i="1"/>
  <c r="E72" i="1"/>
  <c r="M71" i="1"/>
  <c r="I71" i="1"/>
  <c r="J71" i="1" s="1"/>
  <c r="J36" i="1" s="1"/>
  <c r="G71" i="1"/>
  <c r="E71" i="1"/>
  <c r="E36" i="1" s="1"/>
  <c r="M70" i="1"/>
  <c r="J70" i="1"/>
  <c r="G70" i="1"/>
  <c r="E70" i="1"/>
  <c r="M69" i="1"/>
  <c r="J69" i="1"/>
  <c r="I69" i="1"/>
  <c r="G69" i="1"/>
  <c r="E69" i="1"/>
  <c r="M68" i="1"/>
  <c r="J68" i="1"/>
  <c r="G68" i="1"/>
  <c r="E68" i="1"/>
  <c r="M67" i="1"/>
  <c r="I67" i="1"/>
  <c r="I32" i="1" s="1"/>
  <c r="G67" i="1"/>
  <c r="E67" i="1"/>
  <c r="M66" i="1"/>
  <c r="J66" i="1"/>
  <c r="I66" i="1"/>
  <c r="G66" i="1"/>
  <c r="E66" i="1"/>
  <c r="M65" i="1"/>
  <c r="J65" i="1"/>
  <c r="I65" i="1"/>
  <c r="G65" i="1"/>
  <c r="E65" i="1"/>
  <c r="M64" i="1"/>
  <c r="J64" i="1"/>
  <c r="I64" i="1"/>
  <c r="G64" i="1"/>
  <c r="E64" i="1"/>
  <c r="M63" i="1"/>
  <c r="I63" i="1"/>
  <c r="J63" i="1" s="1"/>
  <c r="G63" i="1"/>
  <c r="E63" i="1"/>
  <c r="M62" i="1"/>
  <c r="J62" i="1"/>
  <c r="J27" i="1" s="1"/>
  <c r="I62" i="1"/>
  <c r="G62" i="1"/>
  <c r="E62" i="1"/>
  <c r="M61" i="1"/>
  <c r="I61" i="1"/>
  <c r="J61" i="1" s="1"/>
  <c r="G61" i="1"/>
  <c r="E61" i="1"/>
  <c r="M60" i="1"/>
  <c r="J60" i="1"/>
  <c r="G60" i="1"/>
  <c r="E60" i="1"/>
  <c r="M59" i="1"/>
  <c r="J59" i="1"/>
  <c r="I59" i="1"/>
  <c r="G59" i="1"/>
  <c r="E59" i="1"/>
  <c r="M58" i="1"/>
  <c r="I58" i="1"/>
  <c r="J58" i="1" s="1"/>
  <c r="J23" i="1" s="1"/>
  <c r="G58" i="1"/>
  <c r="E58" i="1"/>
  <c r="L57" i="1"/>
  <c r="L74" i="1" s="1"/>
  <c r="K57" i="1"/>
  <c r="K74" i="1" s="1"/>
  <c r="H57" i="1"/>
  <c r="F57" i="1"/>
  <c r="F74" i="1" s="1"/>
  <c r="E57" i="1"/>
  <c r="E74" i="1" s="1"/>
  <c r="C57" i="1"/>
  <c r="C22" i="1" s="1"/>
  <c r="C39" i="1" s="1"/>
  <c r="H56" i="1"/>
  <c r="F56" i="1"/>
  <c r="D56" i="1"/>
  <c r="M55" i="1"/>
  <c r="L55" i="1"/>
  <c r="J55" i="1"/>
  <c r="J38" i="1" s="1"/>
  <c r="H55" i="1"/>
  <c r="E55" i="1"/>
  <c r="M54" i="1"/>
  <c r="J54" i="1"/>
  <c r="E54" i="1"/>
  <c r="M53" i="1"/>
  <c r="J53" i="1"/>
  <c r="G53" i="1"/>
  <c r="E53" i="1"/>
  <c r="M52" i="1"/>
  <c r="J52" i="1"/>
  <c r="G52" i="1"/>
  <c r="E52" i="1"/>
  <c r="M51" i="1"/>
  <c r="J51" i="1"/>
  <c r="G51" i="1"/>
  <c r="E51" i="1"/>
  <c r="M50" i="1"/>
  <c r="I50" i="1"/>
  <c r="J50" i="1" s="1"/>
  <c r="G50" i="1"/>
  <c r="E50" i="1"/>
  <c r="M49" i="1"/>
  <c r="J49" i="1"/>
  <c r="J31" i="1" s="1"/>
  <c r="I49" i="1"/>
  <c r="G49" i="1"/>
  <c r="E49" i="1"/>
  <c r="M48" i="1"/>
  <c r="I48" i="1"/>
  <c r="J48" i="1" s="1"/>
  <c r="J30" i="1" s="1"/>
  <c r="G48" i="1"/>
  <c r="E48" i="1"/>
  <c r="M47" i="1"/>
  <c r="J47" i="1"/>
  <c r="J29" i="1" s="1"/>
  <c r="I47" i="1"/>
  <c r="G47" i="1"/>
  <c r="E47" i="1"/>
  <c r="M46" i="1"/>
  <c r="I46" i="1"/>
  <c r="J46" i="1" s="1"/>
  <c r="J28" i="1" s="1"/>
  <c r="G46" i="1"/>
  <c r="E46" i="1"/>
  <c r="M45" i="1"/>
  <c r="J45" i="1"/>
  <c r="I45" i="1"/>
  <c r="G45" i="1"/>
  <c r="E45" i="1"/>
  <c r="M44" i="1"/>
  <c r="I44" i="1"/>
  <c r="I26" i="1" s="1"/>
  <c r="G44" i="1"/>
  <c r="E44" i="1"/>
  <c r="M43" i="1"/>
  <c r="J43" i="1"/>
  <c r="I43" i="1"/>
  <c r="G43" i="1"/>
  <c r="E43" i="1"/>
  <c r="M42" i="1"/>
  <c r="J42" i="1"/>
  <c r="I42" i="1"/>
  <c r="G42" i="1"/>
  <c r="E42" i="1"/>
  <c r="M41" i="1"/>
  <c r="J41" i="1"/>
  <c r="I41" i="1"/>
  <c r="G41" i="1"/>
  <c r="E41" i="1"/>
  <c r="M40" i="1"/>
  <c r="L40" i="1"/>
  <c r="L56" i="1" s="1"/>
  <c r="K40" i="1"/>
  <c r="K56" i="1" s="1"/>
  <c r="H40" i="1"/>
  <c r="G40" i="1"/>
  <c r="F40" i="1"/>
  <c r="E40" i="1"/>
  <c r="E56" i="1" s="1"/>
  <c r="C40" i="1"/>
  <c r="C56" i="1" s="1"/>
  <c r="G56" i="1" s="1"/>
  <c r="L38" i="1"/>
  <c r="M38" i="1" s="1"/>
  <c r="K38" i="1"/>
  <c r="I38" i="1"/>
  <c r="H38" i="1"/>
  <c r="E38" i="1"/>
  <c r="M37" i="1"/>
  <c r="L37" i="1"/>
  <c r="K37" i="1"/>
  <c r="J37" i="1"/>
  <c r="I37" i="1"/>
  <c r="H37" i="1"/>
  <c r="E37" i="1"/>
  <c r="L36" i="1"/>
  <c r="M36" i="1" s="1"/>
  <c r="K36" i="1"/>
  <c r="I36" i="1"/>
  <c r="H36" i="1"/>
  <c r="F36" i="1"/>
  <c r="G36" i="1" s="1"/>
  <c r="D36" i="1"/>
  <c r="C36" i="1"/>
  <c r="M35" i="1"/>
  <c r="L35" i="1"/>
  <c r="K35" i="1"/>
  <c r="J35" i="1"/>
  <c r="I35" i="1"/>
  <c r="H35" i="1"/>
  <c r="G35" i="1"/>
  <c r="F35" i="1"/>
  <c r="E35" i="1"/>
  <c r="D35" i="1"/>
  <c r="C35" i="1"/>
  <c r="L34" i="1"/>
  <c r="M34" i="1" s="1"/>
  <c r="K34" i="1"/>
  <c r="J34" i="1"/>
  <c r="I34" i="1"/>
  <c r="H34" i="1"/>
  <c r="G34" i="1"/>
  <c r="F34" i="1"/>
  <c r="D34" i="1"/>
  <c r="E34" i="1" s="1"/>
  <c r="C34" i="1"/>
  <c r="M33" i="1"/>
  <c r="L33" i="1"/>
  <c r="K33" i="1"/>
  <c r="J33" i="1"/>
  <c r="I33" i="1"/>
  <c r="H33" i="1"/>
  <c r="F33" i="1"/>
  <c r="E33" i="1"/>
  <c r="D33" i="1"/>
  <c r="C33" i="1"/>
  <c r="G33" i="1" s="1"/>
  <c r="L32" i="1"/>
  <c r="K32" i="1"/>
  <c r="H32" i="1"/>
  <c r="M32" i="1" s="1"/>
  <c r="F32" i="1"/>
  <c r="G32" i="1" s="1"/>
  <c r="E32" i="1"/>
  <c r="D32" i="1"/>
  <c r="C32" i="1"/>
  <c r="M31" i="1"/>
  <c r="L31" i="1"/>
  <c r="K31" i="1"/>
  <c r="I31" i="1"/>
  <c r="H31" i="1"/>
  <c r="F31" i="1"/>
  <c r="G31" i="1" s="1"/>
  <c r="E31" i="1"/>
  <c r="D31" i="1"/>
  <c r="C31" i="1"/>
  <c r="L30" i="1"/>
  <c r="M30" i="1" s="1"/>
  <c r="K30" i="1"/>
  <c r="H30" i="1"/>
  <c r="F30" i="1"/>
  <c r="G30" i="1" s="1"/>
  <c r="D30" i="1"/>
  <c r="E30" i="1" s="1"/>
  <c r="C30" i="1"/>
  <c r="M29" i="1"/>
  <c r="L29" i="1"/>
  <c r="K29" i="1"/>
  <c r="I29" i="1"/>
  <c r="H29" i="1"/>
  <c r="G29" i="1"/>
  <c r="F29" i="1"/>
  <c r="E29" i="1"/>
  <c r="D29" i="1"/>
  <c r="C29" i="1"/>
  <c r="L28" i="1"/>
  <c r="M28" i="1" s="1"/>
  <c r="K28" i="1"/>
  <c r="I28" i="1"/>
  <c r="H28" i="1"/>
  <c r="F28" i="1"/>
  <c r="G28" i="1" s="1"/>
  <c r="D28" i="1"/>
  <c r="E28" i="1" s="1"/>
  <c r="C28" i="1"/>
  <c r="M27" i="1"/>
  <c r="L27" i="1"/>
  <c r="K27" i="1"/>
  <c r="I27" i="1"/>
  <c r="H27" i="1"/>
  <c r="G27" i="1"/>
  <c r="F27" i="1"/>
  <c r="E27" i="1"/>
  <c r="D27" i="1"/>
  <c r="C27" i="1"/>
  <c r="L26" i="1"/>
  <c r="M26" i="1" s="1"/>
  <c r="H26" i="1"/>
  <c r="G26" i="1"/>
  <c r="F26" i="1"/>
  <c r="E26" i="1"/>
  <c r="C26" i="1"/>
  <c r="M25" i="1"/>
  <c r="L25" i="1"/>
  <c r="J25" i="1"/>
  <c r="I25" i="1"/>
  <c r="H25" i="1"/>
  <c r="G25" i="1"/>
  <c r="F25" i="1"/>
  <c r="E25" i="1"/>
  <c r="C25" i="1"/>
  <c r="L24" i="1"/>
  <c r="M24" i="1" s="1"/>
  <c r="J24" i="1"/>
  <c r="I24" i="1"/>
  <c r="H24" i="1"/>
  <c r="G24" i="1"/>
  <c r="F24" i="1"/>
  <c r="E24" i="1"/>
  <c r="C24" i="1"/>
  <c r="M23" i="1"/>
  <c r="L23" i="1"/>
  <c r="I23" i="1"/>
  <c r="H23" i="1"/>
  <c r="F23" i="1"/>
  <c r="G23" i="1" s="1"/>
  <c r="E23" i="1"/>
  <c r="C23" i="1"/>
  <c r="L22" i="1"/>
  <c r="L39" i="1" s="1"/>
  <c r="L119" i="1" s="1"/>
  <c r="K22" i="1"/>
  <c r="K39" i="1" s="1"/>
  <c r="K119" i="1" s="1"/>
  <c r="H22" i="1"/>
  <c r="H39" i="1" s="1"/>
  <c r="F22" i="1"/>
  <c r="F39" i="1" s="1"/>
  <c r="F119" i="1" s="1"/>
  <c r="D22" i="1"/>
  <c r="D39" i="1" s="1"/>
  <c r="D119" i="1" s="1"/>
  <c r="C15" i="2" l="1"/>
  <c r="M87" i="1"/>
  <c r="J32" i="1"/>
  <c r="M56" i="1"/>
  <c r="G25" i="3"/>
  <c r="H119" i="1"/>
  <c r="M119" i="1" s="1"/>
  <c r="M39" i="1"/>
  <c r="G39" i="1"/>
  <c r="C119" i="1"/>
  <c r="E35" i="7"/>
  <c r="E22" i="1"/>
  <c r="E39" i="1" s="1"/>
  <c r="E119" i="1" s="1"/>
  <c r="M22" i="1"/>
  <c r="J44" i="1"/>
  <c r="J26" i="1" s="1"/>
  <c r="M57" i="1"/>
  <c r="J67" i="1"/>
  <c r="J76" i="1"/>
  <c r="J87" i="1" s="1"/>
  <c r="I111" i="1"/>
  <c r="C18" i="2"/>
  <c r="F30" i="3"/>
  <c r="I40" i="1"/>
  <c r="G22" i="1"/>
  <c r="G57" i="1"/>
  <c r="C74" i="1"/>
  <c r="G74" i="1" s="1"/>
  <c r="I95" i="1"/>
  <c r="C21" i="2"/>
  <c r="C26" i="2" s="1"/>
  <c r="M76" i="1"/>
  <c r="F25" i="3"/>
  <c r="I30" i="1"/>
  <c r="I57" i="1"/>
  <c r="I74" i="1" s="1"/>
  <c r="M74" i="1"/>
  <c r="C13" i="2"/>
  <c r="C19" i="2" s="1"/>
  <c r="G119" i="1" l="1"/>
  <c r="E29" i="7"/>
  <c r="E28" i="7"/>
  <c r="D29" i="3"/>
  <c r="P12" i="4"/>
  <c r="J40" i="1"/>
  <c r="J22" i="1" s="1"/>
  <c r="J39" i="1" s="1"/>
  <c r="J119" i="1" s="1"/>
  <c r="I22" i="1"/>
  <c r="I39" i="1" s="1"/>
  <c r="I119" i="1" s="1"/>
  <c r="I56" i="1"/>
  <c r="J56" i="1" s="1"/>
  <c r="C27" i="2"/>
  <c r="C32" i="2" s="1"/>
  <c r="J57" i="1"/>
  <c r="J74" i="1" s="1"/>
  <c r="P16" i="4" l="1"/>
  <c r="P14" i="4"/>
  <c r="P15" i="4"/>
  <c r="P13" i="4"/>
  <c r="D30" i="3"/>
  <c r="G30" i="3" s="1"/>
  <c r="G29" i="3"/>
  <c r="E30" i="7"/>
  <c r="E36" i="7"/>
  <c r="E38" i="7" s="1"/>
  <c r="E39" i="7" s="1"/>
  <c r="C30" i="8"/>
  <c r="E32" i="2"/>
  <c r="C31" i="8" l="1"/>
  <c r="E31" i="8" s="1"/>
  <c r="E30" i="8"/>
</calcChain>
</file>

<file path=xl/sharedStrings.xml><?xml version="1.0" encoding="utf-8"?>
<sst xmlns="http://schemas.openxmlformats.org/spreadsheetml/2006/main" count="452" uniqueCount="321">
  <si>
    <t>Statewide Quarterly Report Template</t>
  </si>
  <si>
    <t>Tab 1: Ex Ante Results</t>
  </si>
  <si>
    <t>Final (updated 01-19-2022)</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</si>
  <si>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</si>
  <si>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</si>
  <si>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1"/>
        <color rgb="FFFF0000"/>
        <rFont val="Century Gothic"/>
        <family val="2"/>
      </rPr>
      <t xml:space="preserve">ComEd </t>
    </r>
    <r>
      <rPr>
        <b/>
        <sz val="11"/>
        <color theme="1"/>
        <rFont val="Century Gothic"/>
        <family val="2"/>
      </rPr>
      <t>Ex Ante Results - Section 8-103B/8-104 (EEPS) Programs</t>
    </r>
    <r>
      <rPr>
        <b/>
        <sz val="11"/>
        <color rgb="FFFF0000"/>
        <rFont val="Century Gothic"/>
        <family val="2"/>
      </rPr>
      <t xml:space="preserve"> CY2021 Q4</t>
    </r>
  </si>
  <si>
    <t xml:space="preserve"> Section 8-103B/8-104
(EEPS) Program</t>
  </si>
  <si>
    <t>Net Energy Savings Achieved
(MWh)</t>
  </si>
  <si>
    <t>2021 Original Plan 
Savings Goal
(MWh)****</t>
  </si>
  <si>
    <t>Approved Net Energy Savings Goal (MWh)***</t>
  </si>
  <si>
    <t>Implementation Plan Savings Goal
(MWh)</t>
  </si>
  <si>
    <t>% Savings Achieved Compared to Implementation Plan Savings Goal</t>
  </si>
  <si>
    <t>Program Costs YTD</t>
  </si>
  <si>
    <t>Incentive Costs YTD</t>
  </si>
  <si>
    <t>Non-Incentive Costs YTD*****</t>
  </si>
  <si>
    <t>2021 Original Plan 
Budget*</t>
  </si>
  <si>
    <t>2021
Approved Budget**</t>
  </si>
  <si>
    <t>% of Costs YTD Compared to Approved Budget</t>
  </si>
  <si>
    <t>Commercial &amp; Industrial Programs</t>
  </si>
  <si>
    <t>Incentives</t>
  </si>
  <si>
    <t>Standard</t>
  </si>
  <si>
    <t>N/A</t>
  </si>
  <si>
    <t>Custom</t>
  </si>
  <si>
    <t>Data Center</t>
  </si>
  <si>
    <t>Combined Heat &amp; Power</t>
  </si>
  <si>
    <t>Small Business</t>
  </si>
  <si>
    <t>Business Instant Discounts</t>
  </si>
  <si>
    <t>AirCare Plus</t>
  </si>
  <si>
    <t>New Construction</t>
  </si>
  <si>
    <t>Industrial Systems</t>
  </si>
  <si>
    <t>Retro-commissioning</t>
  </si>
  <si>
    <t>Strategic Energy Management</t>
  </si>
  <si>
    <t>LED Streetlighting</t>
  </si>
  <si>
    <t>Operational Savings</t>
  </si>
  <si>
    <t>Public Housing Retrofits</t>
  </si>
  <si>
    <t>Business Outreach</t>
  </si>
  <si>
    <t>Business General</t>
  </si>
  <si>
    <t>C&amp;I Programs Subtotal</t>
  </si>
  <si>
    <t>Incentives - Private</t>
  </si>
  <si>
    <t>Standard - Private</t>
  </si>
  <si>
    <t>Custom - Private</t>
  </si>
  <si>
    <t>Data Center - Private</t>
  </si>
  <si>
    <t>Combined Heat &amp; Power- Private</t>
  </si>
  <si>
    <t>Small Business - Private</t>
  </si>
  <si>
    <t>Business Instant Discounts - Private</t>
  </si>
  <si>
    <t>AirCare Plus - Private</t>
  </si>
  <si>
    <t>New Construction - Private</t>
  </si>
  <si>
    <t>Industrial Systems - Private</t>
  </si>
  <si>
    <t>Retro-commissioning - Private</t>
  </si>
  <si>
    <t xml:space="preserve">Strategic Energy Management - Private </t>
  </si>
  <si>
    <t>LED Streetlighting - Private</t>
  </si>
  <si>
    <t>Operational Savings/Facility Assessment - Private</t>
  </si>
  <si>
    <t>Private Sector Outreach</t>
  </si>
  <si>
    <t>Private Sector General</t>
  </si>
  <si>
    <t>C&amp;I Programs - Private Sector Total</t>
  </si>
  <si>
    <t>Incentives - Public</t>
  </si>
  <si>
    <t>Standard - Public</t>
  </si>
  <si>
    <t>Custom - Public</t>
  </si>
  <si>
    <t>Data Center - Public</t>
  </si>
  <si>
    <t>Combined Heat &amp; Power- Public</t>
  </si>
  <si>
    <t>Small Facilities - Public</t>
  </si>
  <si>
    <t>Business Instant Discounts - Public</t>
  </si>
  <si>
    <t>AirCare Plus - Public</t>
  </si>
  <si>
    <t>New Construction - Public</t>
  </si>
  <si>
    <t>Industrial Systems - Public</t>
  </si>
  <si>
    <t>Retro-commissioning - Public</t>
  </si>
  <si>
    <t>Strategic Energy Management - Public</t>
  </si>
  <si>
    <t>LED Streetlighting - Public</t>
  </si>
  <si>
    <t>Operational Savings - Public</t>
  </si>
  <si>
    <t>Public Sector Outreach</t>
  </si>
  <si>
    <t>Public Sector General</t>
  </si>
  <si>
    <t>C&amp;I Programs - Public Sector Total</t>
  </si>
  <si>
    <t>Residential Programs</t>
  </si>
  <si>
    <t>Residential Behavior</t>
  </si>
  <si>
    <t>Residential Lighting Discounts</t>
  </si>
  <si>
    <t>Marketplace 2.0 Lighting Discounts</t>
  </si>
  <si>
    <t>Appliance Rebates</t>
  </si>
  <si>
    <t>Marketplace 2.0 Appliance Rebates</t>
  </si>
  <si>
    <t>Fridge &amp; Freezer Recycling</t>
  </si>
  <si>
    <t>Home Energy Assessment</t>
  </si>
  <si>
    <t>Multi-Family Assessments</t>
  </si>
  <si>
    <t xml:space="preserve">Residential HVAC </t>
  </si>
  <si>
    <t>Residential New Construction</t>
  </si>
  <si>
    <t>Residential General</t>
  </si>
  <si>
    <t>Residential Programs Subtotal</t>
  </si>
  <si>
    <t>Income Qualified Programs</t>
  </si>
  <si>
    <t>Income Eligible Product Discounts</t>
  </si>
  <si>
    <t>Single-Family Retrofits (IHWAP+IEMS)</t>
  </si>
  <si>
    <t>Multi-Family Retrofits (IHWAP+IEMS)</t>
  </si>
  <si>
    <t>Affordable Housing New Construction</t>
  </si>
  <si>
    <t>Income Eligible Outreach</t>
  </si>
  <si>
    <t>Income Eligible General</t>
  </si>
  <si>
    <t>Income Qualified Programs Subtotal</t>
  </si>
  <si>
    <t>Third Party Programs (Section 8-103B - Beginning in 2021)</t>
  </si>
  <si>
    <t>Third Party New Manufactured Homes</t>
  </si>
  <si>
    <t>Third Party Existing Manufactured Homes</t>
  </si>
  <si>
    <t>Grocery Offering</t>
  </si>
  <si>
    <t>Food Bank LED Distribution</t>
  </si>
  <si>
    <t>Non Profit Offering NPO</t>
  </si>
  <si>
    <t>Income Eligible Kits/Energy Savings Kits IE/UIC Low Income</t>
  </si>
  <si>
    <t>Agriculture</t>
  </si>
  <si>
    <t>Telecom</t>
  </si>
  <si>
    <t>Small Business Kits</t>
  </si>
  <si>
    <t>Public Building Safety in Distressed Communities</t>
  </si>
  <si>
    <t>Elementary Energy Education</t>
  </si>
  <si>
    <t>NTC Middle School Kits</t>
  </si>
  <si>
    <t>Third Party Programs</t>
  </si>
  <si>
    <t>Third Party Income Eligible</t>
  </si>
  <si>
    <t>Third Party Programs (Section 8-103B - Beginning in 2021) Subtotal</t>
  </si>
  <si>
    <t>Demonstration of Breakthrough Equipment and Devices</t>
  </si>
  <si>
    <t>Emerging Technology/R&amp;D</t>
  </si>
  <si>
    <t>Voltage Optimization</t>
  </si>
  <si>
    <t>Business Energy Analyzer/Optimization</t>
  </si>
  <si>
    <t>Demonstration of Breakthrough Equipment and Devices Subtotal</t>
  </si>
  <si>
    <r>
      <t>Therm Conversion</t>
    </r>
    <r>
      <rPr>
        <b/>
        <vertAlign val="superscript"/>
        <sz val="10"/>
        <rFont val="Century Gothic"/>
        <family val="2"/>
      </rPr>
      <t>5</t>
    </r>
  </si>
  <si>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</si>
  <si>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</si>
  <si>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</si>
  <si>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</si>
  <si>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</si>
  <si>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</si>
  <si>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</si>
  <si>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*****Because actual incentive costs are not available until year-end, estimates are provided in the Incentive Costs YTD column for Q4. A blended rate of 60.4% is applied to all programs that typically have incentive costs; this excludes behavioral programs, voltage optimization, emerging technology, market transformation, outreach, general, and portfolio-level costs.</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</si>
  <si>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</si>
  <si>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</si>
  <si>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CY2021 Q4</t>
    </r>
  </si>
  <si>
    <t>Section 8-103B/8-104 (EEPS) Cost Category</t>
  </si>
  <si>
    <t xml:space="preserve"> 2021
Actual Costs YTD</t>
  </si>
  <si>
    <t>Program Costs by Sector</t>
  </si>
  <si>
    <t>C&amp;I Programs (Private Sector)</t>
  </si>
  <si>
    <t xml:space="preserve">Public Sector Programs </t>
  </si>
  <si>
    <t>Market Transformation Programs</t>
  </si>
  <si>
    <t>Third Party Programs (Beginning in 2021)</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</si>
  <si>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</si>
  <si>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</si>
  <si>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</si>
  <si>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</si>
  <si>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</si>
  <si>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</si>
  <si>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</si>
  <si>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</si>
  <si>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</si>
  <si>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CY2021 Q4</t>
    </r>
  </si>
  <si>
    <t>Overall Total Costs</t>
  </si>
  <si>
    <t>2021
Actual Costs YTD</t>
  </si>
  <si>
    <t>2021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</si>
  <si>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</si>
  <si>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</si>
  <si>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FF0000"/>
        <rFont val="Century Gothic"/>
        <family val="2"/>
      </rPr>
      <t>ComEd</t>
    </r>
    <r>
      <rPr>
        <b/>
        <sz val="11"/>
        <rFont val="Century Gothic"/>
        <family val="2"/>
      </rPr>
      <t xml:space="preserve"> Section 8-103B/8-104 (EEPS) Energy Saved (MWh) as of </t>
    </r>
    <r>
      <rPr>
        <b/>
        <sz val="11"/>
        <color rgb="FFFF0000"/>
        <rFont val="Century Gothic"/>
        <family val="2"/>
      </rPr>
      <t>CY2021 Q4</t>
    </r>
  </si>
  <si>
    <t xml:space="preserve">IL Department of Commerce and Economic Opportunity Energy Saved (MWh) </t>
  </si>
  <si>
    <t>Program Year</t>
  </si>
  <si>
    <t>Evaluation Status
(Ex Ante, Verified***, or ICC Approved)</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</si>
  <si>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</si>
  <si>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</si>
  <si>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</si>
  <si>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</si>
  <si>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</si>
  <si>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</si>
  <si>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</si>
  <si>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</si>
  <si>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</si>
  <si>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</si>
  <si>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</si>
  <si>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</si>
  <si>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</si>
  <si>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</si>
  <si>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</si>
  <si>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</si>
  <si>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</si>
  <si>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</si>
  <si>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</si>
  <si>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</si>
  <si>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</si>
  <si>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</si>
  <si>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</si>
  <si>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</si>
  <si>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</si>
  <si>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</si>
  <si>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</si>
  <si>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</si>
  <si>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</si>
  <si>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</si>
  <si>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</si>
  <si>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</si>
  <si>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</si>
  <si>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</si>
  <si>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</si>
  <si>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</si>
  <si>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</si>
  <si>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</si>
  <si>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</si>
  <si>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</si>
  <si>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Ex Ante</t>
  </si>
  <si>
    <t>2018-2021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</si>
  <si>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</si>
  <si>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</si>
  <si>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</si>
  <si>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</si>
  <si>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</si>
  <si>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CY2021 Q4</t>
    </r>
  </si>
  <si>
    <t>Performance Metrics (Equivalents)*</t>
  </si>
  <si>
    <t>EPY9/
GPY6****</t>
  </si>
  <si>
    <t>CY2018</t>
  </si>
  <si>
    <t>CY2019</t>
  </si>
  <si>
    <t>CY2020</t>
  </si>
  <si>
    <t>CY2021</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</si>
  <si>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</si>
  <si>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</si>
  <si>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</si>
  <si>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</si>
  <si>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</si>
  <si>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</si>
  <si>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</si>
  <si>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</si>
  <si>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</si>
  <si>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</si>
  <si>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</si>
  <si>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</si>
  <si>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</si>
  <si>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</si>
  <si>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</si>
  <si>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</si>
  <si>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</si>
  <si>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</si>
  <si>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</si>
  <si>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</si>
  <si>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</si>
  <si>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</si>
  <si>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</si>
  <si>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</si>
  <si>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</si>
  <si>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</si>
  <si>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Includes Single Family Retrofits (CBA+IHWAP), Multi Family Retrofits (IEMS+IHWAP), Affordable Housing, Public Housing Retrofits, IE Kits.  Excludes Lighting Discounts and Food Bank.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</si>
  <si>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</si>
  <si>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</si>
  <si>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</si>
  <si>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</si>
  <si>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</si>
  <si>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</si>
  <si>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</si>
  <si>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</si>
  <si>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</si>
  <si>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</si>
  <si>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</si>
  <si>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CY2021 Q4</t>
    </r>
  </si>
  <si>
    <r>
      <t xml:space="preserve">Cumulative Persisting Annual Savings (CPAS) Goal Progress </t>
    </r>
    <r>
      <rPr>
        <b/>
        <sz val="11"/>
        <color rgb="FFFF0000"/>
        <rFont val="Century Gothic"/>
        <family val="2"/>
      </rPr>
      <t>CY2021 Q4</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</si>
  <si>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</si>
  <si>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</si>
  <si>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</si>
  <si>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</si>
  <si>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</si>
  <si>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</si>
  <si>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</si>
  <si>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</si>
  <si>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</si>
  <si>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</si>
  <si>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</si>
  <si>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</si>
  <si>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</si>
  <si>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</si>
  <si>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</si>
  <si>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</si>
  <si>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</si>
  <si>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</si>
  <si>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</si>
  <si>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</si>
  <si>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</si>
  <si>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</si>
  <si>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</si>
  <si>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</si>
  <si>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</si>
  <si>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</si>
  <si>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</si>
  <si>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</si>
  <si>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</si>
  <si>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</si>
  <si>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</si>
  <si>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</si>
  <si>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</si>
  <si>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</si>
  <si>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</si>
  <si>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</si>
  <si>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</si>
  <si>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</si>
  <si>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</si>
  <si>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</si>
  <si>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</si>
  <si>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</si>
  <si>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</si>
  <si>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</si>
  <si>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</si>
  <si>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 o * b</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</si>
  <si>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</si>
  <si>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</si>
  <si>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</si>
  <si>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</si>
  <si>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</si>
  <si>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</si>
  <si>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</si>
  <si>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</si>
  <si>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</si>
  <si>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</si>
  <si>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</si>
  <si>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</si>
  <si>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</si>
  <si>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</si>
  <si>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</si>
  <si>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</si>
  <si>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</si>
  <si>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</si>
  <si>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*Savings from Measures Installed post-2017 Expiring in Current Year per Navigant's 4/1 draft summary evaluation report. These are subject to change once evaluation is finalized.</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</si>
  <si>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</si>
  <si>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</si>
  <si>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FF0000"/>
        <rFont val="Century Gothic"/>
        <family val="2"/>
      </rPr>
      <t>ComEd</t>
    </r>
    <r>
      <rPr>
        <b/>
        <sz val="11"/>
        <rFont val="Century Gothic"/>
        <family val="2"/>
      </rPr>
      <t xml:space="preserve"> Service Territory Historical Energy Efficiency Costs as of</t>
    </r>
    <r>
      <rPr>
        <b/>
        <sz val="11"/>
        <color rgb="FFFF0000"/>
        <rFont val="Century Gothic"/>
        <family val="2"/>
      </rPr>
      <t xml:space="preserve"> Q4 2021</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</si>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</sst>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s>
  <fonts count="40" x14ac:knownFonts="1">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vertAlign val="superscript"/>
      <sz val="10"/>
      <name val="Century Gothic"/>
      <family val="2"/>
    </font>
    <font>
      <b/>
      <sz val="11"/>
      <color theme="1"/>
      <name val="Calibri"/>
      <family val="2"/>
      <scheme val="minor"/>
    </font>
    <font>
      <b/>
      <i/>
      <sz val="10"/>
      <name val="Century Gothic"/>
      <family val="2"/>
    </font>
    <font>
      <sz val="11"/>
      <color rgb="FFFF0000"/>
      <name val="Calibri"/>
      <family val="2"/>
      <scheme val="minor"/>
    </font>
    <font>
      <sz val="8"/>
      <color theme="1"/>
      <name val="Calibri"/>
      <family val="2"/>
      <scheme val="minor"/>
    </font>
    <font>
      <b/>
      <sz val="8"/>
      <color rgb="FFFF0000"/>
      <name val="Century Gothic"/>
      <family val="2"/>
    </font>
    <font>
      <sz val="8"/>
      <color rgb="FF000000"/>
      <name val="Calibri"/>
      <family val="2"/>
    </font>
    <font>
      <b/>
      <i/>
      <sz val="11"/>
      <name val="Century Gothic"/>
      <family val="2"/>
    </font>
    <font>
      <i/>
      <sz val="11"/>
      <name val="Century Gothic"/>
      <family val="2"/>
    </font>
    <font>
      <sz val="9"/>
      <color rgb="FF404040"/>
      <name val="Verdana"/>
      <family val="2"/>
    </font>
    <font>
      <b/>
      <sz val="10"/>
      <color rgb="FF000000"/>
      <name val="Century Gothic"/>
      <family val="2"/>
    </font>
    <font>
      <b/>
      <sz val="11"/>
      <color rgb="FFFF0000"/>
      <name val="Calibri"/>
      <family val="2"/>
      <scheme val="minor"/>
    </font>
    <font>
      <sz val="11"/>
      <color theme="1"/>
      <name val="Calibri"/>
      <family val="2"/>
      <scheme val="minor"/>
    </font>
  </fonts>
  <fills count="17">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2828150273141E-2"/>
        <bgColor indexed="64"/>
      </patternFill>
    </fill>
    <fill>
      <patternFill patternType="solid">
        <fgColor theme="0" tint="-0.14993743705557422"/>
        <bgColor indexed="64"/>
      </patternFill>
    </fill>
    <fill>
      <patternFill patternType="solid">
        <fgColor theme="0" tint="-0.3499252296517838"/>
        <bgColor indexed="64"/>
      </patternFill>
    </fill>
    <fill>
      <patternFill patternType="solid">
        <fgColor theme="0" tint="-0.49992370372631001"/>
        <bgColor indexed="64"/>
      </patternFill>
    </fill>
    <fill>
      <patternFill patternType="solid">
        <fgColor rgb="FFFFC000"/>
        <bgColor indexed="64"/>
      </patternFill>
    </fill>
    <fill>
      <patternFill patternType="solid">
        <fgColor theme="8" tint="0.59993285927915285"/>
        <bgColor indexed="64"/>
      </patternFill>
    </fill>
    <fill>
      <patternFill patternType="solid">
        <fgColor theme="0" tint="-0.24991607409894101"/>
        <bgColor indexed="64"/>
      </patternFill>
    </fill>
    <fill>
      <patternFill patternType="solid">
        <fgColor theme="4" tint="0.79995117038483843"/>
        <bgColor indexed="64"/>
      </patternFill>
    </fill>
    <fill>
      <patternFill patternType="solid">
        <fgColor theme="7" tint="0.59996337778862885"/>
        <bgColor indexed="64"/>
      </patternFill>
    </fill>
    <fill>
      <patternFill patternType="solid">
        <fgColor rgb="FFFFFF00"/>
        <bgColor indexed="64"/>
      </patternFill>
    </fill>
    <fill>
      <patternFill patternType="solid">
        <fgColor rgb="FFFFFFFF"/>
        <bgColor indexed="64"/>
      </patternFill>
    </fill>
    <fill>
      <patternFill patternType="solid">
        <fgColor theme="1" tint="0.34998626667073579"/>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CACACA"/>
      </left>
      <right style="thin">
        <color rgb="FFCACACA"/>
      </right>
      <top style="thin">
        <color rgb="FFCACACA"/>
      </top>
      <bottom style="thin">
        <color rgb="FFCACACA"/>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CACACA"/>
      </left>
      <right style="thin">
        <color rgb="FFCACACA"/>
      </right>
      <top style="thin">
        <color rgb="FFCACACA"/>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7">
    <xf numFmtId="0" fontId="0" fillId="0" borderId="0"/>
    <xf numFmtId="9" fontId="39" fillId="0" borderId="0" applyFont="0" applyFill="0" applyBorder="0" applyAlignment="0" applyProtection="0"/>
    <xf numFmtId="44" fontId="39" fillId="0" borderId="0" applyFont="0" applyFill="0" applyBorder="0" applyAlignment="0" applyProtection="0"/>
    <xf numFmtId="42" fontId="1" fillId="0" borderId="0" applyFont="0" applyFill="0" applyBorder="0" applyAlignment="0" applyProtection="0"/>
    <xf numFmtId="43" fontId="39"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cellStyleXfs>
  <cellXfs count="335">
    <xf numFmtId="0" fontId="0" fillId="0" borderId="0" xfId="0"/>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3" fillId="4" borderId="4" xfId="0" applyFont="1" applyFill="1" applyBorder="1" applyAlignment="1">
      <alignment horizontal="left" vertical="center"/>
    </xf>
    <xf numFmtId="0" fontId="3" fillId="4" borderId="3" xfId="0" applyFont="1" applyFill="1" applyBorder="1" applyAlignment="1">
      <alignment horizontal="left" vertical="center"/>
    </xf>
    <xf numFmtId="0" fontId="3" fillId="4" borderId="2" xfId="0" applyFont="1" applyFill="1" applyBorder="1" applyAlignment="1">
      <alignment horizontal="left" vertical="center"/>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6" fillId="0" borderId="0" xfId="0" applyFont="1"/>
    <xf numFmtId="0" fontId="8" fillId="0" borderId="0" xfId="0" applyFont="1"/>
    <xf numFmtId="0" fontId="9" fillId="3" borderId="1" xfId="0" applyFont="1" applyFill="1" applyBorder="1" applyAlignment="1">
      <alignment horizontal="center" vertical="center" wrapText="1"/>
    </xf>
    <xf numFmtId="0" fontId="7" fillId="0" borderId="1" xfId="0" applyFont="1" applyBorder="1"/>
    <xf numFmtId="0" fontId="12" fillId="0" borderId="0" xfId="0" applyFont="1"/>
    <xf numFmtId="0" fontId="13" fillId="0" borderId="0" xfId="0" applyFont="1"/>
    <xf numFmtId="0" fontId="8" fillId="0" borderId="0" xfId="0" applyFont="1" applyAlignment="1">
      <alignment horizontal="justify" vertical="center"/>
    </xf>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11" fillId="0" borderId="0" xfId="0" applyFont="1" applyAlignment="1">
      <alignment horizontal="center"/>
    </xf>
    <xf numFmtId="3" fontId="5" fillId="0" borderId="0" xfId="0" applyNumberFormat="1" applyFont="1" applyAlignment="1">
      <alignment horizontal="center"/>
    </xf>
    <xf numFmtId="0" fontId="9" fillId="3" borderId="1" xfId="0" applyFont="1" applyFill="1" applyBorder="1" applyAlignment="1">
      <alignment horizontal="center" vertical="center"/>
    </xf>
    <xf numFmtId="165" fontId="5" fillId="0" borderId="1" xfId="4" applyNumberFormat="1" applyFont="1" applyBorder="1"/>
    <xf numFmtId="0" fontId="0" fillId="0" borderId="0" xfId="0" applyAlignment="1">
      <alignment vertical="center"/>
    </xf>
    <xf numFmtId="0" fontId="9" fillId="3" borderId="1" xfId="0" applyFont="1" applyFill="1" applyBorder="1" applyAlignment="1">
      <alignment vertical="center"/>
    </xf>
    <xf numFmtId="0" fontId="4" fillId="0" borderId="0" xfId="0" applyFont="1"/>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7" fillId="0" borderId="0" xfId="0" applyFont="1"/>
    <xf numFmtId="0" fontId="10" fillId="0" borderId="0" xfId="0" applyFont="1"/>
    <xf numFmtId="3" fontId="10" fillId="0" borderId="0" xfId="0" applyNumberFormat="1" applyFont="1" applyAlignment="1">
      <alignment horizontal="center"/>
    </xf>
    <xf numFmtId="1" fontId="10" fillId="0" borderId="0" xfId="0" applyNumberFormat="1" applyFont="1" applyAlignment="1">
      <alignment horizontal="center"/>
    </xf>
    <xf numFmtId="0" fontId="10" fillId="0" borderId="0" xfId="0" applyFont="1" applyAlignment="1">
      <alignment horizontal="center"/>
    </xf>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4" fillId="0" borderId="0" xfId="0" applyFont="1" applyAlignment="1">
      <alignment horizontal="left" wrapText="1"/>
    </xf>
    <xf numFmtId="0" fontId="3" fillId="0" borderId="0" xfId="0" applyFont="1" applyAlignment="1">
      <alignment horizontal="left" wrapText="1"/>
    </xf>
    <xf numFmtId="37" fontId="4" fillId="0" borderId="0" xfId="4" applyNumberFormat="1" applyFont="1" applyFill="1" applyBorder="1" applyAlignment="1">
      <alignment horizontal="center"/>
    </xf>
    <xf numFmtId="9" fontId="4" fillId="0" borderId="0" xfId="0" applyNumberFormat="1" applyFont="1" applyAlignment="1">
      <alignment horizontal="center"/>
    </xf>
    <xf numFmtId="164" fontId="4" fillId="0" borderId="0" xfId="0" applyNumberFormat="1" applyFont="1"/>
    <xf numFmtId="0" fontId="12" fillId="0" borderId="0" xfId="0" applyFont="1" applyAlignment="1">
      <alignment vertical="center"/>
    </xf>
    <xf numFmtId="0" fontId="16" fillId="3" borderId="1" xfId="0" applyFont="1" applyFill="1" applyBorder="1" applyAlignment="1">
      <alignment horizontal="center" vertical="center" wrapText="1"/>
    </xf>
    <xf numFmtId="0" fontId="17"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3" fontId="7" fillId="0" borderId="0" xfId="0" applyNumberFormat="1" applyFont="1" applyAlignment="1">
      <alignment horizontal="center"/>
    </xf>
    <xf numFmtId="1" fontId="7" fillId="0" borderId="0" xfId="0" applyNumberFormat="1" applyFont="1" applyAlignment="1">
      <alignment horizontal="center"/>
    </xf>
    <xf numFmtId="0" fontId="7" fillId="0" borderId="0" xfId="0" applyFont="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7" fillId="0" borderId="1" xfId="2" applyNumberFormat="1" applyFont="1" applyBorder="1"/>
    <xf numFmtId="0" fontId="7" fillId="0" borderId="1" xfId="0" applyFont="1" applyBorder="1" applyAlignment="1">
      <alignment horizontal="left" vertical="center" wrapText="1"/>
    </xf>
    <xf numFmtId="164" fontId="7" fillId="0" borderId="1" xfId="2" applyNumberFormat="1" applyFont="1" applyFill="1" applyBorder="1"/>
    <xf numFmtId="0" fontId="7" fillId="0" borderId="0" xfId="0" applyFont="1" applyAlignment="1">
      <alignment horizontal="left" vertical="center" wrapText="1"/>
    </xf>
    <xf numFmtId="0" fontId="7" fillId="0" borderId="1" xfId="0" applyFont="1" applyBorder="1" applyAlignment="1">
      <alignment wrapText="1"/>
    </xf>
    <xf numFmtId="0" fontId="7" fillId="0" borderId="1" xfId="0" applyFont="1" applyBorder="1" applyAlignment="1">
      <alignment vertical="center"/>
    </xf>
    <xf numFmtId="9" fontId="5" fillId="0" borderId="0" xfId="0" applyNumberFormat="1" applyFont="1" applyAlignment="1">
      <alignment horizont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165" fontId="5" fillId="0" borderId="1" xfId="4" applyNumberFormat="1" applyFont="1" applyBorder="1" applyAlignment="1">
      <alignment vertical="center"/>
    </xf>
    <xf numFmtId="165" fontId="5" fillId="0" borderId="1" xfId="4" applyNumberFormat="1" applyFont="1" applyBorder="1" applyAlignment="1">
      <alignment horizontal="right" vertical="center"/>
    </xf>
    <xf numFmtId="0" fontId="4" fillId="0" borderId="0" xfId="0" applyFont="1" applyAlignment="1">
      <alignment vertical="center" wrapText="1"/>
    </xf>
    <xf numFmtId="0" fontId="6" fillId="0" borderId="0" xfId="0" applyFont="1" applyAlignment="1">
      <alignment vertical="center"/>
    </xf>
    <xf numFmtId="0" fontId="3" fillId="2" borderId="1" xfId="0" applyFont="1" applyFill="1" applyBorder="1" applyAlignment="1">
      <alignment horizontal="left" vertical="center" wrapText="1"/>
    </xf>
    <xf numFmtId="0" fontId="6" fillId="0" borderId="0" xfId="0" applyFont="1" applyAlignment="1">
      <alignment wrapText="1"/>
    </xf>
    <xf numFmtId="0" fontId="4" fillId="0" borderId="0" xfId="0" applyFont="1" applyAlignment="1">
      <alignment horizontal="left" vertical="center" wrapText="1"/>
    </xf>
    <xf numFmtId="0" fontId="12" fillId="4" borderId="1" xfId="0" applyFont="1" applyFill="1" applyBorder="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left" vertical="center"/>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3" fillId="7" borderId="1" xfId="0" applyFont="1" applyFill="1" applyBorder="1" applyAlignment="1">
      <alignment horizontal="left" vertical="center" wrapText="1"/>
    </xf>
    <xf numFmtId="0" fontId="20" fillId="5" borderId="1" xfId="0" applyFont="1" applyFill="1" applyBorder="1" applyAlignment="1">
      <alignment horizontal="right" wrapText="1"/>
    </xf>
    <xf numFmtId="0" fontId="21" fillId="0" borderId="0" xfId="0" applyFont="1"/>
    <xf numFmtId="0" fontId="23" fillId="0" borderId="0" xfId="0" applyFont="1"/>
    <xf numFmtId="0" fontId="7" fillId="0" borderId="0" xfId="0" applyFont="1" applyAlignment="1">
      <alignment vertical="center"/>
    </xf>
    <xf numFmtId="0" fontId="5" fillId="0" borderId="1" xfId="0" applyFont="1" applyBorder="1"/>
    <xf numFmtId="0" fontId="5" fillId="8" borderId="1" xfId="0" applyFont="1" applyFill="1" applyBorder="1"/>
    <xf numFmtId="0" fontId="5" fillId="0" borderId="0" xfId="0" applyFont="1" applyAlignment="1">
      <alignment horizontal="center"/>
    </xf>
    <xf numFmtId="9" fontId="5" fillId="0" borderId="0" xfId="1" applyFont="1"/>
    <xf numFmtId="0" fontId="5" fillId="0" borderId="0" xfId="0" quotePrefix="1" applyFont="1"/>
    <xf numFmtId="0" fontId="24" fillId="0" borderId="0" xfId="0" applyFont="1"/>
    <xf numFmtId="0" fontId="24" fillId="0" borderId="0" xfId="0" applyFont="1" applyAlignment="1">
      <alignment horizontal="center"/>
    </xf>
    <xf numFmtId="0" fontId="22" fillId="0" borderId="0" xfId="0" applyFont="1"/>
    <xf numFmtId="0" fontId="5" fillId="9" borderId="1" xfId="0" quotePrefix="1" applyFont="1" applyFill="1" applyBorder="1" applyAlignment="1">
      <alignment vertical="center"/>
    </xf>
    <xf numFmtId="0" fontId="5" fillId="0" borderId="1" xfId="0" applyFont="1" applyBorder="1" applyAlignment="1">
      <alignment horizontal="center" vertical="center"/>
    </xf>
    <xf numFmtId="165" fontId="5" fillId="9" borderId="1" xfId="0" applyNumberFormat="1" applyFont="1" applyFill="1" applyBorder="1" applyAlignment="1">
      <alignment horizontal="center" vertical="center"/>
    </xf>
    <xf numFmtId="166" fontId="5" fillId="9" borderId="1" xfId="1" applyNumberFormat="1" applyFont="1" applyFill="1" applyBorder="1" applyAlignment="1">
      <alignment horizontal="center" vertical="center"/>
    </xf>
    <xf numFmtId="0" fontId="11" fillId="0" borderId="1" xfId="0" applyFont="1" applyBorder="1" applyAlignment="1">
      <alignment horizontal="center" vertical="center" wrapText="1"/>
    </xf>
    <xf numFmtId="9" fontId="6" fillId="9" borderId="1" xfId="1" applyFont="1"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3" fontId="3" fillId="2" borderId="1" xfId="0" applyNumberFormat="1" applyFont="1" applyFill="1" applyBorder="1" applyAlignment="1">
      <alignment horizontal="right"/>
    </xf>
    <xf numFmtId="165" fontId="15" fillId="0" borderId="1" xfId="6" applyNumberFormat="1" applyFont="1" applyBorder="1" applyAlignment="1" applyProtection="1">
      <alignment horizontal="left" vertical="center"/>
    </xf>
    <xf numFmtId="165" fontId="5" fillId="0" borderId="1" xfId="4" applyNumberFormat="1" applyFont="1" applyBorder="1" applyAlignment="1">
      <alignment horizontal="left" vertical="center"/>
    </xf>
    <xf numFmtId="3" fontId="3" fillId="7" borderId="1" xfId="0" applyNumberFormat="1" applyFont="1" applyFill="1" applyBorder="1" applyAlignment="1">
      <alignment horizontal="right" wrapText="1"/>
    </xf>
    <xf numFmtId="164" fontId="3" fillId="7" borderId="1" xfId="2" applyNumberFormat="1" applyFont="1" applyFill="1" applyBorder="1" applyAlignment="1">
      <alignment horizontal="right" wrapText="1"/>
    </xf>
    <xf numFmtId="3" fontId="2" fillId="0" borderId="1" xfId="0" applyNumberFormat="1" applyFont="1" applyBorder="1" applyAlignment="1">
      <alignment horizontal="right"/>
    </xf>
    <xf numFmtId="3" fontId="2" fillId="0" borderId="1" xfId="4" applyNumberFormat="1" applyFont="1" applyFill="1" applyBorder="1" applyAlignment="1">
      <alignment horizontal="right"/>
    </xf>
    <xf numFmtId="0" fontId="2" fillId="0" borderId="1" xfId="0" applyFont="1" applyBorder="1" applyAlignment="1">
      <alignment horizontal="right" wrapText="1"/>
    </xf>
    <xf numFmtId="164" fontId="3" fillId="2" borderId="1" xfId="2" applyNumberFormat="1" applyFont="1" applyFill="1" applyBorder="1" applyAlignment="1">
      <alignment horizontal="right"/>
    </xf>
    <xf numFmtId="3" fontId="2" fillId="0" borderId="1" xfId="0" applyNumberFormat="1" applyFont="1" applyBorder="1" applyAlignment="1">
      <alignment horizontal="center"/>
    </xf>
    <xf numFmtId="164" fontId="2" fillId="0" borderId="1" xfId="2" applyNumberFormat="1" applyFont="1" applyBorder="1" applyAlignment="1">
      <alignment horizontal="right"/>
    </xf>
    <xf numFmtId="164" fontId="7" fillId="0" borderId="1" xfId="2" applyNumberFormat="1" applyFont="1" applyFill="1" applyBorder="1" applyAlignment="1">
      <alignment horizontal="left"/>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8" fillId="5" borderId="1" xfId="0" applyNumberFormat="1" applyFont="1" applyFill="1" applyBorder="1" applyAlignment="1">
      <alignment vertical="center" wrapText="1"/>
    </xf>
    <xf numFmtId="0" fontId="2" fillId="0" borderId="1" xfId="0" applyFont="1" applyBorder="1" applyAlignment="1">
      <alignment horizontal="left" wrapText="1" indent="1"/>
    </xf>
    <xf numFmtId="0" fontId="20" fillId="0" borderId="1" xfId="0" applyFont="1" applyBorder="1" applyAlignment="1">
      <alignment horizontal="left" wrapText="1" indent="1"/>
    </xf>
    <xf numFmtId="164" fontId="0" fillId="0" borderId="0" xfId="0" applyNumberFormat="1"/>
    <xf numFmtId="0" fontId="3" fillId="0" borderId="0" xfId="0" applyFont="1"/>
    <xf numFmtId="3" fontId="19" fillId="0" borderId="0" xfId="0" applyNumberFormat="1" applyFont="1"/>
    <xf numFmtId="9" fontId="3" fillId="0" borderId="0" xfId="1" applyFont="1" applyFill="1" applyBorder="1" applyAlignment="1">
      <alignment horizontal="center"/>
    </xf>
    <xf numFmtId="165" fontId="0" fillId="0" borderId="0" xfId="0" applyNumberFormat="1"/>
    <xf numFmtId="0" fontId="20" fillId="0" borderId="1" xfId="0" applyFont="1" applyBorder="1" applyAlignment="1">
      <alignment horizontal="left" wrapText="1" indent="2"/>
    </xf>
    <xf numFmtId="164" fontId="0" fillId="0" borderId="5" xfId="2" applyNumberFormat="1" applyFont="1" applyBorder="1"/>
    <xf numFmtId="164" fontId="0" fillId="0" borderId="0" xfId="0" applyNumberFormat="1" applyAlignment="1">
      <alignment vertical="center"/>
    </xf>
    <xf numFmtId="0" fontId="9" fillId="0" borderId="6" xfId="0" applyFont="1" applyBorder="1" applyAlignment="1">
      <alignment horizontal="center" vertical="center" wrapText="1"/>
    </xf>
    <xf numFmtId="3" fontId="5" fillId="0" borderId="7" xfId="0" applyNumberFormat="1" applyFont="1" applyBorder="1" applyAlignment="1">
      <alignment horizontal="center"/>
    </xf>
    <xf numFmtId="6" fontId="3" fillId="0" borderId="1" xfId="0" applyNumberFormat="1" applyFont="1" applyBorder="1" applyAlignment="1">
      <alignment vertical="center"/>
    </xf>
    <xf numFmtId="9" fontId="3" fillId="0" borderId="1" xfId="1" applyFont="1" applyFill="1" applyBorder="1" applyAlignment="1">
      <alignment vertical="center"/>
    </xf>
    <xf numFmtId="164" fontId="11" fillId="0" borderId="1" xfId="2" applyNumberFormat="1" applyFont="1" applyFill="1" applyBorder="1" applyAlignment="1">
      <alignment horizontal="center"/>
    </xf>
    <xf numFmtId="164" fontId="5" fillId="0" borderId="1" xfId="2" applyNumberFormat="1" applyFont="1" applyFill="1" applyBorder="1" applyAlignment="1">
      <alignment horizontal="center"/>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164" fontId="11" fillId="4" borderId="1" xfId="2" applyNumberFormat="1" applyFont="1" applyFill="1" applyBorder="1" applyAlignment="1">
      <alignment horizontal="center"/>
    </xf>
    <xf numFmtId="9" fontId="5" fillId="0" borderId="1" xfId="1" applyFont="1" applyFill="1" applyBorder="1" applyAlignment="1">
      <alignment horizontal="center"/>
    </xf>
    <xf numFmtId="164" fontId="2" fillId="0" borderId="1" xfId="2" applyNumberFormat="1" applyFont="1" applyFill="1" applyBorder="1" applyAlignment="1">
      <alignment horizontal="right" vertical="center"/>
    </xf>
    <xf numFmtId="164" fontId="20" fillId="0" borderId="1" xfId="2" applyNumberFormat="1" applyFont="1" applyFill="1" applyBorder="1" applyAlignment="1">
      <alignment horizontal="right" vertical="center"/>
    </xf>
    <xf numFmtId="3" fontId="20" fillId="0" borderId="1" xfId="0" applyNumberFormat="1" applyFont="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1" xfId="0" applyNumberFormat="1" applyFont="1" applyBorder="1" applyAlignment="1">
      <alignment horizontal="right" vertical="center"/>
    </xf>
    <xf numFmtId="3" fontId="3" fillId="2" borderId="1" xfId="0" applyNumberFormat="1" applyFont="1" applyFill="1" applyBorder="1" applyAlignment="1">
      <alignment horizontal="right" vertical="center"/>
    </xf>
    <xf numFmtId="9" fontId="3" fillId="2" borderId="1" xfId="1" applyFont="1" applyFill="1" applyBorder="1" applyAlignment="1">
      <alignment horizontal="right" vertical="center"/>
    </xf>
    <xf numFmtId="164" fontId="3" fillId="2" borderId="1" xfId="2" applyNumberFormat="1" applyFont="1" applyFill="1" applyBorder="1" applyAlignment="1">
      <alignment horizontal="right" vertical="center"/>
    </xf>
    <xf numFmtId="3" fontId="2" fillId="0" borderId="1" xfId="4" applyNumberFormat="1" applyFont="1" applyFill="1" applyBorder="1" applyAlignment="1">
      <alignment horizontal="right" vertical="center"/>
    </xf>
    <xf numFmtId="3" fontId="20" fillId="0" borderId="1" xfId="4" applyNumberFormat="1" applyFont="1" applyFill="1" applyBorder="1" applyAlignment="1">
      <alignment horizontal="right" vertical="center"/>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9" fontId="2" fillId="0" borderId="1" xfId="1" applyFont="1" applyBorder="1" applyAlignment="1">
      <alignment horizontal="right"/>
    </xf>
    <xf numFmtId="164" fontId="2" fillId="0" borderId="1" xfId="2" applyNumberFormat="1" applyFont="1" applyFill="1" applyBorder="1" applyAlignment="1">
      <alignment horizontal="right"/>
    </xf>
    <xf numFmtId="9" fontId="3" fillId="2" borderId="1" xfId="1" applyFont="1" applyFill="1" applyBorder="1" applyAlignment="1">
      <alignment horizontal="right"/>
    </xf>
    <xf numFmtId="9" fontId="3" fillId="7" borderId="1" xfId="1" applyFont="1" applyFill="1" applyBorder="1" applyAlignment="1">
      <alignment horizontal="right"/>
    </xf>
    <xf numFmtId="164" fontId="5" fillId="0" borderId="1" xfId="2" applyNumberFormat="1" applyFont="1" applyFill="1" applyBorder="1" applyAlignment="1">
      <alignment horizontal="left"/>
    </xf>
    <xf numFmtId="164" fontId="11" fillId="4" borderId="1" xfId="0" applyNumberFormat="1" applyFont="1" applyFill="1" applyBorder="1" applyAlignment="1">
      <alignment horizontal="center"/>
    </xf>
    <xf numFmtId="164" fontId="5" fillId="0" borderId="1" xfId="2" applyNumberFormat="1" applyFont="1" applyFill="1" applyBorder="1" applyAlignment="1">
      <alignment horizontal="right"/>
    </xf>
    <xf numFmtId="0" fontId="7" fillId="0" borderId="0" xfId="0" applyFont="1" applyAlignment="1">
      <alignment vertical="center" wrapText="1"/>
    </xf>
    <xf numFmtId="166" fontId="0" fillId="0" borderId="0" xfId="0" applyNumberFormat="1"/>
    <xf numFmtId="164" fontId="2" fillId="0" borderId="1" xfId="0" applyNumberFormat="1" applyFont="1" applyBorder="1" applyAlignment="1">
      <alignment horizontal="right" wrapText="1"/>
    </xf>
    <xf numFmtId="9" fontId="29" fillId="5" borderId="1" xfId="1" applyFont="1" applyFill="1" applyBorder="1" applyAlignment="1">
      <alignment horizontal="right" vertical="center"/>
    </xf>
    <xf numFmtId="165" fontId="5" fillId="0" borderId="1" xfId="4" applyNumberFormat="1" applyFont="1" applyBorder="1" applyAlignment="1">
      <alignment horizontal="left" vertical="center" wrapText="1"/>
    </xf>
    <xf numFmtId="0" fontId="30" fillId="0" borderId="0" xfId="0" applyFont="1"/>
    <xf numFmtId="0" fontId="26" fillId="0" borderId="0" xfId="0" applyFont="1"/>
    <xf numFmtId="9" fontId="3" fillId="10" borderId="1" xfId="1" applyFont="1" applyFill="1" applyBorder="1" applyAlignment="1">
      <alignment horizontal="right" vertical="center"/>
    </xf>
    <xf numFmtId="3" fontId="3" fillId="10" borderId="1" xfId="0" applyNumberFormat="1" applyFont="1" applyFill="1" applyBorder="1" applyAlignment="1">
      <alignment horizontal="right" vertical="center"/>
    </xf>
    <xf numFmtId="3" fontId="3" fillId="10" borderId="1" xfId="0" applyNumberFormat="1" applyFont="1" applyFill="1" applyBorder="1" applyAlignment="1">
      <alignment horizontal="right"/>
    </xf>
    <xf numFmtId="9" fontId="3" fillId="10" borderId="1" xfId="1" applyFont="1" applyFill="1" applyBorder="1" applyAlignment="1">
      <alignment horizontal="right"/>
    </xf>
    <xf numFmtId="3" fontId="20" fillId="0" borderId="1" xfId="0" applyNumberFormat="1" applyFont="1" applyBorder="1" applyAlignment="1">
      <alignment horizontal="right" vertical="center"/>
    </xf>
    <xf numFmtId="3" fontId="2" fillId="0" borderId="1" xfId="0" applyNumberFormat="1" applyFont="1" applyBorder="1" applyAlignment="1">
      <alignment horizontal="right" wrapText="1"/>
    </xf>
    <xf numFmtId="164" fontId="28" fillId="0" borderId="0" xfId="0" applyNumberFormat="1" applyFont="1" applyAlignment="1">
      <alignment horizontal="center"/>
    </xf>
    <xf numFmtId="3" fontId="0" fillId="0" borderId="0" xfId="0" applyNumberFormat="1"/>
    <xf numFmtId="9" fontId="0" fillId="0" borderId="0" xfId="1" applyFont="1" applyFill="1"/>
    <xf numFmtId="9" fontId="28" fillId="0" borderId="0" xfId="1" applyFont="1" applyFill="1" applyAlignment="1">
      <alignment horizontal="center" vertical="center"/>
    </xf>
    <xf numFmtId="0" fontId="28" fillId="0" borderId="0" xfId="0" applyFont="1" applyAlignment="1">
      <alignment horizontal="center" vertical="center"/>
    </xf>
    <xf numFmtId="164" fontId="28" fillId="0" borderId="0" xfId="2" applyNumberFormat="1" applyFont="1" applyBorder="1"/>
    <xf numFmtId="44" fontId="0" fillId="0" borderId="0" xfId="0" applyNumberFormat="1" applyAlignment="1">
      <alignment vertical="center"/>
    </xf>
    <xf numFmtId="164" fontId="5" fillId="0" borderId="8" xfId="2" applyNumberFormat="1" applyFont="1" applyFill="1" applyBorder="1" applyAlignment="1">
      <alignment horizontal="center"/>
    </xf>
    <xf numFmtId="0" fontId="16" fillId="3" borderId="8" xfId="0" applyFont="1" applyFill="1" applyBorder="1" applyAlignment="1">
      <alignment horizontal="center" vertical="center" wrapText="1"/>
    </xf>
    <xf numFmtId="9" fontId="5" fillId="0" borderId="9" xfId="0" applyNumberFormat="1" applyFont="1" applyBorder="1" applyAlignment="1">
      <alignment horizontal="center"/>
    </xf>
    <xf numFmtId="0" fontId="9" fillId="0" borderId="0" xfId="0" applyFont="1" applyAlignment="1">
      <alignment horizontal="center" vertical="center" wrapText="1"/>
    </xf>
    <xf numFmtId="0" fontId="3" fillId="0" borderId="0" xfId="0" applyFont="1" applyAlignment="1">
      <alignment vertical="center" wrapText="1"/>
    </xf>
    <xf numFmtId="164" fontId="5" fillId="0" borderId="2" xfId="2" applyNumberFormat="1" applyFont="1" applyFill="1" applyBorder="1" applyAlignment="1">
      <alignment horizontal="center"/>
    </xf>
    <xf numFmtId="164" fontId="11" fillId="4" borderId="2" xfId="2" applyNumberFormat="1" applyFont="1" applyFill="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164" fontId="11" fillId="4" borderId="8" xfId="2" applyNumberFormat="1" applyFont="1" applyFill="1" applyBorder="1" applyAlignment="1">
      <alignment horizontal="center"/>
    </xf>
    <xf numFmtId="3" fontId="2" fillId="11" borderId="1" xfId="0" applyNumberFormat="1" applyFont="1" applyFill="1" applyBorder="1" applyAlignment="1">
      <alignment horizontal="right" vertical="center" wrapText="1"/>
    </xf>
    <xf numFmtId="3" fontId="2" fillId="11" borderId="2" xfId="0" applyNumberFormat="1" applyFont="1" applyFill="1" applyBorder="1" applyAlignment="1">
      <alignment horizontal="right" vertical="center" wrapText="1"/>
    </xf>
    <xf numFmtId="9" fontId="20" fillId="11" borderId="1" xfId="1" applyFont="1" applyFill="1" applyBorder="1" applyAlignment="1">
      <alignment horizontal="right" vertical="center" wrapText="1"/>
    </xf>
    <xf numFmtId="164" fontId="2" fillId="11" borderId="4" xfId="2" applyNumberFormat="1" applyFont="1" applyFill="1" applyBorder="1" applyAlignment="1">
      <alignment horizontal="right" vertical="center"/>
    </xf>
    <xf numFmtId="164" fontId="2" fillId="11" borderId="1" xfId="2" applyNumberFormat="1" applyFont="1" applyFill="1" applyBorder="1" applyAlignment="1">
      <alignment horizontal="right" vertical="center"/>
    </xf>
    <xf numFmtId="9" fontId="2" fillId="11" borderId="1" xfId="1" applyFont="1" applyFill="1" applyBorder="1" applyAlignment="1">
      <alignment horizontal="right" vertical="center"/>
    </xf>
    <xf numFmtId="3" fontId="20" fillId="11" borderId="1" xfId="0" applyNumberFormat="1" applyFont="1" applyFill="1" applyBorder="1" applyAlignment="1">
      <alignment horizontal="right" vertical="center" wrapText="1"/>
    </xf>
    <xf numFmtId="164" fontId="20" fillId="11" borderId="1" xfId="2" applyNumberFormat="1" applyFont="1" applyFill="1" applyBorder="1" applyAlignment="1">
      <alignment horizontal="right" vertical="center"/>
    </xf>
    <xf numFmtId="3" fontId="20" fillId="11" borderId="2" xfId="0" applyNumberFormat="1" applyFont="1" applyFill="1" applyBorder="1" applyAlignment="1">
      <alignment horizontal="right" vertical="center" wrapText="1"/>
    </xf>
    <xf numFmtId="164" fontId="20" fillId="11" borderId="4" xfId="2" applyNumberFormat="1" applyFont="1" applyFill="1" applyBorder="1" applyAlignment="1">
      <alignment horizontal="right" vertical="center"/>
    </xf>
    <xf numFmtId="9" fontId="20" fillId="11" borderId="1" xfId="1" applyFont="1" applyFill="1" applyBorder="1" applyAlignment="1">
      <alignment horizontal="right" vertical="center"/>
    </xf>
    <xf numFmtId="9" fontId="20" fillId="11" borderId="9" xfId="1" applyFont="1" applyFill="1" applyBorder="1" applyAlignment="1">
      <alignment horizontal="right" vertical="center" wrapText="1"/>
    </xf>
    <xf numFmtId="3" fontId="2" fillId="11" borderId="1" xfId="0" applyNumberFormat="1" applyFont="1" applyFill="1" applyBorder="1" applyAlignment="1">
      <alignment horizontal="right" vertical="center"/>
    </xf>
    <xf numFmtId="9" fontId="2" fillId="11" borderId="1" xfId="1" applyFont="1" applyFill="1" applyBorder="1" applyAlignment="1">
      <alignment horizontal="right" vertical="center" wrapText="1"/>
    </xf>
    <xf numFmtId="3" fontId="2" fillId="11" borderId="1" xfId="4" applyNumberFormat="1" applyFont="1" applyFill="1" applyBorder="1" applyAlignment="1">
      <alignment horizontal="right" vertical="center"/>
    </xf>
    <xf numFmtId="3" fontId="20" fillId="11" borderId="1" xfId="4" applyNumberFormat="1" applyFont="1" applyFill="1" applyBorder="1" applyAlignment="1">
      <alignment horizontal="right" vertical="center"/>
    </xf>
    <xf numFmtId="3" fontId="2" fillId="11" borderId="1" xfId="4" applyNumberFormat="1" applyFont="1" applyFill="1" applyBorder="1" applyAlignment="1">
      <alignment horizontal="right"/>
    </xf>
    <xf numFmtId="3" fontId="2" fillId="11" borderId="1" xfId="0" applyNumberFormat="1" applyFont="1" applyFill="1" applyBorder="1" applyAlignment="1">
      <alignment horizontal="right"/>
    </xf>
    <xf numFmtId="9" fontId="2" fillId="11" borderId="1" xfId="1" applyFont="1" applyFill="1" applyBorder="1" applyAlignment="1">
      <alignment horizontal="right"/>
    </xf>
    <xf numFmtId="164" fontId="2" fillId="11" borderId="1" xfId="2" applyNumberFormat="1" applyFont="1" applyFill="1" applyBorder="1" applyAlignment="1">
      <alignment horizontal="right"/>
    </xf>
    <xf numFmtId="3" fontId="2" fillId="11" borderId="1" xfId="0" applyNumberFormat="1" applyFont="1" applyFill="1" applyBorder="1" applyAlignment="1">
      <alignment horizontal="right" wrapText="1"/>
    </xf>
    <xf numFmtId="3" fontId="29" fillId="5" borderId="1" xfId="0" applyNumberFormat="1" applyFont="1" applyFill="1" applyBorder="1" applyAlignment="1">
      <alignment horizontal="right" vertical="center" wrapText="1"/>
    </xf>
    <xf numFmtId="164" fontId="29" fillId="5" borderId="1" xfId="2" applyNumberFormat="1" applyFont="1" applyFill="1" applyBorder="1" applyAlignment="1">
      <alignment horizontal="right" vertical="center"/>
    </xf>
    <xf numFmtId="0" fontId="17" fillId="0" borderId="0" xfId="0" applyFont="1" applyAlignment="1">
      <alignment wrapText="1"/>
    </xf>
    <xf numFmtId="0" fontId="19" fillId="0" borderId="0" xfId="0" applyFont="1" applyAlignment="1">
      <alignment horizontal="left" vertical="center" wrapText="1"/>
    </xf>
    <xf numFmtId="0" fontId="32" fillId="0" borderId="0" xfId="0" applyFont="1" applyAlignment="1">
      <alignment horizontal="left" vertical="center" wrapText="1"/>
    </xf>
    <xf numFmtId="0" fontId="33" fillId="0" borderId="0" xfId="0" applyFont="1" applyAlignment="1">
      <alignment wrapText="1"/>
    </xf>
    <xf numFmtId="164" fontId="7" fillId="0" borderId="10" xfId="2" applyNumberFormat="1" applyFont="1" applyFill="1" applyBorder="1"/>
    <xf numFmtId="0" fontId="7" fillId="0" borderId="2" xfId="0" applyFont="1" applyBorder="1"/>
    <xf numFmtId="164" fontId="7" fillId="0" borderId="9" xfId="2" applyNumberFormat="1" applyFont="1" applyFill="1" applyBorder="1"/>
    <xf numFmtId="44" fontId="0" fillId="0" borderId="0" xfId="0" applyNumberFormat="1"/>
    <xf numFmtId="164" fontId="0" fillId="0" borderId="0" xfId="2" applyNumberFormat="1" applyFont="1" applyFill="1" applyBorder="1"/>
    <xf numFmtId="0" fontId="4" fillId="0" borderId="0" xfId="0" applyFont="1" applyAlignment="1">
      <alignment horizontal="center" vertical="center" wrapText="1"/>
    </xf>
    <xf numFmtId="0" fontId="31" fillId="0" borderId="0" xfId="0" applyFont="1" applyAlignment="1">
      <alignment wrapText="1"/>
    </xf>
    <xf numFmtId="0" fontId="31" fillId="0" borderId="0" xfId="0" applyFont="1" applyAlignment="1">
      <alignment horizontal="center" wrapText="1"/>
    </xf>
    <xf numFmtId="0" fontId="30" fillId="0" borderId="0" xfId="0" applyFont="1" applyAlignment="1">
      <alignment horizontal="center"/>
    </xf>
    <xf numFmtId="0" fontId="31" fillId="0" borderId="0" xfId="0" applyFont="1"/>
    <xf numFmtId="6" fontId="0" fillId="0" borderId="0" xfId="0" applyNumberFormat="1"/>
    <xf numFmtId="0" fontId="3" fillId="0" borderId="0" xfId="0" applyFont="1" applyAlignment="1">
      <alignment horizontal="center" wrapText="1"/>
    </xf>
    <xf numFmtId="0" fontId="4" fillId="0" borderId="0" xfId="0" applyFont="1" applyAlignment="1">
      <alignment horizontal="center" wrapText="1"/>
    </xf>
    <xf numFmtId="164" fontId="3" fillId="0" borderId="0" xfId="0" applyNumberFormat="1" applyFont="1"/>
    <xf numFmtId="9" fontId="2" fillId="11" borderId="1" xfId="2" applyNumberFormat="1" applyFont="1" applyFill="1" applyBorder="1" applyAlignment="1">
      <alignment horizontal="right"/>
    </xf>
    <xf numFmtId="10" fontId="11" fillId="12" borderId="1" xfId="0" applyNumberFormat="1" applyFont="1" applyFill="1" applyBorder="1" applyAlignment="1">
      <alignment horizontal="center" vertical="center"/>
    </xf>
    <xf numFmtId="0" fontId="11" fillId="8" borderId="1" xfId="0" applyFont="1" applyFill="1" applyBorder="1" applyAlignment="1">
      <alignment vertical="center"/>
    </xf>
    <xf numFmtId="165" fontId="11" fillId="8" borderId="1" xfId="4" applyNumberFormat="1" applyFont="1" applyFill="1" applyBorder="1" applyAlignment="1">
      <alignment horizontal="center" vertical="center"/>
    </xf>
    <xf numFmtId="165" fontId="11" fillId="9" borderId="1" xfId="0" applyNumberFormat="1" applyFont="1" applyFill="1" applyBorder="1" applyAlignment="1">
      <alignment horizontal="center" vertical="center"/>
    </xf>
    <xf numFmtId="0" fontId="11" fillId="9" borderId="1" xfId="0" quotePrefix="1" applyFont="1" applyFill="1" applyBorder="1" applyAlignment="1">
      <alignment vertical="center"/>
    </xf>
    <xf numFmtId="166" fontId="11" fillId="12" borderId="1" xfId="0" applyNumberFormat="1" applyFont="1" applyFill="1" applyBorder="1" applyAlignment="1">
      <alignment horizontal="center" vertical="center"/>
    </xf>
    <xf numFmtId="0" fontId="11" fillId="13" borderId="1" xfId="0" applyFont="1" applyFill="1" applyBorder="1" applyAlignment="1">
      <alignment vertical="center"/>
    </xf>
    <xf numFmtId="10" fontId="11" fillId="9" borderId="1" xfId="0" applyNumberFormat="1" applyFont="1" applyFill="1" applyBorder="1" applyAlignment="1">
      <alignment horizontal="center" vertical="center"/>
    </xf>
    <xf numFmtId="166" fontId="11" fillId="9" borderId="1" xfId="0" applyNumberFormat="1" applyFont="1" applyFill="1" applyBorder="1" applyAlignment="1">
      <alignment horizontal="center" vertical="center"/>
    </xf>
    <xf numFmtId="165" fontId="11" fillId="13" borderId="1" xfId="0" applyNumberFormat="1" applyFont="1" applyFill="1" applyBorder="1" applyAlignment="1">
      <alignment horizontal="center" vertical="center"/>
    </xf>
    <xf numFmtId="9" fontId="12" fillId="9" borderId="1" xfId="1" applyFont="1" applyFill="1" applyBorder="1" applyAlignment="1">
      <alignment horizontal="center" vertical="center"/>
    </xf>
    <xf numFmtId="0" fontId="26" fillId="0" borderId="0" xfId="0" applyFont="1" applyAlignment="1">
      <alignment vertical="center"/>
    </xf>
    <xf numFmtId="3" fontId="30" fillId="0" borderId="0" xfId="0" applyNumberFormat="1" applyFont="1"/>
    <xf numFmtId="9" fontId="19" fillId="0" borderId="0" xfId="0" applyNumberFormat="1" applyFont="1" applyAlignment="1">
      <alignment horizontal="center"/>
    </xf>
    <xf numFmtId="3" fontId="36" fillId="0" borderId="0" xfId="0" applyNumberFormat="1" applyFont="1"/>
    <xf numFmtId="10" fontId="33" fillId="0" borderId="0" xfId="0" applyNumberFormat="1" applyFont="1" applyAlignment="1">
      <alignment wrapText="1"/>
    </xf>
    <xf numFmtId="37" fontId="0" fillId="0" borderId="0" xfId="0" applyNumberFormat="1"/>
    <xf numFmtId="10" fontId="0" fillId="0" borderId="0" xfId="0" applyNumberFormat="1"/>
    <xf numFmtId="0" fontId="17" fillId="0" borderId="0" xfId="0" applyFont="1" applyAlignment="1">
      <alignment horizontal="center" wrapText="1"/>
    </xf>
    <xf numFmtId="9" fontId="3" fillId="0" borderId="7" xfId="2" applyNumberFormat="1" applyFont="1" applyFill="1" applyBorder="1" applyAlignment="1">
      <alignment horizontal="right" vertical="center"/>
    </xf>
    <xf numFmtId="1" fontId="0" fillId="0" borderId="0" xfId="0" applyNumberFormat="1"/>
    <xf numFmtId="165" fontId="37" fillId="0" borderId="0" xfId="4" applyNumberFormat="1" applyFont="1" applyFill="1" applyBorder="1" applyAlignment="1">
      <alignment horizontal="right"/>
    </xf>
    <xf numFmtId="0" fontId="2" fillId="0" borderId="1" xfId="0" applyFont="1" applyBorder="1" applyAlignment="1">
      <alignment horizontal="left" vertical="center" wrapText="1"/>
    </xf>
    <xf numFmtId="164" fontId="7" fillId="0" borderId="8" xfId="2" applyNumberFormat="1" applyFont="1" applyFill="1" applyBorder="1"/>
    <xf numFmtId="9" fontId="0" fillId="0" borderId="0" xfId="0" applyNumberFormat="1"/>
    <xf numFmtId="1" fontId="2" fillId="14" borderId="1" xfId="0" applyNumberFormat="1" applyFont="1" applyFill="1" applyBorder="1" applyAlignment="1">
      <alignment horizontal="center"/>
    </xf>
    <xf numFmtId="3" fontId="2" fillId="14" borderId="1" xfId="0" applyNumberFormat="1" applyFont="1" applyFill="1" applyBorder="1" applyAlignment="1">
      <alignment horizontal="center"/>
    </xf>
    <xf numFmtId="0" fontId="3" fillId="0" borderId="3" xfId="0" applyFont="1" applyBorder="1" applyAlignment="1">
      <alignment vertical="center" wrapText="1"/>
    </xf>
    <xf numFmtId="165" fontId="0" fillId="0" borderId="0" xfId="1" applyNumberFormat="1" applyFont="1" applyFill="1"/>
    <xf numFmtId="165" fontId="0" fillId="0" borderId="0" xfId="0" applyNumberFormat="1" applyAlignment="1">
      <alignment horizontal="right"/>
    </xf>
    <xf numFmtId="0" fontId="38" fillId="0" borderId="0" xfId="0" applyFont="1"/>
    <xf numFmtId="0" fontId="28" fillId="0" borderId="0" xfId="0" applyFont="1" applyAlignment="1">
      <alignment vertical="center"/>
    </xf>
    <xf numFmtId="3" fontId="0" fillId="0" borderId="0" xfId="0" applyNumberFormat="1" applyAlignment="1">
      <alignment vertical="center"/>
    </xf>
    <xf numFmtId="164" fontId="38" fillId="0" borderId="0" xfId="0" applyNumberFormat="1" applyFont="1"/>
    <xf numFmtId="0" fontId="38" fillId="0" borderId="0" xfId="0" quotePrefix="1" applyFont="1"/>
    <xf numFmtId="164" fontId="0" fillId="0" borderId="11" xfId="2" applyNumberFormat="1" applyFont="1" applyFill="1" applyBorder="1"/>
    <xf numFmtId="3" fontId="2" fillId="0" borderId="1" xfId="0" applyNumberFormat="1" applyFont="1" applyFill="1" applyBorder="1" applyAlignment="1">
      <alignment horizontal="center"/>
    </xf>
    <xf numFmtId="3" fontId="5" fillId="0" borderId="1" xfId="0" applyNumberFormat="1" applyFont="1" applyFill="1" applyBorder="1" applyAlignment="1">
      <alignment horizontal="center"/>
    </xf>
    <xf numFmtId="3" fontId="11" fillId="0" borderId="1" xfId="0" applyNumberFormat="1" applyFont="1" applyFill="1" applyBorder="1" applyAlignment="1">
      <alignment horizontal="center"/>
    </xf>
    <xf numFmtId="165" fontId="5" fillId="0" borderId="1" xfId="4" applyNumberFormat="1" applyFont="1" applyFill="1" applyBorder="1"/>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17"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6" applyFont="1" applyFill="1" applyBorder="1" applyAlignment="1" applyProtection="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6" applyFont="1" applyBorder="1" applyAlignment="1" applyProtection="1">
      <alignment vertical="center" wrapText="1"/>
    </xf>
    <xf numFmtId="0" fontId="7" fillId="0" borderId="1" xfId="0" applyFont="1" applyBorder="1" applyAlignment="1">
      <alignment horizontal="left" vertical="center"/>
    </xf>
    <xf numFmtId="0" fontId="7" fillId="0" borderId="1" xfId="0" applyFont="1" applyBorder="1" applyAlignment="1">
      <alignment vertical="center" wrapText="1"/>
    </xf>
    <xf numFmtId="0" fontId="0" fillId="0" borderId="1" xfId="0" applyBorder="1" applyAlignment="1">
      <alignment vertical="center" wrapText="1"/>
    </xf>
    <xf numFmtId="0" fontId="34" fillId="16" borderId="2" xfId="0" applyFont="1" applyFill="1" applyBorder="1" applyAlignment="1">
      <alignment horizontal="left" vertical="center"/>
    </xf>
    <xf numFmtId="0" fontId="34" fillId="16" borderId="3" xfId="0" applyFont="1" applyFill="1" applyBorder="1" applyAlignment="1">
      <alignment horizontal="left" vertical="center"/>
    </xf>
    <xf numFmtId="0" fontId="34" fillId="16" borderId="4" xfId="0" applyFont="1" applyFill="1" applyBorder="1" applyAlignment="1">
      <alignment horizontal="left" vertical="center"/>
    </xf>
    <xf numFmtId="0" fontId="6" fillId="13"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15" borderId="15"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5" fillId="0" borderId="2" xfId="0" applyFont="1" applyBorder="1" applyAlignment="1">
      <alignment horizontal="right" vertical="center"/>
    </xf>
    <xf numFmtId="0" fontId="35" fillId="0" borderId="4" xfId="0" applyFont="1" applyBorder="1" applyAlignment="1">
      <alignment horizontal="right" vertical="center"/>
    </xf>
    <xf numFmtId="0" fontId="34" fillId="0" borderId="2" xfId="0" applyFont="1" applyBorder="1" applyAlignment="1">
      <alignment horizontal="left" vertical="center"/>
    </xf>
    <xf numFmtId="0" fontId="34" fillId="0" borderId="4"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6" fillId="0" borderId="1" xfId="0" applyFont="1" applyBorder="1" applyAlignment="1">
      <alignment horizontal="left" vertical="center"/>
    </xf>
    <xf numFmtId="0" fontId="9" fillId="15" borderId="1" xfId="0" applyFont="1" applyFill="1" applyBorder="1" applyAlignment="1">
      <alignment horizontal="left" vertical="center"/>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58800012207406E-2"/>
    <pageSetUpPr fitToPage="1"/>
  </sheetPr>
  <dimension ref="B1:U128"/>
  <sheetViews>
    <sheetView tabSelected="1" zoomScale="70" zoomScaleNormal="70" zoomScaleSheetLayoutView="50" workbookViewId="0">
      <selection activeCell="P26" sqref="P26"/>
    </sheetView>
  </sheetViews>
  <sheetFormatPr defaultColWidth="9.08984375" defaultRowHeight="22.5" customHeight="1" x14ac:dyDescent="0.35"/>
  <cols>
    <col min="1" max="1" width="2.6328125" customWidth="1"/>
    <col min="2" max="2" width="40.6328125" customWidth="1"/>
    <col min="3" max="3" width="15" customWidth="1"/>
    <col min="4" max="4" width="17.26953125" customWidth="1"/>
    <col min="5" max="5" width="17.6328125" customWidth="1"/>
    <col min="6" max="6" width="16" customWidth="1"/>
    <col min="7" max="7" width="19.6328125" customWidth="1"/>
    <col min="8" max="8" width="19.08984375" bestFit="1" customWidth="1"/>
    <col min="9" max="9" width="19.6328125" customWidth="1"/>
    <col min="10" max="10" width="16.08984375" customWidth="1"/>
    <col min="11" max="11" width="20.54296875" bestFit="1" customWidth="1"/>
    <col min="12" max="12" width="18" bestFit="1" customWidth="1"/>
    <col min="13" max="13" width="16.36328125" customWidth="1"/>
    <col min="14" max="14" width="15.26953125" customWidth="1"/>
    <col min="15" max="15" width="24.6328125" customWidth="1"/>
    <col min="16" max="16" width="14" customWidth="1"/>
    <col min="17" max="17" width="18.26953125" customWidth="1"/>
    <col min="18" max="18" width="17.6328125" customWidth="1"/>
    <col min="19" max="19" width="10.6328125" bestFit="1" customWidth="1"/>
    <col min="20" max="20" width="17" bestFit="1" customWidth="1"/>
    <col min="21" max="21" width="13.26953125" bestFit="1" customWidth="1"/>
  </cols>
  <sheetData>
    <row r="1" spans="2:15" ht="22.5" customHeight="1" x14ac:dyDescent="0.35">
      <c r="B1" s="19" t="s">
        <v>0</v>
      </c>
      <c r="C1" s="19"/>
      <c r="D1" s="19"/>
      <c r="E1" s="19"/>
    </row>
    <row r="2" spans="2:15" ht="22.5" customHeight="1" x14ac:dyDescent="0.35">
      <c r="B2" s="19" t="s">
        <v>1</v>
      </c>
      <c r="C2" s="19"/>
      <c r="D2" s="19"/>
      <c r="E2" s="19"/>
    </row>
    <row r="3" spans="2:15" ht="22.5" customHeight="1" x14ac:dyDescent="0.35">
      <c r="B3" s="19" t="s">
        <v>2</v>
      </c>
      <c r="C3" s="19"/>
      <c r="D3" s="19"/>
      <c r="E3" s="19"/>
    </row>
    <row r="4" spans="2:15" ht="22.5" customHeight="1" x14ac:dyDescent="0.35">
      <c r="B4" s="19"/>
      <c r="C4" s="19"/>
      <c r="D4" s="19"/>
      <c r="E4" s="19"/>
    </row>
    <row r="5" spans="2:15" ht="22.5" customHeight="1" x14ac:dyDescent="0.35">
      <c r="B5" s="13" t="s">
        <v>3</v>
      </c>
      <c r="C5" s="12"/>
      <c r="D5" s="12"/>
      <c r="E5" s="12"/>
      <c r="F5" s="12"/>
      <c r="G5" s="12"/>
      <c r="H5" s="12"/>
      <c r="I5" s="12"/>
      <c r="J5" s="12"/>
      <c r="K5" s="12"/>
      <c r="L5" s="12"/>
      <c r="M5" s="11"/>
    </row>
    <row r="6" spans="2:15" ht="45" customHeight="1" x14ac:dyDescent="0.35">
      <c r="B6" s="10"/>
      <c r="C6" s="9"/>
      <c r="D6" s="9"/>
      <c r="E6" s="9"/>
      <c r="F6" s="9"/>
      <c r="G6" s="9"/>
      <c r="H6" s="9"/>
      <c r="I6" s="9"/>
      <c r="J6" s="9"/>
      <c r="K6" s="9"/>
      <c r="L6" s="9"/>
      <c r="M6" s="8"/>
    </row>
    <row r="7" spans="2:15" ht="22.5" customHeight="1" x14ac:dyDescent="0.35">
      <c r="B7" s="81"/>
      <c r="C7" s="19"/>
      <c r="D7" s="19"/>
      <c r="E7" s="19"/>
    </row>
    <row r="8" spans="2:15" ht="22.5" customHeight="1" x14ac:dyDescent="0.35">
      <c r="B8" s="7" t="s">
        <v>4</v>
      </c>
      <c r="C8" s="7"/>
      <c r="D8" s="7"/>
      <c r="E8" s="7"/>
      <c r="F8" s="7"/>
      <c r="G8" s="7"/>
      <c r="H8" s="7"/>
      <c r="I8" s="7"/>
      <c r="J8" s="7"/>
      <c r="K8" s="7"/>
      <c r="L8" s="7"/>
      <c r="M8" s="7"/>
    </row>
    <row r="9" spans="2:15" ht="22.5" customHeight="1" x14ac:dyDescent="0.35">
      <c r="B9" s="7"/>
      <c r="C9" s="7"/>
      <c r="D9" s="7"/>
      <c r="E9" s="7"/>
      <c r="F9" s="7"/>
      <c r="G9" s="7"/>
      <c r="H9" s="7"/>
      <c r="I9" s="7"/>
      <c r="J9" s="7"/>
      <c r="K9" s="7"/>
      <c r="L9" s="7"/>
      <c r="M9" s="7"/>
    </row>
    <row r="10" spans="2:15" ht="22.5" customHeight="1" x14ac:dyDescent="0.35">
      <c r="B10" s="7"/>
      <c r="C10" s="7"/>
      <c r="D10" s="7"/>
      <c r="E10" s="7"/>
      <c r="F10" s="7"/>
      <c r="G10" s="7"/>
      <c r="H10" s="7"/>
      <c r="I10" s="7"/>
      <c r="J10" s="7"/>
      <c r="K10" s="7"/>
      <c r="L10" s="7"/>
      <c r="M10" s="7"/>
    </row>
    <row r="11" spans="2:15" ht="22.5" customHeight="1" x14ac:dyDescent="0.35">
      <c r="B11" s="7"/>
      <c r="C11" s="7"/>
      <c r="D11" s="7"/>
      <c r="E11" s="7"/>
      <c r="F11" s="7"/>
      <c r="G11" s="7"/>
      <c r="H11" s="7"/>
      <c r="I11" s="7"/>
      <c r="J11" s="7"/>
      <c r="K11" s="7"/>
      <c r="L11" s="7"/>
      <c r="M11" s="7"/>
    </row>
    <row r="12" spans="2:15" ht="22.5" customHeight="1" x14ac:dyDescent="0.35">
      <c r="B12" s="7"/>
      <c r="C12" s="7"/>
      <c r="D12" s="7"/>
      <c r="E12" s="7"/>
      <c r="F12" s="7"/>
      <c r="G12" s="7"/>
      <c r="H12" s="7"/>
      <c r="I12" s="7"/>
      <c r="J12" s="7"/>
      <c r="K12" s="7"/>
      <c r="L12" s="7"/>
      <c r="M12" s="7"/>
    </row>
    <row r="13" spans="2:15" ht="22.5" customHeight="1" x14ac:dyDescent="0.35">
      <c r="B13" s="7"/>
      <c r="C13" s="7"/>
      <c r="D13" s="7"/>
      <c r="E13" s="7"/>
      <c r="F13" s="7"/>
      <c r="G13" s="7"/>
      <c r="H13" s="7"/>
      <c r="I13" s="7"/>
      <c r="J13" s="7"/>
      <c r="K13" s="7"/>
      <c r="L13" s="7"/>
      <c r="M13" s="7"/>
    </row>
    <row r="14" spans="2:15" ht="27.75" customHeight="1" x14ac:dyDescent="0.35">
      <c r="B14" s="7"/>
      <c r="C14" s="7"/>
      <c r="D14" s="7"/>
      <c r="E14" s="7"/>
      <c r="F14" s="7"/>
      <c r="G14" s="7"/>
      <c r="H14" s="7"/>
      <c r="I14" s="7"/>
      <c r="J14" s="7"/>
      <c r="K14" s="7"/>
      <c r="L14" s="7"/>
      <c r="M14" s="7"/>
    </row>
    <row r="15" spans="2:15" ht="22.5" customHeight="1" x14ac:dyDescent="0.35">
      <c r="B15" s="7"/>
      <c r="C15" s="7"/>
      <c r="D15" s="7"/>
      <c r="E15" s="7"/>
      <c r="F15" s="7"/>
      <c r="G15" s="7"/>
      <c r="H15" s="7"/>
      <c r="I15" s="7"/>
      <c r="J15" s="7"/>
      <c r="K15" s="7"/>
      <c r="L15" s="7"/>
      <c r="M15" s="7"/>
    </row>
    <row r="16" spans="2:15" ht="17.25" customHeight="1" x14ac:dyDescent="0.35">
      <c r="B16" s="7"/>
      <c r="C16" s="7"/>
      <c r="D16" s="7"/>
      <c r="E16" s="7"/>
      <c r="F16" s="7"/>
      <c r="G16" s="7"/>
      <c r="H16" s="7"/>
      <c r="I16" s="7"/>
      <c r="J16" s="7"/>
      <c r="K16" s="7"/>
      <c r="L16" s="7"/>
      <c r="M16" s="7"/>
      <c r="O16" s="171"/>
    </row>
    <row r="17" spans="2:16" ht="22.5" customHeight="1" x14ac:dyDescent="0.35">
      <c r="B17" s="67"/>
      <c r="C17" s="67"/>
      <c r="D17" s="67"/>
      <c r="E17" s="67"/>
      <c r="F17" s="67"/>
      <c r="G17" s="67"/>
      <c r="H17" s="67"/>
      <c r="I17" s="67"/>
      <c r="J17" s="67"/>
      <c r="K17" s="67"/>
      <c r="L17" s="67"/>
      <c r="M17" s="67"/>
    </row>
    <row r="18" spans="2:16" ht="22.5" customHeight="1" x14ac:dyDescent="0.35">
      <c r="B18" s="110" t="s">
        <v>5</v>
      </c>
      <c r="C18" s="67"/>
      <c r="D18" s="67"/>
      <c r="E18" s="67"/>
      <c r="F18" s="67"/>
      <c r="G18" s="67"/>
      <c r="H18" s="67"/>
      <c r="I18" s="67"/>
      <c r="J18" s="67"/>
      <c r="K18" s="67"/>
      <c r="L18" s="67"/>
      <c r="M18" s="67"/>
    </row>
    <row r="19" spans="2:16" ht="35.25" customHeight="1" x14ac:dyDescent="0.35">
      <c r="B19" s="67"/>
      <c r="C19" s="67"/>
      <c r="D19" s="67"/>
      <c r="E19" s="67"/>
      <c r="F19" s="67"/>
      <c r="G19" s="67"/>
      <c r="H19" s="221"/>
      <c r="I19" s="220"/>
      <c r="J19" s="220"/>
      <c r="K19" s="221"/>
      <c r="L19" s="220"/>
      <c r="M19" s="67"/>
      <c r="P19" s="219"/>
    </row>
    <row r="20" spans="2:16" s="55" customFormat="1" ht="66.75" customHeight="1" x14ac:dyDescent="0.3">
      <c r="B20" s="54" t="s">
        <v>6</v>
      </c>
      <c r="C20" s="54" t="s">
        <v>7</v>
      </c>
      <c r="D20" s="54" t="s">
        <v>8</v>
      </c>
      <c r="E20" s="54" t="s">
        <v>9</v>
      </c>
      <c r="F20" s="54" t="s">
        <v>10</v>
      </c>
      <c r="G20" s="187" t="s">
        <v>11</v>
      </c>
      <c r="H20" s="63" t="s">
        <v>12</v>
      </c>
      <c r="I20" s="54" t="s">
        <v>13</v>
      </c>
      <c r="J20" s="54" t="s">
        <v>14</v>
      </c>
      <c r="K20" s="54" t="s">
        <v>15</v>
      </c>
      <c r="L20" s="54" t="s">
        <v>16</v>
      </c>
      <c r="M20" s="54" t="s">
        <v>17</v>
      </c>
      <c r="N20" s="219"/>
      <c r="O20" s="256"/>
      <c r="P20" s="256"/>
    </row>
    <row r="21" spans="2:16" ht="22.5" customHeight="1" x14ac:dyDescent="0.35">
      <c r="B21" s="45" t="s">
        <v>18</v>
      </c>
      <c r="C21" s="265"/>
      <c r="D21" s="265"/>
      <c r="E21" s="265"/>
      <c r="F21" s="265"/>
      <c r="G21" s="190"/>
      <c r="H21" s="46"/>
      <c r="I21" s="46"/>
      <c r="J21" s="46"/>
      <c r="K21" s="46"/>
      <c r="L21" s="46"/>
      <c r="M21" s="47"/>
    </row>
    <row r="22" spans="2:16" ht="22.5" customHeight="1" x14ac:dyDescent="0.35">
      <c r="B22" s="15" t="s">
        <v>19</v>
      </c>
      <c r="C22" s="196">
        <f>C40+C57</f>
        <v>207913.15388185851</v>
      </c>
      <c r="D22" s="196">
        <f>D40+D57</f>
        <v>307390.91582805471</v>
      </c>
      <c r="E22" s="196">
        <f>D22</f>
        <v>307390.91582805471</v>
      </c>
      <c r="F22" s="197">
        <f t="shared" ref="F22:F35" si="0">F40+F57</f>
        <v>206873.30450696399</v>
      </c>
      <c r="G22" s="198">
        <f>IF(F22=0,"N/A",C22/F22)</f>
        <v>1.0050265034310384</v>
      </c>
      <c r="H22" s="199">
        <f>H40+H57</f>
        <v>52572564.429999992</v>
      </c>
      <c r="I22" s="200">
        <f>I40+I57</f>
        <v>32069264.302299991</v>
      </c>
      <c r="J22" s="200">
        <f>J40+J57</f>
        <v>20503300.127700001</v>
      </c>
      <c r="K22" s="200">
        <f>K40+K57</f>
        <v>51818993.379689015</v>
      </c>
      <c r="L22" s="200">
        <f>L40+L57</f>
        <v>51791435.677124999</v>
      </c>
      <c r="M22" s="201">
        <f t="shared" ref="M22:M38" si="1">IF(L22=0,"N/A",H22/L22)</f>
        <v>1.0150821992606009</v>
      </c>
      <c r="N22" s="229"/>
      <c r="O22" s="229"/>
      <c r="P22" s="229"/>
    </row>
    <row r="23" spans="2:16" ht="22.5" customHeight="1" x14ac:dyDescent="0.35">
      <c r="B23" s="128" t="s">
        <v>20</v>
      </c>
      <c r="C23" s="202">
        <f t="shared" ref="C23:C35" si="2">C41+C58</f>
        <v>192498.68384292853</v>
      </c>
      <c r="D23" s="203" t="s">
        <v>21</v>
      </c>
      <c r="E23" s="202" t="str">
        <f t="shared" ref="E23:E86" si="3">D23</f>
        <v>N/A</v>
      </c>
      <c r="F23" s="204">
        <f t="shared" si="0"/>
        <v>191120.31606764003</v>
      </c>
      <c r="G23" s="198">
        <f t="shared" ref="G23:G36" si="4">IF(F23=0,"N/A",C23/F23)</f>
        <v>1.0072120421504571</v>
      </c>
      <c r="H23" s="205">
        <f t="shared" ref="H23:J35" si="5">H41+H58</f>
        <v>47388730.579999991</v>
      </c>
      <c r="I23" s="203">
        <f t="shared" si="5"/>
        <v>28907125.653799996</v>
      </c>
      <c r="J23" s="203">
        <f t="shared" si="5"/>
        <v>18481604.926199999</v>
      </c>
      <c r="K23" s="203" t="s">
        <v>21</v>
      </c>
      <c r="L23" s="203">
        <f t="shared" ref="L23:L35" si="6">L41+L58</f>
        <v>46346989.079999998</v>
      </c>
      <c r="M23" s="206">
        <f t="shared" si="1"/>
        <v>1.0224770048859448</v>
      </c>
      <c r="N23" s="229"/>
      <c r="O23" s="229"/>
      <c r="P23" s="229"/>
    </row>
    <row r="24" spans="2:16" ht="22.5" customHeight="1" x14ac:dyDescent="0.35">
      <c r="B24" s="128" t="s">
        <v>22</v>
      </c>
      <c r="C24" s="202">
        <f t="shared" si="2"/>
        <v>15414.470038929998</v>
      </c>
      <c r="D24" s="203" t="s">
        <v>21</v>
      </c>
      <c r="E24" s="202" t="str">
        <f t="shared" si="3"/>
        <v>N/A</v>
      </c>
      <c r="F24" s="204">
        <f t="shared" si="0"/>
        <v>15752.988439323928</v>
      </c>
      <c r="G24" s="198">
        <f t="shared" si="4"/>
        <v>0.97851084562793866</v>
      </c>
      <c r="H24" s="205">
        <f t="shared" si="5"/>
        <v>5183833.8499999996</v>
      </c>
      <c r="I24" s="203">
        <f t="shared" si="5"/>
        <v>3162138.6484999997</v>
      </c>
      <c r="J24" s="203">
        <f t="shared" si="5"/>
        <v>2021695.2015000002</v>
      </c>
      <c r="K24" s="203" t="s">
        <v>21</v>
      </c>
      <c r="L24" s="203">
        <f t="shared" si="6"/>
        <v>5444446.5971250003</v>
      </c>
      <c r="M24" s="206">
        <f t="shared" si="1"/>
        <v>0.95213237149527374</v>
      </c>
      <c r="N24" s="229"/>
      <c r="O24" s="229"/>
      <c r="P24" s="229"/>
    </row>
    <row r="25" spans="2:16" ht="22.5" customHeight="1" x14ac:dyDescent="0.35">
      <c r="B25" s="128" t="s">
        <v>23</v>
      </c>
      <c r="C25" s="202">
        <f t="shared" si="2"/>
        <v>0</v>
      </c>
      <c r="D25" s="203" t="s">
        <v>21</v>
      </c>
      <c r="E25" s="202" t="str">
        <f t="shared" si="3"/>
        <v>N/A</v>
      </c>
      <c r="F25" s="204">
        <f t="shared" si="0"/>
        <v>0</v>
      </c>
      <c r="G25" s="198" t="str">
        <f t="shared" si="4"/>
        <v>N/A</v>
      </c>
      <c r="H25" s="205">
        <f t="shared" si="5"/>
        <v>0</v>
      </c>
      <c r="I25" s="203">
        <f t="shared" si="5"/>
        <v>0</v>
      </c>
      <c r="J25" s="203">
        <f t="shared" si="5"/>
        <v>0</v>
      </c>
      <c r="K25" s="203" t="s">
        <v>21</v>
      </c>
      <c r="L25" s="203">
        <f t="shared" si="6"/>
        <v>0</v>
      </c>
      <c r="M25" s="206" t="str">
        <f>IF(L25=0,"N/A",H25/L25)</f>
        <v>N/A</v>
      </c>
      <c r="N25" s="229"/>
      <c r="O25" s="17"/>
      <c r="P25" s="17"/>
    </row>
    <row r="26" spans="2:16" ht="22.5" customHeight="1" x14ac:dyDescent="0.35">
      <c r="B26" s="128" t="s">
        <v>24</v>
      </c>
      <c r="C26" s="202">
        <f t="shared" si="2"/>
        <v>0</v>
      </c>
      <c r="D26" s="203" t="s">
        <v>21</v>
      </c>
      <c r="E26" s="202" t="str">
        <f>D26</f>
        <v>N/A</v>
      </c>
      <c r="F26" s="204">
        <f t="shared" si="0"/>
        <v>0</v>
      </c>
      <c r="G26" s="198" t="str">
        <f t="shared" si="4"/>
        <v>N/A</v>
      </c>
      <c r="H26" s="205">
        <f t="shared" si="5"/>
        <v>0</v>
      </c>
      <c r="I26" s="203">
        <f t="shared" si="5"/>
        <v>0</v>
      </c>
      <c r="J26" s="203">
        <f t="shared" si="5"/>
        <v>0</v>
      </c>
      <c r="K26" s="203" t="s">
        <v>21</v>
      </c>
      <c r="L26" s="203">
        <f t="shared" si="6"/>
        <v>0</v>
      </c>
      <c r="M26" s="206" t="str">
        <f t="shared" si="1"/>
        <v>N/A</v>
      </c>
      <c r="N26" s="229"/>
      <c r="O26" s="17"/>
      <c r="P26" s="17"/>
    </row>
    <row r="27" spans="2:16" ht="22.5" customHeight="1" x14ac:dyDescent="0.35">
      <c r="B27" s="15" t="s">
        <v>25</v>
      </c>
      <c r="C27" s="196">
        <f t="shared" si="2"/>
        <v>224197.37456999999</v>
      </c>
      <c r="D27" s="196">
        <f t="shared" ref="D27:D35" si="7">D45+D62</f>
        <v>167663.5783215187</v>
      </c>
      <c r="E27" s="196">
        <f t="shared" si="3"/>
        <v>167663.5783215187</v>
      </c>
      <c r="F27" s="197">
        <f t="shared" si="0"/>
        <v>196000</v>
      </c>
      <c r="G27" s="198">
        <f t="shared" si="4"/>
        <v>1.1438641559693876</v>
      </c>
      <c r="H27" s="199">
        <f t="shared" si="5"/>
        <v>64676951.939999998</v>
      </c>
      <c r="I27" s="200">
        <f t="shared" si="5"/>
        <v>39452940.683399998</v>
      </c>
      <c r="J27" s="200">
        <f t="shared" si="5"/>
        <v>25224011.2566</v>
      </c>
      <c r="K27" s="200">
        <f>K45+K62</f>
        <v>58080000.039999999</v>
      </c>
      <c r="L27" s="200">
        <f t="shared" si="6"/>
        <v>59828047.03701812</v>
      </c>
      <c r="M27" s="201">
        <f t="shared" si="1"/>
        <v>1.0810473539271916</v>
      </c>
      <c r="N27" s="229"/>
      <c r="O27" s="229"/>
      <c r="P27" s="229"/>
    </row>
    <row r="28" spans="2:16" ht="22.5" customHeight="1" x14ac:dyDescent="0.35">
      <c r="B28" s="15" t="s">
        <v>26</v>
      </c>
      <c r="C28" s="196">
        <f t="shared" si="2"/>
        <v>175968.89087112641</v>
      </c>
      <c r="D28" s="196">
        <f t="shared" si="7"/>
        <v>195530.91436566459</v>
      </c>
      <c r="E28" s="196">
        <f t="shared" si="3"/>
        <v>195530.91436566459</v>
      </c>
      <c r="F28" s="197">
        <f t="shared" si="0"/>
        <v>174162.85402063245</v>
      </c>
      <c r="G28" s="198">
        <f t="shared" si="4"/>
        <v>1.0103698165756976</v>
      </c>
      <c r="H28" s="199">
        <f t="shared" si="5"/>
        <v>15209492.830000002</v>
      </c>
      <c r="I28" s="200">
        <f t="shared" si="5"/>
        <v>9277790.6262999997</v>
      </c>
      <c r="J28" s="200">
        <f t="shared" si="5"/>
        <v>5931702.2037000004</v>
      </c>
      <c r="K28" s="200">
        <f>K46+K63</f>
        <v>15249995</v>
      </c>
      <c r="L28" s="200">
        <f t="shared" si="6"/>
        <v>15250074.940000001</v>
      </c>
      <c r="M28" s="201">
        <f t="shared" si="1"/>
        <v>0.99733889110973772</v>
      </c>
      <c r="N28" s="229"/>
      <c r="O28" s="229"/>
      <c r="P28" s="229"/>
    </row>
    <row r="29" spans="2:16" ht="22.5" customHeight="1" x14ac:dyDescent="0.35">
      <c r="B29" s="15" t="s">
        <v>27</v>
      </c>
      <c r="C29" s="196">
        <f t="shared" si="2"/>
        <v>0</v>
      </c>
      <c r="D29" s="196">
        <f t="shared" si="7"/>
        <v>0</v>
      </c>
      <c r="E29" s="196">
        <f t="shared" si="3"/>
        <v>0</v>
      </c>
      <c r="F29" s="196">
        <f t="shared" si="0"/>
        <v>0</v>
      </c>
      <c r="G29" s="207" t="str">
        <f t="shared" si="4"/>
        <v>N/A</v>
      </c>
      <c r="H29" s="200">
        <f t="shared" si="5"/>
        <v>0</v>
      </c>
      <c r="I29" s="200">
        <f t="shared" si="5"/>
        <v>0</v>
      </c>
      <c r="J29" s="200">
        <f t="shared" si="5"/>
        <v>0</v>
      </c>
      <c r="K29" s="200">
        <f>K47+K64</f>
        <v>0</v>
      </c>
      <c r="L29" s="200">
        <f t="shared" si="6"/>
        <v>0</v>
      </c>
      <c r="M29" s="201" t="str">
        <f>IF(L29=0,"N/A",H29/L29)</f>
        <v>N/A</v>
      </c>
      <c r="N29" s="229"/>
      <c r="O29" s="17"/>
      <c r="P29" s="17"/>
    </row>
    <row r="30" spans="2:16" ht="22.5" customHeight="1" x14ac:dyDescent="0.35">
      <c r="B30" s="15" t="s">
        <v>28</v>
      </c>
      <c r="C30" s="196">
        <f t="shared" si="2"/>
        <v>14861.376</v>
      </c>
      <c r="D30" s="196">
        <f t="shared" si="7"/>
        <v>31670.882876243966</v>
      </c>
      <c r="E30" s="196">
        <f t="shared" si="3"/>
        <v>31670.882876243966</v>
      </c>
      <c r="F30" s="196">
        <f t="shared" si="0"/>
        <v>14667</v>
      </c>
      <c r="G30" s="198">
        <f t="shared" si="4"/>
        <v>1.013252607895275</v>
      </c>
      <c r="H30" s="200">
        <f t="shared" si="5"/>
        <v>5392398.4699999997</v>
      </c>
      <c r="I30" s="200">
        <f t="shared" si="5"/>
        <v>3289363.0666999999</v>
      </c>
      <c r="J30" s="200">
        <f t="shared" si="5"/>
        <v>2103035.4032999994</v>
      </c>
      <c r="K30" s="200">
        <f t="shared" ref="K30:K35" si="8">K48+K65</f>
        <v>5860572.7930000005</v>
      </c>
      <c r="L30" s="200">
        <f t="shared" si="6"/>
        <v>5425043.6661007749</v>
      </c>
      <c r="M30" s="201">
        <f t="shared" si="1"/>
        <v>0.99398250076681161</v>
      </c>
      <c r="N30" s="229"/>
      <c r="O30" s="229"/>
      <c r="P30" s="229"/>
    </row>
    <row r="31" spans="2:16" ht="22.5" customHeight="1" x14ac:dyDescent="0.35">
      <c r="B31" s="15" t="s">
        <v>29</v>
      </c>
      <c r="C31" s="196">
        <f t="shared" si="2"/>
        <v>45610</v>
      </c>
      <c r="D31" s="196">
        <f t="shared" si="7"/>
        <v>29159.581599999987</v>
      </c>
      <c r="E31" s="196">
        <f t="shared" si="3"/>
        <v>29159.581599999987</v>
      </c>
      <c r="F31" s="196">
        <f t="shared" si="0"/>
        <v>46699.999680851062</v>
      </c>
      <c r="G31" s="198">
        <f t="shared" si="4"/>
        <v>0.97665953558243801</v>
      </c>
      <c r="H31" s="200">
        <f t="shared" si="5"/>
        <v>10174698.51</v>
      </c>
      <c r="I31" s="200">
        <f t="shared" si="5"/>
        <v>6206566.0910999998</v>
      </c>
      <c r="J31" s="200">
        <f t="shared" si="5"/>
        <v>3968132.4188999999</v>
      </c>
      <c r="K31" s="200">
        <f t="shared" si="8"/>
        <v>11399999.960000001</v>
      </c>
      <c r="L31" s="200">
        <f t="shared" si="6"/>
        <v>11314433.120000001</v>
      </c>
      <c r="M31" s="201">
        <f t="shared" si="1"/>
        <v>0.89926719280479506</v>
      </c>
      <c r="O31" s="229"/>
      <c r="P31" s="229"/>
    </row>
    <row r="32" spans="2:16" ht="22.5" customHeight="1" x14ac:dyDescent="0.35">
      <c r="B32" s="15" t="s">
        <v>30</v>
      </c>
      <c r="C32" s="196">
        <f t="shared" si="2"/>
        <v>48553.326089760354</v>
      </c>
      <c r="D32" s="196">
        <f t="shared" si="7"/>
        <v>61113.56716212623</v>
      </c>
      <c r="E32" s="196">
        <f t="shared" si="3"/>
        <v>61113.56716212623</v>
      </c>
      <c r="F32" s="196">
        <f t="shared" si="0"/>
        <v>44523.776889584362</v>
      </c>
      <c r="G32" s="198">
        <f t="shared" si="4"/>
        <v>1.0905033104035395</v>
      </c>
      <c r="H32" s="200">
        <f t="shared" si="5"/>
        <v>11858789.48</v>
      </c>
      <c r="I32" s="200">
        <f t="shared" si="5"/>
        <v>7233861.5828</v>
      </c>
      <c r="J32" s="200">
        <f t="shared" si="5"/>
        <v>4624927.8972000014</v>
      </c>
      <c r="K32" s="200">
        <f t="shared" si="8"/>
        <v>11983967.071791463</v>
      </c>
      <c r="L32" s="200">
        <f t="shared" si="6"/>
        <v>11573668.970950859</v>
      </c>
      <c r="M32" s="201">
        <f t="shared" si="1"/>
        <v>1.0246352742388585</v>
      </c>
      <c r="N32" s="229"/>
      <c r="O32" s="229"/>
      <c r="P32" s="229"/>
    </row>
    <row r="33" spans="2:19" ht="22.5" customHeight="1" x14ac:dyDescent="0.35">
      <c r="B33" s="15" t="s">
        <v>31</v>
      </c>
      <c r="C33" s="196">
        <f t="shared" si="2"/>
        <v>34128.722999999998</v>
      </c>
      <c r="D33" s="196">
        <f t="shared" si="7"/>
        <v>27977.5</v>
      </c>
      <c r="E33" s="196">
        <f t="shared" si="3"/>
        <v>27977.5</v>
      </c>
      <c r="F33" s="196">
        <f t="shared" si="0"/>
        <v>33000</v>
      </c>
      <c r="G33" s="198">
        <f t="shared" si="4"/>
        <v>1.0342037272727271</v>
      </c>
      <c r="H33" s="200">
        <f t="shared" si="5"/>
        <v>4389200.3100000005</v>
      </c>
      <c r="I33" s="200">
        <f t="shared" si="5"/>
        <v>0</v>
      </c>
      <c r="J33" s="200">
        <f t="shared" si="5"/>
        <v>4389200.3100000005</v>
      </c>
      <c r="K33" s="200">
        <f t="shared" si="8"/>
        <v>4519583.6459999997</v>
      </c>
      <c r="L33" s="200">
        <f t="shared" si="6"/>
        <v>4507238.3899999997</v>
      </c>
      <c r="M33" s="201">
        <f t="shared" si="1"/>
        <v>0.97381144066799641</v>
      </c>
      <c r="N33" s="229"/>
      <c r="O33" s="229"/>
      <c r="P33" s="229"/>
    </row>
    <row r="34" spans="2:19" ht="22.5" customHeight="1" x14ac:dyDescent="0.35">
      <c r="B34" s="15" t="s">
        <v>32</v>
      </c>
      <c r="C34" s="196">
        <f t="shared" si="2"/>
        <v>46867</v>
      </c>
      <c r="D34" s="196">
        <f t="shared" si="7"/>
        <v>67180.17020088085</v>
      </c>
      <c r="E34" s="196">
        <f t="shared" si="3"/>
        <v>67180.17020088085</v>
      </c>
      <c r="F34" s="196">
        <f t="shared" si="0"/>
        <v>50938.752822986396</v>
      </c>
      <c r="G34" s="198">
        <f t="shared" si="4"/>
        <v>0.92006571426795913</v>
      </c>
      <c r="H34" s="200">
        <f t="shared" si="5"/>
        <v>19211599.969999999</v>
      </c>
      <c r="I34" s="200">
        <f t="shared" si="5"/>
        <v>7018949.6584999999</v>
      </c>
      <c r="J34" s="200">
        <f t="shared" si="5"/>
        <v>12192650.3115</v>
      </c>
      <c r="K34" s="200">
        <f t="shared" si="8"/>
        <v>19915230.73</v>
      </c>
      <c r="L34" s="200">
        <f t="shared" si="6"/>
        <v>19934735.27</v>
      </c>
      <c r="M34" s="201">
        <f t="shared" si="1"/>
        <v>0.96372486064120177</v>
      </c>
      <c r="N34" s="229"/>
      <c r="O34" s="229"/>
      <c r="P34" s="229"/>
    </row>
    <row r="35" spans="2:19" ht="22.5" customHeight="1" x14ac:dyDescent="0.35">
      <c r="B35" s="15" t="s">
        <v>33</v>
      </c>
      <c r="C35" s="196">
        <f t="shared" si="2"/>
        <v>2400.8324928000002</v>
      </c>
      <c r="D35" s="196">
        <f t="shared" si="7"/>
        <v>1654.1452529411754</v>
      </c>
      <c r="E35" s="196">
        <f t="shared" si="3"/>
        <v>1654.1452529411754</v>
      </c>
      <c r="F35" s="196">
        <f t="shared" si="0"/>
        <v>3428.8380000000006</v>
      </c>
      <c r="G35" s="198">
        <f t="shared" si="4"/>
        <v>0.70018837075417384</v>
      </c>
      <c r="H35" s="200">
        <f t="shared" si="5"/>
        <v>1258060.72</v>
      </c>
      <c r="I35" s="200">
        <f t="shared" si="5"/>
        <v>0</v>
      </c>
      <c r="J35" s="200">
        <f t="shared" si="5"/>
        <v>1258060.72</v>
      </c>
      <c r="K35" s="200">
        <f t="shared" si="8"/>
        <v>2122621.5999999996</v>
      </c>
      <c r="L35" s="200">
        <f t="shared" si="6"/>
        <v>1891629.63</v>
      </c>
      <c r="M35" s="201">
        <f t="shared" si="1"/>
        <v>0.66506714636310704</v>
      </c>
      <c r="N35" s="229"/>
      <c r="O35" s="229"/>
      <c r="P35" s="229"/>
    </row>
    <row r="36" spans="2:19" ht="22.5" customHeight="1" x14ac:dyDescent="0.35">
      <c r="B36" s="15" t="s">
        <v>34</v>
      </c>
      <c r="C36" s="196">
        <f>C71</f>
        <v>1352</v>
      </c>
      <c r="D36" s="196">
        <f>D71</f>
        <v>1538.9443886003498</v>
      </c>
      <c r="E36" s="196">
        <f>E71</f>
        <v>1538.9443886003498</v>
      </c>
      <c r="F36" s="196">
        <f>F71</f>
        <v>2187</v>
      </c>
      <c r="G36" s="198">
        <f t="shared" si="4"/>
        <v>0.6181984453589392</v>
      </c>
      <c r="H36" s="200">
        <f>H71</f>
        <v>1675883.54</v>
      </c>
      <c r="I36" s="200">
        <f>I71</f>
        <v>1022288.9594000001</v>
      </c>
      <c r="J36" s="200">
        <f>J71</f>
        <v>653594.58059999999</v>
      </c>
      <c r="K36" s="200">
        <f>K71</f>
        <v>2348510</v>
      </c>
      <c r="L36" s="200">
        <f>L71</f>
        <v>2181972.758808258</v>
      </c>
      <c r="M36" s="201">
        <f t="shared" si="1"/>
        <v>0.76805887389507466</v>
      </c>
      <c r="O36" s="229"/>
      <c r="P36" s="229"/>
    </row>
    <row r="37" spans="2:19" ht="22.5" customHeight="1" x14ac:dyDescent="0.35">
      <c r="B37" s="15" t="s">
        <v>35</v>
      </c>
      <c r="C37" s="208" t="s">
        <v>21</v>
      </c>
      <c r="D37" s="208" t="s">
        <v>21</v>
      </c>
      <c r="E37" s="208" t="str">
        <f t="shared" si="3"/>
        <v>N/A</v>
      </c>
      <c r="F37" s="208" t="s">
        <v>21</v>
      </c>
      <c r="G37" s="208" t="s">
        <v>21</v>
      </c>
      <c r="H37" s="200">
        <f t="shared" ref="H37:L38" si="9">H54+H72</f>
        <v>3987341.2599999993</v>
      </c>
      <c r="I37" s="200">
        <f t="shared" si="9"/>
        <v>0</v>
      </c>
      <c r="J37" s="200">
        <f t="shared" si="9"/>
        <v>3987341.2599999993</v>
      </c>
      <c r="K37" s="200">
        <f t="shared" si="9"/>
        <v>4785958.3</v>
      </c>
      <c r="L37" s="200">
        <f t="shared" si="9"/>
        <v>3517927.9799999995</v>
      </c>
      <c r="M37" s="201">
        <f t="shared" si="1"/>
        <v>1.1334345906649288</v>
      </c>
      <c r="N37" s="229"/>
      <c r="O37" s="229"/>
      <c r="P37" s="229"/>
    </row>
    <row r="38" spans="2:19" ht="22.5" customHeight="1" x14ac:dyDescent="0.35">
      <c r="B38" s="15" t="s">
        <v>36</v>
      </c>
      <c r="C38" s="208" t="s">
        <v>21</v>
      </c>
      <c r="D38" s="208" t="s">
        <v>21</v>
      </c>
      <c r="E38" s="208" t="str">
        <f>D38</f>
        <v>N/A</v>
      </c>
      <c r="F38" s="208" t="s">
        <v>21</v>
      </c>
      <c r="G38" s="208" t="s">
        <v>21</v>
      </c>
      <c r="H38" s="200">
        <f t="shared" si="9"/>
        <v>1484665.784</v>
      </c>
      <c r="I38" s="200">
        <f t="shared" si="9"/>
        <v>0</v>
      </c>
      <c r="J38" s="200">
        <f t="shared" si="9"/>
        <v>1484665.784</v>
      </c>
      <c r="K38" s="200">
        <f t="shared" si="9"/>
        <v>2060097</v>
      </c>
      <c r="L38" s="200">
        <f t="shared" si="9"/>
        <v>1866679.4317000001</v>
      </c>
      <c r="M38" s="201">
        <f t="shared" si="1"/>
        <v>0.79535123106161987</v>
      </c>
      <c r="N38" s="229"/>
      <c r="O38" s="229"/>
      <c r="P38" s="229"/>
    </row>
    <row r="39" spans="2:19" ht="22.5" customHeight="1" x14ac:dyDescent="0.35">
      <c r="B39" s="16" t="s">
        <v>37</v>
      </c>
      <c r="C39" s="152">
        <f>SUM(C22,C27:C38)</f>
        <v>801852.67690554529</v>
      </c>
      <c r="D39" s="152">
        <f>SUM(D22,D27:D38)</f>
        <v>890880.19999603042</v>
      </c>
      <c r="E39" s="152">
        <f>SUM(E22,E27:E38)</f>
        <v>890880.19999603042</v>
      </c>
      <c r="F39" s="152">
        <f>SUM(F22,F27:F38)</f>
        <v>772481.52592101833</v>
      </c>
      <c r="G39" s="173">
        <f>C39/F39</f>
        <v>1.0380218167023583</v>
      </c>
      <c r="H39" s="154">
        <f>SUM(H22,H27:H38)</f>
        <v>191891647.24399996</v>
      </c>
      <c r="I39" s="154">
        <f>SUM(I22,I27:I38)</f>
        <v>105571024.97049998</v>
      </c>
      <c r="J39" s="154">
        <f>SUM(J22,J27:J38)</f>
        <v>86320622.273499995</v>
      </c>
      <c r="K39" s="154">
        <f>SUM(K22,K27:K38)</f>
        <v>190145529.52048048</v>
      </c>
      <c r="L39" s="154">
        <f>SUM(L22,L27:L38)</f>
        <v>189082886.871703</v>
      </c>
      <c r="M39" s="153">
        <f>H39/L39</f>
        <v>1.0148546514111707</v>
      </c>
    </row>
    <row r="40" spans="2:19" ht="22.5" customHeight="1" x14ac:dyDescent="0.35">
      <c r="B40" s="127" t="s">
        <v>38</v>
      </c>
      <c r="C40" s="208">
        <f>SUM(C41:C44)</f>
        <v>182717.94521050708</v>
      </c>
      <c r="D40" s="208">
        <v>242815.39497756289</v>
      </c>
      <c r="E40" s="210">
        <f t="shared" si="3"/>
        <v>242815.39497756289</v>
      </c>
      <c r="F40" s="210">
        <f>SUM(F41:F44)</f>
        <v>183802.89178294709</v>
      </c>
      <c r="G40" s="209">
        <f t="shared" ref="G40:G53" si="10">IF(F40=0,"N/A",C40/F40)</f>
        <v>0.99409722794937727</v>
      </c>
      <c r="H40" s="200">
        <f>SUM(H41:H44)</f>
        <v>43822879.149999991</v>
      </c>
      <c r="I40" s="200">
        <f>SUM(I41:I44)</f>
        <v>26731956.281499993</v>
      </c>
      <c r="J40" s="200">
        <f>SUM(J41:J44)</f>
        <v>17090922.868499998</v>
      </c>
      <c r="K40" s="200">
        <f>SUM(K41:K42)</f>
        <v>44250868.574766025</v>
      </c>
      <c r="L40" s="200">
        <f>SUM(L41:L44)</f>
        <v>44230410.620458335</v>
      </c>
      <c r="M40" s="201">
        <f t="shared" ref="M40:M55" si="11">IF(L40=0,"N/A",H40/L40)</f>
        <v>0.99078617031265259</v>
      </c>
      <c r="N40" s="230"/>
      <c r="O40" s="230"/>
      <c r="P40" s="230"/>
    </row>
    <row r="41" spans="2:19" ht="22.5" customHeight="1" x14ac:dyDescent="0.35">
      <c r="B41" s="134" t="s">
        <v>39</v>
      </c>
      <c r="C41" s="177">
        <v>170309.72582550708</v>
      </c>
      <c r="D41" s="150">
        <v>0</v>
      </c>
      <c r="E41" s="211">
        <f t="shared" si="3"/>
        <v>0</v>
      </c>
      <c r="F41" s="156">
        <v>170832</v>
      </c>
      <c r="G41" s="206">
        <f t="shared" si="10"/>
        <v>0.99694276145866745</v>
      </c>
      <c r="H41" s="148">
        <v>39863177.149999991</v>
      </c>
      <c r="I41" s="203">
        <f t="shared" ref="I41:I50" si="12">H41*0.61</f>
        <v>24316538.061499994</v>
      </c>
      <c r="J41" s="203">
        <f>H41-I41</f>
        <v>15546639.088499997</v>
      </c>
      <c r="K41" s="148">
        <v>39910649.74000001</v>
      </c>
      <c r="L41" s="148">
        <v>40112727.32</v>
      </c>
      <c r="M41" s="206">
        <f t="shared" si="11"/>
        <v>0.9937787782912586</v>
      </c>
      <c r="N41" s="229"/>
      <c r="O41" s="231"/>
      <c r="P41" s="231"/>
    </row>
    <row r="42" spans="2:19" ht="22.5" customHeight="1" x14ac:dyDescent="0.35">
      <c r="B42" s="134" t="s">
        <v>40</v>
      </c>
      <c r="C42" s="177">
        <v>12408.219384999999</v>
      </c>
      <c r="D42" s="150">
        <v>0</v>
      </c>
      <c r="E42" s="211">
        <f t="shared" si="3"/>
        <v>0</v>
      </c>
      <c r="F42" s="156">
        <v>12970.891782947076</v>
      </c>
      <c r="G42" s="206">
        <f>IF(F42=0,"N/A",C42/F42)</f>
        <v>0.95662037681273182</v>
      </c>
      <c r="H42" s="148">
        <v>3959702</v>
      </c>
      <c r="I42" s="203">
        <f t="shared" si="12"/>
        <v>2415418.2199999997</v>
      </c>
      <c r="J42" s="203">
        <f t="shared" ref="J42:J73" si="13">H42-I42</f>
        <v>1544283.7800000003</v>
      </c>
      <c r="K42" s="148">
        <v>4340218.8347660163</v>
      </c>
      <c r="L42" s="148">
        <v>4117683.3004583335</v>
      </c>
      <c r="M42" s="206">
        <f t="shared" si="11"/>
        <v>0.96163345043054949</v>
      </c>
      <c r="N42" s="229"/>
      <c r="O42" s="231"/>
      <c r="P42" s="231"/>
    </row>
    <row r="43" spans="2:19" ht="22.5" customHeight="1" x14ac:dyDescent="0.35">
      <c r="B43" s="134" t="s">
        <v>41</v>
      </c>
      <c r="C43" s="177">
        <v>0</v>
      </c>
      <c r="D43" s="150">
        <v>0</v>
      </c>
      <c r="E43" s="211">
        <f t="shared" si="3"/>
        <v>0</v>
      </c>
      <c r="F43" s="156">
        <v>0</v>
      </c>
      <c r="G43" s="206" t="str">
        <f t="shared" si="10"/>
        <v>N/A</v>
      </c>
      <c r="H43" s="148">
        <v>0</v>
      </c>
      <c r="I43" s="203">
        <f t="shared" si="12"/>
        <v>0</v>
      </c>
      <c r="J43" s="203">
        <f t="shared" si="13"/>
        <v>0</v>
      </c>
      <c r="K43" s="148">
        <v>0</v>
      </c>
      <c r="L43" s="148">
        <v>0</v>
      </c>
      <c r="M43" s="206" t="str">
        <f t="shared" si="11"/>
        <v>N/A</v>
      </c>
      <c r="N43" s="229"/>
      <c r="O43" s="17"/>
      <c r="P43" s="17"/>
    </row>
    <row r="44" spans="2:19" ht="22.5" customHeight="1" x14ac:dyDescent="0.35">
      <c r="B44" s="134" t="s">
        <v>42</v>
      </c>
      <c r="C44" s="177">
        <v>0</v>
      </c>
      <c r="D44" s="150">
        <v>0</v>
      </c>
      <c r="E44" s="211">
        <f t="shared" si="3"/>
        <v>0</v>
      </c>
      <c r="F44" s="156">
        <v>0</v>
      </c>
      <c r="G44" s="206" t="str">
        <f t="shared" si="10"/>
        <v>N/A</v>
      </c>
      <c r="H44" s="148">
        <v>0</v>
      </c>
      <c r="I44" s="203">
        <f t="shared" si="12"/>
        <v>0</v>
      </c>
      <c r="J44" s="203">
        <f t="shared" si="13"/>
        <v>0</v>
      </c>
      <c r="K44" s="148">
        <v>0</v>
      </c>
      <c r="L44" s="148">
        <v>0</v>
      </c>
      <c r="M44" s="206" t="str">
        <f t="shared" si="11"/>
        <v>N/A</v>
      </c>
      <c r="N44" s="229"/>
      <c r="O44" s="17"/>
      <c r="P44" s="17"/>
    </row>
    <row r="45" spans="2:19" ht="22.5" customHeight="1" x14ac:dyDescent="0.35">
      <c r="B45" s="127" t="s">
        <v>43</v>
      </c>
      <c r="C45" s="151">
        <v>196111.16106999997</v>
      </c>
      <c r="D45" s="150">
        <v>160140.7657945622</v>
      </c>
      <c r="E45" s="210">
        <f t="shared" si="3"/>
        <v>160140.7657945622</v>
      </c>
      <c r="F45" s="156">
        <v>183000</v>
      </c>
      <c r="G45" s="206">
        <f t="shared" si="10"/>
        <v>1.0716456889071038</v>
      </c>
      <c r="H45" s="147">
        <v>56381864.780000001</v>
      </c>
      <c r="I45" s="203">
        <f t="shared" si="12"/>
        <v>34392937.515799999</v>
      </c>
      <c r="J45" s="203">
        <f t="shared" si="13"/>
        <v>21988927.264200002</v>
      </c>
      <c r="K45" s="147">
        <v>54210000</v>
      </c>
      <c r="L45" s="147">
        <v>53944582.449878119</v>
      </c>
      <c r="M45" s="201">
        <f t="shared" si="11"/>
        <v>1.0451812252395585</v>
      </c>
      <c r="N45" s="229"/>
      <c r="O45" s="231"/>
      <c r="P45" s="231"/>
    </row>
    <row r="46" spans="2:19" ht="22.5" customHeight="1" x14ac:dyDescent="0.35">
      <c r="B46" s="127" t="s">
        <v>44</v>
      </c>
      <c r="C46" s="151">
        <v>154829.62602331291</v>
      </c>
      <c r="D46" s="150">
        <v>184459.67777032725</v>
      </c>
      <c r="E46" s="210">
        <f t="shared" si="3"/>
        <v>184459.67777032725</v>
      </c>
      <c r="F46" s="156">
        <v>151193.69691154905</v>
      </c>
      <c r="G46" s="201">
        <f t="shared" si="10"/>
        <v>1.0240481527076553</v>
      </c>
      <c r="H46" s="147">
        <v>12750918.770000001</v>
      </c>
      <c r="I46" s="203">
        <f t="shared" si="12"/>
        <v>7778060.4497000007</v>
      </c>
      <c r="J46" s="203">
        <f t="shared" si="13"/>
        <v>4972858.3203000007</v>
      </c>
      <c r="K46" s="147">
        <v>12633873</v>
      </c>
      <c r="L46" s="147">
        <v>12571458.75</v>
      </c>
      <c r="M46" s="201">
        <f t="shared" si="11"/>
        <v>1.0142751945950585</v>
      </c>
      <c r="N46" s="229"/>
      <c r="O46" s="231"/>
      <c r="P46" s="231"/>
    </row>
    <row r="47" spans="2:19" ht="22.5" customHeight="1" x14ac:dyDescent="0.35">
      <c r="B47" s="127" t="s">
        <v>45</v>
      </c>
      <c r="C47" s="151">
        <v>0</v>
      </c>
      <c r="D47" s="155">
        <v>0</v>
      </c>
      <c r="E47" s="210">
        <f t="shared" si="3"/>
        <v>0</v>
      </c>
      <c r="F47" s="155">
        <v>0</v>
      </c>
      <c r="G47" s="201" t="str">
        <f t="shared" si="10"/>
        <v>N/A</v>
      </c>
      <c r="H47" s="147">
        <v>0</v>
      </c>
      <c r="I47" s="203">
        <f t="shared" si="12"/>
        <v>0</v>
      </c>
      <c r="J47" s="203">
        <f t="shared" si="13"/>
        <v>0</v>
      </c>
      <c r="K47" s="147">
        <v>0</v>
      </c>
      <c r="L47" s="147">
        <v>0</v>
      </c>
      <c r="M47" s="201" t="str">
        <f t="shared" si="11"/>
        <v>N/A</v>
      </c>
      <c r="N47" s="229"/>
      <c r="O47" s="17"/>
      <c r="P47" s="17"/>
    </row>
    <row r="48" spans="2:19" ht="22.5" customHeight="1" x14ac:dyDescent="0.35">
      <c r="B48" s="127" t="s">
        <v>46</v>
      </c>
      <c r="C48" s="151">
        <v>12747.22</v>
      </c>
      <c r="D48" s="155">
        <v>28660.759957638285</v>
      </c>
      <c r="E48" s="210">
        <f t="shared" si="3"/>
        <v>28660.759957638285</v>
      </c>
      <c r="F48" s="156">
        <v>12943</v>
      </c>
      <c r="G48" s="201">
        <f>IF(F48=0,"N/A",C48/F48)</f>
        <v>0.98487367689098348</v>
      </c>
      <c r="H48" s="147">
        <v>4608251.3999999994</v>
      </c>
      <c r="I48" s="203">
        <f t="shared" si="12"/>
        <v>2811033.3539999998</v>
      </c>
      <c r="J48" s="203">
        <f t="shared" si="13"/>
        <v>1797218.0459999996</v>
      </c>
      <c r="K48" s="147">
        <v>5122252.3470000001</v>
      </c>
      <c r="L48" s="147">
        <v>4670414.8157674419</v>
      </c>
      <c r="M48" s="201">
        <f t="shared" si="11"/>
        <v>0.9866899583399793</v>
      </c>
      <c r="N48" s="229"/>
      <c r="O48" s="231"/>
      <c r="P48" s="231"/>
      <c r="R48" s="133"/>
      <c r="S48" s="133"/>
    </row>
    <row r="49" spans="2:21" ht="22.5" customHeight="1" x14ac:dyDescent="0.35">
      <c r="B49" s="127" t="s">
        <v>47</v>
      </c>
      <c r="C49" s="151">
        <v>45610</v>
      </c>
      <c r="D49" s="155">
        <v>28599.581599999987</v>
      </c>
      <c r="E49" s="210">
        <f t="shared" si="3"/>
        <v>28599.581599999987</v>
      </c>
      <c r="F49" s="156">
        <v>46699.999680851062</v>
      </c>
      <c r="G49" s="201">
        <f t="shared" si="10"/>
        <v>0.97665953558243801</v>
      </c>
      <c r="H49" s="147">
        <v>10174698.51</v>
      </c>
      <c r="I49" s="203">
        <f t="shared" si="12"/>
        <v>6206566.0910999998</v>
      </c>
      <c r="J49" s="203">
        <f t="shared" si="13"/>
        <v>3968132.4188999999</v>
      </c>
      <c r="K49" s="147">
        <v>11399999.960000001</v>
      </c>
      <c r="L49" s="147">
        <v>11314433.120000001</v>
      </c>
      <c r="M49" s="201">
        <f t="shared" si="11"/>
        <v>0.89926719280479506</v>
      </c>
      <c r="N49" s="229"/>
      <c r="O49" s="231"/>
      <c r="P49" s="231"/>
    </row>
    <row r="50" spans="2:21" ht="22.5" customHeight="1" x14ac:dyDescent="0.35">
      <c r="B50" s="127" t="s">
        <v>48</v>
      </c>
      <c r="C50" s="151">
        <v>33491.756195752001</v>
      </c>
      <c r="D50" s="155">
        <v>54686.422238193532</v>
      </c>
      <c r="E50" s="210">
        <f t="shared" si="3"/>
        <v>54686.422238193532</v>
      </c>
      <c r="F50" s="156">
        <v>31152.700406257994</v>
      </c>
      <c r="G50" s="201">
        <f t="shared" si="10"/>
        <v>1.0750835644740491</v>
      </c>
      <c r="H50" s="147">
        <v>7924852.120000001</v>
      </c>
      <c r="I50" s="203">
        <f t="shared" si="12"/>
        <v>4834159.7932000002</v>
      </c>
      <c r="J50" s="203">
        <f t="shared" si="13"/>
        <v>3090692.3268000009</v>
      </c>
      <c r="K50" s="147">
        <v>8625674.0796000008</v>
      </c>
      <c r="L50" s="147">
        <v>8436213.2964999918</v>
      </c>
      <c r="M50" s="201">
        <f t="shared" si="11"/>
        <v>0.93938498725344655</v>
      </c>
      <c r="N50" s="229"/>
      <c r="O50" s="231"/>
      <c r="P50" s="231"/>
      <c r="U50" s="135"/>
    </row>
    <row r="51" spans="2:21" ht="22.5" customHeight="1" x14ac:dyDescent="0.35">
      <c r="B51" s="127" t="s">
        <v>49</v>
      </c>
      <c r="C51" s="151">
        <v>29565.828000000001</v>
      </c>
      <c r="D51" s="155">
        <v>22382</v>
      </c>
      <c r="E51" s="210">
        <f t="shared" si="3"/>
        <v>22382</v>
      </c>
      <c r="F51" s="156">
        <v>28000</v>
      </c>
      <c r="G51" s="201">
        <f t="shared" si="10"/>
        <v>1.0559224285714286</v>
      </c>
      <c r="H51" s="147">
        <v>3681650.2200000007</v>
      </c>
      <c r="I51" s="200">
        <v>0</v>
      </c>
      <c r="J51" s="203">
        <f t="shared" si="13"/>
        <v>3681650.2200000007</v>
      </c>
      <c r="K51" s="147">
        <v>3799378.8959999997</v>
      </c>
      <c r="L51" s="147">
        <v>3787033.58</v>
      </c>
      <c r="M51" s="201">
        <f t="shared" si="11"/>
        <v>0.97217258369280179</v>
      </c>
      <c r="N51" s="229"/>
      <c r="O51" s="231"/>
      <c r="P51" s="231"/>
    </row>
    <row r="52" spans="2:21" ht="22.5" customHeight="1" x14ac:dyDescent="0.35">
      <c r="B52" s="127" t="s">
        <v>50</v>
      </c>
      <c r="C52" s="151">
        <v>15579</v>
      </c>
      <c r="D52" s="155">
        <v>14926.645603053184</v>
      </c>
      <c r="E52" s="210">
        <f t="shared" si="3"/>
        <v>14926.645603053184</v>
      </c>
      <c r="F52" s="156">
        <v>24000</v>
      </c>
      <c r="G52" s="201">
        <f t="shared" si="10"/>
        <v>0.64912499999999995</v>
      </c>
      <c r="H52" s="147">
        <v>7705125.1200000001</v>
      </c>
      <c r="I52" s="200">
        <v>0</v>
      </c>
      <c r="J52" s="203">
        <f t="shared" si="13"/>
        <v>7705125.1200000001</v>
      </c>
      <c r="K52" s="147">
        <v>8973360</v>
      </c>
      <c r="L52" s="147">
        <v>8973360</v>
      </c>
      <c r="M52" s="201">
        <f t="shared" si="11"/>
        <v>0.85866666666666669</v>
      </c>
      <c r="N52" s="229"/>
      <c r="O52" s="17"/>
      <c r="P52" s="17"/>
    </row>
    <row r="53" spans="2:21" ht="30.75" customHeight="1" x14ac:dyDescent="0.35">
      <c r="B53" s="127" t="s">
        <v>51</v>
      </c>
      <c r="C53" s="151">
        <v>1404.9312192</v>
      </c>
      <c r="D53" s="155">
        <v>1323.3162023529403</v>
      </c>
      <c r="E53" s="210">
        <f t="shared" si="3"/>
        <v>1323.3162023529403</v>
      </c>
      <c r="F53" s="156">
        <v>2970.3060000000005</v>
      </c>
      <c r="G53" s="201">
        <f t="shared" si="10"/>
        <v>0.47299208202791221</v>
      </c>
      <c r="H53" s="147">
        <v>835928.70000000007</v>
      </c>
      <c r="I53" s="200">
        <v>0</v>
      </c>
      <c r="J53" s="203">
        <f t="shared" si="13"/>
        <v>835928.70000000007</v>
      </c>
      <c r="K53" s="147">
        <v>1431924.9999999998</v>
      </c>
      <c r="L53" s="147">
        <v>1256431.5299999998</v>
      </c>
      <c r="M53" s="201">
        <f t="shared" si="11"/>
        <v>0.6653197409014403</v>
      </c>
      <c r="N53" s="229"/>
      <c r="O53" s="231"/>
      <c r="P53" s="231"/>
    </row>
    <row r="54" spans="2:21" ht="22.5" customHeight="1" x14ac:dyDescent="0.35">
      <c r="B54" s="127" t="s">
        <v>52</v>
      </c>
      <c r="C54" s="151" t="s">
        <v>21</v>
      </c>
      <c r="D54" s="151" t="s">
        <v>21</v>
      </c>
      <c r="E54" s="208" t="str">
        <f t="shared" si="3"/>
        <v>N/A</v>
      </c>
      <c r="F54" s="151" t="s">
        <v>21</v>
      </c>
      <c r="G54" s="208" t="s">
        <v>21</v>
      </c>
      <c r="H54" s="147">
        <v>2803985.6399999997</v>
      </c>
      <c r="I54" s="200">
        <v>0</v>
      </c>
      <c r="J54" s="203">
        <f t="shared" si="13"/>
        <v>2803985.6399999997</v>
      </c>
      <c r="K54" s="147">
        <v>2830473.5</v>
      </c>
      <c r="L54" s="147">
        <v>2612469.9999999995</v>
      </c>
      <c r="M54" s="201">
        <f t="shared" si="11"/>
        <v>1.0733082638269531</v>
      </c>
      <c r="N54" s="229"/>
      <c r="O54" s="231"/>
      <c r="P54" s="231"/>
    </row>
    <row r="55" spans="2:21" ht="30" customHeight="1" x14ac:dyDescent="0.35">
      <c r="B55" s="127" t="s">
        <v>53</v>
      </c>
      <c r="C55" s="151" t="s">
        <v>21</v>
      </c>
      <c r="D55" s="151" t="s">
        <v>21</v>
      </c>
      <c r="E55" s="208" t="str">
        <f t="shared" si="3"/>
        <v>N/A</v>
      </c>
      <c r="F55" s="151" t="s">
        <v>21</v>
      </c>
      <c r="G55" s="208" t="s">
        <v>21</v>
      </c>
      <c r="H55" s="147">
        <f>70404.81+18787.37+1268541.27+126932.334</f>
        <v>1484665.784</v>
      </c>
      <c r="I55" s="200">
        <v>0</v>
      </c>
      <c r="J55" s="203">
        <f t="shared" si="13"/>
        <v>1484665.784</v>
      </c>
      <c r="K55" s="147">
        <v>2060097</v>
      </c>
      <c r="L55" s="147">
        <f>1586747.11+279932.3217</f>
        <v>1866679.4317000001</v>
      </c>
      <c r="M55" s="201">
        <f t="shared" si="11"/>
        <v>0.79535123106161987</v>
      </c>
      <c r="N55" s="229"/>
      <c r="O55" s="229"/>
      <c r="P55" s="229"/>
    </row>
    <row r="56" spans="2:21" ht="22.5" customHeight="1" x14ac:dyDescent="0.35">
      <c r="B56" s="91" t="s">
        <v>54</v>
      </c>
      <c r="C56" s="217">
        <f>SUM(C40,C45:C55)</f>
        <v>672057.46771877189</v>
      </c>
      <c r="D56" s="217">
        <f>SUM(D40,D45:D55)</f>
        <v>737994.5641436904</v>
      </c>
      <c r="E56" s="217">
        <f>SUM(E40,E45:E55)</f>
        <v>737994.5641436904</v>
      </c>
      <c r="F56" s="217">
        <f>SUM(F40,F45:F55)</f>
        <v>663762.59478160518</v>
      </c>
      <c r="G56" s="169">
        <f>C56/F56</f>
        <v>1.0124967465813526</v>
      </c>
      <c r="H56" s="218">
        <f>SUM(H40,H45:H55)</f>
        <v>152174820.19399998</v>
      </c>
      <c r="I56" s="218">
        <f>SUM(I40,I45:I55)</f>
        <v>82754713.48529999</v>
      </c>
      <c r="J56" s="218">
        <f>H56-I56</f>
        <v>69420106.708699986</v>
      </c>
      <c r="K56" s="218">
        <f>SUM(K40,K45:K55)</f>
        <v>155337902.35736603</v>
      </c>
      <c r="L56" s="218">
        <f>SUM(L40,L45:L55)</f>
        <v>153663487.59430391</v>
      </c>
      <c r="M56" s="169">
        <f>H56/L56</f>
        <v>0.99031215922786908</v>
      </c>
    </row>
    <row r="57" spans="2:21" ht="22.5" customHeight="1" x14ac:dyDescent="0.35">
      <c r="B57" s="127" t="s">
        <v>55</v>
      </c>
      <c r="C57" s="196">
        <f>SUM(C58:C61)</f>
        <v>25195.20867135144</v>
      </c>
      <c r="D57" s="196">
        <v>64575.520850491841</v>
      </c>
      <c r="E57" s="196">
        <f t="shared" si="3"/>
        <v>64575.520850491841</v>
      </c>
      <c r="F57" s="196">
        <f>SUM(F58:F61)</f>
        <v>23070.412724016889</v>
      </c>
      <c r="G57" s="201">
        <f t="shared" ref="G57:G71" si="14">IF(F57=0,"N/A",C57/F57)</f>
        <v>1.092100474003336</v>
      </c>
      <c r="H57" s="200">
        <f>SUM(H58:H61)</f>
        <v>8749685.2800000012</v>
      </c>
      <c r="I57" s="200">
        <f>SUM(I58:I61)</f>
        <v>5337308.0208000001</v>
      </c>
      <c r="J57" s="203">
        <f t="shared" si="13"/>
        <v>3412377.2592000011</v>
      </c>
      <c r="K57" s="147">
        <f>SUM(K58:K59)</f>
        <v>7568124.8049229933</v>
      </c>
      <c r="L57" s="200">
        <f>SUM(L58:L61)</f>
        <v>7561025.0566666666</v>
      </c>
      <c r="M57" s="201">
        <f t="shared" ref="M57:M73" si="15">IF(L57=0,"N/A",H57/L57)</f>
        <v>1.1572088723982306</v>
      </c>
      <c r="N57" s="229"/>
      <c r="O57" s="229"/>
      <c r="P57" s="229"/>
    </row>
    <row r="58" spans="2:21" ht="22.5" customHeight="1" x14ac:dyDescent="0.35">
      <c r="B58" s="134" t="s">
        <v>56</v>
      </c>
      <c r="C58" s="149">
        <v>22188.958017421439</v>
      </c>
      <c r="D58" s="150">
        <v>0</v>
      </c>
      <c r="E58" s="202">
        <f t="shared" si="3"/>
        <v>0</v>
      </c>
      <c r="F58" s="156">
        <v>20288.316067640037</v>
      </c>
      <c r="G58" s="206">
        <f t="shared" si="14"/>
        <v>1.0936816019350633</v>
      </c>
      <c r="H58" s="148">
        <v>7525553.4300000016</v>
      </c>
      <c r="I58" s="203">
        <f>H58*0.61</f>
        <v>4590587.5923000006</v>
      </c>
      <c r="J58" s="203">
        <f t="shared" si="13"/>
        <v>2934965.837700001</v>
      </c>
      <c r="K58" s="148">
        <v>6268273.4000000013</v>
      </c>
      <c r="L58" s="148">
        <v>6234261.7599999998</v>
      </c>
      <c r="M58" s="201">
        <f t="shared" si="15"/>
        <v>1.2071282406339001</v>
      </c>
      <c r="N58" s="229"/>
      <c r="O58" s="231"/>
      <c r="P58" s="231"/>
    </row>
    <row r="59" spans="2:21" ht="22.5" customHeight="1" x14ac:dyDescent="0.35">
      <c r="B59" s="134" t="s">
        <v>57</v>
      </c>
      <c r="C59" s="149">
        <v>3006.2506539300002</v>
      </c>
      <c r="D59" s="150">
        <v>0</v>
      </c>
      <c r="E59" s="202">
        <f t="shared" si="3"/>
        <v>0</v>
      </c>
      <c r="F59" s="156">
        <v>2782.0966563768529</v>
      </c>
      <c r="G59" s="206">
        <f t="shared" si="14"/>
        <v>1.0805701689189566</v>
      </c>
      <c r="H59" s="148">
        <v>1224131.8499999999</v>
      </c>
      <c r="I59" s="203">
        <f>H59*0.61</f>
        <v>746720.42849999992</v>
      </c>
      <c r="J59" s="203">
        <f t="shared" si="13"/>
        <v>477411.42149999994</v>
      </c>
      <c r="K59" s="148">
        <v>1299851.4049229918</v>
      </c>
      <c r="L59" s="148">
        <v>1326763.2966666666</v>
      </c>
      <c r="M59" s="201">
        <f t="shared" si="15"/>
        <v>0.9226452473289577</v>
      </c>
      <c r="N59" s="229"/>
      <c r="O59" s="231"/>
      <c r="P59" s="231"/>
    </row>
    <row r="60" spans="2:21" ht="22.5" customHeight="1" x14ac:dyDescent="0.35">
      <c r="B60" s="134" t="s">
        <v>58</v>
      </c>
      <c r="C60" s="149">
        <v>0</v>
      </c>
      <c r="D60" s="149">
        <v>0</v>
      </c>
      <c r="E60" s="202">
        <f t="shared" si="3"/>
        <v>0</v>
      </c>
      <c r="F60" s="149">
        <v>0</v>
      </c>
      <c r="G60" s="206" t="str">
        <f t="shared" si="14"/>
        <v>N/A</v>
      </c>
      <c r="H60" s="148">
        <v>0</v>
      </c>
      <c r="I60" s="203"/>
      <c r="J60" s="203">
        <f t="shared" si="13"/>
        <v>0</v>
      </c>
      <c r="K60" s="148">
        <v>0</v>
      </c>
      <c r="L60" s="148">
        <v>0</v>
      </c>
      <c r="M60" s="201" t="str">
        <f t="shared" si="15"/>
        <v>N/A</v>
      </c>
      <c r="N60" s="229"/>
      <c r="O60" s="231"/>
      <c r="P60" s="231"/>
    </row>
    <row r="61" spans="2:21" ht="22.5" customHeight="1" x14ac:dyDescent="0.35">
      <c r="B61" s="134" t="s">
        <v>59</v>
      </c>
      <c r="C61" s="149">
        <v>0</v>
      </c>
      <c r="D61" s="149">
        <v>0</v>
      </c>
      <c r="E61" s="202">
        <f>D61</f>
        <v>0</v>
      </c>
      <c r="F61" s="149">
        <v>0</v>
      </c>
      <c r="G61" s="206" t="str">
        <f t="shared" si="14"/>
        <v>N/A</v>
      </c>
      <c r="H61" s="148">
        <v>0</v>
      </c>
      <c r="I61" s="203">
        <f t="shared" ref="I61:I67" si="16">H61*0.61</f>
        <v>0</v>
      </c>
      <c r="J61" s="203">
        <f t="shared" si="13"/>
        <v>0</v>
      </c>
      <c r="K61" s="148">
        <v>0</v>
      </c>
      <c r="L61" s="148">
        <v>0</v>
      </c>
      <c r="M61" s="201" t="str">
        <f t="shared" si="15"/>
        <v>N/A</v>
      </c>
      <c r="N61" s="229"/>
      <c r="O61" s="231"/>
      <c r="P61" s="231"/>
    </row>
    <row r="62" spans="2:21" ht="22.5" customHeight="1" x14ac:dyDescent="0.35">
      <c r="B62" s="127" t="s">
        <v>60</v>
      </c>
      <c r="C62" s="150">
        <v>28086.213499999998</v>
      </c>
      <c r="D62" s="150">
        <v>7522.812526956478</v>
      </c>
      <c r="E62" s="196">
        <f t="shared" si="3"/>
        <v>7522.812526956478</v>
      </c>
      <c r="F62" s="156">
        <v>13000</v>
      </c>
      <c r="G62" s="201">
        <f t="shared" si="14"/>
        <v>2.1604779615384615</v>
      </c>
      <c r="H62" s="147">
        <v>8295087.1600000001</v>
      </c>
      <c r="I62" s="203">
        <f t="shared" si="16"/>
        <v>5060003.1676000003</v>
      </c>
      <c r="J62" s="203">
        <f t="shared" si="13"/>
        <v>3235083.9923999999</v>
      </c>
      <c r="K62" s="147">
        <v>3870000.0399999996</v>
      </c>
      <c r="L62" s="147">
        <v>5883464.5871400014</v>
      </c>
      <c r="M62" s="201">
        <f t="shared" si="15"/>
        <v>1.4098983748676404</v>
      </c>
      <c r="N62" s="229"/>
      <c r="O62" s="231"/>
      <c r="P62" s="231"/>
    </row>
    <row r="63" spans="2:21" ht="22.5" customHeight="1" x14ac:dyDescent="0.35">
      <c r="B63" s="127" t="s">
        <v>61</v>
      </c>
      <c r="C63" s="150">
        <v>21139.264847813498</v>
      </c>
      <c r="D63" s="150">
        <v>11071.236595337323</v>
      </c>
      <c r="E63" s="196">
        <f t="shared" si="3"/>
        <v>11071.236595337323</v>
      </c>
      <c r="F63" s="156">
        <v>22969.157109083397</v>
      </c>
      <c r="G63" s="201">
        <f t="shared" si="14"/>
        <v>0.92033263334046123</v>
      </c>
      <c r="H63" s="147">
        <v>2458574.0599999996</v>
      </c>
      <c r="I63" s="203">
        <f t="shared" si="16"/>
        <v>1499730.1765999997</v>
      </c>
      <c r="J63" s="203">
        <f t="shared" si="13"/>
        <v>958843.88339999993</v>
      </c>
      <c r="K63" s="147">
        <v>2616122</v>
      </c>
      <c r="L63" s="147">
        <v>2678616.1900000004</v>
      </c>
      <c r="M63" s="201">
        <f t="shared" si="15"/>
        <v>0.9178523108978891</v>
      </c>
      <c r="N63" s="229"/>
      <c r="O63" s="231"/>
      <c r="P63" s="231"/>
      <c r="Q63" s="180"/>
    </row>
    <row r="64" spans="2:21" ht="22.5" customHeight="1" x14ac:dyDescent="0.35">
      <c r="B64" s="127" t="s">
        <v>62</v>
      </c>
      <c r="C64" s="150">
        <v>0</v>
      </c>
      <c r="D64" s="150">
        <v>0</v>
      </c>
      <c r="E64" s="196">
        <f t="shared" si="3"/>
        <v>0</v>
      </c>
      <c r="F64" s="150">
        <v>0</v>
      </c>
      <c r="G64" s="201" t="str">
        <f t="shared" si="14"/>
        <v>N/A</v>
      </c>
      <c r="H64" s="147">
        <v>0</v>
      </c>
      <c r="I64" s="203">
        <f t="shared" si="16"/>
        <v>0</v>
      </c>
      <c r="J64" s="203">
        <f t="shared" si="13"/>
        <v>0</v>
      </c>
      <c r="K64" s="147">
        <v>0</v>
      </c>
      <c r="L64" s="147">
        <v>0</v>
      </c>
      <c r="M64" s="201" t="str">
        <f>IF(L64=0,"N/A",H64/L64)</f>
        <v>N/A</v>
      </c>
      <c r="N64" s="229"/>
      <c r="O64" s="231"/>
      <c r="P64" s="231"/>
    </row>
    <row r="65" spans="2:16" ht="22.5" customHeight="1" x14ac:dyDescent="0.35">
      <c r="B65" s="127" t="s">
        <v>63</v>
      </c>
      <c r="C65" s="150">
        <v>2114.1559999999999</v>
      </c>
      <c r="D65" s="150">
        <v>3010.1229186056808</v>
      </c>
      <c r="E65" s="196">
        <f t="shared" si="3"/>
        <v>3010.1229186056808</v>
      </c>
      <c r="F65" s="156">
        <v>1724</v>
      </c>
      <c r="G65" s="201">
        <f t="shared" si="14"/>
        <v>1.2263085846867749</v>
      </c>
      <c r="H65" s="147">
        <v>784147.07</v>
      </c>
      <c r="I65" s="203">
        <f t="shared" si="16"/>
        <v>478329.71269999997</v>
      </c>
      <c r="J65" s="203">
        <f t="shared" si="13"/>
        <v>305817.35729999997</v>
      </c>
      <c r="K65" s="147">
        <v>738320.44600000011</v>
      </c>
      <c r="L65" s="147">
        <v>754628.85033333336</v>
      </c>
      <c r="M65" s="201">
        <f t="shared" si="15"/>
        <v>1.0391162087874428</v>
      </c>
      <c r="O65" s="231"/>
      <c r="P65" s="231"/>
    </row>
    <row r="66" spans="2:16" ht="22.5" customHeight="1" x14ac:dyDescent="0.35">
      <c r="B66" s="127" t="s">
        <v>64</v>
      </c>
      <c r="C66" s="150">
        <v>0</v>
      </c>
      <c r="D66" s="150">
        <v>559.99999999999943</v>
      </c>
      <c r="E66" s="196">
        <f t="shared" si="3"/>
        <v>559.99999999999943</v>
      </c>
      <c r="F66" s="156">
        <v>0</v>
      </c>
      <c r="G66" s="201" t="str">
        <f t="shared" si="14"/>
        <v>N/A</v>
      </c>
      <c r="H66" s="147">
        <v>0</v>
      </c>
      <c r="I66" s="203">
        <f t="shared" si="16"/>
        <v>0</v>
      </c>
      <c r="J66" s="203">
        <f t="shared" si="13"/>
        <v>0</v>
      </c>
      <c r="K66" s="147">
        <v>0</v>
      </c>
      <c r="L66" s="147">
        <v>0</v>
      </c>
      <c r="M66" s="201" t="str">
        <f t="shared" si="15"/>
        <v>N/A</v>
      </c>
      <c r="N66" s="229"/>
      <c r="O66" s="231"/>
      <c r="P66" s="231"/>
    </row>
    <row r="67" spans="2:16" ht="22.5" customHeight="1" x14ac:dyDescent="0.35">
      <c r="B67" s="127" t="s">
        <v>65</v>
      </c>
      <c r="C67" s="150">
        <v>15061.569894008353</v>
      </c>
      <c r="D67" s="150">
        <v>6427.1449239326994</v>
      </c>
      <c r="E67" s="196">
        <f t="shared" si="3"/>
        <v>6427.1449239326994</v>
      </c>
      <c r="F67" s="156">
        <v>13371.076483326371</v>
      </c>
      <c r="G67" s="201">
        <f t="shared" si="14"/>
        <v>1.1264291183129507</v>
      </c>
      <c r="H67" s="147">
        <v>3933937.36</v>
      </c>
      <c r="I67" s="203">
        <f t="shared" si="16"/>
        <v>2399701.7895999998</v>
      </c>
      <c r="J67" s="203">
        <f t="shared" si="13"/>
        <v>1534235.5704000001</v>
      </c>
      <c r="K67" s="147">
        <v>3358292.9921914623</v>
      </c>
      <c r="L67" s="147">
        <v>3137455.6744508673</v>
      </c>
      <c r="M67" s="201">
        <f t="shared" si="15"/>
        <v>1.2538622910389121</v>
      </c>
      <c r="O67" s="231"/>
      <c r="P67" s="231"/>
    </row>
    <row r="68" spans="2:16" ht="22.5" customHeight="1" x14ac:dyDescent="0.35">
      <c r="B68" s="127" t="s">
        <v>66</v>
      </c>
      <c r="C68" s="150">
        <v>4562.8949999999995</v>
      </c>
      <c r="D68" s="150">
        <v>5595.5</v>
      </c>
      <c r="E68" s="196">
        <f t="shared" si="3"/>
        <v>5595.5</v>
      </c>
      <c r="F68" s="156">
        <v>5000</v>
      </c>
      <c r="G68" s="201">
        <f t="shared" si="14"/>
        <v>0.91257899999999992</v>
      </c>
      <c r="H68" s="147">
        <v>707550.09000000008</v>
      </c>
      <c r="I68" s="200">
        <v>0</v>
      </c>
      <c r="J68" s="203">
        <f t="shared" si="13"/>
        <v>707550.09000000008</v>
      </c>
      <c r="K68" s="147">
        <v>720204.74999999988</v>
      </c>
      <c r="L68" s="147">
        <v>720204.80999999994</v>
      </c>
      <c r="M68" s="201">
        <f t="shared" si="15"/>
        <v>0.9824289982178821</v>
      </c>
      <c r="O68" s="231"/>
      <c r="P68" s="231"/>
    </row>
    <row r="69" spans="2:16" ht="22.5" customHeight="1" x14ac:dyDescent="0.35">
      <c r="B69" s="127" t="s">
        <v>67</v>
      </c>
      <c r="C69" s="150">
        <v>31288</v>
      </c>
      <c r="D69" s="150">
        <v>52253.524597827665</v>
      </c>
      <c r="E69" s="196">
        <f t="shared" si="3"/>
        <v>52253.524597827665</v>
      </c>
      <c r="F69" s="156">
        <v>26938.7528229864</v>
      </c>
      <c r="G69" s="201">
        <f t="shared" si="14"/>
        <v>1.1614494629945324</v>
      </c>
      <c r="H69" s="147">
        <v>11506474.85</v>
      </c>
      <c r="I69" s="200">
        <f>H69*0.61</f>
        <v>7018949.6584999999</v>
      </c>
      <c r="J69" s="203">
        <f t="shared" si="13"/>
        <v>4487525.1914999997</v>
      </c>
      <c r="K69" s="147">
        <v>10941870.73</v>
      </c>
      <c r="L69" s="147">
        <v>10961375.27</v>
      </c>
      <c r="M69" s="201">
        <f t="shared" si="15"/>
        <v>1.0497291230865777</v>
      </c>
      <c r="O69" s="231"/>
      <c r="P69" s="231"/>
    </row>
    <row r="70" spans="2:16" ht="22.5" customHeight="1" x14ac:dyDescent="0.35">
      <c r="B70" s="127" t="s">
        <v>68</v>
      </c>
      <c r="C70" s="150">
        <v>995.90127359999997</v>
      </c>
      <c r="D70" s="150">
        <v>330.82905058823508</v>
      </c>
      <c r="E70" s="196">
        <f t="shared" si="3"/>
        <v>330.82905058823508</v>
      </c>
      <c r="F70" s="156">
        <v>458.5320000000001</v>
      </c>
      <c r="G70" s="201">
        <f t="shared" si="14"/>
        <v>2.1719340713407127</v>
      </c>
      <c r="H70" s="147">
        <v>422132.0199999999</v>
      </c>
      <c r="I70" s="200">
        <v>0</v>
      </c>
      <c r="J70" s="203">
        <f t="shared" si="13"/>
        <v>422132.0199999999</v>
      </c>
      <c r="K70" s="147">
        <v>690696.6</v>
      </c>
      <c r="L70" s="147">
        <v>635198.1</v>
      </c>
      <c r="M70" s="201">
        <f t="shared" si="15"/>
        <v>0.66456751051364904</v>
      </c>
      <c r="O70" s="231"/>
      <c r="P70" s="231"/>
    </row>
    <row r="71" spans="2:16" ht="22.5" customHeight="1" x14ac:dyDescent="0.35">
      <c r="B71" s="127" t="s">
        <v>34</v>
      </c>
      <c r="C71" s="150">
        <v>1352</v>
      </c>
      <c r="D71" s="150">
        <v>1538.9443886003498</v>
      </c>
      <c r="E71" s="196">
        <f t="shared" si="3"/>
        <v>1538.9443886003498</v>
      </c>
      <c r="F71" s="156">
        <v>2187</v>
      </c>
      <c r="G71" s="201">
        <f t="shared" si="14"/>
        <v>0.6181984453589392</v>
      </c>
      <c r="H71" s="147">
        <v>1675883.54</v>
      </c>
      <c r="I71" s="200">
        <f>H71*0.61</f>
        <v>1022288.9594000001</v>
      </c>
      <c r="J71" s="203">
        <f t="shared" si="13"/>
        <v>653594.58059999999</v>
      </c>
      <c r="K71" s="147">
        <v>2348510</v>
      </c>
      <c r="L71" s="147">
        <v>2181972.758808258</v>
      </c>
      <c r="M71" s="201">
        <f t="shared" si="15"/>
        <v>0.76805887389507466</v>
      </c>
      <c r="O71" s="231"/>
      <c r="P71" s="231"/>
    </row>
    <row r="72" spans="2:16" ht="22.5" customHeight="1" x14ac:dyDescent="0.35">
      <c r="B72" s="127" t="s">
        <v>69</v>
      </c>
      <c r="C72" s="151">
        <v>0</v>
      </c>
      <c r="D72" s="151" t="s">
        <v>21</v>
      </c>
      <c r="E72" s="208" t="str">
        <f t="shared" si="3"/>
        <v>N/A</v>
      </c>
      <c r="F72" s="151" t="s">
        <v>21</v>
      </c>
      <c r="G72" s="208" t="s">
        <v>21</v>
      </c>
      <c r="H72" s="147">
        <v>1183355.6199999996</v>
      </c>
      <c r="I72" s="200">
        <v>0</v>
      </c>
      <c r="J72" s="203">
        <f t="shared" si="13"/>
        <v>1183355.6199999996</v>
      </c>
      <c r="K72" s="147">
        <v>1955484.7999999998</v>
      </c>
      <c r="L72" s="147">
        <v>905457.98</v>
      </c>
      <c r="M72" s="201">
        <f t="shared" si="15"/>
        <v>1.3069139000796035</v>
      </c>
      <c r="O72" s="231"/>
      <c r="P72" s="231"/>
    </row>
    <row r="73" spans="2:16" ht="22.5" customHeight="1" x14ac:dyDescent="0.35">
      <c r="B73" s="127" t="s">
        <v>70</v>
      </c>
      <c r="C73" s="151">
        <v>0</v>
      </c>
      <c r="D73" s="151" t="s">
        <v>21</v>
      </c>
      <c r="E73" s="208" t="str">
        <f t="shared" si="3"/>
        <v>N/A</v>
      </c>
      <c r="F73" s="151" t="s">
        <v>21</v>
      </c>
      <c r="G73" s="208" t="s">
        <v>21</v>
      </c>
      <c r="H73" s="147">
        <v>0</v>
      </c>
      <c r="I73" s="200">
        <v>0</v>
      </c>
      <c r="J73" s="203">
        <f t="shared" si="13"/>
        <v>0</v>
      </c>
      <c r="K73" s="147">
        <v>0</v>
      </c>
      <c r="L73" s="147">
        <v>0</v>
      </c>
      <c r="M73" s="201" t="str">
        <f t="shared" si="15"/>
        <v>N/A</v>
      </c>
      <c r="O73" s="231"/>
      <c r="P73" s="231"/>
    </row>
    <row r="74" spans="2:16" ht="22.5" customHeight="1" x14ac:dyDescent="0.35">
      <c r="B74" s="91" t="s">
        <v>71</v>
      </c>
      <c r="C74" s="217">
        <f>SUM(C57,C62:C73)</f>
        <v>129795.2091867733</v>
      </c>
      <c r="D74" s="217">
        <f>SUM(D57,D62:D73)</f>
        <v>152885.63585234029</v>
      </c>
      <c r="E74" s="217">
        <f>SUM(E57,E62:E73)</f>
        <v>152885.63585234029</v>
      </c>
      <c r="F74" s="217">
        <f>SUM(F57,F62:F73)</f>
        <v>108718.93113941306</v>
      </c>
      <c r="G74" s="169">
        <f>C74/F74</f>
        <v>1.1938602396700679</v>
      </c>
      <c r="H74" s="218">
        <f>SUM(H57,H62:H73)</f>
        <v>39716827.049999997</v>
      </c>
      <c r="I74" s="218">
        <f>SUM(I57,I62:I73)</f>
        <v>22816311.485200003</v>
      </c>
      <c r="J74" s="218">
        <f>SUM(J57,J62:J73)</f>
        <v>16900515.564800002</v>
      </c>
      <c r="K74" s="218">
        <f>SUM(K57,K62:K73)</f>
        <v>34807627.163114458</v>
      </c>
      <c r="L74" s="218">
        <f>SUM(L57,L62:L73)</f>
        <v>35419399.277399123</v>
      </c>
      <c r="M74" s="169">
        <f>H74/L74</f>
        <v>1.1213297757803316</v>
      </c>
    </row>
    <row r="75" spans="2:16" ht="22.5" customHeight="1" x14ac:dyDescent="0.35">
      <c r="B75" s="45" t="s">
        <v>72</v>
      </c>
      <c r="C75" s="157"/>
      <c r="D75" s="157"/>
      <c r="E75" s="157"/>
      <c r="F75" s="157"/>
      <c r="G75" s="157"/>
      <c r="H75" s="157"/>
      <c r="I75" s="157"/>
      <c r="J75" s="157"/>
      <c r="K75" s="157"/>
      <c r="L75" s="157"/>
      <c r="M75" s="158"/>
    </row>
    <row r="76" spans="2:16" ht="22.5" customHeight="1" x14ac:dyDescent="0.35">
      <c r="B76" s="15" t="s">
        <v>73</v>
      </c>
      <c r="C76" s="151">
        <v>111065</v>
      </c>
      <c r="D76" s="155">
        <v>106471.00000000003</v>
      </c>
      <c r="E76" s="210">
        <f t="shared" si="3"/>
        <v>106471.00000000003</v>
      </c>
      <c r="F76" s="156">
        <v>82567</v>
      </c>
      <c r="G76" s="201">
        <f t="shared" ref="G76:G84" si="17">IF(F76=0,"N/A",C76/F76)</f>
        <v>1.3451499993944311</v>
      </c>
      <c r="H76" s="147">
        <f>18121.16+5604769.18733333</f>
        <v>5622890.3473333297</v>
      </c>
      <c r="I76" s="200">
        <v>0</v>
      </c>
      <c r="J76" s="200">
        <f>H76-I76</f>
        <v>5622890.3473333297</v>
      </c>
      <c r="K76" s="147">
        <f>50000+6011689.66</f>
        <v>6061689.6600000001</v>
      </c>
      <c r="L76" s="147">
        <f>48289.1+5751181.5157</f>
        <v>5799470.6157</v>
      </c>
      <c r="M76" s="201">
        <f>IF(L76=0,"N/A",H76/L76)</f>
        <v>0.96955234709032889</v>
      </c>
      <c r="O76" s="253"/>
    </row>
    <row r="77" spans="2:16" ht="22.5" customHeight="1" x14ac:dyDescent="0.35">
      <c r="B77" s="15" t="s">
        <v>74</v>
      </c>
      <c r="C77" s="151">
        <v>154357</v>
      </c>
      <c r="D77" s="155">
        <v>91176.495665813753</v>
      </c>
      <c r="E77" s="210">
        <f t="shared" si="3"/>
        <v>91176.495665813753</v>
      </c>
      <c r="F77" s="156">
        <v>146768.6</v>
      </c>
      <c r="G77" s="201">
        <f t="shared" si="17"/>
        <v>1.0517031572148265</v>
      </c>
      <c r="H77" s="147">
        <v>19463046.140000001</v>
      </c>
      <c r="I77" s="200">
        <f t="shared" ref="I77:I85" si="18">H77*0.61</f>
        <v>11872458.145400001</v>
      </c>
      <c r="J77" s="200">
        <f t="shared" ref="J77:J86" si="19">H77-I77</f>
        <v>7590587.9945999999</v>
      </c>
      <c r="K77" s="147">
        <v>19763000.010000002</v>
      </c>
      <c r="L77" s="147">
        <v>19781868.551150683</v>
      </c>
      <c r="M77" s="201">
        <f t="shared" ref="M77:M86" si="20">IF(L77=0,"N/A",H77/L77)</f>
        <v>0.98388309929740503</v>
      </c>
      <c r="O77" s="222"/>
    </row>
    <row r="78" spans="2:16" ht="22.5" customHeight="1" x14ac:dyDescent="0.35">
      <c r="B78" s="15" t="s">
        <v>75</v>
      </c>
      <c r="C78" s="151">
        <v>844.29200000000003</v>
      </c>
      <c r="D78" s="155"/>
      <c r="E78" s="210">
        <f t="shared" si="3"/>
        <v>0</v>
      </c>
      <c r="F78" s="156">
        <v>844.10496131020534</v>
      </c>
      <c r="G78" s="201"/>
      <c r="H78" s="147">
        <v>97569.279999999999</v>
      </c>
      <c r="I78" s="200">
        <f t="shared" si="18"/>
        <v>59517.260799999996</v>
      </c>
      <c r="J78" s="200">
        <f t="shared" si="19"/>
        <v>38052.019200000002</v>
      </c>
      <c r="K78" s="147">
        <v>61635.333333333343</v>
      </c>
      <c r="L78" s="147">
        <v>126556.53500000003</v>
      </c>
      <c r="M78" s="201">
        <f t="shared" si="20"/>
        <v>0.77095410363439532</v>
      </c>
      <c r="O78" s="222"/>
    </row>
    <row r="79" spans="2:16" ht="22.5" customHeight="1" x14ac:dyDescent="0.35">
      <c r="B79" s="15" t="s">
        <v>76</v>
      </c>
      <c r="C79" s="151">
        <v>27855.206248814298</v>
      </c>
      <c r="D79" s="155">
        <v>33862.940225642007</v>
      </c>
      <c r="E79" s="210">
        <f t="shared" si="3"/>
        <v>33862.940225642007</v>
      </c>
      <c r="F79" s="156">
        <v>23256.3061007</v>
      </c>
      <c r="G79" s="201">
        <f t="shared" si="17"/>
        <v>1.197748521549425</v>
      </c>
      <c r="H79" s="147">
        <v>14092824.41</v>
      </c>
      <c r="I79" s="200">
        <f t="shared" si="18"/>
        <v>8596622.8901000004</v>
      </c>
      <c r="J79" s="200">
        <f t="shared" si="19"/>
        <v>5496201.5198999997</v>
      </c>
      <c r="K79" s="147">
        <v>14084840.410958903</v>
      </c>
      <c r="L79" s="147">
        <v>14323731.756712331</v>
      </c>
      <c r="M79" s="201">
        <f t="shared" si="20"/>
        <v>0.98387938627766303</v>
      </c>
      <c r="O79" s="232"/>
    </row>
    <row r="80" spans="2:16" ht="22.5" customHeight="1" x14ac:dyDescent="0.35">
      <c r="B80" s="15" t="s">
        <v>77</v>
      </c>
      <c r="C80" s="151">
        <v>18477.599504000002</v>
      </c>
      <c r="D80" s="155"/>
      <c r="E80" s="210">
        <f t="shared" si="3"/>
        <v>0</v>
      </c>
      <c r="F80" s="156">
        <v>10276.608752</v>
      </c>
      <c r="G80" s="201"/>
      <c r="H80" s="147">
        <v>6665012.4199999999</v>
      </c>
      <c r="I80" s="200">
        <f t="shared" si="18"/>
        <v>4065657.5762</v>
      </c>
      <c r="J80" s="200">
        <f t="shared" si="19"/>
        <v>2599354.8437999999</v>
      </c>
      <c r="K80" s="147">
        <v>3556797.2000000007</v>
      </c>
      <c r="L80" s="147">
        <v>4599497.9749999996</v>
      </c>
      <c r="M80" s="201">
        <f t="shared" si="20"/>
        <v>1.4490738894172468</v>
      </c>
      <c r="O80" s="232"/>
    </row>
    <row r="81" spans="2:17" ht="22.5" customHeight="1" x14ac:dyDescent="0.35">
      <c r="B81" s="15" t="s">
        <v>78</v>
      </c>
      <c r="C81" s="151">
        <v>0</v>
      </c>
      <c r="D81" s="155">
        <v>21702.515446331541</v>
      </c>
      <c r="E81" s="210">
        <f t="shared" si="3"/>
        <v>21702.515446331541</v>
      </c>
      <c r="F81" s="156">
        <v>0</v>
      </c>
      <c r="G81" s="201" t="str">
        <f t="shared" si="17"/>
        <v>N/A</v>
      </c>
      <c r="H81" s="147">
        <v>314.91000000000003</v>
      </c>
      <c r="I81" s="200">
        <f t="shared" si="18"/>
        <v>192.0951</v>
      </c>
      <c r="J81" s="200">
        <f t="shared" si="19"/>
        <v>122.81490000000002</v>
      </c>
      <c r="K81" s="147">
        <v>4500</v>
      </c>
      <c r="L81" s="147">
        <v>-61307</v>
      </c>
      <c r="M81" s="201">
        <f t="shared" si="20"/>
        <v>-5.1366075652046267E-3</v>
      </c>
      <c r="O81" s="232"/>
    </row>
    <row r="82" spans="2:17" ht="22.5" customHeight="1" x14ac:dyDescent="0.35">
      <c r="B82" s="15" t="s">
        <v>79</v>
      </c>
      <c r="C82" s="151">
        <v>14585</v>
      </c>
      <c r="D82" s="155">
        <v>15066.644098050696</v>
      </c>
      <c r="E82" s="210">
        <f t="shared" si="3"/>
        <v>15066.644098050696</v>
      </c>
      <c r="F82" s="156">
        <v>17359</v>
      </c>
      <c r="G82" s="201">
        <f t="shared" si="17"/>
        <v>0.84019816809724057</v>
      </c>
      <c r="H82" s="147">
        <v>5334185.07</v>
      </c>
      <c r="I82" s="200">
        <f t="shared" si="18"/>
        <v>3253852.8927000002</v>
      </c>
      <c r="J82" s="200">
        <f t="shared" si="19"/>
        <v>2080332.1773000001</v>
      </c>
      <c r="K82" s="147">
        <v>6043359.7006802037</v>
      </c>
      <c r="L82" s="147">
        <v>5900504.0078303348</v>
      </c>
      <c r="M82" s="201">
        <f t="shared" si="20"/>
        <v>0.90402193828208677</v>
      </c>
      <c r="O82" s="232"/>
    </row>
    <row r="83" spans="2:17" ht="22.5" customHeight="1" x14ac:dyDescent="0.35">
      <c r="B83" s="15" t="s">
        <v>80</v>
      </c>
      <c r="C83" s="151">
        <v>8062</v>
      </c>
      <c r="D83" s="155">
        <v>6843.5748594873885</v>
      </c>
      <c r="E83" s="210">
        <f t="shared" si="3"/>
        <v>6843.5748594873885</v>
      </c>
      <c r="F83" s="156">
        <v>9117.1665403461702</v>
      </c>
      <c r="G83" s="201">
        <f t="shared" si="17"/>
        <v>0.88426595744667547</v>
      </c>
      <c r="H83" s="147">
        <v>4123104.7600000007</v>
      </c>
      <c r="I83" s="200">
        <f t="shared" si="18"/>
        <v>2515093.9036000003</v>
      </c>
      <c r="J83" s="200">
        <f t="shared" si="19"/>
        <v>1608010.8564000004</v>
      </c>
      <c r="K83" s="147">
        <v>3960314.9311522818</v>
      </c>
      <c r="L83" s="147">
        <v>4101240.1981250658</v>
      </c>
      <c r="M83" s="201">
        <f t="shared" si="20"/>
        <v>1.0053312073467267</v>
      </c>
      <c r="O83" s="232"/>
    </row>
    <row r="84" spans="2:17" ht="22.5" customHeight="1" x14ac:dyDescent="0.35">
      <c r="B84" s="15" t="s">
        <v>81</v>
      </c>
      <c r="C84" s="151">
        <v>4443</v>
      </c>
      <c r="D84" s="155">
        <v>9816</v>
      </c>
      <c r="E84" s="210">
        <f t="shared" si="3"/>
        <v>9816</v>
      </c>
      <c r="F84" s="156">
        <v>3573.6010000000001</v>
      </c>
      <c r="G84" s="201">
        <f t="shared" si="17"/>
        <v>1.2432837353694495</v>
      </c>
      <c r="H84" s="147">
        <v>2797450.6</v>
      </c>
      <c r="I84" s="200">
        <f t="shared" si="18"/>
        <v>1706444.8659999999</v>
      </c>
      <c r="J84" s="200">
        <f t="shared" si="19"/>
        <v>1091005.7340000002</v>
      </c>
      <c r="K84" s="147">
        <v>2258604</v>
      </c>
      <c r="L84" s="147">
        <v>2464499.89</v>
      </c>
      <c r="M84" s="201">
        <f t="shared" si="20"/>
        <v>1.1350986913616783</v>
      </c>
      <c r="O84" s="222"/>
      <c r="Q84" s="129"/>
    </row>
    <row r="85" spans="2:17" ht="22.5" customHeight="1" x14ac:dyDescent="0.35">
      <c r="B85" s="15" t="s">
        <v>82</v>
      </c>
      <c r="C85" s="150">
        <v>0</v>
      </c>
      <c r="D85" s="155">
        <v>570.7407967267693</v>
      </c>
      <c r="E85" s="210" t="s">
        <v>21</v>
      </c>
      <c r="F85" s="156">
        <v>0</v>
      </c>
      <c r="G85" s="201" t="s">
        <v>21</v>
      </c>
      <c r="H85" s="147">
        <v>0</v>
      </c>
      <c r="I85" s="200">
        <f t="shared" si="18"/>
        <v>0</v>
      </c>
      <c r="J85" s="200">
        <f t="shared" si="19"/>
        <v>0</v>
      </c>
      <c r="K85" s="147">
        <v>0</v>
      </c>
      <c r="L85" s="147">
        <v>0</v>
      </c>
      <c r="M85" s="201" t="str">
        <f t="shared" si="20"/>
        <v>N/A</v>
      </c>
      <c r="O85" s="232"/>
    </row>
    <row r="86" spans="2:17" ht="22.5" customHeight="1" x14ac:dyDescent="0.35">
      <c r="B86" s="15" t="s">
        <v>83</v>
      </c>
      <c r="C86" s="151">
        <v>0</v>
      </c>
      <c r="D86" s="151" t="s">
        <v>21</v>
      </c>
      <c r="E86" s="208" t="str">
        <f t="shared" si="3"/>
        <v>N/A</v>
      </c>
      <c r="F86" s="151" t="s">
        <v>21</v>
      </c>
      <c r="G86" s="208" t="s">
        <v>21</v>
      </c>
      <c r="H86" s="147">
        <v>173521.27000000002</v>
      </c>
      <c r="I86" s="200">
        <v>0</v>
      </c>
      <c r="J86" s="200">
        <f t="shared" si="19"/>
        <v>173521.27000000002</v>
      </c>
      <c r="K86" s="147">
        <v>449191</v>
      </c>
      <c r="L86" s="147">
        <v>394598.39</v>
      </c>
      <c r="M86" s="201">
        <f t="shared" si="20"/>
        <v>0.43974145459640629</v>
      </c>
      <c r="O86" s="232"/>
    </row>
    <row r="87" spans="2:17" ht="22.5" customHeight="1" x14ac:dyDescent="0.35">
      <c r="B87" s="16" t="s">
        <v>84</v>
      </c>
      <c r="C87" s="174">
        <f>SUM(C76:C86)</f>
        <v>339689.0977528143</v>
      </c>
      <c r="D87" s="152">
        <f>SUM(D76:D86)</f>
        <v>285509.91109205224</v>
      </c>
      <c r="E87" s="152">
        <f>D87</f>
        <v>285509.91109205224</v>
      </c>
      <c r="F87" s="152">
        <f>SUM(F76:F86)</f>
        <v>293762.38735435641</v>
      </c>
      <c r="G87" s="173">
        <f>C87/F87</f>
        <v>1.1563396553659469</v>
      </c>
      <c r="H87" s="154">
        <f>SUM(H76:H86)</f>
        <v>58369919.207333334</v>
      </c>
      <c r="I87" s="154">
        <f>SUM(I76:I86)</f>
        <v>32069839.629900005</v>
      </c>
      <c r="J87" s="154">
        <f>SUM(J76:J86)</f>
        <v>26300079.577433333</v>
      </c>
      <c r="K87" s="154">
        <f>SUM(K76:K86)</f>
        <v>56243932.24612473</v>
      </c>
      <c r="L87" s="154">
        <f>SUM(L76:L86)</f>
        <v>57430660.919518419</v>
      </c>
      <c r="M87" s="153">
        <f>H87/L87</f>
        <v>1.0163546487673398</v>
      </c>
      <c r="N87" s="257"/>
      <c r="O87" s="258"/>
    </row>
    <row r="88" spans="2:17" ht="22.5" customHeight="1" x14ac:dyDescent="0.35">
      <c r="B88" s="6" t="s">
        <v>85</v>
      </c>
      <c r="C88" s="5"/>
      <c r="D88" s="5"/>
      <c r="E88" s="5"/>
      <c r="F88" s="5"/>
      <c r="G88" s="5"/>
      <c r="H88" s="5"/>
      <c r="I88" s="5"/>
      <c r="J88" s="5"/>
      <c r="K88" s="5"/>
      <c r="L88" s="5"/>
      <c r="M88" s="4"/>
    </row>
    <row r="89" spans="2:17" ht="22.5" customHeight="1" x14ac:dyDescent="0.35">
      <c r="B89" s="15" t="s">
        <v>86</v>
      </c>
      <c r="C89" s="151">
        <v>68339</v>
      </c>
      <c r="D89" s="117">
        <v>15196.602981013857</v>
      </c>
      <c r="E89" s="212">
        <f t="shared" ref="E89:E94" si="21">D89</f>
        <v>15196.602981013857</v>
      </c>
      <c r="F89" s="156">
        <v>66518.485438550793</v>
      </c>
      <c r="G89" s="214">
        <f>IF(F89=0,"N/A",C89/F89)</f>
        <v>1.0273685510042314</v>
      </c>
      <c r="H89" s="160">
        <v>7832692.9400000004</v>
      </c>
      <c r="I89" s="215">
        <f>H89*0.61</f>
        <v>4777942.6934000002</v>
      </c>
      <c r="J89" s="215">
        <f t="shared" ref="J89:J94" si="22">H89-I89</f>
        <v>3054750.2466000002</v>
      </c>
      <c r="K89" s="160">
        <v>7850000.002876712</v>
      </c>
      <c r="L89" s="160">
        <v>7968082.4699999997</v>
      </c>
      <c r="M89" s="214">
        <f>H89/L89</f>
        <v>0.98300851798287181</v>
      </c>
      <c r="O89" s="232"/>
    </row>
    <row r="90" spans="2:17" ht="22.5" customHeight="1" x14ac:dyDescent="0.35">
      <c r="B90" s="15" t="s">
        <v>87</v>
      </c>
      <c r="C90" s="151">
        <v>3853.1705200000001</v>
      </c>
      <c r="D90" s="117">
        <v>6837.7481626347435</v>
      </c>
      <c r="E90" s="212">
        <f t="shared" si="21"/>
        <v>6837.7481626347435</v>
      </c>
      <c r="F90" s="156">
        <v>3448.4142482921461</v>
      </c>
      <c r="G90" s="214">
        <f>IF(F90=0,"N/A",C90/F90)</f>
        <v>1.1173746083169425</v>
      </c>
      <c r="H90" s="160">
        <v>12279892.970000001</v>
      </c>
      <c r="I90" s="215">
        <f>H90*0.61</f>
        <v>7490734.7116999999</v>
      </c>
      <c r="J90" s="215">
        <f t="shared" si="22"/>
        <v>4789158.2583000008</v>
      </c>
      <c r="K90" s="160">
        <v>11690636.93</v>
      </c>
      <c r="L90" s="160">
        <v>12079316.760487106</v>
      </c>
      <c r="M90" s="214">
        <f>H90/L90</f>
        <v>1.0166049300212909</v>
      </c>
      <c r="O90" s="222"/>
    </row>
    <row r="91" spans="2:17" ht="22.5" customHeight="1" x14ac:dyDescent="0.35">
      <c r="B91" s="15" t="s">
        <v>88</v>
      </c>
      <c r="C91" s="151">
        <v>4700</v>
      </c>
      <c r="D91" s="117">
        <v>4111.1334175836964</v>
      </c>
      <c r="E91" s="212">
        <f t="shared" si="21"/>
        <v>4111.1334175836964</v>
      </c>
      <c r="F91" s="156">
        <v>5513.4788373419269</v>
      </c>
      <c r="G91" s="214">
        <f>IF(F91=0,"N/A",C91/F91)</f>
        <v>0.85245634175062712</v>
      </c>
      <c r="H91" s="160">
        <v>10651330.27</v>
      </c>
      <c r="I91" s="215">
        <f>H91*0.61</f>
        <v>6497311.4646999994</v>
      </c>
      <c r="J91" s="215">
        <f t="shared" si="22"/>
        <v>4154018.8053000001</v>
      </c>
      <c r="K91" s="160">
        <v>12271966</v>
      </c>
      <c r="L91" s="160">
        <v>12332463.871052951</v>
      </c>
      <c r="M91" s="214">
        <f>H91/L91</f>
        <v>0.86368226020114702</v>
      </c>
      <c r="O91" s="222"/>
    </row>
    <row r="92" spans="2:17" ht="22.5" customHeight="1" x14ac:dyDescent="0.35">
      <c r="B92" s="15" t="s">
        <v>89</v>
      </c>
      <c r="C92" s="151">
        <v>1281</v>
      </c>
      <c r="D92" s="117">
        <v>1630.8776568833398</v>
      </c>
      <c r="E92" s="212">
        <f t="shared" si="21"/>
        <v>1630.8776568833398</v>
      </c>
      <c r="F92" s="156">
        <v>1422.8300000000002</v>
      </c>
      <c r="G92" s="214">
        <f>IF(F92=0,"N/A",C92/F92)</f>
        <v>0.90031837956748162</v>
      </c>
      <c r="H92" s="160">
        <v>1892528.4899999998</v>
      </c>
      <c r="I92" s="215">
        <f>H92*0.61</f>
        <v>1154442.3788999999</v>
      </c>
      <c r="J92" s="215">
        <f t="shared" si="22"/>
        <v>738086.11109999986</v>
      </c>
      <c r="K92" s="160">
        <v>2494484.1643407568</v>
      </c>
      <c r="L92" s="160">
        <v>2100871.700619</v>
      </c>
      <c r="M92" s="214">
        <f>H92/L92</f>
        <v>0.9008301123016631</v>
      </c>
      <c r="O92" s="222"/>
    </row>
    <row r="93" spans="2:17" ht="22.5" customHeight="1" x14ac:dyDescent="0.35">
      <c r="B93" s="15" t="s">
        <v>90</v>
      </c>
      <c r="C93" s="116">
        <v>0</v>
      </c>
      <c r="D93" s="116" t="s">
        <v>21</v>
      </c>
      <c r="E93" s="213" t="str">
        <f t="shared" si="21"/>
        <v>N/A</v>
      </c>
      <c r="F93" s="116" t="s">
        <v>21</v>
      </c>
      <c r="G93" s="213" t="s">
        <v>21</v>
      </c>
      <c r="H93" s="160">
        <v>237110.51</v>
      </c>
      <c r="I93" s="215">
        <v>0</v>
      </c>
      <c r="J93" s="215">
        <f t="shared" si="22"/>
        <v>237110.51</v>
      </c>
      <c r="K93" s="160">
        <v>1000000</v>
      </c>
      <c r="L93" s="160">
        <v>978079.70000000007</v>
      </c>
      <c r="M93" s="214">
        <f>H93/L93</f>
        <v>0.24242452838965986</v>
      </c>
      <c r="O93" s="222"/>
    </row>
    <row r="94" spans="2:17" ht="22.5" customHeight="1" x14ac:dyDescent="0.35">
      <c r="B94" s="15" t="s">
        <v>91</v>
      </c>
      <c r="C94" s="116">
        <v>0</v>
      </c>
      <c r="D94" s="116" t="s">
        <v>21</v>
      </c>
      <c r="E94" s="213" t="str">
        <f t="shared" si="21"/>
        <v>N/A</v>
      </c>
      <c r="F94" s="116" t="s">
        <v>21</v>
      </c>
      <c r="G94" s="213" t="s">
        <v>21</v>
      </c>
      <c r="H94" s="160">
        <v>142646.86000000002</v>
      </c>
      <c r="I94" s="215">
        <v>0</v>
      </c>
      <c r="J94" s="215">
        <f t="shared" si="22"/>
        <v>142646.86000000002</v>
      </c>
      <c r="K94" s="160">
        <v>150000</v>
      </c>
      <c r="L94" s="160">
        <v>168235.59</v>
      </c>
      <c r="M94" s="214" t="s">
        <v>21</v>
      </c>
      <c r="O94" s="222"/>
    </row>
    <row r="95" spans="2:17" ht="22.5" customHeight="1" x14ac:dyDescent="0.35">
      <c r="B95" s="16" t="s">
        <v>92</v>
      </c>
      <c r="C95" s="175">
        <f>SUM(C89:C94)</f>
        <v>78173.17052</v>
      </c>
      <c r="D95" s="111">
        <f>SUM(D89:D94)</f>
        <v>27776.362218115635</v>
      </c>
      <c r="E95" s="111">
        <f>SUM(E89:E94)</f>
        <v>27776.362218115635</v>
      </c>
      <c r="F95" s="111">
        <f>SUM(F89:F94)</f>
        <v>76903.208524184869</v>
      </c>
      <c r="G95" s="176">
        <f>C95/F95</f>
        <v>1.0165137712741301</v>
      </c>
      <c r="H95" s="154">
        <f>SUM(H89:H94)</f>
        <v>33036202.039999999</v>
      </c>
      <c r="I95" s="119">
        <f>SUM(I89:I94)</f>
        <v>19920431.248699997</v>
      </c>
      <c r="J95" s="119">
        <f>SUM(J89:J94)</f>
        <v>13115770.791300001</v>
      </c>
      <c r="K95" s="119">
        <f>SUM(K89:K94)</f>
        <v>35457087.09721747</v>
      </c>
      <c r="L95" s="119">
        <f>SUM(L89:L94)</f>
        <v>35627050.092159063</v>
      </c>
      <c r="M95" s="161">
        <f>H95/L95</f>
        <v>0.92727862549784135</v>
      </c>
      <c r="N95" s="255"/>
      <c r="O95" s="259"/>
    </row>
    <row r="96" spans="2:17" ht="22.5" customHeight="1" x14ac:dyDescent="0.35">
      <c r="B96" s="6" t="s">
        <v>93</v>
      </c>
      <c r="C96" s="5"/>
      <c r="D96" s="5"/>
      <c r="E96" s="5"/>
      <c r="F96" s="5"/>
      <c r="G96" s="5"/>
      <c r="H96" s="5"/>
      <c r="I96" s="5"/>
      <c r="J96" s="5"/>
      <c r="K96" s="5"/>
      <c r="L96" s="5"/>
      <c r="M96" s="4"/>
      <c r="O96" s="232"/>
    </row>
    <row r="97" spans="2:17" ht="22.5" customHeight="1" x14ac:dyDescent="0.35">
      <c r="B97" s="15" t="s">
        <v>94</v>
      </c>
      <c r="C97" s="116">
        <v>0</v>
      </c>
      <c r="D97" s="117">
        <v>0</v>
      </c>
      <c r="E97" s="212">
        <f>D97</f>
        <v>0</v>
      </c>
      <c r="F97" s="156">
        <v>0</v>
      </c>
      <c r="G97" s="214" t="str">
        <f t="shared" ref="G97:G110" si="23">IF(F97=0,"N/A",C97/F97)</f>
        <v>N/A</v>
      </c>
      <c r="H97" s="160">
        <v>0</v>
      </c>
      <c r="I97" s="215">
        <f t="shared" ref="I97:I107" si="24">H97*0.61</f>
        <v>0</v>
      </c>
      <c r="J97" s="215">
        <f>H97-I97</f>
        <v>0</v>
      </c>
      <c r="K97" s="160">
        <v>0</v>
      </c>
      <c r="L97" s="160"/>
      <c r="M97" s="215" t="str">
        <f>IF(L97=0,"N/A",H97/L97)</f>
        <v>N/A</v>
      </c>
      <c r="O97" s="222"/>
    </row>
    <row r="98" spans="2:17" ht="22.5" customHeight="1" x14ac:dyDescent="0.35">
      <c r="B98" s="15" t="s">
        <v>95</v>
      </c>
      <c r="C98" s="151" t="s">
        <v>21</v>
      </c>
      <c r="D98" s="117">
        <v>0</v>
      </c>
      <c r="E98" s="212">
        <f t="shared" ref="E98:E110" si="25">D98</f>
        <v>0</v>
      </c>
      <c r="F98" s="156">
        <v>0</v>
      </c>
      <c r="G98" s="214" t="str">
        <f t="shared" si="23"/>
        <v>N/A</v>
      </c>
      <c r="H98" s="160">
        <v>897.52000000000044</v>
      </c>
      <c r="I98" s="215">
        <f t="shared" si="24"/>
        <v>547.48720000000026</v>
      </c>
      <c r="J98" s="215">
        <f t="shared" ref="J98:J110" si="26">H98-I98</f>
        <v>350.03280000000018</v>
      </c>
      <c r="K98" s="160">
        <v>0</v>
      </c>
      <c r="L98" s="160">
        <v>897.52000000000044</v>
      </c>
      <c r="M98" s="237">
        <f t="shared" ref="M98:M101" si="27">IF(L98=0,"N/A",H98/L98)</f>
        <v>1</v>
      </c>
      <c r="O98" s="222"/>
      <c r="Q98" s="255"/>
    </row>
    <row r="99" spans="2:17" ht="22.5" customHeight="1" x14ac:dyDescent="0.35">
      <c r="B99" s="15" t="s">
        <v>96</v>
      </c>
      <c r="C99" s="151">
        <v>6276.8480209734398</v>
      </c>
      <c r="D99" s="117">
        <v>0</v>
      </c>
      <c r="E99" s="212">
        <f t="shared" si="25"/>
        <v>0</v>
      </c>
      <c r="F99" s="156">
        <v>5013.5020000000004</v>
      </c>
      <c r="G99" s="214">
        <f t="shared" si="23"/>
        <v>1.2519887338178861</v>
      </c>
      <c r="H99" s="160">
        <v>2403734.6</v>
      </c>
      <c r="I99" s="215">
        <f t="shared" si="24"/>
        <v>1466278.1059999999</v>
      </c>
      <c r="J99" s="215">
        <f t="shared" si="26"/>
        <v>937456.49400000018</v>
      </c>
      <c r="K99" s="160">
        <v>2125000</v>
      </c>
      <c r="L99" s="160">
        <v>2228978.8816200001</v>
      </c>
      <c r="M99" s="237">
        <f t="shared" si="27"/>
        <v>1.0784016931793401</v>
      </c>
      <c r="O99" s="231"/>
      <c r="P99" s="231"/>
      <c r="Q99" s="255"/>
    </row>
    <row r="100" spans="2:17" ht="22.5" customHeight="1" x14ac:dyDescent="0.35">
      <c r="B100" s="15" t="s">
        <v>97</v>
      </c>
      <c r="C100" s="151">
        <v>91240</v>
      </c>
      <c r="D100" s="117">
        <v>0</v>
      </c>
      <c r="E100" s="212">
        <f t="shared" si="25"/>
        <v>0</v>
      </c>
      <c r="F100" s="156">
        <v>89473</v>
      </c>
      <c r="G100" s="214">
        <f t="shared" si="23"/>
        <v>1.0197489745509818</v>
      </c>
      <c r="H100" s="160">
        <v>7357186.75</v>
      </c>
      <c r="I100" s="215">
        <f t="shared" si="24"/>
        <v>4487883.9174999995</v>
      </c>
      <c r="J100" s="215">
        <f t="shared" si="26"/>
        <v>2869302.8325000005</v>
      </c>
      <c r="K100" s="160">
        <v>6810856</v>
      </c>
      <c r="L100" s="160">
        <v>6818647.9299999997</v>
      </c>
      <c r="M100" s="237">
        <f>IF(L100=0,"N/A",H100/L100)</f>
        <v>1.0789802942648778</v>
      </c>
    </row>
    <row r="101" spans="2:17" ht="22.5" customHeight="1" x14ac:dyDescent="0.35">
      <c r="B101" s="15" t="s">
        <v>98</v>
      </c>
      <c r="C101" s="151">
        <v>4269.2287295200003</v>
      </c>
      <c r="D101" s="117">
        <v>0</v>
      </c>
      <c r="E101" s="212">
        <f t="shared" si="25"/>
        <v>0</v>
      </c>
      <c r="F101" s="156">
        <v>3935.6663926411193</v>
      </c>
      <c r="G101" s="214">
        <f t="shared" si="23"/>
        <v>1.0847537122309385</v>
      </c>
      <c r="H101" s="160">
        <v>2195808.87</v>
      </c>
      <c r="I101" s="215">
        <f t="shared" si="24"/>
        <v>1339443.4107000001</v>
      </c>
      <c r="J101" s="215">
        <f t="shared" si="26"/>
        <v>856365.45929999999</v>
      </c>
      <c r="K101" s="160">
        <v>2115517</v>
      </c>
      <c r="L101" s="160">
        <v>2121044.8262807871</v>
      </c>
      <c r="M101" s="237">
        <f t="shared" si="27"/>
        <v>1.0352486863044335</v>
      </c>
      <c r="O101" s="231"/>
      <c r="P101" s="231"/>
    </row>
    <row r="102" spans="2:17" ht="27.75" customHeight="1" x14ac:dyDescent="0.35">
      <c r="B102" s="15" t="s">
        <v>99</v>
      </c>
      <c r="C102" s="151">
        <v>32344</v>
      </c>
      <c r="D102" s="117">
        <v>0</v>
      </c>
      <c r="E102" s="212">
        <f t="shared" si="25"/>
        <v>0</v>
      </c>
      <c r="F102" s="156">
        <v>30538.560000000001</v>
      </c>
      <c r="G102" s="214">
        <f t="shared" si="23"/>
        <v>1.0591200108976979</v>
      </c>
      <c r="H102" s="160">
        <v>5156300</v>
      </c>
      <c r="I102" s="215">
        <f t="shared" si="24"/>
        <v>3145343</v>
      </c>
      <c r="J102" s="215">
        <f t="shared" si="26"/>
        <v>2010957</v>
      </c>
      <c r="K102" s="160">
        <v>5164200</v>
      </c>
      <c r="L102" s="160">
        <v>5164200</v>
      </c>
      <c r="M102" s="237">
        <f t="shared" ref="M102:M110" si="28">IF(L102=0,"N/A",H102/L102)</f>
        <v>0.9984702374036637</v>
      </c>
      <c r="O102" s="222"/>
    </row>
    <row r="103" spans="2:17" ht="22.5" customHeight="1" x14ac:dyDescent="0.35">
      <c r="B103" s="15" t="s">
        <v>100</v>
      </c>
      <c r="C103" s="151">
        <v>7768.8009999999995</v>
      </c>
      <c r="D103" s="117">
        <v>0</v>
      </c>
      <c r="E103" s="212">
        <f t="shared" si="25"/>
        <v>0</v>
      </c>
      <c r="F103" s="156">
        <v>8849.9119999999984</v>
      </c>
      <c r="G103" s="214">
        <f t="shared" si="23"/>
        <v>0.87783935026698579</v>
      </c>
      <c r="H103" s="160">
        <v>2994108.75</v>
      </c>
      <c r="I103" s="215">
        <f t="shared" si="24"/>
        <v>1826406.3374999999</v>
      </c>
      <c r="J103" s="215">
        <f t="shared" si="26"/>
        <v>1167702.4125000001</v>
      </c>
      <c r="K103" s="160">
        <v>2306802.6406592056</v>
      </c>
      <c r="L103" s="160">
        <v>2299014.14</v>
      </c>
      <c r="M103" s="237">
        <f t="shared" si="28"/>
        <v>1.302344643256522</v>
      </c>
      <c r="O103" s="231"/>
      <c r="P103" s="231"/>
    </row>
    <row r="104" spans="2:17" ht="22.5" customHeight="1" x14ac:dyDescent="0.35">
      <c r="B104" s="15" t="s">
        <v>101</v>
      </c>
      <c r="C104" s="151">
        <v>9999</v>
      </c>
      <c r="D104" s="117">
        <v>0</v>
      </c>
      <c r="E104" s="212">
        <f t="shared" si="25"/>
        <v>0</v>
      </c>
      <c r="F104" s="156">
        <v>8357.2279999999992</v>
      </c>
      <c r="G104" s="214">
        <f t="shared" si="23"/>
        <v>1.1964493489946668</v>
      </c>
      <c r="H104" s="160">
        <v>2817831.6000000006</v>
      </c>
      <c r="I104" s="215">
        <f t="shared" si="24"/>
        <v>1718877.2760000003</v>
      </c>
      <c r="J104" s="215">
        <f t="shared" si="26"/>
        <v>1098954.3240000003</v>
      </c>
      <c r="K104" s="160">
        <v>2376693.6460030489</v>
      </c>
      <c r="L104" s="160">
        <v>2374587.4700000002</v>
      </c>
      <c r="M104" s="237">
        <f t="shared" si="28"/>
        <v>1.1866615298867051</v>
      </c>
      <c r="O104" s="231"/>
      <c r="P104" s="231"/>
    </row>
    <row r="105" spans="2:17" ht="22.5" customHeight="1" x14ac:dyDescent="0.35">
      <c r="B105" s="15" t="s">
        <v>102</v>
      </c>
      <c r="C105" s="151">
        <v>7288.609269704416</v>
      </c>
      <c r="D105" s="117">
        <v>0</v>
      </c>
      <c r="E105" s="212">
        <f t="shared" si="25"/>
        <v>0</v>
      </c>
      <c r="F105" s="156">
        <v>7289.755120419999</v>
      </c>
      <c r="G105" s="214">
        <f t="shared" si="23"/>
        <v>0.99984281355180593</v>
      </c>
      <c r="H105" s="160">
        <v>1743180.4300000002</v>
      </c>
      <c r="I105" s="215">
        <f t="shared" si="24"/>
        <v>1063340.0623000001</v>
      </c>
      <c r="J105" s="215">
        <f t="shared" si="26"/>
        <v>679840.36770000006</v>
      </c>
      <c r="K105" s="160">
        <v>1767866.8999999994</v>
      </c>
      <c r="L105" s="160">
        <v>1806408.5000000002</v>
      </c>
      <c r="M105" s="237">
        <f t="shared" si="28"/>
        <v>0.96499791160194381</v>
      </c>
      <c r="N105" s="229"/>
      <c r="O105" s="231"/>
      <c r="P105" s="231"/>
    </row>
    <row r="106" spans="2:17" ht="30.75" customHeight="1" x14ac:dyDescent="0.35">
      <c r="B106" s="15" t="s">
        <v>103</v>
      </c>
      <c r="C106" s="151">
        <v>10604.447</v>
      </c>
      <c r="D106" s="117">
        <v>0</v>
      </c>
      <c r="E106" s="212">
        <f t="shared" si="25"/>
        <v>0</v>
      </c>
      <c r="F106" s="156">
        <v>15261.878999999999</v>
      </c>
      <c r="G106" s="214">
        <f t="shared" si="23"/>
        <v>0.69483233355473473</v>
      </c>
      <c r="H106" s="160">
        <v>1306421.8399999999</v>
      </c>
      <c r="I106" s="215">
        <f t="shared" si="24"/>
        <v>796917.32239999995</v>
      </c>
      <c r="J106" s="215">
        <f t="shared" si="26"/>
        <v>509504.5175999999</v>
      </c>
      <c r="K106" s="160">
        <v>2961187.5</v>
      </c>
      <c r="L106" s="160">
        <v>1664129.04</v>
      </c>
      <c r="M106" s="237">
        <f t="shared" si="28"/>
        <v>0.78504839985245367</v>
      </c>
      <c r="N106" s="229"/>
      <c r="O106" s="231"/>
      <c r="P106" s="231"/>
    </row>
    <row r="107" spans="2:17" ht="22.5" customHeight="1" x14ac:dyDescent="0.35">
      <c r="B107" s="15" t="s">
        <v>104</v>
      </c>
      <c r="C107" s="151">
        <v>4385.1952971999999</v>
      </c>
      <c r="D107" s="117">
        <v>1377.4776228332878</v>
      </c>
      <c r="E107" s="212">
        <f t="shared" si="25"/>
        <v>1377.4776228332878</v>
      </c>
      <c r="F107" s="156">
        <v>7446.418831</v>
      </c>
      <c r="G107" s="214">
        <f t="shared" si="23"/>
        <v>0.58889989896137762</v>
      </c>
      <c r="H107" s="273">
        <v>741943.85</v>
      </c>
      <c r="I107" s="215">
        <f t="shared" si="24"/>
        <v>452585.74849999999</v>
      </c>
      <c r="J107" s="215">
        <f t="shared" si="26"/>
        <v>289358.10149999999</v>
      </c>
      <c r="K107" s="160">
        <v>1499999.52125</v>
      </c>
      <c r="L107" s="160">
        <v>1363507.1199999999</v>
      </c>
      <c r="M107" s="237">
        <f>IF(L107=0,"N/A",H107/L107)</f>
        <v>0.54414372988386017</v>
      </c>
      <c r="O107" s="222"/>
    </row>
    <row r="108" spans="2:17" ht="22.5" customHeight="1" x14ac:dyDescent="0.35">
      <c r="B108" s="15" t="s">
        <v>105</v>
      </c>
      <c r="C108" s="116">
        <v>0</v>
      </c>
      <c r="D108" s="117">
        <v>0</v>
      </c>
      <c r="E108" s="212">
        <f t="shared" si="25"/>
        <v>0</v>
      </c>
      <c r="F108" s="117">
        <v>0</v>
      </c>
      <c r="G108" s="214" t="str">
        <f t="shared" si="23"/>
        <v>N/A</v>
      </c>
      <c r="H108" s="160">
        <v>0</v>
      </c>
      <c r="I108" s="215">
        <v>0</v>
      </c>
      <c r="J108" s="215">
        <f t="shared" si="26"/>
        <v>0</v>
      </c>
      <c r="K108" s="160">
        <v>0</v>
      </c>
      <c r="L108" s="160">
        <v>0</v>
      </c>
      <c r="M108" s="215" t="str">
        <f t="shared" si="28"/>
        <v>N/A</v>
      </c>
    </row>
    <row r="109" spans="2:17" ht="22.5" customHeight="1" x14ac:dyDescent="0.35">
      <c r="B109" s="15" t="s">
        <v>106</v>
      </c>
      <c r="C109" s="116">
        <v>0</v>
      </c>
      <c r="D109" s="117">
        <v>63333.333336398879</v>
      </c>
      <c r="E109" s="212">
        <f t="shared" si="25"/>
        <v>63333.333336398879</v>
      </c>
      <c r="F109" s="117">
        <v>0</v>
      </c>
      <c r="G109" s="214" t="str">
        <f t="shared" si="23"/>
        <v>N/A</v>
      </c>
      <c r="H109" s="160">
        <v>0</v>
      </c>
      <c r="I109" s="215">
        <v>0</v>
      </c>
      <c r="J109" s="215">
        <f t="shared" si="26"/>
        <v>0</v>
      </c>
      <c r="K109" s="160">
        <v>0</v>
      </c>
      <c r="L109" s="160">
        <v>0</v>
      </c>
      <c r="M109" s="214" t="str">
        <f>IF(L109=0,"N/A",H109/L109)</f>
        <v>N/A</v>
      </c>
      <c r="O109" s="231"/>
      <c r="P109" s="231"/>
    </row>
    <row r="110" spans="2:17" ht="22.5" customHeight="1" x14ac:dyDescent="0.35">
      <c r="B110" s="15" t="s">
        <v>107</v>
      </c>
      <c r="C110" s="116">
        <v>0</v>
      </c>
      <c r="D110" s="117">
        <v>20000.000000968066</v>
      </c>
      <c r="E110" s="212">
        <f t="shared" si="25"/>
        <v>20000.000000968066</v>
      </c>
      <c r="F110" s="117">
        <v>0</v>
      </c>
      <c r="G110" s="214" t="str">
        <f t="shared" si="23"/>
        <v>N/A</v>
      </c>
      <c r="H110" s="160">
        <v>0</v>
      </c>
      <c r="I110" s="215">
        <v>0</v>
      </c>
      <c r="J110" s="215">
        <f t="shared" si="26"/>
        <v>0</v>
      </c>
      <c r="K110" s="121">
        <v>0</v>
      </c>
      <c r="L110" s="121">
        <v>0</v>
      </c>
      <c r="M110" s="214" t="str">
        <f t="shared" si="28"/>
        <v>N/A</v>
      </c>
    </row>
    <row r="111" spans="2:17" ht="25.5" customHeight="1" x14ac:dyDescent="0.35">
      <c r="B111" s="80" t="s">
        <v>108</v>
      </c>
      <c r="C111" s="175">
        <f>SUM(C97:C110)</f>
        <v>174176.12931739783</v>
      </c>
      <c r="D111" s="111">
        <f>SUM(D97:D110)</f>
        <v>84710.810960200237</v>
      </c>
      <c r="E111" s="111">
        <f>SUM(E97:E110)</f>
        <v>84710.810960200237</v>
      </c>
      <c r="F111" s="111">
        <f>SUM(F97:F110)</f>
        <v>176165.92134406112</v>
      </c>
      <c r="G111" s="176">
        <f>C111/F111</f>
        <v>0.98870501166467306</v>
      </c>
      <c r="H111" s="119">
        <f>SUM(H97:H110)</f>
        <v>26717414.210000005</v>
      </c>
      <c r="I111" s="119">
        <f>SUM(I97:I110)</f>
        <v>16297622.668100001</v>
      </c>
      <c r="J111" s="119">
        <f>SUM(J97:J110)</f>
        <v>10419791.541900001</v>
      </c>
      <c r="K111" s="119">
        <f>SUM(K97:K110)</f>
        <v>27128123.207912251</v>
      </c>
      <c r="L111" s="119">
        <f>SUM(L97:L110)</f>
        <v>25841415.427900787</v>
      </c>
      <c r="M111" s="161">
        <f>H111/L111</f>
        <v>1.0338990247861348</v>
      </c>
      <c r="N111" s="255"/>
      <c r="O111" s="254"/>
    </row>
    <row r="112" spans="2:17" ht="22.5" customHeight="1" x14ac:dyDescent="0.35">
      <c r="B112" s="287" t="s">
        <v>109</v>
      </c>
      <c r="C112" s="288"/>
      <c r="D112" s="288"/>
      <c r="E112" s="288"/>
      <c r="F112" s="288"/>
      <c r="G112" s="288"/>
      <c r="H112" s="288"/>
      <c r="I112" s="288"/>
      <c r="J112" s="288"/>
      <c r="K112" s="288"/>
      <c r="L112" s="288"/>
      <c r="M112" s="289"/>
    </row>
    <row r="113" spans="2:15" ht="22.5" customHeight="1" x14ac:dyDescent="0.35">
      <c r="B113" s="260" t="s">
        <v>110</v>
      </c>
      <c r="C113" s="178">
        <v>0</v>
      </c>
      <c r="D113" s="178">
        <v>0</v>
      </c>
      <c r="E113" s="216">
        <f>D113</f>
        <v>0</v>
      </c>
      <c r="F113" s="178">
        <v>0</v>
      </c>
      <c r="G113" s="214" t="s">
        <v>21</v>
      </c>
      <c r="H113" s="160">
        <v>7588014.1399999997</v>
      </c>
      <c r="I113" s="160">
        <v>0</v>
      </c>
      <c r="J113" s="160">
        <f>H113-I113</f>
        <v>7588014.1399999997</v>
      </c>
      <c r="K113" s="160">
        <v>9700860</v>
      </c>
      <c r="L113" s="160">
        <v>9454011.8699999992</v>
      </c>
      <c r="M113" s="159">
        <f>H113/L113</f>
        <v>0.80262371618960116</v>
      </c>
    </row>
    <row r="114" spans="2:15" ht="22.5" customHeight="1" x14ac:dyDescent="0.35">
      <c r="B114" s="260" t="s">
        <v>111</v>
      </c>
      <c r="C114" s="178">
        <v>266406</v>
      </c>
      <c r="D114" s="178">
        <v>259999.99999979819</v>
      </c>
      <c r="E114" s="216">
        <f>D114</f>
        <v>259999.99999979819</v>
      </c>
      <c r="F114" s="178">
        <v>263833</v>
      </c>
      <c r="G114" s="214">
        <f>C114/F114</f>
        <v>1.009752381241164</v>
      </c>
      <c r="H114" s="118" t="s">
        <v>21</v>
      </c>
      <c r="I114" s="118" t="s">
        <v>21</v>
      </c>
      <c r="J114" s="118" t="s">
        <v>21</v>
      </c>
      <c r="K114" s="118" t="s">
        <v>21</v>
      </c>
      <c r="L114" s="118" t="s">
        <v>21</v>
      </c>
      <c r="M114" s="159" t="s">
        <v>21</v>
      </c>
    </row>
    <row r="115" spans="2:15" ht="22.5" customHeight="1" x14ac:dyDescent="0.35">
      <c r="B115" s="260" t="s">
        <v>112</v>
      </c>
      <c r="C115" s="178">
        <v>0</v>
      </c>
      <c r="D115" s="178">
        <v>0</v>
      </c>
      <c r="E115" s="216">
        <v>0</v>
      </c>
      <c r="F115" s="178">
        <v>0</v>
      </c>
      <c r="G115" s="214" t="s">
        <v>21</v>
      </c>
      <c r="H115" s="168">
        <v>864812.58</v>
      </c>
      <c r="I115" s="168">
        <v>0</v>
      </c>
      <c r="J115" s="168"/>
      <c r="K115" s="168">
        <v>804000</v>
      </c>
      <c r="L115" s="168">
        <v>819212.27</v>
      </c>
      <c r="M115" s="159">
        <f t="shared" ref="M115" si="29">H115/L115</f>
        <v>1.0556636071869381</v>
      </c>
      <c r="O115" s="231"/>
    </row>
    <row r="116" spans="2:15" ht="22.5" customHeight="1" x14ac:dyDescent="0.35">
      <c r="B116" s="80" t="s">
        <v>113</v>
      </c>
      <c r="C116" s="175">
        <f>SUM(C113:C114)</f>
        <v>266406</v>
      </c>
      <c r="D116" s="111">
        <f>SUM(D113:D114)</f>
        <v>259999.99999979819</v>
      </c>
      <c r="E116" s="111">
        <f>D116</f>
        <v>259999.99999979819</v>
      </c>
      <c r="F116" s="111">
        <f>SUM(F113:F114)</f>
        <v>263833</v>
      </c>
      <c r="G116" s="176">
        <f>C116/F116</f>
        <v>1.009752381241164</v>
      </c>
      <c r="H116" s="119">
        <f>SUM(H113:H115)</f>
        <v>8452826.7199999988</v>
      </c>
      <c r="I116" s="119">
        <f>SUM(I113:I115)</f>
        <v>0</v>
      </c>
      <c r="J116" s="119">
        <f>SUM(J113:J115)</f>
        <v>7588014.1399999997</v>
      </c>
      <c r="K116" s="119">
        <f>SUM(K113:K115)</f>
        <v>10504860</v>
      </c>
      <c r="L116" s="119">
        <f>SUM(L113:L115)</f>
        <v>10273224.139999999</v>
      </c>
      <c r="M116" s="161">
        <f>H116/L116</f>
        <v>0.82280174216076241</v>
      </c>
    </row>
    <row r="117" spans="2:15" ht="22.5" customHeight="1" x14ac:dyDescent="0.35">
      <c r="B117" s="80" t="s">
        <v>114</v>
      </c>
      <c r="C117" s="175">
        <v>110041</v>
      </c>
      <c r="D117" s="111">
        <v>110160</v>
      </c>
      <c r="E117" s="111">
        <f>D117</f>
        <v>110160</v>
      </c>
      <c r="F117" s="111">
        <v>110040.99999999999</v>
      </c>
      <c r="G117" s="176">
        <f>C117/F117</f>
        <v>1.0000000000000002</v>
      </c>
      <c r="H117" s="119" t="s">
        <v>21</v>
      </c>
      <c r="I117" s="119" t="s">
        <v>21</v>
      </c>
      <c r="J117" s="119" t="s">
        <v>21</v>
      </c>
      <c r="K117" s="119" t="s">
        <v>21</v>
      </c>
      <c r="L117" s="119" t="s">
        <v>21</v>
      </c>
      <c r="M117" s="161" t="s">
        <v>21</v>
      </c>
    </row>
    <row r="118" spans="2:15" ht="22.5" customHeight="1" x14ac:dyDescent="0.35">
      <c r="B118" s="80" t="s">
        <v>115</v>
      </c>
      <c r="C118" s="175">
        <v>68000</v>
      </c>
      <c r="D118" s="111" t="s">
        <v>21</v>
      </c>
      <c r="E118" s="111" t="s">
        <v>21</v>
      </c>
      <c r="F118" s="111">
        <v>20000</v>
      </c>
      <c r="G118" s="176">
        <f>C118/F118</f>
        <v>3.4</v>
      </c>
      <c r="H118" s="119" t="s">
        <v>21</v>
      </c>
      <c r="I118" s="119" t="s">
        <v>21</v>
      </c>
      <c r="J118" s="119" t="s">
        <v>21</v>
      </c>
      <c r="K118" s="119" t="s">
        <v>21</v>
      </c>
      <c r="L118" s="119" t="s">
        <v>21</v>
      </c>
      <c r="M118" s="161" t="s">
        <v>21</v>
      </c>
      <c r="O118" s="129"/>
    </row>
    <row r="119" spans="2:15" ht="27" customHeight="1" x14ac:dyDescent="0.35">
      <c r="B119" s="90" t="s">
        <v>116</v>
      </c>
      <c r="C119" s="114">
        <f>SUM(C39,C87,C95,C111,C116,C118,C117)</f>
        <v>1838338.0744957575</v>
      </c>
      <c r="D119" s="114">
        <f>SUM(D39,D87,D95,D111,D116,D118,D117)</f>
        <v>1659037.2842661967</v>
      </c>
      <c r="E119" s="114">
        <f>SUM(E39,E87,E95,E111,E116,E118,E117)</f>
        <v>1659037.2842661967</v>
      </c>
      <c r="F119" s="114">
        <f>SUM(F39,F87,F95,F111,F116,F118,F117)</f>
        <v>1713187.0431436207</v>
      </c>
      <c r="G119" s="162">
        <f>C119/F119</f>
        <v>1.073051586429518</v>
      </c>
      <c r="H119" s="115">
        <f>SUM(H39,H87,H95,H111,H116,H118,H117)</f>
        <v>318468009.42133331</v>
      </c>
      <c r="I119" s="115">
        <f>SUM(I39,I87,I95,I111,I116,I118,I117)</f>
        <v>173858918.51719996</v>
      </c>
      <c r="J119" s="115">
        <f>SUM(J39,J87,J95,J111,J116,J118,J117)</f>
        <v>143744278.32413331</v>
      </c>
      <c r="K119" s="115">
        <f>SUM(K39,K87,K95,K111,K116,K118,K117)</f>
        <v>319479532.07173496</v>
      </c>
      <c r="L119" s="115">
        <f>SUM(L39,L87,L95,L111,L116,L118,L117)</f>
        <v>318255237.45128125</v>
      </c>
      <c r="M119" s="162">
        <f>H119/L119</f>
        <v>1.0006685576386929</v>
      </c>
      <c r="O119" s="262"/>
    </row>
    <row r="120" spans="2:15" ht="22.5" customHeight="1" x14ac:dyDescent="0.35">
      <c r="B120" s="82"/>
      <c r="C120" s="49"/>
      <c r="D120" s="234"/>
      <c r="E120" s="235"/>
      <c r="F120" s="252"/>
      <c r="G120" s="251"/>
      <c r="H120" s="236"/>
      <c r="I120" s="52"/>
      <c r="J120" s="52"/>
      <c r="K120" s="236"/>
      <c r="L120" s="236"/>
      <c r="M120" s="51"/>
      <c r="O120" s="180"/>
    </row>
    <row r="121" spans="2:15" ht="22.5" customHeight="1" x14ac:dyDescent="0.35">
      <c r="B121" s="48"/>
      <c r="C121" s="48"/>
      <c r="D121" s="235"/>
      <c r="E121" s="235"/>
      <c r="F121" s="50"/>
      <c r="G121" s="132"/>
      <c r="H121" s="52"/>
      <c r="I121" s="52"/>
      <c r="J121" s="52"/>
      <c r="K121" s="52"/>
      <c r="L121" s="52"/>
      <c r="M121" s="51"/>
      <c r="O121" s="255"/>
    </row>
    <row r="122" spans="2:15" ht="22.5" customHeight="1" x14ac:dyDescent="0.35">
      <c r="B122" s="49" t="s">
        <v>117</v>
      </c>
      <c r="C122" s="49"/>
      <c r="D122" s="49"/>
      <c r="E122" s="49"/>
      <c r="G122" s="172"/>
      <c r="L122" s="17"/>
    </row>
    <row r="123" spans="2:15" ht="30.75" customHeight="1" x14ac:dyDescent="0.35">
      <c r="B123" s="284" t="s">
        <v>118</v>
      </c>
      <c r="C123" s="285"/>
      <c r="D123" s="285"/>
      <c r="E123" s="285"/>
      <c r="F123" s="285"/>
      <c r="G123" s="285"/>
      <c r="H123" s="285"/>
      <c r="I123" s="285"/>
      <c r="J123" s="285"/>
      <c r="K123" s="285"/>
      <c r="L123" s="285"/>
      <c r="M123" s="286"/>
    </row>
    <row r="124" spans="2:15" ht="34.5" customHeight="1" x14ac:dyDescent="0.35">
      <c r="B124" s="281" t="s">
        <v>119</v>
      </c>
      <c r="C124" s="282"/>
      <c r="D124" s="282"/>
      <c r="E124" s="282"/>
      <c r="F124" s="282"/>
      <c r="G124" s="282"/>
      <c r="H124" s="282"/>
      <c r="I124" s="282"/>
      <c r="J124" s="282"/>
      <c r="K124" s="282"/>
      <c r="L124" s="282"/>
      <c r="M124" s="283"/>
    </row>
    <row r="125" spans="2:15" ht="22.5" customHeight="1" x14ac:dyDescent="0.35">
      <c r="B125" s="3" t="s">
        <v>120</v>
      </c>
      <c r="C125" s="2"/>
      <c r="D125" s="2"/>
      <c r="E125" s="2"/>
      <c r="F125" s="2"/>
      <c r="G125" s="2"/>
      <c r="H125" s="2"/>
      <c r="I125" s="2"/>
      <c r="J125" s="2"/>
      <c r="K125" s="2"/>
      <c r="L125" s="2"/>
      <c r="M125" s="1"/>
    </row>
    <row r="126" spans="2:15" ht="22.5" customHeight="1" x14ac:dyDescent="0.35">
      <c r="B126" s="278"/>
      <c r="C126" s="279"/>
      <c r="D126" s="279"/>
      <c r="E126" s="279"/>
      <c r="F126" s="279"/>
      <c r="G126" s="279"/>
      <c r="H126" s="279"/>
      <c r="I126" s="279"/>
      <c r="J126" s="279"/>
      <c r="K126" s="279"/>
      <c r="L126" s="279"/>
      <c r="M126" s="280"/>
    </row>
    <row r="127" spans="2:15" ht="45" customHeight="1" x14ac:dyDescent="0.35">
      <c r="B127" s="14" t="s">
        <v>121</v>
      </c>
      <c r="C127" s="14"/>
      <c r="D127" s="14"/>
      <c r="E127" s="14"/>
      <c r="F127" s="14"/>
      <c r="G127" s="14"/>
      <c r="H127" s="14"/>
      <c r="I127" s="14"/>
      <c r="J127" s="14"/>
      <c r="K127" s="14"/>
      <c r="L127" s="14"/>
      <c r="M127" s="14"/>
    </row>
    <row r="128" spans="2:15" ht="43.5" customHeight="1" x14ac:dyDescent="0.35">
      <c r="B128" s="14" t="s">
        <v>122</v>
      </c>
      <c r="C128" s="14"/>
      <c r="D128" s="14"/>
      <c r="E128" s="14"/>
      <c r="F128" s="14"/>
      <c r="G128" s="14"/>
      <c r="H128" s="14"/>
      <c r="I128" s="14"/>
      <c r="J128" s="14"/>
      <c r="K128" s="14"/>
      <c r="L128" s="14"/>
      <c r="M128" s="14"/>
    </row>
  </sheetData>
  <autoFilter ref="B20:M119" xr:uid="{00000000-0009-0000-0000-000000000000}"/>
  <mergeCells count="10">
    <mergeCell ref="B128:M128"/>
    <mergeCell ref="B5:M6"/>
    <mergeCell ref="B8:M16"/>
    <mergeCell ref="B127:M127"/>
    <mergeCell ref="B88:M88"/>
    <mergeCell ref="B96:M96"/>
    <mergeCell ref="B125:M126"/>
    <mergeCell ref="B124:M124"/>
    <mergeCell ref="B123:M123"/>
    <mergeCell ref="B112:M112"/>
  </mergeCells>
  <printOptions horizontalCentered="1" headings="1"/>
  <pageMargins left="1" right="1" top="1.25" bottom="0.5" header="0.5" footer="0.5"/>
  <pageSetup paperSize="17" scale="10" orientation="portrait" r:id="rId1"/>
  <headerFooter scaleWithDoc="0">
    <oddHeader>&amp;R&amp;"Arial,Bold"ICC Docket No. 17-0312
Statewide Quarterly Report ComEd 2021 Q4 
Tab: &amp;A</oddHeader>
  </headerFooter>
  <ignoredErrors>
    <ignoredError sqref="G39:H39 F39 G56 G57 J56 G74 G40 M39 G28:G36 E22:E35 G27 G23:G25 G22 G26 E36:E39 E56 G95" formula="1"/>
    <ignoredError sqref="H57 M57 K74:L74 C74 C40:F40 K57 K56:L56 L57 C57 C116" formulaRange="1"/>
    <ignoredError sqref="F57 M56 H74 K40:L40"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58800012207406E-2"/>
    <pageSetUpPr fitToPage="1"/>
  </sheetPr>
  <dimension ref="B1:I34"/>
  <sheetViews>
    <sheetView zoomScale="80" zoomScaleNormal="80" workbookViewId="0"/>
  </sheetViews>
  <sheetFormatPr defaultColWidth="9.08984375" defaultRowHeight="14.5" x14ac:dyDescent="0.35"/>
  <cols>
    <col min="1" max="1" width="3.36328125" customWidth="1"/>
    <col min="2" max="2" width="62.6328125" style="18" customWidth="1"/>
    <col min="3" max="3" width="21.36328125" style="18" customWidth="1"/>
    <col min="4" max="4" width="19.6328125" customWidth="1"/>
    <col min="5" max="5" width="19.08984375" customWidth="1"/>
    <col min="6" max="6" width="14.36328125" bestFit="1" customWidth="1"/>
    <col min="7" max="7" width="16.81640625" customWidth="1"/>
    <col min="9" max="9" width="13.6328125" bestFit="1" customWidth="1"/>
  </cols>
  <sheetData>
    <row r="1" spans="2:7" x14ac:dyDescent="0.35">
      <c r="B1" s="19" t="s">
        <v>0</v>
      </c>
    </row>
    <row r="2" spans="2:7" x14ac:dyDescent="0.35">
      <c r="B2" s="19" t="s">
        <v>123</v>
      </c>
    </row>
    <row r="3" spans="2:7" x14ac:dyDescent="0.35">
      <c r="B3" s="19"/>
    </row>
    <row r="4" spans="2:7" x14ac:dyDescent="0.35">
      <c r="B4" s="19"/>
    </row>
    <row r="5" spans="2:7" ht="37.5" customHeight="1" x14ac:dyDescent="0.35">
      <c r="B5" s="293" t="s">
        <v>124</v>
      </c>
      <c r="C5" s="294"/>
      <c r="D5" s="294"/>
      <c r="E5" s="295"/>
    </row>
    <row r="6" spans="2:7" ht="37.5" customHeight="1" x14ac:dyDescent="0.35">
      <c r="B6" s="296"/>
      <c r="C6" s="297"/>
      <c r="D6" s="297"/>
      <c r="E6" s="298"/>
    </row>
    <row r="7" spans="2:7" ht="18.75" customHeight="1" x14ac:dyDescent="0.35">
      <c r="B7" s="299"/>
      <c r="C7" s="300"/>
      <c r="D7" s="300"/>
      <c r="E7" s="301"/>
    </row>
    <row r="9" spans="2:7" x14ac:dyDescent="0.35">
      <c r="B9" s="19" t="s">
        <v>125</v>
      </c>
    </row>
    <row r="10" spans="2:7" x14ac:dyDescent="0.35">
      <c r="B10" s="19"/>
    </row>
    <row r="11" spans="2:7" ht="32.65" customHeight="1" x14ac:dyDescent="0.35">
      <c r="B11" s="62" t="s">
        <v>126</v>
      </c>
      <c r="C11" s="63" t="s">
        <v>127</v>
      </c>
      <c r="D11" s="228"/>
      <c r="E11" s="228"/>
      <c r="G11" s="226"/>
    </row>
    <row r="12" spans="2:7" s="34" customFormat="1" ht="21" customHeight="1" x14ac:dyDescent="0.35">
      <c r="B12" s="290" t="s">
        <v>128</v>
      </c>
      <c r="C12" s="6"/>
    </row>
    <row r="13" spans="2:7" x14ac:dyDescent="0.35">
      <c r="B13" s="22" t="s">
        <v>129</v>
      </c>
      <c r="C13" s="261">
        <f>'1- Ex Ante Results'!H56</f>
        <v>152174820.19399998</v>
      </c>
      <c r="G13" s="226"/>
    </row>
    <row r="14" spans="2:7" x14ac:dyDescent="0.35">
      <c r="B14" s="224" t="s">
        <v>130</v>
      </c>
      <c r="C14" s="223">
        <f>'1- Ex Ante Results'!H74</f>
        <v>39716827.049999997</v>
      </c>
      <c r="D14" s="179"/>
      <c r="G14" s="226"/>
    </row>
    <row r="15" spans="2:7" x14ac:dyDescent="0.35">
      <c r="B15" s="22" t="s">
        <v>72</v>
      </c>
      <c r="C15" s="225">
        <f>'1- Ex Ante Results'!H87</f>
        <v>58369919.207333334</v>
      </c>
      <c r="G15" s="226"/>
    </row>
    <row r="16" spans="2:7" x14ac:dyDescent="0.35">
      <c r="B16" s="22" t="s">
        <v>85</v>
      </c>
      <c r="C16" s="66">
        <f>'1- Ex Ante Results'!H95</f>
        <v>33036202.039999999</v>
      </c>
    </row>
    <row r="17" spans="2:9" x14ac:dyDescent="0.35">
      <c r="B17" s="22" t="s">
        <v>131</v>
      </c>
      <c r="C17" s="66">
        <v>1206341.4500000002</v>
      </c>
      <c r="D17" s="181"/>
    </row>
    <row r="18" spans="2:9" x14ac:dyDescent="0.35">
      <c r="B18" s="22" t="s">
        <v>132</v>
      </c>
      <c r="C18" s="64">
        <f>'1- Ex Ante Results'!H111</f>
        <v>26717414.210000005</v>
      </c>
      <c r="E18" s="129"/>
    </row>
    <row r="19" spans="2:9" s="34" customFormat="1" ht="21" customHeight="1" x14ac:dyDescent="0.35">
      <c r="B19" s="86" t="s">
        <v>133</v>
      </c>
      <c r="C19" s="87">
        <f>SUM(C13:C18)</f>
        <v>311221524.15133327</v>
      </c>
      <c r="D19" s="182"/>
      <c r="F19" s="136"/>
    </row>
    <row r="20" spans="2:9" s="34" customFormat="1" ht="21" customHeight="1" x14ac:dyDescent="0.35">
      <c r="B20" s="291" t="s">
        <v>134</v>
      </c>
      <c r="C20" s="292"/>
      <c r="D20" s="183"/>
      <c r="E20" s="270"/>
    </row>
    <row r="21" spans="2:9" ht="29.65" customHeight="1" x14ac:dyDescent="0.35">
      <c r="B21" s="65" t="s">
        <v>135</v>
      </c>
      <c r="C21" s="122">
        <f>'1- Ex Ante Results'!H116</f>
        <v>8452826.7199999988</v>
      </c>
      <c r="D21" s="267"/>
      <c r="E21" s="271"/>
      <c r="F21" s="129"/>
      <c r="G21" s="227"/>
    </row>
    <row r="22" spans="2:9" x14ac:dyDescent="0.35">
      <c r="B22" s="22" t="s">
        <v>136</v>
      </c>
      <c r="C22" s="66">
        <v>8766947.7670300007</v>
      </c>
      <c r="D22" s="266"/>
      <c r="E22" s="272"/>
      <c r="G22" s="227"/>
    </row>
    <row r="23" spans="2:9" x14ac:dyDescent="0.35">
      <c r="B23" s="68" t="s">
        <v>137</v>
      </c>
      <c r="C23" s="66">
        <f>2029331.24+3100</f>
        <v>2032431.24</v>
      </c>
      <c r="D23" s="267"/>
      <c r="E23" s="268"/>
      <c r="G23" s="227"/>
    </row>
    <row r="24" spans="2:9" x14ac:dyDescent="0.35">
      <c r="B24" s="22" t="s">
        <v>138</v>
      </c>
      <c r="C24" s="66">
        <v>20564021.776266754</v>
      </c>
      <c r="D24" s="133"/>
      <c r="E24" s="268"/>
      <c r="G24" s="227"/>
      <c r="I24" s="129"/>
    </row>
    <row r="25" spans="2:9" x14ac:dyDescent="0.35">
      <c r="B25" s="22" t="s">
        <v>139</v>
      </c>
      <c r="C25" s="66">
        <v>0</v>
      </c>
      <c r="D25" s="179"/>
      <c r="E25" s="226"/>
      <c r="F25" s="129"/>
      <c r="G25" s="227"/>
    </row>
    <row r="26" spans="2:9" s="34" customFormat="1" ht="21" customHeight="1" x14ac:dyDescent="0.35">
      <c r="B26" s="86" t="s">
        <v>140</v>
      </c>
      <c r="C26" s="123">
        <f>SUM(C21:C25)</f>
        <v>39816227.503296748</v>
      </c>
      <c r="D26" s="182"/>
      <c r="E26" s="269"/>
      <c r="F26" s="136"/>
      <c r="G26" s="136"/>
      <c r="I26" s="136"/>
    </row>
    <row r="27" spans="2:9" s="34" customFormat="1" ht="32.65" customHeight="1" x14ac:dyDescent="0.35">
      <c r="B27" s="89" t="s">
        <v>141</v>
      </c>
      <c r="C27" s="124">
        <f>C19+C26</f>
        <v>351037751.65463001</v>
      </c>
      <c r="E27" s="184"/>
      <c r="F27" s="136"/>
      <c r="G27" s="185"/>
      <c r="I27" s="136"/>
    </row>
    <row r="28" spans="2:9" x14ac:dyDescent="0.35">
      <c r="B28" s="40"/>
      <c r="C28" s="40"/>
      <c r="F28" s="129"/>
    </row>
    <row r="29" spans="2:9" s="34" customFormat="1" ht="17.649999999999999" customHeight="1" x14ac:dyDescent="0.35">
      <c r="B29" s="78"/>
      <c r="C29" s="78"/>
    </row>
    <row r="30" spans="2:9" s="34" customFormat="1" ht="20.25" customHeight="1" x14ac:dyDescent="0.35">
      <c r="B30" s="79" t="s">
        <v>142</v>
      </c>
      <c r="C30" s="78"/>
    </row>
    <row r="31" spans="2:9" ht="42" customHeight="1" x14ac:dyDescent="0.35">
      <c r="B31" s="63" t="s">
        <v>143</v>
      </c>
      <c r="C31" s="63" t="s">
        <v>144</v>
      </c>
      <c r="D31" s="63" t="s">
        <v>145</v>
      </c>
      <c r="E31" s="54" t="s">
        <v>17</v>
      </c>
    </row>
    <row r="32" spans="2:9" s="34" customFormat="1" ht="35.65" customHeight="1" x14ac:dyDescent="0.35">
      <c r="B32" s="88" t="s">
        <v>141</v>
      </c>
      <c r="C32" s="125">
        <f>C27</f>
        <v>351037751.65463001</v>
      </c>
      <c r="D32" s="139">
        <v>351334190</v>
      </c>
      <c r="E32" s="140">
        <f>C32/D32</f>
        <v>0.99915624965116545</v>
      </c>
    </row>
    <row r="34" spans="4:4" x14ac:dyDescent="0.35">
      <c r="D34" s="233"/>
    </row>
  </sheetData>
  <mergeCells count="3">
    <mergeCell ref="B12:C12"/>
    <mergeCell ref="B20:C20"/>
    <mergeCell ref="B5:E7"/>
  </mergeCells>
  <printOptions horizontalCentered="1" headings="1"/>
  <pageMargins left="1" right="1" top="1.25" bottom="1" header="0.5" footer="0.5"/>
  <pageSetup scale="10" orientation="portrait" r:id="rId1"/>
  <headerFooter scaleWithDoc="0">
    <oddHeader>&amp;R&amp;"Arial,Bold"ICC Docket No. 17-0312
Statewide Quarterly Report ComEd 2021 Q4 
Tab: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58800012207406E-2"/>
    <pageSetUpPr fitToPage="1"/>
  </sheetPr>
  <dimension ref="B1:R35"/>
  <sheetViews>
    <sheetView topLeftCell="B1" zoomScale="70" zoomScaleNormal="70" workbookViewId="0"/>
  </sheetViews>
  <sheetFormatPr defaultColWidth="9.08984375" defaultRowHeight="14.5" x14ac:dyDescent="0.35"/>
  <cols>
    <col min="1" max="1" width="3.6328125" customWidth="1"/>
    <col min="2" max="2" width="18.6328125" style="34" customWidth="1"/>
    <col min="3" max="3" width="22.26953125" customWidth="1"/>
    <col min="4" max="4" width="24.26953125" customWidth="1"/>
    <col min="5" max="6" width="18.6328125" customWidth="1"/>
    <col min="7" max="7" width="19.36328125" customWidth="1"/>
    <col min="8" max="8" width="3.36328125" customWidth="1"/>
    <col min="9" max="9" width="31.6328125" customWidth="1"/>
    <col min="10" max="10" width="11.6328125" customWidth="1"/>
    <col min="11" max="13" width="12.36328125" customWidth="1"/>
    <col min="14" max="14" width="13.36328125" customWidth="1"/>
    <col min="15" max="15" width="12.6328125" customWidth="1"/>
    <col min="16" max="17" width="12.36328125" customWidth="1"/>
    <col min="18" max="18" width="12.6328125" customWidth="1"/>
    <col min="19" max="19" width="12.36328125" customWidth="1"/>
  </cols>
  <sheetData>
    <row r="1" spans="2:18" x14ac:dyDescent="0.35">
      <c r="B1" s="79" t="s">
        <v>0</v>
      </c>
    </row>
    <row r="2" spans="2:18" x14ac:dyDescent="0.35">
      <c r="B2" s="79" t="s">
        <v>146</v>
      </c>
    </row>
    <row r="3" spans="2:18" x14ac:dyDescent="0.35">
      <c r="B3" s="79"/>
    </row>
    <row r="4" spans="2:18" x14ac:dyDescent="0.35">
      <c r="B4" s="79"/>
    </row>
    <row r="5" spans="2:18" ht="14.65" customHeight="1" x14ac:dyDescent="0.35">
      <c r="B5" s="302" t="s">
        <v>147</v>
      </c>
      <c r="C5" s="302"/>
      <c r="D5" s="302"/>
      <c r="E5" s="302"/>
      <c r="F5" s="302"/>
      <c r="G5" s="302"/>
    </row>
    <row r="6" spans="2:18" x14ac:dyDescent="0.35">
      <c r="B6" s="302"/>
      <c r="C6" s="302"/>
      <c r="D6" s="302"/>
      <c r="E6" s="302"/>
      <c r="F6" s="302"/>
      <c r="G6" s="302"/>
    </row>
    <row r="7" spans="2:18" x14ac:dyDescent="0.35">
      <c r="B7" s="302"/>
      <c r="C7" s="302"/>
      <c r="D7" s="302"/>
      <c r="E7" s="302"/>
      <c r="F7" s="302"/>
      <c r="G7" s="302"/>
    </row>
    <row r="8" spans="2:18" x14ac:dyDescent="0.35">
      <c r="B8" s="302"/>
      <c r="C8" s="302"/>
      <c r="D8" s="302"/>
      <c r="E8" s="302"/>
      <c r="F8" s="302"/>
      <c r="G8" s="302"/>
    </row>
    <row r="9" spans="2:18" x14ac:dyDescent="0.35">
      <c r="B9" s="302"/>
      <c r="C9" s="302"/>
      <c r="D9" s="302"/>
      <c r="E9" s="302"/>
      <c r="F9" s="302"/>
      <c r="G9" s="302"/>
    </row>
    <row r="11" spans="2:18" ht="18" x14ac:dyDescent="0.4">
      <c r="B11" s="53" t="s">
        <v>148</v>
      </c>
      <c r="C11" s="53"/>
      <c r="D11" s="24"/>
      <c r="E11" s="24"/>
      <c r="F11" s="24"/>
      <c r="G11" s="24"/>
      <c r="I11" s="23" t="s">
        <v>149</v>
      </c>
    </row>
    <row r="12" spans="2:18" ht="18" x14ac:dyDescent="0.4">
      <c r="C12" s="25"/>
      <c r="D12" s="24"/>
      <c r="E12" s="24"/>
      <c r="F12" s="24"/>
      <c r="G12" s="24"/>
      <c r="I12" s="20"/>
    </row>
    <row r="13" spans="2:18" s="34" customFormat="1" ht="62" customHeight="1" x14ac:dyDescent="0.35">
      <c r="B13" s="32" t="s">
        <v>150</v>
      </c>
      <c r="C13" s="21" t="s">
        <v>151</v>
      </c>
      <c r="D13" s="21" t="s">
        <v>7</v>
      </c>
      <c r="E13" s="21" t="s">
        <v>152</v>
      </c>
      <c r="F13" s="21" t="s">
        <v>153</v>
      </c>
      <c r="G13" s="21" t="s">
        <v>154</v>
      </c>
      <c r="I13" s="35" t="s">
        <v>155</v>
      </c>
      <c r="J13" s="21" t="s">
        <v>156</v>
      </c>
      <c r="K13" s="21" t="s">
        <v>157</v>
      </c>
      <c r="L13" s="21" t="s">
        <v>158</v>
      </c>
      <c r="M13" s="21" t="s">
        <v>159</v>
      </c>
      <c r="N13" s="21" t="s">
        <v>160</v>
      </c>
      <c r="O13" s="21" t="s">
        <v>161</v>
      </c>
      <c r="P13" s="21" t="s">
        <v>162</v>
      </c>
      <c r="Q13" s="21" t="s">
        <v>163</v>
      </c>
      <c r="R13" s="21" t="s">
        <v>164</v>
      </c>
    </row>
    <row r="14" spans="2:18" ht="27" x14ac:dyDescent="0.35">
      <c r="B14" s="107" t="s">
        <v>165</v>
      </c>
      <c r="C14" s="26" t="s">
        <v>166</v>
      </c>
      <c r="D14" s="27">
        <v>163717</v>
      </c>
      <c r="E14" s="27">
        <v>148842</v>
      </c>
      <c r="F14" s="27">
        <f>E14</f>
        <v>148842</v>
      </c>
      <c r="G14" s="28">
        <f>D14/F14</f>
        <v>1.0999381894895257</v>
      </c>
      <c r="I14" s="75" t="s">
        <v>167</v>
      </c>
      <c r="J14" s="33">
        <v>18636</v>
      </c>
      <c r="K14" s="33">
        <v>34038</v>
      </c>
      <c r="L14" s="33">
        <v>54130</v>
      </c>
      <c r="M14" s="33">
        <v>107640</v>
      </c>
      <c r="N14" s="33">
        <v>98944</v>
      </c>
      <c r="O14" s="33">
        <v>86439</v>
      </c>
      <c r="P14" s="33">
        <v>85124.305999999997</v>
      </c>
      <c r="Q14" s="277">
        <v>30340.597000000002</v>
      </c>
      <c r="R14" s="33">
        <v>171941.09</v>
      </c>
    </row>
    <row r="15" spans="2:18" s="34" customFormat="1" ht="32.5" customHeight="1" x14ac:dyDescent="0.25">
      <c r="B15" s="107" t="s">
        <v>168</v>
      </c>
      <c r="C15" s="26" t="s">
        <v>166</v>
      </c>
      <c r="D15" s="73">
        <v>472132</v>
      </c>
      <c r="E15" s="73">
        <v>312339</v>
      </c>
      <c r="F15" s="27">
        <f>E15</f>
        <v>312339</v>
      </c>
      <c r="G15" s="74">
        <f t="shared" ref="G15:G30" si="0">D15/F15</f>
        <v>1.5116011769263524</v>
      </c>
      <c r="I15" s="71" t="s">
        <v>169</v>
      </c>
      <c r="J15" s="76" t="s">
        <v>166</v>
      </c>
      <c r="K15" s="76" t="s">
        <v>166</v>
      </c>
      <c r="L15" s="76" t="s">
        <v>166</v>
      </c>
      <c r="M15" s="76" t="s">
        <v>166</v>
      </c>
      <c r="N15" s="76" t="s">
        <v>166</v>
      </c>
      <c r="O15" s="76" t="s">
        <v>166</v>
      </c>
      <c r="P15" s="77" t="s">
        <v>170</v>
      </c>
      <c r="Q15" s="77" t="s">
        <v>170</v>
      </c>
      <c r="R15" s="77" t="s">
        <v>170</v>
      </c>
    </row>
    <row r="16" spans="2:18" ht="29.5" customHeight="1" x14ac:dyDescent="0.35">
      <c r="B16" s="107" t="s">
        <v>171</v>
      </c>
      <c r="C16" s="26" t="s">
        <v>166</v>
      </c>
      <c r="D16" s="27">
        <v>626715</v>
      </c>
      <c r="E16" s="27">
        <v>458919</v>
      </c>
      <c r="F16" s="27">
        <f>E16</f>
        <v>458919</v>
      </c>
      <c r="G16" s="28">
        <f t="shared" si="0"/>
        <v>1.3656331509482065</v>
      </c>
      <c r="I16" s="71" t="s">
        <v>172</v>
      </c>
      <c r="J16" s="112" t="s">
        <v>173</v>
      </c>
      <c r="K16" s="112" t="s">
        <v>174</v>
      </c>
      <c r="L16" s="113" t="s">
        <v>175</v>
      </c>
      <c r="M16" s="113" t="s">
        <v>176</v>
      </c>
      <c r="N16" s="113" t="s">
        <v>177</v>
      </c>
      <c r="O16" s="113" t="s">
        <v>178</v>
      </c>
      <c r="P16" s="112" t="s">
        <v>179</v>
      </c>
      <c r="Q16" s="113" t="s">
        <v>180</v>
      </c>
      <c r="R16" s="170" t="s">
        <v>180</v>
      </c>
    </row>
    <row r="17" spans="2:18" ht="28" x14ac:dyDescent="0.35">
      <c r="B17" s="83" t="s">
        <v>181</v>
      </c>
      <c r="C17" s="56"/>
      <c r="D17" s="57">
        <f>SUM(D14:D16)</f>
        <v>1262564</v>
      </c>
      <c r="E17" s="57">
        <f>SUM(E14:E16)</f>
        <v>920100</v>
      </c>
      <c r="F17" s="57">
        <f>SUM(F14:F16)</f>
        <v>920100</v>
      </c>
      <c r="G17" s="58">
        <f t="shared" si="0"/>
        <v>1.3722030214107162</v>
      </c>
      <c r="I17" s="85"/>
    </row>
    <row r="18" spans="2:18" ht="33" customHeight="1" x14ac:dyDescent="0.35">
      <c r="B18" s="107" t="s">
        <v>182</v>
      </c>
      <c r="C18" s="26" t="s">
        <v>166</v>
      </c>
      <c r="D18" s="27">
        <v>944111</v>
      </c>
      <c r="E18" s="27">
        <v>610804</v>
      </c>
      <c r="F18" s="27">
        <f>E18</f>
        <v>610804</v>
      </c>
      <c r="G18" s="28">
        <f t="shared" si="0"/>
        <v>1.5456856864067687</v>
      </c>
      <c r="I18" s="85" t="s">
        <v>117</v>
      </c>
    </row>
    <row r="19" spans="2:18" ht="33" customHeight="1" x14ac:dyDescent="0.35">
      <c r="B19" s="107" t="s">
        <v>183</v>
      </c>
      <c r="C19" s="26" t="s">
        <v>166</v>
      </c>
      <c r="D19" s="27">
        <v>942061</v>
      </c>
      <c r="E19" s="27">
        <v>806353</v>
      </c>
      <c r="F19" s="27">
        <f>E19</f>
        <v>806353</v>
      </c>
      <c r="G19" s="28">
        <f t="shared" si="0"/>
        <v>1.1682984995405239</v>
      </c>
      <c r="I19" s="281" t="s">
        <v>184</v>
      </c>
      <c r="J19" s="282"/>
      <c r="K19" s="282"/>
      <c r="L19" s="282"/>
      <c r="M19" s="282"/>
      <c r="N19" s="282"/>
      <c r="O19" s="282"/>
      <c r="P19" s="282"/>
      <c r="Q19" s="282"/>
      <c r="R19" s="283"/>
    </row>
    <row r="20" spans="2:18" ht="40.5" customHeight="1" x14ac:dyDescent="0.35">
      <c r="B20" s="107" t="s">
        <v>185</v>
      </c>
      <c r="C20" s="26" t="s">
        <v>166</v>
      </c>
      <c r="D20" s="27">
        <v>977911</v>
      </c>
      <c r="E20" s="27">
        <v>809556</v>
      </c>
      <c r="F20" s="27">
        <v>791103</v>
      </c>
      <c r="G20" s="28">
        <f t="shared" si="0"/>
        <v>1.2361361289237938</v>
      </c>
      <c r="I20" s="281" t="s">
        <v>186</v>
      </c>
      <c r="J20" s="282"/>
      <c r="K20" s="282"/>
      <c r="L20" s="282"/>
      <c r="M20" s="282"/>
      <c r="N20" s="282"/>
      <c r="O20" s="282"/>
      <c r="P20" s="282"/>
      <c r="Q20" s="282"/>
      <c r="R20" s="283"/>
    </row>
    <row r="21" spans="2:18" ht="43.5" customHeight="1" x14ac:dyDescent="0.35">
      <c r="B21" s="83" t="s">
        <v>187</v>
      </c>
      <c r="C21" s="56"/>
      <c r="D21" s="57">
        <f>SUM(D18:D20)</f>
        <v>2864083</v>
      </c>
      <c r="E21" s="57">
        <f>SUM(E18:E20)</f>
        <v>2226713</v>
      </c>
      <c r="F21" s="57">
        <f>SUM(F18:F20)</f>
        <v>2208260</v>
      </c>
      <c r="G21" s="58">
        <f t="shared" si="0"/>
        <v>1.2969863150172534</v>
      </c>
    </row>
    <row r="22" spans="2:18" ht="31.5" customHeight="1" x14ac:dyDescent="0.35">
      <c r="B22" s="107" t="s">
        <v>188</v>
      </c>
      <c r="C22" s="26" t="s">
        <v>170</v>
      </c>
      <c r="D22" s="27">
        <v>809877.65800000005</v>
      </c>
      <c r="E22" s="27">
        <v>648029</v>
      </c>
      <c r="F22" s="193">
        <f>E22</f>
        <v>648029</v>
      </c>
      <c r="G22" s="28">
        <f t="shared" si="0"/>
        <v>1.2497552702116728</v>
      </c>
    </row>
    <row r="23" spans="2:18" ht="34" customHeight="1" x14ac:dyDescent="0.35">
      <c r="B23" s="107" t="s">
        <v>189</v>
      </c>
      <c r="C23" s="26" t="s">
        <v>170</v>
      </c>
      <c r="D23" s="27">
        <v>671027.05099999998</v>
      </c>
      <c r="E23" s="27">
        <v>541983</v>
      </c>
      <c r="F23" s="193">
        <f>E23</f>
        <v>541983</v>
      </c>
      <c r="G23" s="28">
        <f t="shared" si="0"/>
        <v>1.2380961229411254</v>
      </c>
    </row>
    <row r="24" spans="2:18" ht="34.5" customHeight="1" x14ac:dyDescent="0.35">
      <c r="B24" s="107" t="s">
        <v>190</v>
      </c>
      <c r="C24" s="29" t="s">
        <v>170</v>
      </c>
      <c r="D24" s="27">
        <v>1087076</v>
      </c>
      <c r="E24" s="27">
        <v>787629</v>
      </c>
      <c r="F24" s="193">
        <f>E24</f>
        <v>787629</v>
      </c>
      <c r="G24" s="28">
        <f t="shared" si="0"/>
        <v>1.3801878803345229</v>
      </c>
    </row>
    <row r="25" spans="2:18" ht="44.25" customHeight="1" x14ac:dyDescent="0.35">
      <c r="B25" s="83" t="s">
        <v>191</v>
      </c>
      <c r="C25" s="56"/>
      <c r="D25" s="57">
        <f>SUM(D22:D24)</f>
        <v>2567980.7089999998</v>
      </c>
      <c r="E25" s="57">
        <f>SUM(E22:E24)</f>
        <v>1977641</v>
      </c>
      <c r="F25" s="194">
        <f>SUM(F22:F24)</f>
        <v>1977641</v>
      </c>
      <c r="G25" s="58">
        <f t="shared" si="0"/>
        <v>1.298507013659203</v>
      </c>
    </row>
    <row r="26" spans="2:18" x14ac:dyDescent="0.35">
      <c r="B26" s="72">
        <v>2018</v>
      </c>
      <c r="C26" s="29" t="s">
        <v>170</v>
      </c>
      <c r="D26" s="275">
        <v>1859773.2879999999</v>
      </c>
      <c r="E26" s="276">
        <v>1713349</v>
      </c>
      <c r="F26" s="193">
        <f>E26</f>
        <v>1713349</v>
      </c>
      <c r="G26" s="28">
        <f t="shared" si="0"/>
        <v>1.0854608652411155</v>
      </c>
    </row>
    <row r="27" spans="2:18" x14ac:dyDescent="0.35">
      <c r="B27" s="72">
        <v>2019</v>
      </c>
      <c r="C27" s="29" t="s">
        <v>170</v>
      </c>
      <c r="D27" s="275">
        <v>1700029.4500006568</v>
      </c>
      <c r="E27" s="276">
        <v>1629672</v>
      </c>
      <c r="F27" s="193">
        <f>E27</f>
        <v>1629672</v>
      </c>
      <c r="G27" s="28">
        <f t="shared" si="0"/>
        <v>1.043172767281181</v>
      </c>
    </row>
    <row r="28" spans="2:18" x14ac:dyDescent="0.35">
      <c r="B28" s="72">
        <v>2020</v>
      </c>
      <c r="C28" s="29" t="s">
        <v>170</v>
      </c>
      <c r="D28" s="275">
        <v>1821166.2136200001</v>
      </c>
      <c r="E28" s="276">
        <v>1637572</v>
      </c>
      <c r="F28" s="193">
        <f>E28</f>
        <v>1637572</v>
      </c>
      <c r="G28" s="28">
        <f t="shared" si="0"/>
        <v>1.1121136741590598</v>
      </c>
    </row>
    <row r="29" spans="2:18" x14ac:dyDescent="0.35">
      <c r="B29" s="72">
        <v>2021</v>
      </c>
      <c r="C29" s="29" t="s">
        <v>192</v>
      </c>
      <c r="D29" s="275">
        <f>'1- Ex Ante Results'!C119</f>
        <v>1838338.0744957575</v>
      </c>
      <c r="E29" s="276">
        <v>1658918</v>
      </c>
      <c r="F29" s="27">
        <f>E29</f>
        <v>1658918</v>
      </c>
      <c r="G29" s="188">
        <f t="shared" si="0"/>
        <v>1.108154878357916</v>
      </c>
    </row>
    <row r="30" spans="2:18" ht="42" customHeight="1" x14ac:dyDescent="0.35">
      <c r="B30" s="83" t="s">
        <v>193</v>
      </c>
      <c r="C30" s="56"/>
      <c r="D30" s="57">
        <f>SUM(D26:D29)</f>
        <v>7219307.026116414</v>
      </c>
      <c r="E30" s="57">
        <f>SUM(E26:E29)</f>
        <v>6639511</v>
      </c>
      <c r="F30" s="57">
        <f>SUM(F26:F29)</f>
        <v>6639511</v>
      </c>
      <c r="G30" s="58">
        <f t="shared" si="0"/>
        <v>1.0873251096528667</v>
      </c>
    </row>
    <row r="31" spans="2:18" ht="14.65" customHeight="1" x14ac:dyDescent="0.35">
      <c r="B31" s="84"/>
      <c r="C31" s="30"/>
      <c r="D31" s="31"/>
      <c r="E31" s="31"/>
      <c r="F31" s="31"/>
      <c r="G31" s="70"/>
    </row>
    <row r="32" spans="2:18" x14ac:dyDescent="0.35">
      <c r="B32" s="85" t="s">
        <v>117</v>
      </c>
    </row>
    <row r="33" spans="2:7" ht="46.5" customHeight="1" x14ac:dyDescent="0.35">
      <c r="B33" s="303" t="s">
        <v>194</v>
      </c>
      <c r="C33" s="303"/>
      <c r="D33" s="303"/>
      <c r="E33" s="303"/>
      <c r="F33" s="303"/>
      <c r="G33" s="303"/>
    </row>
    <row r="34" spans="2:7" ht="42.75" customHeight="1" x14ac:dyDescent="0.35">
      <c r="B34" s="303" t="s">
        <v>195</v>
      </c>
      <c r="C34" s="303"/>
      <c r="D34" s="303"/>
      <c r="E34" s="303"/>
      <c r="F34" s="303"/>
      <c r="G34" s="303"/>
    </row>
    <row r="35" spans="2:7" ht="42" customHeight="1" x14ac:dyDescent="0.35">
      <c r="B35" s="14" t="s">
        <v>196</v>
      </c>
      <c r="C35" s="14"/>
      <c r="D35" s="14"/>
      <c r="E35" s="14"/>
      <c r="F35" s="14"/>
      <c r="G35" s="14"/>
    </row>
  </sheetData>
  <mergeCells count="6">
    <mergeCell ref="I20:R20"/>
    <mergeCell ref="I19:R19"/>
    <mergeCell ref="B35:G35"/>
    <mergeCell ref="B5:G9"/>
    <mergeCell ref="B33:G33"/>
    <mergeCell ref="B34:G34"/>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0.5" right="0.5" top="1.25" bottom="1" header="0.5" footer="0.5"/>
  <pageSetup scale="10" orientation="landscape" r:id="rId4"/>
  <headerFooter scaleWithDoc="0">
    <oddHeader>&amp;R&amp;"Arial,Bold"ICC Docket No. 17-0312
Statewide Quarterly Report ComEd 2021 Q4
Tab: &amp;A</oddHeader>
  </headerFooter>
  <ignoredErrors>
    <ignoredError sqref="F25 F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4.9958800012207406E-2"/>
    <pageSetUpPr fitToPage="1"/>
  </sheetPr>
  <dimension ref="B1:V37"/>
  <sheetViews>
    <sheetView zoomScale="70" zoomScaleNormal="70" workbookViewId="0"/>
  </sheetViews>
  <sheetFormatPr defaultColWidth="9.08984375" defaultRowHeight="14.5" x14ac:dyDescent="0.35"/>
  <cols>
    <col min="1" max="1" width="4.36328125" customWidth="1"/>
    <col min="2" max="2" width="51.6328125" customWidth="1"/>
    <col min="3" max="3" width="13.26953125" customWidth="1"/>
    <col min="4" max="4" width="11.6328125" customWidth="1"/>
    <col min="5" max="5" width="11.08984375" customWidth="1"/>
    <col min="6" max="6" width="12" customWidth="1"/>
    <col min="7" max="7" width="13.6328125" customWidth="1"/>
    <col min="8" max="8" width="13.36328125" customWidth="1"/>
    <col min="9" max="9" width="12.7265625" customWidth="1"/>
    <col min="10" max="10" width="14.08984375" customWidth="1"/>
    <col min="11" max="11" width="14.36328125" customWidth="1"/>
    <col min="12" max="12" width="13.81640625" customWidth="1"/>
    <col min="13" max="13" width="14.81640625" customWidth="1"/>
    <col min="14" max="14" width="15.36328125" customWidth="1"/>
    <col min="15" max="15" width="14.81640625" customWidth="1"/>
    <col min="16" max="16" width="14.81640625" bestFit="1" customWidth="1"/>
    <col min="17" max="17" width="13.81640625" bestFit="1" customWidth="1"/>
  </cols>
  <sheetData>
    <row r="1" spans="2:16" x14ac:dyDescent="0.35">
      <c r="B1" s="19" t="s">
        <v>0</v>
      </c>
      <c r="C1" s="19"/>
    </row>
    <row r="2" spans="2:16" x14ac:dyDescent="0.35">
      <c r="B2" s="19" t="s">
        <v>197</v>
      </c>
      <c r="C2" s="19"/>
    </row>
    <row r="3" spans="2:16" x14ac:dyDescent="0.35">
      <c r="B3" s="19"/>
      <c r="C3" s="19"/>
    </row>
    <row r="4" spans="2:16" x14ac:dyDescent="0.35">
      <c r="B4" s="19"/>
      <c r="C4" s="19"/>
    </row>
    <row r="5" spans="2:16" ht="22.5" customHeight="1" x14ac:dyDescent="0.35">
      <c r="B5" s="7" t="s">
        <v>198</v>
      </c>
      <c r="C5" s="7"/>
      <c r="D5" s="7"/>
      <c r="E5" s="7"/>
      <c r="F5" s="7"/>
      <c r="G5" s="7"/>
      <c r="H5" s="7"/>
      <c r="I5" s="7"/>
      <c r="J5" s="7"/>
      <c r="K5" s="7"/>
      <c r="L5" s="7"/>
    </row>
    <row r="6" spans="2:16" ht="21" customHeight="1" x14ac:dyDescent="0.35">
      <c r="B6" s="7"/>
      <c r="C6" s="7"/>
      <c r="D6" s="7"/>
      <c r="E6" s="7"/>
      <c r="F6" s="7"/>
      <c r="G6" s="7"/>
      <c r="H6" s="7"/>
      <c r="I6" s="7"/>
      <c r="J6" s="7"/>
      <c r="K6" s="7"/>
      <c r="L6" s="7"/>
    </row>
    <row r="7" spans="2:16" ht="21" customHeight="1" x14ac:dyDescent="0.35">
      <c r="B7" s="7"/>
      <c r="C7" s="7"/>
      <c r="D7" s="7"/>
      <c r="E7" s="7"/>
      <c r="F7" s="7"/>
      <c r="G7" s="7"/>
      <c r="H7" s="7"/>
      <c r="I7" s="7"/>
      <c r="J7" s="7"/>
      <c r="K7" s="7"/>
      <c r="L7" s="7"/>
    </row>
    <row r="8" spans="2:16" x14ac:dyDescent="0.35">
      <c r="B8" s="18"/>
      <c r="C8" s="18"/>
      <c r="D8" s="18"/>
      <c r="E8" s="18"/>
      <c r="F8" s="18"/>
      <c r="G8" s="18"/>
      <c r="H8" s="18"/>
      <c r="I8" s="18"/>
      <c r="J8" s="18"/>
      <c r="K8" s="18"/>
      <c r="L8" s="18"/>
      <c r="M8" s="18"/>
    </row>
    <row r="9" spans="2:16" x14ac:dyDescent="0.35">
      <c r="B9" s="23" t="s">
        <v>199</v>
      </c>
      <c r="C9" s="23"/>
      <c r="D9" s="23"/>
      <c r="E9" s="20"/>
      <c r="F9" s="20"/>
      <c r="G9" s="36"/>
      <c r="H9" s="130"/>
      <c r="I9" s="36"/>
      <c r="J9" s="36"/>
      <c r="K9" s="36"/>
      <c r="L9" s="36"/>
      <c r="M9" s="36"/>
    </row>
    <row r="10" spans="2:16" x14ac:dyDescent="0.35">
      <c r="B10" s="20"/>
      <c r="C10" s="20"/>
      <c r="D10" s="20"/>
      <c r="E10" s="20"/>
      <c r="F10" s="20"/>
      <c r="G10" s="36"/>
      <c r="H10" s="36"/>
      <c r="I10" s="36"/>
      <c r="J10" s="36"/>
      <c r="K10" s="36"/>
      <c r="L10" s="36"/>
      <c r="M10" s="131"/>
    </row>
    <row r="11" spans="2:16" ht="28" x14ac:dyDescent="0.35">
      <c r="B11" s="44" t="s">
        <v>200</v>
      </c>
      <c r="C11" s="44"/>
      <c r="D11" s="32" t="s">
        <v>156</v>
      </c>
      <c r="E11" s="32" t="s">
        <v>157</v>
      </c>
      <c r="F11" s="21" t="s">
        <v>158</v>
      </c>
      <c r="G11" s="21" t="s">
        <v>159</v>
      </c>
      <c r="H11" s="21" t="s">
        <v>160</v>
      </c>
      <c r="I11" s="21" t="s">
        <v>161</v>
      </c>
      <c r="J11" s="21" t="s">
        <v>162</v>
      </c>
      <c r="K11" s="21" t="s">
        <v>163</v>
      </c>
      <c r="L11" s="21" t="s">
        <v>201</v>
      </c>
      <c r="M11" s="21" t="s">
        <v>202</v>
      </c>
      <c r="N11" s="21" t="s">
        <v>203</v>
      </c>
      <c r="O11" s="21" t="s">
        <v>204</v>
      </c>
      <c r="P11" s="21" t="s">
        <v>205</v>
      </c>
    </row>
    <row r="12" spans="2:16" x14ac:dyDescent="0.35">
      <c r="B12" s="22" t="s">
        <v>206</v>
      </c>
      <c r="C12" s="126"/>
      <c r="D12" s="37">
        <v>182353</v>
      </c>
      <c r="E12" s="37">
        <v>506170</v>
      </c>
      <c r="F12" s="37">
        <v>680845</v>
      </c>
      <c r="G12" s="37">
        <v>1051751</v>
      </c>
      <c r="H12" s="37">
        <v>1041005</v>
      </c>
      <c r="I12" s="37">
        <v>1205087.922</v>
      </c>
      <c r="J12" s="37">
        <v>1207781.348736</v>
      </c>
      <c r="K12" s="37">
        <v>1382679.5970000001</v>
      </c>
      <c r="L12" s="37">
        <v>2542422.09</v>
      </c>
      <c r="M12" s="37">
        <v>1859773.2879999999</v>
      </c>
      <c r="N12" s="37">
        <v>1700029.4500006568</v>
      </c>
      <c r="O12" s="37">
        <v>1821166.2136200001</v>
      </c>
      <c r="P12" s="120">
        <f>'1- Ex Ante Results'!C119</f>
        <v>1838338.0744957575</v>
      </c>
    </row>
    <row r="13" spans="2:16" x14ac:dyDescent="0.35">
      <c r="B13" s="22" t="s">
        <v>207</v>
      </c>
      <c r="C13" s="126"/>
      <c r="D13" s="37">
        <f>D12*1000*1.3909/2204.62</f>
        <v>115046.94128693381</v>
      </c>
      <c r="E13" s="37">
        <f t="shared" ref="E13:L13" si="0">E12*1000*1.3909/2204.62</f>
        <v>319343.85653763462</v>
      </c>
      <c r="F13" s="37">
        <f t="shared" si="0"/>
        <v>429546.72936832655</v>
      </c>
      <c r="G13" s="37">
        <f t="shared" si="0"/>
        <v>663552.20668414515</v>
      </c>
      <c r="H13" s="37">
        <f t="shared" si="0"/>
        <v>656772.52973301522</v>
      </c>
      <c r="I13" s="37">
        <f t="shared" si="0"/>
        <v>760292.83536836284</v>
      </c>
      <c r="J13" s="37">
        <f t="shared" si="0"/>
        <v>761992.12470035767</v>
      </c>
      <c r="K13" s="37">
        <f t="shared" si="0"/>
        <v>872335.84539163217</v>
      </c>
      <c r="L13" s="37">
        <f t="shared" si="0"/>
        <v>1604020.1417845252</v>
      </c>
      <c r="M13" s="37">
        <f>M12*1000*1.2515/2204.62</f>
        <v>1055740.3407081494</v>
      </c>
      <c r="N13" s="37">
        <f>N12*1000*1.174/2204.62</f>
        <v>905296.41130932816</v>
      </c>
      <c r="O13" s="37">
        <f>O12*1000*1.174/2204.62</f>
        <v>969803.92756569397</v>
      </c>
      <c r="P13" s="37">
        <f>P12*1000*1.074/2204.62</f>
        <v>895562.5423013689</v>
      </c>
    </row>
    <row r="14" spans="2:16" x14ac:dyDescent="0.35">
      <c r="B14" s="22" t="s">
        <v>208</v>
      </c>
      <c r="C14" s="126"/>
      <c r="D14" s="37">
        <f>D12*1000*1.3909/(4.67*2204.62)</f>
        <v>24635.31933339054</v>
      </c>
      <c r="E14" s="37">
        <f t="shared" ref="E14:L14" si="1">E12*1000*1.3909/(4.67*2204.62)</f>
        <v>68381.982127973155</v>
      </c>
      <c r="F14" s="37">
        <f t="shared" si="1"/>
        <v>91980.027701997111</v>
      </c>
      <c r="G14" s="37">
        <f t="shared" si="1"/>
        <v>142088.26695591974</v>
      </c>
      <c r="H14" s="37">
        <f t="shared" si="1"/>
        <v>140636.51600278699</v>
      </c>
      <c r="I14" s="37">
        <f t="shared" si="1"/>
        <v>162803.60500393208</v>
      </c>
      <c r="J14" s="37">
        <f t="shared" si="1"/>
        <v>163167.47852256053</v>
      </c>
      <c r="K14" s="37">
        <f t="shared" si="1"/>
        <v>186795.68423803686</v>
      </c>
      <c r="L14" s="37">
        <f t="shared" si="1"/>
        <v>343473.26376542298</v>
      </c>
      <c r="M14" s="37">
        <f>M12*1000*1.2515/(4.67*2204.62)</f>
        <v>226068.59544071721</v>
      </c>
      <c r="N14" s="37">
        <f>N12*1000*1.174/(4.63*2204.62)</f>
        <v>195528.38257220911</v>
      </c>
      <c r="O14" s="37">
        <f>O12*1000*1.174/(4.63*2204.62)</f>
        <v>209460.89148287126</v>
      </c>
      <c r="P14" s="37">
        <f>P12*1000*1.074/(4.6*2204.62)</f>
        <v>194687.50919594979</v>
      </c>
    </row>
    <row r="15" spans="2:16" x14ac:dyDescent="0.35">
      <c r="B15" s="22" t="s">
        <v>209</v>
      </c>
      <c r="C15" s="126"/>
      <c r="D15" s="37">
        <f>(D12*1000*1.3909)/(0.85*2204.62)</f>
        <v>135349.34269051038</v>
      </c>
      <c r="E15" s="37">
        <f t="shared" ref="E15:L15" si="2">(E12*1000*1.3909)/(0.85*2204.62)</f>
        <v>375698.65475015837</v>
      </c>
      <c r="F15" s="37">
        <f t="shared" si="2"/>
        <v>505349.0933745018</v>
      </c>
      <c r="G15" s="37">
        <f t="shared" si="2"/>
        <v>780649.65492252377</v>
      </c>
      <c r="H15" s="37">
        <f t="shared" si="2"/>
        <v>772673.56439178262</v>
      </c>
      <c r="I15" s="37">
        <f t="shared" si="2"/>
        <v>894462.15925689752</v>
      </c>
      <c r="J15" s="37">
        <f t="shared" si="2"/>
        <v>896461.32317689143</v>
      </c>
      <c r="K15" s="37">
        <f t="shared" si="2"/>
        <v>1026277.465166626</v>
      </c>
      <c r="L15" s="37">
        <f t="shared" si="2"/>
        <v>1887082.5197465003</v>
      </c>
      <c r="M15" s="37">
        <f>(M12*1000*1.2515)/(0.85*2204.62)</f>
        <v>1242047.4596566462</v>
      </c>
      <c r="N15" s="37">
        <f>(N12*1000*1.174)/(0.77*2204.62)</f>
        <v>1175709.6250770495</v>
      </c>
      <c r="O15" s="37">
        <f>(O12*1000*1.174)/(0.77*2204.62)</f>
        <v>1259485.6202151868</v>
      </c>
      <c r="P15" s="37">
        <f>(P12*1000*1.074)/(0.82*2204.62)</f>
        <v>1092149.4418309378</v>
      </c>
    </row>
    <row r="16" spans="2:16" x14ac:dyDescent="0.35">
      <c r="B16" s="22" t="s">
        <v>210</v>
      </c>
      <c r="C16" s="126"/>
      <c r="D16" s="37">
        <f>D12*1000/8916</f>
        <v>20452.33288470166</v>
      </c>
      <c r="E16" s="37">
        <f t="shared" ref="E16:M16" si="3">E12*1000/8916</f>
        <v>56770.973530731273</v>
      </c>
      <c r="F16" s="37">
        <f t="shared" si="3"/>
        <v>76362.157918349039</v>
      </c>
      <c r="G16" s="37">
        <f t="shared" si="3"/>
        <v>117962.20278151637</v>
      </c>
      <c r="H16" s="37">
        <f t="shared" si="3"/>
        <v>116756.95379093764</v>
      </c>
      <c r="I16" s="37">
        <f t="shared" si="3"/>
        <v>135160.1527590848</v>
      </c>
      <c r="J16" s="37">
        <f t="shared" si="3"/>
        <v>135462.24189502018</v>
      </c>
      <c r="K16" s="37">
        <f t="shared" si="3"/>
        <v>155078.46534320322</v>
      </c>
      <c r="L16" s="37">
        <f t="shared" si="3"/>
        <v>285152.76917900401</v>
      </c>
      <c r="M16" s="37">
        <f t="shared" si="3"/>
        <v>208588.30058322116</v>
      </c>
      <c r="N16" s="37">
        <f>N12*1000/8640</f>
        <v>196762.66782415009</v>
      </c>
      <c r="O16" s="37">
        <f>O12*1000/8652</f>
        <v>210490.77827323164</v>
      </c>
      <c r="P16" s="37">
        <f>P12*1000/8652</f>
        <v>212475.50560514999</v>
      </c>
    </row>
    <row r="17" spans="2:22" x14ac:dyDescent="0.35">
      <c r="B17" s="22" t="s">
        <v>211</v>
      </c>
      <c r="C17" s="126"/>
      <c r="D17" s="37">
        <v>66</v>
      </c>
      <c r="E17" s="37">
        <v>84</v>
      </c>
      <c r="F17" s="37">
        <v>154</v>
      </c>
      <c r="G17" s="37">
        <v>179</v>
      </c>
      <c r="H17" s="38">
        <v>196</v>
      </c>
      <c r="I17" s="38">
        <v>234</v>
      </c>
      <c r="J17" s="38">
        <v>260</v>
      </c>
      <c r="K17" s="37">
        <v>267</v>
      </c>
      <c r="L17" s="37">
        <v>376</v>
      </c>
      <c r="M17" s="38">
        <v>412.48</v>
      </c>
      <c r="N17" s="263">
        <v>482</v>
      </c>
      <c r="O17" s="264">
        <v>475</v>
      </c>
      <c r="P17" s="120">
        <v>400</v>
      </c>
      <c r="Q17" s="172"/>
      <c r="R17" s="172"/>
      <c r="S17" s="172"/>
      <c r="T17" s="172"/>
      <c r="U17" s="172"/>
      <c r="V17" s="172"/>
    </row>
    <row r="18" spans="2:22" s="34" customFormat="1" x14ac:dyDescent="0.25">
      <c r="B18" s="69" t="s">
        <v>212</v>
      </c>
      <c r="C18" s="126"/>
      <c r="D18" s="126"/>
      <c r="E18" s="126"/>
      <c r="F18" s="126"/>
      <c r="G18" s="126"/>
      <c r="H18" s="126"/>
      <c r="I18" s="126"/>
      <c r="J18" s="126"/>
      <c r="K18" s="126"/>
      <c r="L18" s="37">
        <f>459+1299+1+318</f>
        <v>2077</v>
      </c>
      <c r="M18" s="120">
        <f>1561+5119+2497+9+34899</f>
        <v>44085</v>
      </c>
      <c r="N18" s="120">
        <v>75450</v>
      </c>
      <c r="O18" s="120">
        <v>73577</v>
      </c>
      <c r="P18" s="274">
        <v>79722</v>
      </c>
      <c r="Q18" s="249"/>
      <c r="R18" s="249"/>
      <c r="S18" s="249"/>
      <c r="T18" s="249"/>
      <c r="U18" s="249"/>
      <c r="V18" s="249"/>
    </row>
    <row r="19" spans="2:22" x14ac:dyDescent="0.35">
      <c r="B19" s="39"/>
      <c r="C19" s="39"/>
      <c r="D19" s="59"/>
      <c r="E19" s="59"/>
      <c r="F19" s="59"/>
      <c r="G19" s="59"/>
      <c r="H19" s="59"/>
      <c r="I19" s="59"/>
      <c r="J19" s="59"/>
      <c r="K19" s="59"/>
      <c r="L19" s="59"/>
      <c r="M19" s="61"/>
      <c r="Q19" s="172"/>
      <c r="R19" s="172"/>
      <c r="S19" s="172"/>
      <c r="T19" s="172"/>
      <c r="U19" s="172"/>
      <c r="V19" s="172"/>
    </row>
    <row r="20" spans="2:22" ht="48.75" customHeight="1" x14ac:dyDescent="0.35">
      <c r="B20" s="44" t="s">
        <v>213</v>
      </c>
      <c r="C20" s="21" t="s">
        <v>214</v>
      </c>
      <c r="D20" s="21" t="s">
        <v>215</v>
      </c>
      <c r="E20" s="21" t="s">
        <v>216</v>
      </c>
      <c r="F20" s="21" t="s">
        <v>217</v>
      </c>
      <c r="G20" s="21" t="s">
        <v>218</v>
      </c>
      <c r="H20" s="21" t="s">
        <v>219</v>
      </c>
      <c r="I20" s="21" t="s">
        <v>220</v>
      </c>
      <c r="J20" s="21" t="s">
        <v>221</v>
      </c>
      <c r="K20" s="21" t="s">
        <v>222</v>
      </c>
      <c r="L20" s="21" t="s">
        <v>223</v>
      </c>
      <c r="M20" s="21" t="s">
        <v>202</v>
      </c>
      <c r="N20" s="21" t="s">
        <v>203</v>
      </c>
      <c r="O20" s="21" t="s">
        <v>204</v>
      </c>
      <c r="P20" s="21" t="s">
        <v>205</v>
      </c>
      <c r="Q20" s="172"/>
      <c r="R20" s="172"/>
      <c r="S20" s="172"/>
      <c r="T20" s="172"/>
      <c r="U20" s="172"/>
      <c r="V20" s="172"/>
    </row>
    <row r="21" spans="2:22" ht="24.75" customHeight="1" x14ac:dyDescent="0.35">
      <c r="B21" s="22" t="s">
        <v>224</v>
      </c>
      <c r="C21" s="37">
        <v>1400000</v>
      </c>
      <c r="D21" s="37">
        <v>19800000</v>
      </c>
      <c r="E21" s="37">
        <v>84500000</v>
      </c>
      <c r="F21" s="37">
        <v>211600000</v>
      </c>
      <c r="G21" s="37">
        <v>429800000</v>
      </c>
      <c r="H21" s="37">
        <v>691400000</v>
      </c>
      <c r="I21" s="37">
        <v>1153200000</v>
      </c>
      <c r="J21" s="37">
        <v>1715400000</v>
      </c>
      <c r="K21" s="37">
        <v>2344700000</v>
      </c>
      <c r="L21" s="120">
        <f>3002600000</f>
        <v>3002600000</v>
      </c>
      <c r="M21" s="120">
        <v>3764700000</v>
      </c>
      <c r="N21" s="120">
        <v>4559500000</v>
      </c>
      <c r="O21" s="120">
        <v>5442800000</v>
      </c>
      <c r="P21" s="120">
        <v>6424097000</v>
      </c>
      <c r="Q21" s="250"/>
      <c r="R21" s="172"/>
      <c r="S21" s="172"/>
      <c r="T21" s="172"/>
      <c r="U21" s="172"/>
      <c r="V21" s="172"/>
    </row>
    <row r="22" spans="2:22" x14ac:dyDescent="0.35">
      <c r="B22" s="22" t="s">
        <v>225</v>
      </c>
      <c r="C22" s="37">
        <v>12997.1693670485</v>
      </c>
      <c r="D22" s="37">
        <v>187713.304494382</v>
      </c>
      <c r="E22" s="37">
        <v>653580.80466569797</v>
      </c>
      <c r="F22" s="37">
        <v>1265042.7655790001</v>
      </c>
      <c r="G22" s="37">
        <v>2136490.2403814155</v>
      </c>
      <c r="H22" s="37">
        <v>2958586.2127598412</v>
      </c>
      <c r="I22" s="37">
        <v>3934604.1171026533</v>
      </c>
      <c r="J22" s="37">
        <v>4855779.8367007999</v>
      </c>
      <c r="K22" s="120">
        <v>5452538.5959787779</v>
      </c>
      <c r="L22" s="120">
        <v>5721960.3020907417</v>
      </c>
      <c r="M22" s="120">
        <v>33597909.552505702</v>
      </c>
      <c r="N22" s="120">
        <v>41111935.064689398</v>
      </c>
      <c r="O22" s="120">
        <v>49782658.144593798</v>
      </c>
      <c r="P22" s="120">
        <v>59434169.137077436</v>
      </c>
      <c r="Q22" s="250"/>
      <c r="R22" s="172"/>
      <c r="S22" s="172"/>
      <c r="T22" s="172"/>
      <c r="U22" s="172"/>
      <c r="V22" s="172"/>
    </row>
    <row r="23" spans="2:22" x14ac:dyDescent="0.35">
      <c r="B23" s="22" t="s">
        <v>226</v>
      </c>
      <c r="C23" s="37">
        <v>6331.6852338317221</v>
      </c>
      <c r="D23" s="37">
        <v>91446.185295863368</v>
      </c>
      <c r="E23" s="37">
        <v>318397.63052633096</v>
      </c>
      <c r="F23" s="37">
        <v>616276.69631584862</v>
      </c>
      <c r="G23" s="37">
        <v>1040809.9891000015</v>
      </c>
      <c r="H23" s="37">
        <v>1441301.2639384875</v>
      </c>
      <c r="I23" s="37">
        <v>1916776.9600966366</v>
      </c>
      <c r="J23" s="37">
        <v>2365535.8041824256</v>
      </c>
      <c r="K23" s="120">
        <v>2656252.0761315832</v>
      </c>
      <c r="L23" s="120">
        <v>2787503.2270620135</v>
      </c>
      <c r="M23" s="120">
        <v>16367516.787197396</v>
      </c>
      <c r="N23" s="120">
        <v>20028040.324172158</v>
      </c>
      <c r="O23" s="120">
        <v>24252059.242542364</v>
      </c>
      <c r="P23" s="120">
        <f>$P$22*1000*1.074/2204.62</f>
        <v>28953877.608486351</v>
      </c>
      <c r="Q23" s="250"/>
      <c r="R23" s="172"/>
      <c r="S23" s="172"/>
      <c r="T23" s="172"/>
      <c r="U23" s="172"/>
      <c r="V23" s="172"/>
    </row>
    <row r="24" spans="2:22" x14ac:dyDescent="0.35">
      <c r="B24" s="22" t="s">
        <v>227</v>
      </c>
      <c r="C24" s="37">
        <v>1367.5346077390329</v>
      </c>
      <c r="D24" s="37">
        <v>19750.795960229669</v>
      </c>
      <c r="E24" s="37">
        <v>68768.386722749681</v>
      </c>
      <c r="F24" s="37">
        <v>133105.11799478374</v>
      </c>
      <c r="G24" s="37">
        <v>224796.97388768932</v>
      </c>
      <c r="H24" s="37">
        <v>311296.16931716795</v>
      </c>
      <c r="I24" s="37">
        <v>413990.70412454358</v>
      </c>
      <c r="J24" s="37">
        <v>510914.86051456281</v>
      </c>
      <c r="K24" s="120">
        <v>573704.55208025558</v>
      </c>
      <c r="L24" s="120">
        <v>602052.53284276754</v>
      </c>
      <c r="M24" s="120">
        <v>3535100.8179692002</v>
      </c>
      <c r="N24" s="120">
        <v>4325710.6531689325</v>
      </c>
      <c r="O24" s="120">
        <v>5238025.754328805</v>
      </c>
      <c r="P24" s="120">
        <f>$P$22*1000*1.074/(4.6*2204.62)</f>
        <v>6294321.2192361634</v>
      </c>
      <c r="Q24" s="250"/>
      <c r="R24" s="172"/>
      <c r="S24" s="172"/>
      <c r="T24" s="172"/>
      <c r="U24" s="172"/>
      <c r="V24" s="172"/>
    </row>
    <row r="25" spans="2:22" x14ac:dyDescent="0.35">
      <c r="B25" s="22" t="s">
        <v>228</v>
      </c>
      <c r="C25" s="37">
        <v>8222.9678361450933</v>
      </c>
      <c r="D25" s="37">
        <v>118761.27960501735</v>
      </c>
      <c r="E25" s="37">
        <v>413503.41626796231</v>
      </c>
      <c r="F25" s="37">
        <v>800359.34586473845</v>
      </c>
      <c r="G25" s="37">
        <v>1351701.2845454565</v>
      </c>
      <c r="H25" s="37">
        <v>1871819.8232967372</v>
      </c>
      <c r="I25" s="37">
        <v>2489320.7273982293</v>
      </c>
      <c r="J25" s="37">
        <v>3072124.4210161371</v>
      </c>
      <c r="K25" s="120">
        <v>3449678.0209501078</v>
      </c>
      <c r="L25" s="120">
        <v>3620134.0611194978</v>
      </c>
      <c r="M25" s="120">
        <v>21256515.308048565</v>
      </c>
      <c r="N25" s="120">
        <v>26010441.979444358</v>
      </c>
      <c r="O25" s="120">
        <v>31496180.834470604</v>
      </c>
      <c r="P25" s="120">
        <f>($P$22*1000*1.074)/(0.82*2204.62)</f>
        <v>35309606.839617498</v>
      </c>
      <c r="Q25" s="250"/>
      <c r="R25" s="172"/>
      <c r="S25" s="172"/>
      <c r="T25" s="172"/>
      <c r="U25" s="172"/>
      <c r="V25" s="172"/>
    </row>
    <row r="26" spans="2:22" x14ac:dyDescent="0.35">
      <c r="B26" s="22" t="s">
        <v>229</v>
      </c>
      <c r="C26" s="37">
        <v>1502.2155995201688</v>
      </c>
      <c r="D26" s="37">
        <v>21695.943653996994</v>
      </c>
      <c r="E26" s="37">
        <v>75541.008398716833</v>
      </c>
      <c r="F26" s="37">
        <v>146213.91187921868</v>
      </c>
      <c r="G26" s="37">
        <v>246935.99634551778</v>
      </c>
      <c r="H26" s="37">
        <v>341954.02366618585</v>
      </c>
      <c r="I26" s="37">
        <v>454762.38061750465</v>
      </c>
      <c r="J26" s="37">
        <v>561232.06619288027</v>
      </c>
      <c r="K26" s="120">
        <v>630205.57050147711</v>
      </c>
      <c r="L26" s="120">
        <v>661345.38859116274</v>
      </c>
      <c r="M26" s="120">
        <v>3883253.5312651061</v>
      </c>
      <c r="N26" s="120">
        <v>4751726.1979530053</v>
      </c>
      <c r="O26" s="120">
        <v>5753890.2155101486</v>
      </c>
      <c r="P26" s="120">
        <f>$P$22*1000/8652</f>
        <v>6869413.9085850017</v>
      </c>
      <c r="Q26" s="250"/>
      <c r="R26" s="172"/>
      <c r="S26" s="172"/>
      <c r="T26" s="172"/>
      <c r="U26" s="172"/>
      <c r="V26" s="172"/>
    </row>
    <row r="27" spans="2:22" x14ac:dyDescent="0.35">
      <c r="B27" s="39"/>
      <c r="C27" s="39"/>
      <c r="D27" s="59"/>
      <c r="E27" s="59"/>
      <c r="F27" s="59"/>
      <c r="G27" s="59"/>
      <c r="H27" s="60"/>
      <c r="I27" s="60"/>
      <c r="J27" s="60"/>
      <c r="K27" s="59"/>
      <c r="L27" s="59"/>
      <c r="M27" s="61"/>
      <c r="Q27" s="172"/>
      <c r="R27" s="172"/>
      <c r="S27" s="172"/>
      <c r="T27" s="172"/>
      <c r="U27" s="172"/>
      <c r="V27" s="172"/>
    </row>
    <row r="28" spans="2:22" x14ac:dyDescent="0.35">
      <c r="B28" s="40" t="s">
        <v>117</v>
      </c>
      <c r="C28" s="40"/>
      <c r="D28" s="39"/>
      <c r="E28" s="40"/>
      <c r="F28" s="40"/>
      <c r="G28" s="41"/>
      <c r="H28" s="42"/>
      <c r="I28" s="42"/>
      <c r="J28" s="42"/>
      <c r="K28" s="41"/>
      <c r="L28" s="41"/>
      <c r="M28" s="43"/>
    </row>
    <row r="29" spans="2:22" ht="29.65" customHeight="1" x14ac:dyDescent="0.35">
      <c r="B29" s="14" t="s">
        <v>230</v>
      </c>
      <c r="C29" s="14"/>
      <c r="D29" s="14"/>
      <c r="E29" s="14"/>
      <c r="F29" s="14"/>
      <c r="G29" s="14"/>
      <c r="H29" s="14"/>
      <c r="I29" s="14"/>
      <c r="J29" s="14"/>
      <c r="K29" s="14"/>
      <c r="L29" s="14"/>
      <c r="M29" s="14"/>
    </row>
    <row r="30" spans="2:22" ht="27.75" customHeight="1" x14ac:dyDescent="0.35">
      <c r="B30" s="281" t="s">
        <v>231</v>
      </c>
      <c r="C30" s="282"/>
      <c r="D30" s="282"/>
      <c r="E30" s="282"/>
      <c r="F30" s="282"/>
      <c r="G30" s="282"/>
      <c r="H30" s="282"/>
      <c r="I30" s="282"/>
      <c r="J30" s="282"/>
      <c r="K30" s="282"/>
      <c r="L30" s="282"/>
      <c r="M30" s="283"/>
    </row>
    <row r="31" spans="2:22" ht="45" customHeight="1" x14ac:dyDescent="0.35">
      <c r="B31" s="281" t="s">
        <v>232</v>
      </c>
      <c r="C31" s="282"/>
      <c r="D31" s="282"/>
      <c r="E31" s="282"/>
      <c r="F31" s="282"/>
      <c r="G31" s="282"/>
      <c r="H31" s="282"/>
      <c r="I31" s="282"/>
      <c r="J31" s="282"/>
      <c r="K31" s="282"/>
      <c r="L31" s="282"/>
      <c r="M31" s="283"/>
    </row>
    <row r="32" spans="2:22" ht="20.65" customHeight="1" x14ac:dyDescent="0.35">
      <c r="B32" s="309" t="s">
        <v>233</v>
      </c>
      <c r="C32" s="309"/>
      <c r="D32" s="309"/>
      <c r="E32" s="309"/>
      <c r="F32" s="309"/>
      <c r="G32" s="309"/>
      <c r="H32" s="309"/>
      <c r="I32" s="309"/>
      <c r="J32" s="309"/>
      <c r="K32" s="309"/>
      <c r="L32" s="309"/>
      <c r="M32" s="309"/>
    </row>
    <row r="33" spans="2:13" ht="30" customHeight="1" x14ac:dyDescent="0.35">
      <c r="B33" s="305" t="s">
        <v>234</v>
      </c>
      <c r="C33" s="306"/>
      <c r="D33" s="306"/>
      <c r="E33" s="306"/>
      <c r="F33" s="306"/>
      <c r="G33" s="306"/>
      <c r="H33" s="306"/>
      <c r="I33" s="306"/>
      <c r="J33" s="306"/>
      <c r="K33" s="306"/>
      <c r="L33" s="306"/>
      <c r="M33" s="307"/>
    </row>
    <row r="34" spans="2:13" ht="30" customHeight="1" x14ac:dyDescent="0.35">
      <c r="B34" s="308" t="s">
        <v>235</v>
      </c>
      <c r="C34" s="308"/>
      <c r="D34" s="308"/>
      <c r="E34" s="308"/>
      <c r="F34" s="308"/>
      <c r="G34" s="308"/>
      <c r="H34" s="308"/>
      <c r="I34" s="308"/>
      <c r="J34" s="308"/>
      <c r="K34" s="308"/>
      <c r="L34" s="308"/>
      <c r="M34" s="308"/>
    </row>
    <row r="35" spans="2:13" ht="33.75" customHeight="1" x14ac:dyDescent="0.35">
      <c r="B35" s="304" t="s">
        <v>236</v>
      </c>
      <c r="C35" s="304"/>
      <c r="D35" s="304"/>
      <c r="E35" s="304"/>
      <c r="F35" s="304"/>
      <c r="G35" s="304"/>
      <c r="H35" s="304"/>
      <c r="I35" s="304"/>
      <c r="J35" s="304"/>
      <c r="K35" s="304"/>
      <c r="L35" s="304"/>
      <c r="M35" s="304"/>
    </row>
    <row r="36" spans="2:13" ht="27.75" customHeight="1" x14ac:dyDescent="0.35">
      <c r="B36" s="304" t="s">
        <v>237</v>
      </c>
      <c r="C36" s="304"/>
      <c r="D36" s="304"/>
      <c r="E36" s="304"/>
      <c r="F36" s="304"/>
      <c r="G36" s="304"/>
      <c r="H36" s="304"/>
      <c r="I36" s="304"/>
      <c r="J36" s="304"/>
      <c r="K36" s="304"/>
      <c r="L36" s="304"/>
      <c r="M36" s="304"/>
    </row>
    <row r="37" spans="2:13" ht="15" customHeight="1" x14ac:dyDescent="0.35"/>
  </sheetData>
  <mergeCells count="9">
    <mergeCell ref="B36:M36"/>
    <mergeCell ref="B35:M35"/>
    <mergeCell ref="B33:M33"/>
    <mergeCell ref="B34:M34"/>
    <mergeCell ref="B5:L7"/>
    <mergeCell ref="B30:M30"/>
    <mergeCell ref="B29:M29"/>
    <mergeCell ref="B32:M32"/>
    <mergeCell ref="B31:M31"/>
  </mergeCells>
  <printOptions horizontalCentered="1" headings="1"/>
  <pageMargins left="0.5" right="0.5" top="1.25" bottom="1" header="0.5" footer="0.5"/>
  <pageSetup scale="10" orientation="landscape" r:id="rId1"/>
  <headerFooter scaleWithDoc="0">
    <oddHeader>&amp;R&amp;"Arial,Bold"ICC Docket No. 17-0312
Statewide Quarterly Report ComEd 2021 Q4
Tab: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58800012207406E-2"/>
    <pageSetUpPr fitToPage="1"/>
  </sheetPr>
  <dimension ref="A1:L42"/>
  <sheetViews>
    <sheetView zoomScale="60" zoomScaleNormal="60" workbookViewId="0"/>
  </sheetViews>
  <sheetFormatPr defaultColWidth="9.08984375" defaultRowHeight="14.5" x14ac:dyDescent="0.35"/>
  <cols>
    <col min="1" max="1" width="2.6328125" customWidth="1"/>
    <col min="2" max="2" width="4.6328125" style="17" customWidth="1"/>
    <col min="3" max="3" width="4.6328125" customWidth="1"/>
    <col min="4" max="4" width="76.6328125" customWidth="1"/>
    <col min="5" max="5" width="14" customWidth="1"/>
    <col min="6" max="6" width="44.26953125" customWidth="1"/>
    <col min="7" max="7" width="10.36328125" customWidth="1"/>
    <col min="8" max="8" width="10.6328125" bestFit="1" customWidth="1"/>
  </cols>
  <sheetData>
    <row r="1" spans="2:11" ht="16.5" customHeight="1" x14ac:dyDescent="0.45">
      <c r="B1" s="19" t="s">
        <v>0</v>
      </c>
      <c r="E1" s="100"/>
      <c r="F1" s="100"/>
    </row>
    <row r="2" spans="2:11" ht="14.25" customHeight="1" x14ac:dyDescent="0.45">
      <c r="B2" s="19" t="s">
        <v>238</v>
      </c>
      <c r="E2" s="101"/>
      <c r="F2" s="101"/>
    </row>
    <row r="3" spans="2:11" ht="15.5" x14ac:dyDescent="0.35">
      <c r="B3" s="19"/>
      <c r="E3" s="102"/>
      <c r="F3" s="102"/>
    </row>
    <row r="4" spans="2:11" ht="18.5" x14ac:dyDescent="0.45">
      <c r="B4" s="93"/>
      <c r="E4" s="102"/>
      <c r="F4" s="102"/>
    </row>
    <row r="5" spans="2:11" ht="22.5" customHeight="1" x14ac:dyDescent="0.35">
      <c r="B5" s="7" t="s">
        <v>239</v>
      </c>
      <c r="C5" s="7"/>
      <c r="D5" s="7"/>
      <c r="E5" s="94"/>
      <c r="F5" s="94"/>
      <c r="G5" s="94"/>
      <c r="H5" s="94"/>
      <c r="I5" s="94"/>
      <c r="J5" s="94"/>
      <c r="K5" s="94"/>
    </row>
    <row r="6" spans="2:11" ht="27" customHeight="1" x14ac:dyDescent="0.35">
      <c r="B6" s="7"/>
      <c r="C6" s="7"/>
      <c r="D6" s="7"/>
      <c r="E6" s="94"/>
      <c r="F6" s="94"/>
      <c r="G6" s="94"/>
      <c r="H6" s="94"/>
      <c r="I6" s="94"/>
      <c r="J6" s="94"/>
      <c r="K6" s="94"/>
    </row>
    <row r="7" spans="2:11" ht="22.5" customHeight="1" x14ac:dyDescent="0.35">
      <c r="B7" s="67"/>
      <c r="C7" s="67"/>
      <c r="D7" s="67"/>
      <c r="E7" s="94"/>
      <c r="F7" s="94"/>
      <c r="G7" s="94"/>
      <c r="H7" s="94"/>
      <c r="I7" s="94"/>
      <c r="J7" s="94"/>
      <c r="K7" s="94"/>
    </row>
    <row r="8" spans="2:11" ht="22.5" customHeight="1" x14ac:dyDescent="0.35">
      <c r="B8" s="333" t="s">
        <v>240</v>
      </c>
      <c r="C8" s="333"/>
      <c r="D8" s="333"/>
      <c r="E8" s="94"/>
      <c r="F8" s="94"/>
      <c r="G8" s="94"/>
      <c r="H8" s="94"/>
      <c r="I8" s="94"/>
      <c r="J8" s="94"/>
      <c r="K8" s="94"/>
    </row>
    <row r="9" spans="2:11" ht="21" customHeight="1" x14ac:dyDescent="0.35">
      <c r="B9" s="315" t="s">
        <v>241</v>
      </c>
      <c r="C9" s="315"/>
      <c r="D9" s="315"/>
      <c r="E9" s="67"/>
      <c r="F9" s="67"/>
      <c r="G9" s="67"/>
      <c r="H9" s="67"/>
      <c r="I9" s="67"/>
      <c r="J9" s="67"/>
      <c r="K9" s="67"/>
    </row>
    <row r="10" spans="2:11" ht="21" customHeight="1" x14ac:dyDescent="0.35">
      <c r="B10" s="316" t="s">
        <v>242</v>
      </c>
      <c r="C10" s="316"/>
      <c r="D10" s="316"/>
      <c r="E10" s="67"/>
      <c r="F10" s="67"/>
      <c r="G10" s="67"/>
      <c r="H10" s="67"/>
      <c r="I10" s="67"/>
      <c r="J10" s="67"/>
      <c r="K10" s="67"/>
    </row>
    <row r="11" spans="2:11" ht="21" customHeight="1" x14ac:dyDescent="0.35">
      <c r="B11" s="317" t="s">
        <v>243</v>
      </c>
      <c r="C11" s="317"/>
      <c r="D11" s="317"/>
      <c r="E11" s="67"/>
      <c r="F11" s="67"/>
      <c r="G11" s="67"/>
      <c r="H11" s="67"/>
      <c r="I11" s="67"/>
      <c r="J11" s="67"/>
      <c r="K11" s="67"/>
    </row>
    <row r="12" spans="2:11" ht="21" customHeight="1" x14ac:dyDescent="0.35">
      <c r="B12" s="109"/>
      <c r="C12" s="109"/>
      <c r="D12" s="109"/>
      <c r="E12" s="67"/>
      <c r="F12" s="67"/>
      <c r="G12" s="67"/>
      <c r="H12" s="67"/>
      <c r="I12" s="67"/>
      <c r="J12" s="67"/>
      <c r="K12" s="67"/>
    </row>
    <row r="13" spans="2:11" ht="21" customHeight="1" x14ac:dyDescent="0.35">
      <c r="B13" s="110" t="s">
        <v>244</v>
      </c>
      <c r="C13" s="109"/>
      <c r="D13" s="109"/>
      <c r="E13" s="67"/>
      <c r="F13" s="67"/>
      <c r="G13" s="67"/>
      <c r="H13" s="67"/>
      <c r="I13" s="67"/>
      <c r="J13" s="67"/>
      <c r="K13" s="67"/>
    </row>
    <row r="14" spans="2:11" ht="21" customHeight="1" x14ac:dyDescent="0.35">
      <c r="B14" s="67"/>
      <c r="C14" s="67"/>
      <c r="D14" s="67"/>
      <c r="E14" s="67"/>
      <c r="F14" s="67"/>
      <c r="G14" s="67"/>
      <c r="H14" s="67"/>
      <c r="I14" s="67"/>
      <c r="J14" s="67"/>
      <c r="K14" s="67"/>
    </row>
    <row r="15" spans="2:11" ht="18" customHeight="1" x14ac:dyDescent="0.35">
      <c r="B15" s="334" t="s">
        <v>245</v>
      </c>
      <c r="C15" s="334"/>
      <c r="D15" s="334"/>
      <c r="E15" s="334"/>
      <c r="F15" s="334"/>
    </row>
    <row r="16" spans="2:11" x14ac:dyDescent="0.35">
      <c r="B16" s="104" t="s">
        <v>246</v>
      </c>
      <c r="C16" s="327" t="s">
        <v>247</v>
      </c>
      <c r="D16" s="328"/>
      <c r="E16" s="238">
        <v>0.11799999999999999</v>
      </c>
      <c r="F16" s="239" t="s">
        <v>248</v>
      </c>
    </row>
    <row r="17" spans="1:10" x14ac:dyDescent="0.35">
      <c r="B17" s="104" t="s">
        <v>249</v>
      </c>
      <c r="C17" s="327" t="s">
        <v>250</v>
      </c>
      <c r="D17" s="328"/>
      <c r="E17" s="240">
        <v>78600739.922666669</v>
      </c>
      <c r="F17" s="239" t="s">
        <v>248</v>
      </c>
    </row>
    <row r="18" spans="1:10" x14ac:dyDescent="0.35">
      <c r="B18" s="104" t="s">
        <v>251</v>
      </c>
      <c r="C18" s="327" t="s">
        <v>252</v>
      </c>
      <c r="D18" s="328"/>
      <c r="E18" s="241">
        <f>E17*E16</f>
        <v>9274887.310874667</v>
      </c>
      <c r="F18" s="242" t="s">
        <v>253</v>
      </c>
    </row>
    <row r="19" spans="1:10" x14ac:dyDescent="0.35">
      <c r="B19" s="104" t="s">
        <v>254</v>
      </c>
      <c r="C19" s="327" t="s">
        <v>255</v>
      </c>
      <c r="D19" s="328"/>
      <c r="E19" s="243">
        <v>8670723.0460508596</v>
      </c>
      <c r="F19" s="244" t="s">
        <v>256</v>
      </c>
    </row>
    <row r="20" spans="1:10" ht="16.5" customHeight="1" x14ac:dyDescent="0.35">
      <c r="B20" s="104"/>
      <c r="C20" s="312" t="s">
        <v>257</v>
      </c>
      <c r="D20" s="313"/>
      <c r="E20" s="313"/>
      <c r="F20" s="314"/>
    </row>
    <row r="21" spans="1:10" x14ac:dyDescent="0.35">
      <c r="B21" s="104" t="s">
        <v>258</v>
      </c>
      <c r="C21" s="323" t="s">
        <v>259</v>
      </c>
      <c r="D21" s="324"/>
      <c r="E21" s="238">
        <v>0.04</v>
      </c>
      <c r="F21" s="239" t="s">
        <v>260</v>
      </c>
    </row>
    <row r="22" spans="1:10" x14ac:dyDescent="0.35">
      <c r="B22" s="104" t="s">
        <v>261</v>
      </c>
      <c r="C22" s="323" t="s">
        <v>262</v>
      </c>
      <c r="D22" s="324"/>
      <c r="E22" s="238">
        <v>4.4999999999999998E-2</v>
      </c>
      <c r="F22" s="239" t="s">
        <v>260</v>
      </c>
      <c r="H22" s="167"/>
      <c r="J22" s="133"/>
    </row>
    <row r="23" spans="1:10" x14ac:dyDescent="0.35">
      <c r="B23" s="104" t="s">
        <v>263</v>
      </c>
      <c r="C23" s="323" t="s">
        <v>264</v>
      </c>
      <c r="D23" s="324"/>
      <c r="E23" s="245">
        <f>E22-E21</f>
        <v>4.9999999999999975E-3</v>
      </c>
      <c r="F23" s="242" t="s">
        <v>265</v>
      </c>
    </row>
    <row r="24" spans="1:10" x14ac:dyDescent="0.35">
      <c r="A24" s="34"/>
      <c r="B24" s="104" t="s">
        <v>266</v>
      </c>
      <c r="C24" s="323" t="s">
        <v>267</v>
      </c>
      <c r="D24" s="324"/>
      <c r="E24" s="241">
        <f>E23*E17</f>
        <v>393003.69961333316</v>
      </c>
      <c r="F24" s="242" t="s">
        <v>268</v>
      </c>
    </row>
    <row r="25" spans="1:10" x14ac:dyDescent="0.35">
      <c r="B25" s="104" t="s">
        <v>269</v>
      </c>
      <c r="C25" s="323" t="s">
        <v>270</v>
      </c>
      <c r="D25" s="324"/>
      <c r="E25" s="243">
        <v>475240.57991661155</v>
      </c>
      <c r="F25" s="244" t="s">
        <v>256</v>
      </c>
    </row>
    <row r="26" spans="1:10" x14ac:dyDescent="0.35">
      <c r="B26" s="104" t="s">
        <v>271</v>
      </c>
      <c r="C26" s="325" t="s">
        <v>272</v>
      </c>
      <c r="D26" s="326"/>
      <c r="E26" s="246">
        <f>E24+E25</f>
        <v>868244.27952994476</v>
      </c>
      <c r="F26" s="242" t="s">
        <v>273</v>
      </c>
    </row>
    <row r="27" spans="1:10" x14ac:dyDescent="0.35">
      <c r="B27" s="104" t="s">
        <v>274</v>
      </c>
      <c r="C27" s="327" t="s">
        <v>275</v>
      </c>
      <c r="D27" s="328"/>
      <c r="E27" s="241">
        <f>E18-E19+E26</f>
        <v>1472408.5443537522</v>
      </c>
      <c r="F27" s="242" t="s">
        <v>276</v>
      </c>
    </row>
    <row r="28" spans="1:10" x14ac:dyDescent="0.35">
      <c r="B28" s="104" t="s">
        <v>277</v>
      </c>
      <c r="C28" s="327" t="s">
        <v>278</v>
      </c>
      <c r="D28" s="328"/>
      <c r="E28" s="247">
        <f>'1- Ex Ante Results'!C119</f>
        <v>1838338.0744957575</v>
      </c>
      <c r="F28" s="244" t="s">
        <v>279</v>
      </c>
    </row>
    <row r="29" spans="1:10" x14ac:dyDescent="0.35">
      <c r="B29" s="104" t="s">
        <v>280</v>
      </c>
      <c r="C29" s="327" t="s">
        <v>281</v>
      </c>
      <c r="D29" s="328"/>
      <c r="E29" s="247">
        <f>'1- Ex Ante Results'!C119</f>
        <v>1838338.0744957575</v>
      </c>
      <c r="F29" s="244" t="s">
        <v>282</v>
      </c>
    </row>
    <row r="30" spans="1:10" ht="27" customHeight="1" x14ac:dyDescent="0.35">
      <c r="B30" s="104" t="s">
        <v>283</v>
      </c>
      <c r="C30" s="329" t="s">
        <v>284</v>
      </c>
      <c r="D30" s="330"/>
      <c r="E30" s="248">
        <f>E29/E27</f>
        <v>1.2485244544017595</v>
      </c>
      <c r="F30" s="242" t="s">
        <v>285</v>
      </c>
    </row>
    <row r="31" spans="1:10" ht="18" customHeight="1" x14ac:dyDescent="0.35">
      <c r="B31" s="318" t="s">
        <v>286</v>
      </c>
      <c r="C31" s="318"/>
      <c r="D31" s="318"/>
      <c r="E31" s="318"/>
      <c r="F31" s="318"/>
    </row>
    <row r="32" spans="1:10" x14ac:dyDescent="0.35">
      <c r="B32" s="104" t="s">
        <v>287</v>
      </c>
      <c r="C32" s="331" t="s">
        <v>288</v>
      </c>
      <c r="D32" s="332"/>
      <c r="E32" s="238">
        <v>0.104</v>
      </c>
      <c r="F32" s="96" t="s">
        <v>248</v>
      </c>
      <c r="J32" s="97"/>
    </row>
    <row r="33" spans="2:12" x14ac:dyDescent="0.35">
      <c r="B33" s="104" t="s">
        <v>289</v>
      </c>
      <c r="C33" s="331" t="s">
        <v>290</v>
      </c>
      <c r="D33" s="332"/>
      <c r="E33" s="105">
        <f>E32*E17</f>
        <v>8174476.9519573329</v>
      </c>
      <c r="F33" s="103" t="s">
        <v>291</v>
      </c>
    </row>
    <row r="34" spans="2:12" x14ac:dyDescent="0.35">
      <c r="B34" s="104" t="s">
        <v>292</v>
      </c>
      <c r="C34" s="95" t="s">
        <v>293</v>
      </c>
      <c r="D34" s="95"/>
      <c r="E34" s="105">
        <f>E18-E33</f>
        <v>1100410.3589173341</v>
      </c>
      <c r="F34" s="103" t="s">
        <v>294</v>
      </c>
    </row>
    <row r="35" spans="2:12" x14ac:dyDescent="0.35">
      <c r="B35" s="104" t="s">
        <v>295</v>
      </c>
      <c r="C35" s="95" t="s">
        <v>296</v>
      </c>
      <c r="D35" s="95"/>
      <c r="E35" s="105">
        <f>E34+E26</f>
        <v>1968654.6384472789</v>
      </c>
      <c r="F35" s="103" t="s">
        <v>297</v>
      </c>
      <c r="G35" s="92"/>
    </row>
    <row r="36" spans="2:12" x14ac:dyDescent="0.35">
      <c r="B36" s="104" t="s">
        <v>298</v>
      </c>
      <c r="C36" s="95" t="s">
        <v>299</v>
      </c>
      <c r="D36" s="95"/>
      <c r="E36" s="105">
        <f>E29</f>
        <v>1838338.0744957575</v>
      </c>
      <c r="F36" s="103" t="s">
        <v>300</v>
      </c>
      <c r="H36" s="92"/>
    </row>
    <row r="37" spans="2:12" ht="32.65" customHeight="1" x14ac:dyDescent="0.35">
      <c r="B37" s="104" t="s">
        <v>301</v>
      </c>
      <c r="C37" s="319" t="s">
        <v>302</v>
      </c>
      <c r="D37" s="320"/>
      <c r="E37" s="106">
        <f>E26</f>
        <v>868244.27952994476</v>
      </c>
      <c r="F37" s="103" t="s">
        <v>303</v>
      </c>
    </row>
    <row r="38" spans="2:12" x14ac:dyDescent="0.35">
      <c r="B38" s="104" t="s">
        <v>304</v>
      </c>
      <c r="C38" s="319" t="s">
        <v>305</v>
      </c>
      <c r="D38" s="320"/>
      <c r="E38" s="105">
        <f>E36-E37</f>
        <v>970093.7949658127</v>
      </c>
      <c r="F38" s="103" t="s">
        <v>306</v>
      </c>
    </row>
    <row r="39" spans="2:12" ht="30" customHeight="1" x14ac:dyDescent="0.35">
      <c r="B39" s="104" t="s">
        <v>307</v>
      </c>
      <c r="C39" s="321" t="s">
        <v>308</v>
      </c>
      <c r="D39" s="322"/>
      <c r="E39" s="108">
        <f>E38/E34</f>
        <v>0.88157457543408024</v>
      </c>
      <c r="F39" s="103" t="s">
        <v>309</v>
      </c>
    </row>
    <row r="40" spans="2:12" x14ac:dyDescent="0.35">
      <c r="B40" s="97"/>
      <c r="C40" s="18"/>
      <c r="D40" s="18"/>
      <c r="E40" s="98"/>
      <c r="F40" s="99"/>
    </row>
    <row r="41" spans="2:12" x14ac:dyDescent="0.35">
      <c r="B41" s="40" t="s">
        <v>117</v>
      </c>
      <c r="C41" s="39"/>
      <c r="D41" s="40"/>
      <c r="E41" s="40"/>
      <c r="F41" s="41"/>
      <c r="G41" s="42"/>
      <c r="H41" s="42"/>
      <c r="I41" s="42"/>
      <c r="J41" s="41"/>
      <c r="K41" s="41"/>
      <c r="L41" s="43"/>
    </row>
    <row r="42" spans="2:12" ht="39" customHeight="1" x14ac:dyDescent="0.35">
      <c r="B42" s="310" t="s">
        <v>310</v>
      </c>
      <c r="C42" s="311"/>
      <c r="D42" s="311"/>
      <c r="E42" s="311"/>
      <c r="F42" s="311"/>
      <c r="G42" s="166"/>
      <c r="H42" s="166"/>
      <c r="I42" s="166"/>
      <c r="J42" s="166"/>
      <c r="K42" s="166"/>
      <c r="L42" s="166"/>
    </row>
  </sheetData>
  <mergeCells count="28">
    <mergeCell ref="B5:D6"/>
    <mergeCell ref="B8:D8"/>
    <mergeCell ref="B15:F15"/>
    <mergeCell ref="C19:D19"/>
    <mergeCell ref="C16:D16"/>
    <mergeCell ref="C17:D17"/>
    <mergeCell ref="C18:D18"/>
    <mergeCell ref="C28:D28"/>
    <mergeCell ref="C29:D29"/>
    <mergeCell ref="C30:D30"/>
    <mergeCell ref="C32:D32"/>
    <mergeCell ref="C33:D33"/>
    <mergeCell ref="B42:F42"/>
    <mergeCell ref="C20:F20"/>
    <mergeCell ref="B9:D9"/>
    <mergeCell ref="B10:D10"/>
    <mergeCell ref="B11:D11"/>
    <mergeCell ref="B31:F31"/>
    <mergeCell ref="C37:D37"/>
    <mergeCell ref="C38:D38"/>
    <mergeCell ref="C39:D39"/>
    <mergeCell ref="C21:D21"/>
    <mergeCell ref="C22:D22"/>
    <mergeCell ref="C23:D23"/>
    <mergeCell ref="C24:D24"/>
    <mergeCell ref="C25:D25"/>
    <mergeCell ref="C26:D26"/>
    <mergeCell ref="C27:D27"/>
  </mergeCells>
  <printOptions horizontalCentered="1" headings="1"/>
  <pageMargins left="1" right="1" top="1.25" bottom="1" header="0.5" footer="0.5"/>
  <pageSetup scale="10" orientation="portrait" r:id="rId1"/>
  <headerFooter scaleWithDoc="0">
    <oddHeader>&amp;R&amp;"Arial,Bold"ICC Docket No. 17-0312
Statewide Quarterly Report ComEd 2021 Q4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58800012207406E-2"/>
    <pageSetUpPr fitToPage="1"/>
  </sheetPr>
  <dimension ref="B1:G32"/>
  <sheetViews>
    <sheetView zoomScale="85" zoomScaleNormal="85" workbookViewId="0"/>
  </sheetViews>
  <sheetFormatPr defaultColWidth="9.08984375" defaultRowHeight="14.5" x14ac:dyDescent="0.35"/>
  <cols>
    <col min="1" max="1" width="3.6328125" customWidth="1"/>
    <col min="2" max="2" width="18.81640625" style="34" customWidth="1"/>
    <col min="3" max="3" width="22.26953125" customWidth="1"/>
    <col min="4" max="4" width="24.08984375" customWidth="1"/>
    <col min="5" max="5" width="18.81640625" customWidth="1"/>
    <col min="6" max="7" width="18.6328125" customWidth="1"/>
    <col min="8" max="8" width="8.81640625" customWidth="1"/>
  </cols>
  <sheetData>
    <row r="1" spans="2:7" x14ac:dyDescent="0.35">
      <c r="B1" s="79" t="s">
        <v>0</v>
      </c>
    </row>
    <row r="2" spans="2:7" x14ac:dyDescent="0.35">
      <c r="B2" s="79" t="s">
        <v>311</v>
      </c>
    </row>
    <row r="3" spans="2:7" x14ac:dyDescent="0.35">
      <c r="B3" s="19"/>
    </row>
    <row r="4" spans="2:7" x14ac:dyDescent="0.35">
      <c r="B4" s="79"/>
    </row>
    <row r="5" spans="2:7" ht="29.25" customHeight="1" x14ac:dyDescent="0.35">
      <c r="B5" s="302" t="s">
        <v>312</v>
      </c>
      <c r="C5" s="302"/>
      <c r="D5" s="302"/>
      <c r="E5" s="302"/>
      <c r="F5" s="302"/>
      <c r="G5" s="302"/>
    </row>
    <row r="6" spans="2:7" x14ac:dyDescent="0.35">
      <c r="B6" s="302"/>
      <c r="C6" s="302"/>
      <c r="D6" s="302"/>
      <c r="E6" s="302"/>
      <c r="F6" s="302"/>
      <c r="G6" s="302"/>
    </row>
    <row r="7" spans="2:7" x14ac:dyDescent="0.35">
      <c r="B7" s="302"/>
      <c r="C7" s="302"/>
      <c r="D7" s="302"/>
      <c r="E7" s="302"/>
      <c r="F7" s="302"/>
      <c r="G7" s="302"/>
    </row>
    <row r="8" spans="2:7" x14ac:dyDescent="0.35">
      <c r="B8" s="302"/>
      <c r="C8" s="302"/>
      <c r="D8" s="302"/>
      <c r="E8" s="302"/>
      <c r="F8" s="302"/>
      <c r="G8" s="302"/>
    </row>
    <row r="9" spans="2:7" ht="42" customHeight="1" x14ac:dyDescent="0.35">
      <c r="B9" s="302"/>
      <c r="C9" s="302"/>
      <c r="D9" s="302"/>
      <c r="E9" s="302"/>
      <c r="F9" s="302"/>
      <c r="G9" s="302"/>
    </row>
    <row r="11" spans="2:7" ht="18" x14ac:dyDescent="0.4">
      <c r="B11" s="53" t="s">
        <v>313</v>
      </c>
      <c r="C11" s="53"/>
      <c r="D11" s="24"/>
      <c r="E11" s="24"/>
      <c r="F11" s="24"/>
      <c r="G11" s="24"/>
    </row>
    <row r="12" spans="2:7" ht="18" x14ac:dyDescent="0.4">
      <c r="C12" s="25"/>
      <c r="D12" s="24"/>
      <c r="E12" s="24"/>
      <c r="F12" s="24"/>
      <c r="G12" s="24"/>
    </row>
    <row r="13" spans="2:7" s="34" customFormat="1" ht="42" x14ac:dyDescent="0.35">
      <c r="B13" s="32" t="s">
        <v>150</v>
      </c>
      <c r="C13" s="21" t="s">
        <v>314</v>
      </c>
      <c r="D13" s="21" t="s">
        <v>315</v>
      </c>
      <c r="E13" s="21" t="s">
        <v>316</v>
      </c>
      <c r="F13" s="21" t="s">
        <v>317</v>
      </c>
      <c r="G13" s="21" t="s">
        <v>318</v>
      </c>
    </row>
    <row r="14" spans="2:7" ht="27" x14ac:dyDescent="0.35">
      <c r="B14" s="107" t="s">
        <v>165</v>
      </c>
      <c r="C14" s="141">
        <v>27356150.450000003</v>
      </c>
      <c r="D14" s="142">
        <v>6949809.1399999997</v>
      </c>
      <c r="E14" s="142">
        <f>C14+D14</f>
        <v>34305959.590000004</v>
      </c>
      <c r="F14" s="142">
        <v>0</v>
      </c>
      <c r="G14" s="142">
        <f>SUM(E14,F14)</f>
        <v>34305959.590000004</v>
      </c>
    </row>
    <row r="15" spans="2:7" s="34" customFormat="1" ht="27" x14ac:dyDescent="0.25">
      <c r="B15" s="107" t="s">
        <v>168</v>
      </c>
      <c r="C15" s="143">
        <v>52071860.044945925</v>
      </c>
      <c r="D15" s="144">
        <v>11471615</v>
      </c>
      <c r="E15" s="142">
        <f t="shared" ref="E15:E25" si="0">C15+D15</f>
        <v>63543475.044945925</v>
      </c>
      <c r="F15" s="144">
        <v>0</v>
      </c>
      <c r="G15" s="142">
        <f t="shared" ref="G15:G25" si="1">SUM(E15,F15)</f>
        <v>63543475.044945925</v>
      </c>
    </row>
    <row r="16" spans="2:7" ht="27" x14ac:dyDescent="0.35">
      <c r="B16" s="107" t="s">
        <v>171</v>
      </c>
      <c r="C16" s="141">
        <v>75691132.849999994</v>
      </c>
      <c r="D16" s="142">
        <v>28659010.5</v>
      </c>
      <c r="E16" s="142">
        <f t="shared" si="0"/>
        <v>104350143.34999999</v>
      </c>
      <c r="F16" s="142">
        <v>0</v>
      </c>
      <c r="G16" s="142">
        <f t="shared" si="1"/>
        <v>104350143.34999999</v>
      </c>
    </row>
    <row r="17" spans="2:7" ht="28" x14ac:dyDescent="0.35">
      <c r="B17" s="83" t="s">
        <v>181</v>
      </c>
      <c r="C17" s="145">
        <f>SUM(C14:C16)</f>
        <v>155119143.34494591</v>
      </c>
      <c r="D17" s="145">
        <f>SUM(D14:D16)</f>
        <v>47080434.640000001</v>
      </c>
      <c r="E17" s="145">
        <f t="shared" si="0"/>
        <v>202199577.98494589</v>
      </c>
      <c r="F17" s="145">
        <f>SUM(F14:F16)</f>
        <v>0</v>
      </c>
      <c r="G17" s="145">
        <f t="shared" si="1"/>
        <v>202199577.98494589</v>
      </c>
    </row>
    <row r="18" spans="2:7" ht="27" x14ac:dyDescent="0.35">
      <c r="B18" s="107" t="s">
        <v>182</v>
      </c>
      <c r="C18" s="141">
        <v>106315194.5</v>
      </c>
      <c r="D18" s="142">
        <v>35049987</v>
      </c>
      <c r="E18" s="142">
        <f t="shared" si="0"/>
        <v>141365181.5</v>
      </c>
      <c r="F18" s="142">
        <v>0</v>
      </c>
      <c r="G18" s="142">
        <f t="shared" si="1"/>
        <v>141365181.5</v>
      </c>
    </row>
    <row r="19" spans="2:7" ht="27" x14ac:dyDescent="0.35">
      <c r="B19" s="107" t="s">
        <v>183</v>
      </c>
      <c r="C19" s="141">
        <v>107354963.67</v>
      </c>
      <c r="D19" s="142">
        <v>33565649.329999998</v>
      </c>
      <c r="E19" s="142">
        <f t="shared" si="0"/>
        <v>140920613</v>
      </c>
      <c r="F19" s="142">
        <v>31329</v>
      </c>
      <c r="G19" s="142">
        <f t="shared" si="1"/>
        <v>140951942</v>
      </c>
    </row>
    <row r="20" spans="2:7" ht="27" x14ac:dyDescent="0.35">
      <c r="B20" s="107" t="s">
        <v>185</v>
      </c>
      <c r="C20" s="141">
        <v>124096016.16999999</v>
      </c>
      <c r="D20" s="142">
        <v>31563417</v>
      </c>
      <c r="E20" s="142">
        <f t="shared" si="0"/>
        <v>155659433.16999999</v>
      </c>
      <c r="F20" s="142">
        <v>29469183.289999999</v>
      </c>
      <c r="G20" s="186">
        <f t="shared" si="1"/>
        <v>185128616.45999998</v>
      </c>
    </row>
    <row r="21" spans="2:7" ht="28" x14ac:dyDescent="0.35">
      <c r="B21" s="83" t="s">
        <v>187</v>
      </c>
      <c r="C21" s="145">
        <f>SUM(C18:C20)</f>
        <v>337766174.34000003</v>
      </c>
      <c r="D21" s="145">
        <f>SUM(D18:D20)</f>
        <v>100179053.33</v>
      </c>
      <c r="E21" s="145">
        <f t="shared" si="0"/>
        <v>437945227.67000002</v>
      </c>
      <c r="F21" s="145">
        <f>SUM(F18:F20)</f>
        <v>29500512.289999999</v>
      </c>
      <c r="G21" s="195">
        <f t="shared" si="1"/>
        <v>467445739.96000004</v>
      </c>
    </row>
    <row r="22" spans="2:7" ht="27" x14ac:dyDescent="0.35">
      <c r="B22" s="107" t="s">
        <v>188</v>
      </c>
      <c r="C22" s="142">
        <v>128288585</v>
      </c>
      <c r="D22" s="142">
        <v>33728435</v>
      </c>
      <c r="E22" s="142">
        <f t="shared" si="0"/>
        <v>162017020</v>
      </c>
      <c r="F22" s="191">
        <v>39150326.559999995</v>
      </c>
      <c r="G22" s="142">
        <f t="shared" si="1"/>
        <v>201167346.56</v>
      </c>
    </row>
    <row r="23" spans="2:7" ht="27" x14ac:dyDescent="0.35">
      <c r="B23" s="107" t="s">
        <v>189</v>
      </c>
      <c r="C23" s="142">
        <v>108343594</v>
      </c>
      <c r="D23" s="142">
        <v>3670970</v>
      </c>
      <c r="E23" s="142">
        <f t="shared" si="0"/>
        <v>112014564</v>
      </c>
      <c r="F23" s="191">
        <v>87103873</v>
      </c>
      <c r="G23" s="142">
        <f t="shared" si="1"/>
        <v>199118437</v>
      </c>
    </row>
    <row r="24" spans="2:7" ht="27" x14ac:dyDescent="0.35">
      <c r="B24" s="107" t="s">
        <v>190</v>
      </c>
      <c r="C24" s="142">
        <v>222451927.53999999</v>
      </c>
      <c r="D24" s="142">
        <v>57854489</v>
      </c>
      <c r="E24" s="142">
        <f t="shared" si="0"/>
        <v>280306416.53999996</v>
      </c>
      <c r="F24" s="191">
        <v>159497825.46000001</v>
      </c>
      <c r="G24" s="186">
        <f t="shared" si="1"/>
        <v>439804242</v>
      </c>
    </row>
    <row r="25" spans="2:7" ht="28" x14ac:dyDescent="0.35">
      <c r="B25" s="83" t="s">
        <v>191</v>
      </c>
      <c r="C25" s="145">
        <f>SUM(C22:C24)</f>
        <v>459084106.53999996</v>
      </c>
      <c r="D25" s="145">
        <f>SUM(D22:D24)</f>
        <v>95253894</v>
      </c>
      <c r="E25" s="145">
        <f t="shared" si="0"/>
        <v>554338000.53999996</v>
      </c>
      <c r="F25" s="192">
        <f>SUM(F22:F24)</f>
        <v>285752025.01999998</v>
      </c>
      <c r="G25" s="145">
        <f t="shared" si="1"/>
        <v>840090025.55999994</v>
      </c>
    </row>
    <row r="26" spans="2:7" s="34" customFormat="1" ht="37.5" x14ac:dyDescent="0.35">
      <c r="B26" s="32" t="s">
        <v>150</v>
      </c>
      <c r="C26" s="21" t="s">
        <v>319</v>
      </c>
      <c r="D26" s="21" t="s">
        <v>320</v>
      </c>
      <c r="E26" s="54" t="s">
        <v>17</v>
      </c>
      <c r="F26" s="137"/>
      <c r="G26" s="189"/>
    </row>
    <row r="27" spans="2:7" x14ac:dyDescent="0.35">
      <c r="B27" s="72">
        <v>2018</v>
      </c>
      <c r="C27" s="165">
        <v>352988359</v>
      </c>
      <c r="D27" s="163">
        <f>'2- Costs'!D32</f>
        <v>351334190</v>
      </c>
      <c r="E27" s="146">
        <f>C27/D27</f>
        <v>1.0047082494305493</v>
      </c>
      <c r="F27" s="138"/>
      <c r="G27" s="31"/>
    </row>
    <row r="28" spans="2:7" x14ac:dyDescent="0.35">
      <c r="B28" s="72">
        <v>2019</v>
      </c>
      <c r="C28" s="165">
        <v>351381796</v>
      </c>
      <c r="D28" s="163">
        <v>351334190</v>
      </c>
      <c r="E28" s="146">
        <f>IF(C28=0,"N/A",C28/D28)</f>
        <v>1.0001355006183714</v>
      </c>
      <c r="F28" s="138"/>
      <c r="G28" s="31"/>
    </row>
    <row r="29" spans="2:7" x14ac:dyDescent="0.35">
      <c r="B29" s="72">
        <v>2020</v>
      </c>
      <c r="C29" s="165">
        <v>346480330</v>
      </c>
      <c r="D29" s="163">
        <v>351334190</v>
      </c>
      <c r="E29" s="146">
        <f>IF(C29=0,"N/A",C29/D29)</f>
        <v>0.98618449288980381</v>
      </c>
      <c r="F29" s="138"/>
      <c r="G29" s="31"/>
    </row>
    <row r="30" spans="2:7" x14ac:dyDescent="0.35">
      <c r="B30" s="72">
        <v>2021</v>
      </c>
      <c r="C30" s="165">
        <f>'2- Costs'!C32</f>
        <v>351037751.65463001</v>
      </c>
      <c r="D30" s="163">
        <v>351334190</v>
      </c>
      <c r="E30" s="146">
        <f>IF(C30=0,"N/A",C30/D30)</f>
        <v>0.99915624965116545</v>
      </c>
      <c r="F30" s="138"/>
      <c r="G30" s="31"/>
    </row>
    <row r="31" spans="2:7" ht="28" x14ac:dyDescent="0.35">
      <c r="B31" s="83" t="s">
        <v>193</v>
      </c>
      <c r="C31" s="164">
        <f>SUM(C27:C30)</f>
        <v>1401888236.6546299</v>
      </c>
      <c r="D31" s="164">
        <f>SUM(D27:D30)</f>
        <v>1405336760</v>
      </c>
      <c r="E31" s="146">
        <f>IF(C31=0,"N/A",C31/D31)</f>
        <v>0.99754612314747249</v>
      </c>
      <c r="F31" s="138"/>
      <c r="G31" s="31"/>
    </row>
    <row r="32" spans="2:7" x14ac:dyDescent="0.35">
      <c r="B32" s="84"/>
      <c r="C32" s="30"/>
      <c r="D32" s="31"/>
      <c r="E32" s="31"/>
      <c r="F32" s="31"/>
      <c r="G32" s="31"/>
    </row>
  </sheetData>
  <mergeCells count="1">
    <mergeCell ref="B5:G9"/>
  </mergeCells>
  <printOptions horizontalCentered="1"/>
  <pageMargins left="1" right="1" top="1.25" bottom="1" header="0.5" footer="0.5"/>
  <pageSetup scale="10" orientation="portrait" r:id="rId1"/>
  <headerFooter scaleWithDoc="0">
    <oddHeader>&amp;R&amp;"Arial,Bold"ICC Docket No. 17-0312
Statewide Quarterly Report ComEd 2021 Q4 
Tab: &amp;A</oddHeader>
  </headerFooter>
  <ignoredErrors>
    <ignoredError sqref="E17:E2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D7298ED617D146A3AF46250AE2AF4E" ma:contentTypeVersion="4" ma:contentTypeDescription="Create a new document." ma:contentTypeScope="" ma:versionID="1941a6a2abece074ee073e31a635a015">
  <xsd:schema xmlns:xsd="http://www.w3.org/2001/XMLSchema" xmlns:xs="http://www.w3.org/2001/XMLSchema" xmlns:p="http://schemas.microsoft.com/office/2006/metadata/properties" xmlns:ns2="34179d51-dc0c-413e-aa1e-3fce419c532c" targetNamespace="http://schemas.microsoft.com/office/2006/metadata/properties" ma:root="true" ma:fieldsID="b817cda650c36187a3a53b5331c7b210" ns2:_="">
    <xsd:import namespace="34179d51-dc0c-413e-aa1e-3fce419c53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79d51-dc0c-413e-aa1e-3fce419c5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35F3C2-00F1-4CDD-B138-3CFBC8D34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79d51-dc0c-413e-aa1e-3fce419c53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265358-A200-4181-99F2-5390B7D0CBB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4179d51-dc0c-413e-aa1e-3fce419c532c"/>
    <ds:schemaRef ds:uri="http://www.w3.org/XML/1998/namespace"/>
    <ds:schemaRef ds:uri="http://purl.org/dc/dcmitype/"/>
  </ds:schemaRefs>
</ds:datastoreItem>
</file>

<file path=customXml/itemProps3.xml><?xml version="1.0" encoding="utf-8"?>
<ds:datastoreItem xmlns:ds="http://schemas.openxmlformats.org/officeDocument/2006/customXml" ds:itemID="{D7CB91CF-5463-483A-B537-8D7B40E18D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Ex Ante Results</vt:lpstr>
      <vt:lpstr>2- Costs</vt:lpstr>
      <vt:lpstr>3- Energy</vt:lpstr>
      <vt:lpstr>4- Other</vt:lpstr>
      <vt:lpstr>5- CPAS</vt:lpstr>
      <vt:lpstr>6- Historical Costs</vt:lpstr>
      <vt:lpstr>'1- Ex Ante Results'!Print_Area</vt:lpstr>
      <vt:lpstr>'6- Historical Costs'!Print_Area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CJ Consulting</dc:creator>
  <cp:keywords/>
  <dc:description/>
  <cp:lastModifiedBy>CJ Consulting</cp:lastModifiedBy>
  <dcterms:created xsi:type="dcterms:W3CDTF">2022-03-29T17:50:06Z</dcterms:created>
  <dcterms:modified xsi:type="dcterms:W3CDTF">2022-03-29T17:50:06Z</dcterms:modified>
  <cp:category/>
  <cp:contentStatus/>
</cp:coreProperties>
</file>