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ComEd/ComEd 2021/"/>
    </mc:Choice>
  </mc:AlternateContent>
  <xr:revisionPtr revIDLastSave="0" documentId="8_{B52FEB64-36D0-4A6C-B2F9-199AB26A5E98}" xr6:coauthVersionLast="46" xr6:coauthVersionMax="46" xr10:uidLastSave="{00000000-0000-0000-0000-000000000000}"/>
  <bookViews>
    <workbookView xWindow="-110" yWindow="-110" windowWidth="19420" windowHeight="10420" xr2:uid="{00000000-000D-0000-FFFF-FFFF00000000}"/>
  </bookViews>
  <sheets>
    <sheet name="1- Ex Ante Results" sheetId="1" r:id="rId1"/>
    <sheet name="2- Costs" sheetId="2" r:id="rId2"/>
    <sheet name="3- Energy" sheetId="3" r:id="rId3"/>
    <sheet name="4- Other" sheetId="4" r:id="rId4"/>
    <sheet name="5- CPAS" sheetId="7" r:id="rId5"/>
    <sheet name="6- Historical Costs" sheetId="8" r:id="rId6"/>
  </sheets>
  <externalReferences>
    <externalReference r:id="rId7"/>
  </externalReferences>
  <definedNames>
    <definedName name="_xlnm._FilterDatabase" localSheetId="0" hidden="1">'1- Ex Ante Results'!$B$20:$M$119</definedName>
    <definedName name="_xlnm.Print_Area" localSheetId="0">'1- Ex Ante Results'!$A$1:$M$127</definedName>
    <definedName name="_xlnm.Print_Area" localSheetId="5">'6- Historical Costs'!$A$1:$G$31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1" l="1"/>
  <c r="C26" i="2" l="1"/>
  <c r="C27" i="2" s="1"/>
  <c r="D114" i="1" l="1"/>
  <c r="D70" i="1"/>
  <c r="D69" i="1"/>
  <c r="D66" i="1"/>
  <c r="D68" i="1"/>
  <c r="D67" i="1"/>
  <c r="D63" i="1"/>
  <c r="D62" i="1"/>
  <c r="D53" i="1"/>
  <c r="D52" i="1"/>
  <c r="D51" i="1"/>
  <c r="D50" i="1"/>
  <c r="D49" i="1"/>
  <c r="D46" i="1"/>
  <c r="D45" i="1"/>
  <c r="D89" i="1"/>
  <c r="D92" i="1"/>
  <c r="D91" i="1"/>
  <c r="D90" i="1"/>
  <c r="D65" i="1"/>
  <c r="D48" i="1"/>
  <c r="D71" i="1"/>
  <c r="D107" i="1"/>
  <c r="D85" i="1"/>
  <c r="D84" i="1"/>
  <c r="D83" i="1"/>
  <c r="D82" i="1"/>
  <c r="D81" i="1"/>
  <c r="D79" i="1"/>
  <c r="D77" i="1"/>
  <c r="D76" i="1"/>
  <c r="D111" i="1"/>
  <c r="D95" i="1" l="1"/>
  <c r="D87" i="1"/>
  <c r="E117" i="1" l="1"/>
  <c r="E23" i="7" l="1"/>
  <c r="O12" i="4" l="1"/>
  <c r="G118" i="1" l="1"/>
  <c r="E35" i="7" l="1"/>
  <c r="E27" i="7"/>
  <c r="E26" i="7"/>
  <c r="N16" i="4" l="1"/>
  <c r="F28" i="3"/>
  <c r="M113" i="1"/>
  <c r="M93" i="1" l="1"/>
  <c r="L55" i="1"/>
  <c r="L76" i="1"/>
  <c r="L40" i="1"/>
  <c r="L56" i="1"/>
  <c r="I107" i="1"/>
  <c r="I106" i="1"/>
  <c r="I105" i="1"/>
  <c r="I104" i="1"/>
  <c r="I103" i="1"/>
  <c r="I102" i="1"/>
  <c r="I101" i="1"/>
  <c r="I100" i="1"/>
  <c r="I99" i="1"/>
  <c r="I98" i="1"/>
  <c r="I97" i="1"/>
  <c r="I92" i="1"/>
  <c r="I91" i="1"/>
  <c r="I90" i="1"/>
  <c r="I89" i="1"/>
  <c r="I85" i="1"/>
  <c r="I84" i="1"/>
  <c r="I83" i="1"/>
  <c r="I82" i="1"/>
  <c r="I81" i="1"/>
  <c r="I80" i="1"/>
  <c r="I79" i="1"/>
  <c r="I78" i="1"/>
  <c r="I77" i="1"/>
  <c r="I71" i="1"/>
  <c r="I69" i="1"/>
  <c r="I67" i="1"/>
  <c r="I66" i="1"/>
  <c r="I65" i="1"/>
  <c r="I64" i="1"/>
  <c r="I63" i="1"/>
  <c r="I62" i="1"/>
  <c r="I61" i="1"/>
  <c r="I59" i="1"/>
  <c r="I58" i="1"/>
  <c r="I50" i="1" l="1"/>
  <c r="I49" i="1"/>
  <c r="I48" i="1"/>
  <c r="I47" i="1"/>
  <c r="I46" i="1"/>
  <c r="I45" i="1"/>
  <c r="I44" i="1"/>
  <c r="I43" i="1"/>
  <c r="I42" i="1"/>
  <c r="I41" i="1"/>
  <c r="M78" i="1"/>
  <c r="M79" i="1"/>
  <c r="M80" i="1"/>
  <c r="J78" i="1"/>
  <c r="J79" i="1"/>
  <c r="J80" i="1"/>
  <c r="K116" i="1" l="1"/>
  <c r="K111" i="1"/>
  <c r="K95" i="1"/>
  <c r="K57" i="1"/>
  <c r="K74" i="1" s="1"/>
  <c r="K40" i="1"/>
  <c r="K56" i="1" s="1"/>
  <c r="K76" i="1"/>
  <c r="K87" i="1" s="1"/>
  <c r="H76" i="1"/>
  <c r="I76" i="1" s="1"/>
  <c r="H55" i="1"/>
  <c r="E47" i="1"/>
  <c r="G47" i="1"/>
  <c r="J47" i="1"/>
  <c r="M47" i="1"/>
  <c r="E43" i="1"/>
  <c r="G43" i="1"/>
  <c r="J43" i="1"/>
  <c r="M43" i="1"/>
  <c r="E44" i="1"/>
  <c r="G44" i="1"/>
  <c r="J44" i="1"/>
  <c r="M44" i="1"/>
  <c r="C29" i="1"/>
  <c r="D29" i="1"/>
  <c r="E29" i="1" s="1"/>
  <c r="F29" i="1"/>
  <c r="G29" i="1" s="1"/>
  <c r="H29" i="1"/>
  <c r="K29" i="1"/>
  <c r="L29" i="1"/>
  <c r="M29" i="1" s="1"/>
  <c r="C25" i="1"/>
  <c r="E25" i="1"/>
  <c r="F25" i="1"/>
  <c r="G25" i="1" s="1"/>
  <c r="H25" i="1"/>
  <c r="I25" i="1"/>
  <c r="L25" i="1"/>
  <c r="M25" i="1" s="1"/>
  <c r="C26" i="1"/>
  <c r="E26" i="1"/>
  <c r="F26" i="1"/>
  <c r="G26" i="1" s="1"/>
  <c r="H26" i="1"/>
  <c r="L26" i="1"/>
  <c r="M26" i="1" s="1"/>
  <c r="E78" i="1" l="1"/>
  <c r="E79" i="1"/>
  <c r="E80" i="1"/>
  <c r="G114" i="1"/>
  <c r="E24" i="7" l="1"/>
  <c r="E18" i="7"/>
  <c r="D116" i="1" l="1"/>
  <c r="E116" i="1" s="1"/>
  <c r="E114" i="1"/>
  <c r="E113" i="1"/>
  <c r="E110" i="1"/>
  <c r="E109" i="1"/>
  <c r="E108" i="1"/>
  <c r="E107" i="1"/>
  <c r="E106" i="1"/>
  <c r="E105" i="1"/>
  <c r="E104" i="1"/>
  <c r="E103" i="1"/>
  <c r="E102" i="1"/>
  <c r="E101" i="1"/>
  <c r="E100" i="1"/>
  <c r="E99" i="1"/>
  <c r="E98" i="1"/>
  <c r="E97" i="1"/>
  <c r="E94" i="1"/>
  <c r="E93" i="1"/>
  <c r="E92" i="1"/>
  <c r="E91" i="1"/>
  <c r="E90" i="1"/>
  <c r="E89" i="1"/>
  <c r="E87" i="1"/>
  <c r="E86" i="1"/>
  <c r="E84" i="1"/>
  <c r="E83" i="1"/>
  <c r="E82" i="1"/>
  <c r="E81" i="1"/>
  <c r="E77" i="1"/>
  <c r="E76" i="1"/>
  <c r="E73" i="1"/>
  <c r="E72" i="1"/>
  <c r="E71" i="1"/>
  <c r="E36" i="1" s="1"/>
  <c r="E70" i="1"/>
  <c r="E69" i="1"/>
  <c r="E68" i="1"/>
  <c r="E66" i="1"/>
  <c r="E65" i="1"/>
  <c r="E64" i="1"/>
  <c r="E63" i="1"/>
  <c r="E62" i="1"/>
  <c r="E61" i="1"/>
  <c r="E60" i="1"/>
  <c r="E59" i="1"/>
  <c r="E58" i="1"/>
  <c r="D74" i="1"/>
  <c r="E55" i="1"/>
  <c r="E54" i="1"/>
  <c r="E53" i="1"/>
  <c r="E52" i="1"/>
  <c r="E51" i="1"/>
  <c r="E50" i="1"/>
  <c r="E49" i="1"/>
  <c r="E48" i="1"/>
  <c r="E46" i="1"/>
  <c r="E45" i="1"/>
  <c r="E42" i="1"/>
  <c r="E41" i="1"/>
  <c r="D56" i="1"/>
  <c r="E38" i="1"/>
  <c r="E37" i="1"/>
  <c r="D36" i="1"/>
  <c r="D35" i="1"/>
  <c r="E35" i="1" s="1"/>
  <c r="D34" i="1"/>
  <c r="E34" i="1" s="1"/>
  <c r="D33" i="1"/>
  <c r="E33" i="1" s="1"/>
  <c r="D31" i="1"/>
  <c r="E31" i="1" s="1"/>
  <c r="D30" i="1"/>
  <c r="E30" i="1" s="1"/>
  <c r="D28" i="1"/>
  <c r="E28" i="1" s="1"/>
  <c r="D27" i="1"/>
  <c r="E27" i="1" s="1"/>
  <c r="E24" i="1"/>
  <c r="E23" i="1"/>
  <c r="E95" i="1" l="1"/>
  <c r="E111" i="1"/>
  <c r="D22" i="1"/>
  <c r="E22" i="1" s="1"/>
  <c r="D32" i="1"/>
  <c r="E32" i="1" s="1"/>
  <c r="E57" i="1"/>
  <c r="E67" i="1"/>
  <c r="E40" i="1"/>
  <c r="E56" i="1" s="1"/>
  <c r="E39" i="1" l="1"/>
  <c r="E119" i="1" s="1"/>
  <c r="D39" i="1"/>
  <c r="D119" i="1" s="1"/>
  <c r="E74" i="1"/>
  <c r="O16" i="4" l="1"/>
  <c r="O13" i="4"/>
  <c r="O14" i="4" l="1"/>
  <c r="O15" i="4"/>
  <c r="C87" i="1"/>
  <c r="G45" i="1" l="1"/>
  <c r="G106" i="1" l="1"/>
  <c r="G105" i="1" l="1"/>
  <c r="M100" i="1" l="1"/>
  <c r="M98" i="1"/>
  <c r="M99" i="1"/>
  <c r="M101" i="1"/>
  <c r="C116" i="1"/>
  <c r="I29" i="1" l="1"/>
  <c r="I26" i="1"/>
  <c r="M16" i="4" l="1"/>
  <c r="M15" i="4"/>
  <c r="M14" i="4"/>
  <c r="M13" i="4"/>
  <c r="L13" i="4" l="1"/>
  <c r="L15" i="4" l="1"/>
  <c r="K28" i="1" l="1"/>
  <c r="K27" i="1"/>
  <c r="L57" i="1"/>
  <c r="K22" i="1" l="1"/>
  <c r="F40" i="1" l="1"/>
  <c r="F56" i="1" s="1"/>
  <c r="C40" i="1"/>
  <c r="C57" i="1"/>
  <c r="M115" i="1" l="1"/>
  <c r="H40" i="1"/>
  <c r="D27" i="8" l="1"/>
  <c r="D31" i="8" s="1"/>
  <c r="F25" i="8"/>
  <c r="D25" i="8"/>
  <c r="C25" i="8"/>
  <c r="E24" i="8"/>
  <c r="G24" i="8" s="1"/>
  <c r="G23" i="8"/>
  <c r="E23" i="8"/>
  <c r="E22" i="8"/>
  <c r="G22" i="8" s="1"/>
  <c r="F21" i="8"/>
  <c r="D21" i="8"/>
  <c r="C21" i="8"/>
  <c r="E21" i="8" s="1"/>
  <c r="G21" i="8" s="1"/>
  <c r="E20" i="8"/>
  <c r="G20" i="8" s="1"/>
  <c r="E19" i="8"/>
  <c r="G19" i="8" s="1"/>
  <c r="E18" i="8"/>
  <c r="G18" i="8" s="1"/>
  <c r="F17" i="8"/>
  <c r="D17" i="8"/>
  <c r="C17" i="8"/>
  <c r="E16" i="8"/>
  <c r="G16" i="8" s="1"/>
  <c r="G15" i="8"/>
  <c r="E15" i="8"/>
  <c r="G14" i="8"/>
  <c r="E14" i="8"/>
  <c r="E33" i="7"/>
  <c r="L18" i="4"/>
  <c r="K18" i="4"/>
  <c r="L16" i="4"/>
  <c r="K16" i="4"/>
  <c r="J16" i="4"/>
  <c r="I16" i="4"/>
  <c r="H16" i="4"/>
  <c r="G16" i="4"/>
  <c r="F16" i="4"/>
  <c r="E16" i="4"/>
  <c r="D16" i="4"/>
  <c r="C16" i="4"/>
  <c r="K15" i="4"/>
  <c r="J15" i="4"/>
  <c r="I15" i="4"/>
  <c r="H15" i="4"/>
  <c r="G15" i="4"/>
  <c r="F15" i="4"/>
  <c r="E15" i="4"/>
  <c r="D15" i="4"/>
  <c r="C15" i="4"/>
  <c r="L14" i="4"/>
  <c r="K14" i="4"/>
  <c r="J14" i="4"/>
  <c r="I14" i="4"/>
  <c r="H14" i="4"/>
  <c r="G14" i="4"/>
  <c r="F14" i="4"/>
  <c r="E14" i="4"/>
  <c r="D14" i="4"/>
  <c r="C14" i="4"/>
  <c r="K13" i="4"/>
  <c r="J13" i="4"/>
  <c r="I13" i="4"/>
  <c r="H13" i="4"/>
  <c r="G13" i="4"/>
  <c r="F13" i="4"/>
  <c r="E13" i="4"/>
  <c r="D13" i="4"/>
  <c r="C13" i="4"/>
  <c r="E30" i="3"/>
  <c r="F29" i="3"/>
  <c r="F27" i="3"/>
  <c r="F26" i="3"/>
  <c r="G26" i="3" s="1"/>
  <c r="E25" i="3"/>
  <c r="D25" i="3"/>
  <c r="F24" i="3"/>
  <c r="G24" i="3" s="1"/>
  <c r="F23" i="3"/>
  <c r="G23" i="3" s="1"/>
  <c r="F22" i="3"/>
  <c r="G22" i="3" s="1"/>
  <c r="E21" i="3"/>
  <c r="D21" i="3"/>
  <c r="G20" i="3"/>
  <c r="G19" i="3"/>
  <c r="F19" i="3"/>
  <c r="F18" i="3"/>
  <c r="G18" i="3" s="1"/>
  <c r="E17" i="3"/>
  <c r="D17" i="3"/>
  <c r="F16" i="3"/>
  <c r="G16" i="3" s="1"/>
  <c r="F15" i="3"/>
  <c r="G15" i="3" s="1"/>
  <c r="G14" i="3"/>
  <c r="F14" i="3"/>
  <c r="G117" i="1"/>
  <c r="L116" i="1"/>
  <c r="I116" i="1"/>
  <c r="H116" i="1"/>
  <c r="F116" i="1"/>
  <c r="J113" i="1"/>
  <c r="J116" i="1" s="1"/>
  <c r="L111" i="1"/>
  <c r="F111" i="1"/>
  <c r="C111" i="1"/>
  <c r="M110" i="1"/>
  <c r="J110" i="1"/>
  <c r="G110" i="1"/>
  <c r="M109" i="1"/>
  <c r="J109" i="1"/>
  <c r="G109" i="1"/>
  <c r="M108" i="1"/>
  <c r="J108" i="1"/>
  <c r="G108" i="1"/>
  <c r="M107" i="1"/>
  <c r="J107" i="1"/>
  <c r="G107" i="1"/>
  <c r="M106" i="1"/>
  <c r="J106" i="1"/>
  <c r="M105" i="1"/>
  <c r="J105" i="1"/>
  <c r="M104" i="1"/>
  <c r="J104" i="1"/>
  <c r="G104" i="1"/>
  <c r="M103" i="1"/>
  <c r="J103" i="1"/>
  <c r="G103" i="1"/>
  <c r="M102" i="1"/>
  <c r="H111" i="1"/>
  <c r="G102" i="1"/>
  <c r="J101" i="1"/>
  <c r="G101" i="1"/>
  <c r="J100" i="1"/>
  <c r="G100" i="1"/>
  <c r="J99" i="1"/>
  <c r="G99" i="1"/>
  <c r="J98" i="1"/>
  <c r="G98" i="1"/>
  <c r="M97" i="1"/>
  <c r="J97" i="1"/>
  <c r="G97" i="1"/>
  <c r="L95" i="1"/>
  <c r="H95" i="1"/>
  <c r="C16" i="2" s="1"/>
  <c r="F95" i="1"/>
  <c r="C95" i="1"/>
  <c r="J94" i="1"/>
  <c r="J93" i="1"/>
  <c r="M92" i="1"/>
  <c r="J92" i="1"/>
  <c r="G92" i="1"/>
  <c r="M91" i="1"/>
  <c r="J91" i="1"/>
  <c r="G91" i="1"/>
  <c r="M90" i="1"/>
  <c r="J90" i="1"/>
  <c r="G90" i="1"/>
  <c r="M89" i="1"/>
  <c r="J89" i="1"/>
  <c r="G89" i="1"/>
  <c r="L87" i="1"/>
  <c r="F87" i="1"/>
  <c r="M86" i="1"/>
  <c r="M85" i="1"/>
  <c r="J85" i="1"/>
  <c r="M84" i="1"/>
  <c r="J84" i="1"/>
  <c r="G84" i="1"/>
  <c r="M83" i="1"/>
  <c r="J83" i="1"/>
  <c r="G83" i="1"/>
  <c r="M82" i="1"/>
  <c r="J82" i="1"/>
  <c r="G82" i="1"/>
  <c r="M81" i="1"/>
  <c r="J81" i="1"/>
  <c r="G81" i="1"/>
  <c r="G79" i="1"/>
  <c r="M77" i="1"/>
  <c r="G77" i="1"/>
  <c r="M76" i="1"/>
  <c r="G76" i="1"/>
  <c r="M73" i="1"/>
  <c r="J73" i="1"/>
  <c r="M72" i="1"/>
  <c r="J72" i="1"/>
  <c r="M71" i="1"/>
  <c r="I36" i="1"/>
  <c r="G71" i="1"/>
  <c r="M70" i="1"/>
  <c r="J70" i="1"/>
  <c r="G70" i="1"/>
  <c r="M69" i="1"/>
  <c r="I34" i="1"/>
  <c r="G69" i="1"/>
  <c r="M68" i="1"/>
  <c r="J68" i="1"/>
  <c r="G68" i="1"/>
  <c r="M67" i="1"/>
  <c r="J67" i="1"/>
  <c r="G67" i="1"/>
  <c r="M66" i="1"/>
  <c r="J66" i="1"/>
  <c r="G66" i="1"/>
  <c r="M65" i="1"/>
  <c r="J65" i="1"/>
  <c r="G65" i="1"/>
  <c r="M64" i="1"/>
  <c r="J64" i="1"/>
  <c r="J29" i="1" s="1"/>
  <c r="G64" i="1"/>
  <c r="M63" i="1"/>
  <c r="J63" i="1"/>
  <c r="G63" i="1"/>
  <c r="M62" i="1"/>
  <c r="J62" i="1"/>
  <c r="G62" i="1"/>
  <c r="M61" i="1"/>
  <c r="J61" i="1"/>
  <c r="J26" i="1" s="1"/>
  <c r="G61" i="1"/>
  <c r="M60" i="1"/>
  <c r="J60" i="1"/>
  <c r="J25" i="1" s="1"/>
  <c r="G60" i="1"/>
  <c r="M59" i="1"/>
  <c r="J59" i="1"/>
  <c r="G59" i="1"/>
  <c r="M58" i="1"/>
  <c r="J58" i="1"/>
  <c r="G58" i="1"/>
  <c r="H57" i="1"/>
  <c r="H74" i="1" s="1"/>
  <c r="F57" i="1"/>
  <c r="C74" i="1"/>
  <c r="C56" i="1"/>
  <c r="M55" i="1"/>
  <c r="M54" i="1"/>
  <c r="J54" i="1"/>
  <c r="M53" i="1"/>
  <c r="J53" i="1"/>
  <c r="G53" i="1"/>
  <c r="M52" i="1"/>
  <c r="J52" i="1"/>
  <c r="G52" i="1"/>
  <c r="M51" i="1"/>
  <c r="J51" i="1"/>
  <c r="G51" i="1"/>
  <c r="M50" i="1"/>
  <c r="J50" i="1"/>
  <c r="G50" i="1"/>
  <c r="M49" i="1"/>
  <c r="J49" i="1"/>
  <c r="G49" i="1"/>
  <c r="M48" i="1"/>
  <c r="G48" i="1"/>
  <c r="M46" i="1"/>
  <c r="J46" i="1"/>
  <c r="G46" i="1"/>
  <c r="M45" i="1"/>
  <c r="M42" i="1"/>
  <c r="G42" i="1"/>
  <c r="M41" i="1"/>
  <c r="I40" i="1"/>
  <c r="G41" i="1"/>
  <c r="H56" i="1"/>
  <c r="L38" i="1"/>
  <c r="K38" i="1"/>
  <c r="I38" i="1"/>
  <c r="H38" i="1"/>
  <c r="L37" i="1"/>
  <c r="K37" i="1"/>
  <c r="I37" i="1"/>
  <c r="H37" i="1"/>
  <c r="L36" i="1"/>
  <c r="K36" i="1"/>
  <c r="H36" i="1"/>
  <c r="F36" i="1"/>
  <c r="C36" i="1"/>
  <c r="L35" i="1"/>
  <c r="K35" i="1"/>
  <c r="I35" i="1"/>
  <c r="H35" i="1"/>
  <c r="F35" i="1"/>
  <c r="C35" i="1"/>
  <c r="L34" i="1"/>
  <c r="K34" i="1"/>
  <c r="H34" i="1"/>
  <c r="F34" i="1"/>
  <c r="C34" i="1"/>
  <c r="L33" i="1"/>
  <c r="K33" i="1"/>
  <c r="I33" i="1"/>
  <c r="H33" i="1"/>
  <c r="F33" i="1"/>
  <c r="C33" i="1"/>
  <c r="L32" i="1"/>
  <c r="K32" i="1"/>
  <c r="H32" i="1"/>
  <c r="F32" i="1"/>
  <c r="C32" i="1"/>
  <c r="L31" i="1"/>
  <c r="K31" i="1"/>
  <c r="H31" i="1"/>
  <c r="F31" i="1"/>
  <c r="C31" i="1"/>
  <c r="L30" i="1"/>
  <c r="K30" i="1"/>
  <c r="H30" i="1"/>
  <c r="F30" i="1"/>
  <c r="C30" i="1"/>
  <c r="L28" i="1"/>
  <c r="H28" i="1"/>
  <c r="F28" i="1"/>
  <c r="C28" i="1"/>
  <c r="L27" i="1"/>
  <c r="H27" i="1"/>
  <c r="F27" i="1"/>
  <c r="C27" i="1"/>
  <c r="L24" i="1"/>
  <c r="H24" i="1"/>
  <c r="F24" i="1"/>
  <c r="C24" i="1"/>
  <c r="L23" i="1"/>
  <c r="I23" i="1"/>
  <c r="H23" i="1"/>
  <c r="F23" i="1"/>
  <c r="C23" i="1"/>
  <c r="C22" i="1"/>
  <c r="K39" i="1" l="1"/>
  <c r="K119" i="1" s="1"/>
  <c r="G57" i="1"/>
  <c r="F22" i="1"/>
  <c r="F39" i="1" s="1"/>
  <c r="F119" i="1" s="1"/>
  <c r="G21" i="3"/>
  <c r="E37" i="7"/>
  <c r="E17" i="8"/>
  <c r="G17" i="8" s="1"/>
  <c r="E25" i="8"/>
  <c r="G25" i="8" s="1"/>
  <c r="G17" i="3"/>
  <c r="F21" i="3"/>
  <c r="F17" i="3"/>
  <c r="J33" i="1"/>
  <c r="M36" i="1"/>
  <c r="M38" i="1"/>
  <c r="J69" i="1"/>
  <c r="J34" i="1" s="1"/>
  <c r="I27" i="1"/>
  <c r="M116" i="1"/>
  <c r="H22" i="1"/>
  <c r="H39" i="1" s="1"/>
  <c r="G27" i="1"/>
  <c r="G87" i="1"/>
  <c r="F30" i="3"/>
  <c r="G116" i="1"/>
  <c r="G111" i="1"/>
  <c r="M95" i="1"/>
  <c r="J32" i="1"/>
  <c r="J31" i="1"/>
  <c r="I30" i="1"/>
  <c r="I28" i="1"/>
  <c r="I24" i="1"/>
  <c r="M37" i="1"/>
  <c r="M23" i="1"/>
  <c r="I32" i="1"/>
  <c r="M27" i="1"/>
  <c r="M32" i="1"/>
  <c r="M33" i="1"/>
  <c r="G35" i="1"/>
  <c r="C18" i="2"/>
  <c r="M111" i="1"/>
  <c r="M28" i="1"/>
  <c r="G32" i="1"/>
  <c r="M34" i="1"/>
  <c r="J42" i="1"/>
  <c r="J24" i="1" s="1"/>
  <c r="M57" i="1"/>
  <c r="J37" i="1"/>
  <c r="C21" i="2"/>
  <c r="J28" i="1"/>
  <c r="J35" i="1"/>
  <c r="G24" i="1"/>
  <c r="C39" i="1"/>
  <c r="C119" i="1" s="1"/>
  <c r="J102" i="1"/>
  <c r="J111" i="1" s="1"/>
  <c r="J41" i="1"/>
  <c r="J23" i="1" s="1"/>
  <c r="J48" i="1"/>
  <c r="J30" i="1" s="1"/>
  <c r="J76" i="1"/>
  <c r="G95" i="1"/>
  <c r="M24" i="1"/>
  <c r="I57" i="1"/>
  <c r="I74" i="1" s="1"/>
  <c r="F74" i="1"/>
  <c r="G74" i="1" s="1"/>
  <c r="I87" i="1"/>
  <c r="M30" i="1"/>
  <c r="M31" i="1"/>
  <c r="M35" i="1"/>
  <c r="M40" i="1"/>
  <c r="J77" i="1"/>
  <c r="G36" i="1"/>
  <c r="G33" i="1"/>
  <c r="G23" i="1"/>
  <c r="G34" i="1"/>
  <c r="G28" i="1"/>
  <c r="G30" i="1"/>
  <c r="M56" i="1"/>
  <c r="C13" i="2"/>
  <c r="C14" i="2"/>
  <c r="G56" i="1"/>
  <c r="J95" i="1"/>
  <c r="E34" i="7"/>
  <c r="E27" i="8"/>
  <c r="G31" i="1"/>
  <c r="J71" i="1"/>
  <c r="J36" i="1" s="1"/>
  <c r="F25" i="3"/>
  <c r="G25" i="3" s="1"/>
  <c r="L22" i="1"/>
  <c r="I31" i="1"/>
  <c r="G40" i="1"/>
  <c r="J55" i="1"/>
  <c r="J38" i="1" s="1"/>
  <c r="I56" i="1"/>
  <c r="J56" i="1" s="1"/>
  <c r="L74" i="1"/>
  <c r="M74" i="1" s="1"/>
  <c r="I95" i="1"/>
  <c r="J45" i="1"/>
  <c r="J27" i="1" s="1"/>
  <c r="J86" i="1"/>
  <c r="H87" i="1"/>
  <c r="D29" i="3" l="1"/>
  <c r="G29" i="3" s="1"/>
  <c r="G119" i="1"/>
  <c r="G28" i="3"/>
  <c r="N15" i="4"/>
  <c r="N14" i="4"/>
  <c r="N13" i="4"/>
  <c r="J87" i="1"/>
  <c r="J57" i="1"/>
  <c r="J74" i="1" s="1"/>
  <c r="G39" i="1"/>
  <c r="H119" i="1"/>
  <c r="J40" i="1"/>
  <c r="I22" i="1"/>
  <c r="I39" i="1" s="1"/>
  <c r="I119" i="1" s="1"/>
  <c r="E29" i="7"/>
  <c r="E30" i="7" s="1"/>
  <c r="E28" i="7"/>
  <c r="C15" i="2"/>
  <c r="C19" i="2" s="1"/>
  <c r="M87" i="1"/>
  <c r="L39" i="1"/>
  <c r="M22" i="1"/>
  <c r="C32" i="2" l="1"/>
  <c r="C30" i="8" s="1"/>
  <c r="E30" i="8" s="1"/>
  <c r="J22" i="1"/>
  <c r="J39" i="1" s="1"/>
  <c r="J119" i="1" s="1"/>
  <c r="E36" i="7"/>
  <c r="E38" i="7" s="1"/>
  <c r="E39" i="7" s="1"/>
  <c r="L119" i="1"/>
  <c r="M119" i="1" s="1"/>
  <c r="M39" i="1"/>
  <c r="G27" i="3"/>
  <c r="D30" i="3"/>
  <c r="G30" i="3" s="1"/>
  <c r="E29" i="8" l="1"/>
  <c r="E32" i="2"/>
  <c r="E28" i="8"/>
  <c r="C31" i="8" l="1"/>
  <c r="E3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tc={399958BB-6B1E-4412-AD20-DE3C32FED2A2}</author>
    <author>tc={CC1ABFD2-C679-4B3A-8669-6B6BB1B74505}</author>
    <author>tc={B5EDF01C-C365-49AC-B4A9-2A7C8EF067E4}</author>
    <author>tc={F5AFB128-45BC-421C-AC33-3A1CE674BDAF}</author>
    <author>tc={9332729E-CBA3-42CA-9A42-3573626B3DBA}</author>
    <author>tc={E77C4B4F-4DF8-405F-AB6B-346D2C47C188}</author>
    <author>tc={7E7C4305-F617-4724-A96D-32974B65B4AD}</author>
    <author>tc={A7BAB925-07A8-4C80-8C14-A35B326966AB}</author>
    <author>Gainer, Joseph J:(ComEd)</author>
  </authors>
  <commentList>
    <comment ref="D20" authorId="0" shapeId="0" xr:uid="{399958BB-6B1E-4412-AD20-DE3C32FED2A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Reflects Filed Goal</t>
        </r>
      </text>
    </comment>
    <comment ref="F20" authorId="1" shapeId="0" xr:uid="{CC1ABFD2-C679-4B3A-8669-6B6BB1B7450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Reflects LRP</t>
        </r>
      </text>
    </comment>
    <comment ref="K20" authorId="2" shapeId="0" xr:uid="{B5EDF01C-C365-49AC-B4A9-2A7C8EF067E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LRP</t>
        </r>
      </text>
    </comment>
    <comment ref="L20" authorId="3" shapeId="0" xr:uid="{F5AFB128-45BC-421C-AC33-3A1CE674BDA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Fadila's LE</t>
        </r>
      </text>
    </comment>
    <comment ref="H50" authorId="4" shapeId="0" xr:uid="{9332729E-CBA3-42CA-9A42-3573626B3DB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RCx+Power TakeOff</t>
        </r>
      </text>
    </comment>
    <comment ref="B52" authorId="5" shapeId="0" xr:uid="{E77C4B4F-4DF8-405F-AB6B-346D2C47C18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Capital Streetlights</t>
        </r>
      </text>
    </comment>
    <comment ref="H55" authorId="6" shapeId="0" xr:uid="{7E7C4305-F617-4724-A96D-32974B65B4A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 value from reporting Quarter in this cell, Q1+Q2+Q3+Q4+C&amp;I General portion of BIDA</t>
        </r>
      </text>
    </comment>
    <comment ref="K55" authorId="7" shapeId="0" xr:uid="{A7BAB925-07A8-4C80-8C14-A35B326966A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1. 11EECIGEN = $  150,000
2. 18EECITCH = $  200,400
3. 18EEPFEXP = $1,430,000
4. 16CSBIDA4 = $  279,697</t>
        </r>
      </text>
    </comment>
    <comment ref="H81" authorId="8" shapeId="0" xr:uid="{AEAA4402-3CDA-4C63-9266-755AD3E181E7}">
      <text>
        <r>
          <rPr>
            <b/>
            <sz val="9"/>
            <color indexed="81"/>
            <rFont val="Tahoma"/>
            <family val="2"/>
          </rPr>
          <t>Gainer, Joseph J:(ComEd):</t>
        </r>
        <r>
          <rPr>
            <sz val="9"/>
            <color indexed="81"/>
            <rFont val="Tahoma"/>
            <family val="2"/>
          </rPr>
          <t xml:space="preserve">
This activity is a true-up of a Dec. 2020 accrual.  This program is not being offered in 2021</t>
        </r>
      </text>
    </comment>
    <comment ref="H98" authorId="8" shapeId="0" xr:uid="{AB07FBE4-5060-4F49-8491-114E5F3422E7}">
      <text>
        <r>
          <rPr>
            <b/>
            <sz val="9"/>
            <color indexed="81"/>
            <rFont val="Tahoma"/>
            <family val="2"/>
          </rPr>
          <t>Gainer, Joseph J:(ComEd):</t>
        </r>
        <r>
          <rPr>
            <sz val="9"/>
            <color indexed="81"/>
            <rFont val="Tahoma"/>
            <family val="2"/>
          </rPr>
          <t xml:space="preserve">
This is a true-up of a Dec. 2020 accrual, this program is not being offered in 2021.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tc={210E4CE7-2A0E-4A22-9E56-06F6EA717D48}</author>
  </authors>
  <commentList>
    <comment ref="C25" authorId="0" shapeId="0" xr:uid="{210E4CE7-2A0E-4A22-9E56-06F6EA717D4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Captured in "Ex-Ante Results",Cell H52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tc={4EBD50D9-13D4-40A4-BE93-192CFB232905}</author>
  </authors>
  <commentList>
    <comment ref="D28" authorId="0" shapeId="0" xr:uid="{4EBD50D9-13D4-40A4-BE93-192CFB23290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Per Summary Impact Evaluation Report 2021 received from Guide House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tc={CF2C3884-3175-4FF8-9CB0-001C6D061AA1}</author>
  </authors>
  <commentList>
    <comment ref="N12" authorId="0" shapeId="0" xr:uid="{CF2C3884-3175-4FF8-9CB0-001C6D061AA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Per Summary Impact Evaluation Report 2021 received from Guide House</t>
        </r>
      </text>
    </comment>
  </commentList>
</comments>
</file>

<file path=xl/sharedStrings.xml><?xml version="1.0" encoding="utf-8"?>
<sst xmlns="http://schemas.openxmlformats.org/spreadsheetml/2006/main" count="431" uniqueCount="303">
  <si>
    <t>Statewide Quarterly Report Template</t>
  </si>
  <si>
    <t>Tab 1: Ex Ante Results</t>
  </si>
  <si>
    <t>Final (updated 05-15-2021)</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</si>
  <si>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</si>
  <si>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</si>
  <si>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1"/>
        <color rgb="FFFF0000"/>
        <rFont val="Century Gothic"/>
        <family val="2"/>
      </rPr>
      <t xml:space="preserve">ComEd </t>
    </r>
    <r>
      <rPr>
        <b/>
        <sz val="11"/>
        <color theme="1"/>
        <rFont val="Century Gothic"/>
        <family val="2"/>
      </rPr>
      <t>Ex Ante Results - Section 8-103B/8-104 (EEPS) Programs</t>
    </r>
    <r>
      <rPr>
        <b/>
        <sz val="11"/>
        <color rgb="FFFF0000"/>
        <rFont val="Century Gothic"/>
        <family val="2"/>
      </rPr>
      <t xml:space="preserve"> CY2021 Q1</t>
    </r>
  </si>
  <si>
    <t xml:space="preserve"> Section 8-103B/8-104
(EEPS) Program</t>
  </si>
  <si>
    <t>Net Energy Savings Achieved
(MWh)</t>
  </si>
  <si>
    <t>2021 Original Plan 
Savings Goal
(MWh)****</t>
  </si>
  <si>
    <t>Approved Net Energy Savings Goal (MWh)***</t>
  </si>
  <si>
    <t>Implementation Plan Savings Goal
(MWh)</t>
  </si>
  <si>
    <t>% Savings Achieved Compared to Implementation Plan Savings Goal</t>
  </si>
  <si>
    <t>Program Costs YTD</t>
  </si>
  <si>
    <t>Incentive Costs YTD</t>
  </si>
  <si>
    <t>Non-Incentive Costs YTD*****</t>
  </si>
  <si>
    <t>2021 Original Plan 
Budget*</t>
  </si>
  <si>
    <t>2021
Approved Budget**</t>
  </si>
  <si>
    <t>% of Costs YTD Compared to Approved Budget</t>
  </si>
  <si>
    <t>Commercial &amp; Industrial Programs</t>
  </si>
  <si>
    <t>Incentives</t>
  </si>
  <si>
    <t>Standard</t>
  </si>
  <si>
    <t>N/A</t>
  </si>
  <si>
    <t>Custom</t>
  </si>
  <si>
    <t>Data Center</t>
  </si>
  <si>
    <t>Combined Heat &amp; Power</t>
  </si>
  <si>
    <t>Small Business</t>
  </si>
  <si>
    <t>Business Instant Discounts</t>
  </si>
  <si>
    <t>AirCare Plus</t>
  </si>
  <si>
    <t>New Construction</t>
  </si>
  <si>
    <t>Industrial Systems</t>
  </si>
  <si>
    <t>Retro-commissioning</t>
  </si>
  <si>
    <t>Strategic Energy Management</t>
  </si>
  <si>
    <t>LED Streetlighting</t>
  </si>
  <si>
    <t>Operational Savings</t>
  </si>
  <si>
    <t>Public Housing Retrofits</t>
  </si>
  <si>
    <t>Business Outreach</t>
  </si>
  <si>
    <t>Business General</t>
  </si>
  <si>
    <t>C&amp;I Programs Subtotal</t>
  </si>
  <si>
    <t>Incentives - Private</t>
  </si>
  <si>
    <t>Standard - Private</t>
  </si>
  <si>
    <t>Custom - Private</t>
  </si>
  <si>
    <t>Data Center - Private</t>
  </si>
  <si>
    <t>Combined Heat &amp; Power- Private</t>
  </si>
  <si>
    <t>Small Business - Private</t>
  </si>
  <si>
    <t>Business Instant Discounts - Private</t>
  </si>
  <si>
    <t>AirCare Plus - Private</t>
  </si>
  <si>
    <t>New Construction - Private</t>
  </si>
  <si>
    <t>Industrial Systems - Private</t>
  </si>
  <si>
    <t>Retro-commissioning - Private</t>
  </si>
  <si>
    <t xml:space="preserve">Strategic Energy Management - Private </t>
  </si>
  <si>
    <t>LED Streetlighting - Private</t>
  </si>
  <si>
    <t>Operational Savings/Facility Assessment - Private</t>
  </si>
  <si>
    <t>Private Sector Outreach</t>
  </si>
  <si>
    <t>Private Sector General</t>
  </si>
  <si>
    <t>C&amp;I Programs - Private Sector Total</t>
  </si>
  <si>
    <t>Incentives - Public</t>
  </si>
  <si>
    <t>Standard - Public</t>
  </si>
  <si>
    <t>Custom - Public</t>
  </si>
  <si>
    <t>Data Center - Public</t>
  </si>
  <si>
    <t>Combined Heat &amp; Power- Public</t>
  </si>
  <si>
    <t>Small Facilities - Public</t>
  </si>
  <si>
    <t>Business Instant Discounts - Public</t>
  </si>
  <si>
    <t>AirCare Plus - Public</t>
  </si>
  <si>
    <t>New Construction - Public</t>
  </si>
  <si>
    <t>Industrial Systems - Public</t>
  </si>
  <si>
    <t>Retro-commissioning - Public</t>
  </si>
  <si>
    <t>Strategic Energy Management - Public</t>
  </si>
  <si>
    <t>LED Streetlighting - Public</t>
  </si>
  <si>
    <t>Operational Savings - Public</t>
  </si>
  <si>
    <t>Public Sector Outreach</t>
  </si>
  <si>
    <t>Public Sector General</t>
  </si>
  <si>
    <t>C&amp;I Programs - Public Sector Total</t>
  </si>
  <si>
    <t>Residential Programs</t>
  </si>
  <si>
    <t>Residential Behavior</t>
  </si>
  <si>
    <t>Residential Lighting Discounts</t>
  </si>
  <si>
    <t>Marketplace 2.0 Lighting Discounts</t>
  </si>
  <si>
    <t>Appliance Rebates</t>
  </si>
  <si>
    <t>Marketplace 2.0 Appliance Rebates</t>
  </si>
  <si>
    <t>Fridge &amp; Freezer Recycling</t>
  </si>
  <si>
    <t>Home Energy Assessment</t>
  </si>
  <si>
    <t>Multi-Family Assessments</t>
  </si>
  <si>
    <t xml:space="preserve">Residential HVAC </t>
  </si>
  <si>
    <t>Residential New Construction</t>
  </si>
  <si>
    <t>Residential General</t>
  </si>
  <si>
    <t>Residential Programs Subtotal</t>
  </si>
  <si>
    <t>Income Qualified Programs</t>
  </si>
  <si>
    <t>Income Eligible Product Discounts</t>
  </si>
  <si>
    <t>Single-Family Retrofits (IHWAP+IEMS)</t>
  </si>
  <si>
    <t>Multi-Family Retrofits (IHWAP+IEMS)</t>
  </si>
  <si>
    <t>Affordable Housing New Construction</t>
  </si>
  <si>
    <t>Income Eligible Outreach</t>
  </si>
  <si>
    <t>Income Eligible General</t>
  </si>
  <si>
    <t>Income Qualified Programs Subtotal</t>
  </si>
  <si>
    <t>Third Party Programs (Section 8-103B - Beginning in 2021)</t>
  </si>
  <si>
    <t>Third Party New Manufactured Homes</t>
  </si>
  <si>
    <t>Third Party Existing Manufactured Homes</t>
  </si>
  <si>
    <t>Grocery Offering</t>
  </si>
  <si>
    <t>Food Bank LED Distribution</t>
  </si>
  <si>
    <t>Non Profit Offering NPO</t>
  </si>
  <si>
    <t>Income Eligible Kits/Energy Savings Kits IE/UIC Low Income</t>
  </si>
  <si>
    <t>Agriculture</t>
  </si>
  <si>
    <t>Telecom</t>
  </si>
  <si>
    <t>Small Business Kits</t>
  </si>
  <si>
    <t>Public Building Safety in Distressed Communities</t>
  </si>
  <si>
    <t>Elementary Energy Education</t>
  </si>
  <si>
    <t>NTC Middle School Kits</t>
  </si>
  <si>
    <t>Third Party Programs</t>
  </si>
  <si>
    <t>Third Party Income Eligible</t>
  </si>
  <si>
    <t>Third Party Programs (Section 8-103B - Beginning in 2021) Subtotal</t>
  </si>
  <si>
    <t>his</t>
  </si>
  <si>
    <t>Demonstration of Breakthrough Equipment and Devices</t>
  </si>
  <si>
    <t>Emerging Technology/R&amp;D</t>
  </si>
  <si>
    <t>Voltage Optimization</t>
  </si>
  <si>
    <t>Business Energy Analyzer/Optimization</t>
  </si>
  <si>
    <t>Demonstration of Breakthrough Equipment and Devices Subtotal</t>
  </si>
  <si>
    <r>
      <t>Therm Conversion</t>
    </r>
    <r>
      <rPr>
        <b/>
        <vertAlign val="superscript"/>
        <sz val="10"/>
        <rFont val="Century Gothic"/>
        <family val="2"/>
      </rPr>
      <t>5</t>
    </r>
  </si>
  <si>
    <t>Lighting Carryover</t>
  </si>
  <si>
    <r>
      <t>Overall Total</t>
    </r>
    <r>
      <rPr>
        <b/>
        <sz val="10"/>
        <color rgb="FFFF0000"/>
        <rFont val="Century Gothic"/>
        <family val="2"/>
      </rPr>
      <t xml:space="preserve"> ComEd</t>
    </r>
    <r>
      <rPr>
        <b/>
        <sz val="10"/>
        <rFont val="Century Gothic"/>
        <family val="2"/>
      </rPr>
      <t xml:space="preserve"> Section 8-103B/8-104 (EEPS) Programs</t>
    </r>
  </si>
  <si>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</si>
  <si>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</si>
  <si>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</si>
  <si>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</si>
  <si>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</si>
  <si>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*****Because actual incentive costs are not available until year-end, estimates are provided in the Incentive Costs YTD column for Q4. A blended rate of 60.4% is applied to all programs that typically have incentive costs; this excludes behavioral programs, voltage optimization, emerging technology, market transformation, outreach, general, and portfolio-level costs.</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</si>
  <si>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</si>
  <si>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</si>
  <si>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FF0000"/>
        <rFont val="Century Gothic"/>
        <family val="2"/>
      </rPr>
      <t>ComEd</t>
    </r>
    <r>
      <rPr>
        <b/>
        <sz val="11"/>
        <color theme="1"/>
        <rFont val="Century Gothic"/>
        <family val="2"/>
      </rPr>
      <t xml:space="preserve"> Section 8-103B/8-104 (EEPS) Costs </t>
    </r>
    <r>
      <rPr>
        <b/>
        <sz val="11"/>
        <color rgb="FFFF0000"/>
        <rFont val="Century Gothic"/>
        <family val="2"/>
      </rPr>
      <t>CY2021 Q1</t>
    </r>
  </si>
  <si>
    <t>Section 8-103B/8-104 (EEPS) Cost Category</t>
  </si>
  <si>
    <t xml:space="preserve"> 2021
Actual Costs YTD</t>
  </si>
  <si>
    <t>Program Costs by Sector</t>
  </si>
  <si>
    <t>C&amp;I Programs (Private Sector)</t>
  </si>
  <si>
    <t xml:space="preserve">Public Sector Programs </t>
  </si>
  <si>
    <t>Market Transformation Programs</t>
  </si>
  <si>
    <t>Third Party Programs (Beginning in 2021)</t>
  </si>
  <si>
    <r>
      <t xml:space="preserve">Total </t>
    </r>
    <r>
      <rPr>
        <b/>
        <sz val="10"/>
        <color rgb="FFFF0000"/>
        <rFont val="Century Gothic"/>
        <family val="2"/>
      </rPr>
      <t xml:space="preserve">ComEd </t>
    </r>
    <r>
      <rPr>
        <b/>
        <sz val="10"/>
        <color theme="1"/>
        <rFont val="Century Gothic"/>
        <family val="2"/>
      </rPr>
      <t>Program Costs</t>
    </r>
  </si>
  <si>
    <t>Portfolio-Level Costs by Portfolio Cost Category (Section 8-103B/8-104 EEPS)</t>
  </si>
  <si>
    <t xml:space="preserve">Demonstration of Breakthrough
Equipment and Devices Costs </t>
  </si>
  <si>
    <t>Evaluation Costs</t>
  </si>
  <si>
    <t>Marketing Costs (including Education and Outreach)</t>
  </si>
  <si>
    <t xml:space="preserve">Portfolio Administrative Costs </t>
  </si>
  <si>
    <t>Capital Streetlights</t>
  </si>
  <si>
    <r>
      <t xml:space="preserve">Total </t>
    </r>
    <r>
      <rPr>
        <b/>
        <sz val="10"/>
        <color rgb="FFFF0000"/>
        <rFont val="Century Gothic"/>
        <family val="2"/>
      </rPr>
      <t>ComEd</t>
    </r>
    <r>
      <rPr>
        <b/>
        <sz val="10"/>
        <color theme="1"/>
        <rFont val="Century Gothic"/>
        <family val="2"/>
      </rPr>
      <t xml:space="preserve"> Portfolio-Level Costs</t>
    </r>
  </si>
  <si>
    <r>
      <t xml:space="preserve">Total </t>
    </r>
    <r>
      <rPr>
        <b/>
        <sz val="10"/>
        <color rgb="FFFF0000"/>
        <rFont val="Century Gothic"/>
        <family val="2"/>
      </rPr>
      <t>ComEd</t>
    </r>
    <r>
      <rPr>
        <b/>
        <sz val="10"/>
        <rFont val="Century Gothic"/>
        <family val="2"/>
      </rPr>
      <t xml:space="preserve"> Program and Portfolio-Level Section 8-103B/8-104 (EEPS) Costs</t>
    </r>
  </si>
  <si>
    <r>
      <rPr>
        <b/>
        <sz val="11"/>
        <color rgb="FFFF0000"/>
        <rFont val="Century Gothic"/>
        <family val="2"/>
      </rPr>
      <t>ComEd</t>
    </r>
    <r>
      <rPr>
        <b/>
        <sz val="11"/>
        <color theme="1"/>
        <rFont val="Century Gothic"/>
        <family val="2"/>
      </rPr>
      <t xml:space="preserve"> Section 8-103B/8-104 (EEPS) Costs  </t>
    </r>
    <r>
      <rPr>
        <b/>
        <sz val="11"/>
        <color rgb="FFFF0000"/>
        <rFont val="Century Gothic"/>
        <family val="2"/>
      </rPr>
      <t>CY2021 Q1</t>
    </r>
  </si>
  <si>
    <t>Overall Total Costs</t>
  </si>
  <si>
    <t>2021
Actual Costs YTD</t>
  </si>
  <si>
    <t>2021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</si>
  <si>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</si>
  <si>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</si>
  <si>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rPr>
        <b/>
        <sz val="11"/>
        <color rgb="FFFF0000"/>
        <rFont val="Century Gothic"/>
        <family val="2"/>
      </rPr>
      <t>ComEd</t>
    </r>
    <r>
      <rPr>
        <b/>
        <sz val="11"/>
        <rFont val="Century Gothic"/>
        <family val="2"/>
      </rPr>
      <t xml:space="preserve"> Section 8-103B/8-104 (EEPS) Energy Saved (MWh) as of </t>
    </r>
    <r>
      <rPr>
        <b/>
        <sz val="11"/>
        <color rgb="FFFF0000"/>
        <rFont val="Century Gothic"/>
        <family val="2"/>
      </rPr>
      <t>CY2021 Q1</t>
    </r>
  </si>
  <si>
    <t xml:space="preserve">IL Department of Commerce and Economic Opportunity Energy Saved (MWh) </t>
  </si>
  <si>
    <t>Program Year</t>
  </si>
  <si>
    <t>Evaluation Status
(Ex Ante, Verified***, or ICC Approved)</t>
  </si>
  <si>
    <t>Original Plan Savings Goal** (MWh)</t>
  </si>
  <si>
    <t>Net Energy Savings Goal* (MWh)</t>
  </si>
  <si>
    <t>% of Net Energy Savings Goal Achieved</t>
  </si>
  <si>
    <t>Department</t>
  </si>
  <si>
    <t>EPY1</t>
  </si>
  <si>
    <t>EPY2</t>
  </si>
  <si>
    <t>EPY3</t>
  </si>
  <si>
    <t>EPY4/
GPY1</t>
  </si>
  <si>
    <t>EPY5/
GPY2</t>
  </si>
  <si>
    <t>EPY6/
GPY3</t>
  </si>
  <si>
    <t>EPY7/
GPY4</t>
  </si>
  <si>
    <t>EPY8/
GPY5</t>
  </si>
  <si>
    <t>EPY9/
GPY6*</t>
  </si>
  <si>
    <t>EPY1- 6/1/08-5/31/09</t>
  </si>
  <si>
    <t>ICC Approved</t>
  </si>
  <si>
    <t>Net Savings Achieved (MWh)</t>
  </si>
  <si>
    <t>EPY2- 6/1/09-5/31/10</t>
  </si>
  <si>
    <t>Evaluation Status (Ex Ante, Verified**, or ICC Approved)</t>
  </si>
  <si>
    <t>Verified</t>
  </si>
  <si>
    <t>EPY3- 6/1/10-5/31/11</t>
  </si>
  <si>
    <t>Source</t>
  </si>
  <si>
    <t>Docket 10-0520, ComEd PY1 Evaluation Summary Report (2009-12-23), p. 17.</t>
  </si>
  <si>
    <t>Docket 10-0520, Staff Ex. 1.1, p. 12 (Navigant Memo, DCEO PY2 Energy Impact Summary (2011-09-21)).</t>
  </si>
  <si>
    <t>Docket 11-0593.</t>
  </si>
  <si>
    <t>Docket 13-0078.</t>
  </si>
  <si>
    <t>Docket 14-0075.</t>
  </si>
  <si>
    <t>Docket 15-0274.</t>
  </si>
  <si>
    <t>EPY7/GPY4 DCEO Cost Effectiveness Summary Report, p. 7.</t>
  </si>
  <si>
    <t>Docket 19-0684</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</si>
  <si>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</si>
  <si>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</si>
  <si>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</si>
  <si>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</si>
  <si>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</si>
  <si>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</si>
  <si>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</si>
  <si>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</si>
  <si>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</si>
  <si>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</si>
  <si>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</si>
  <si>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Ex Ante</t>
  </si>
  <si>
    <t>2018-2021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</si>
  <si>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</si>
  <si>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</si>
  <si>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</si>
  <si>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</si>
  <si>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</si>
  <si>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t>Environmental and Economic Impacts for the</t>
    </r>
    <r>
      <rPr>
        <b/>
        <sz val="11"/>
        <color rgb="FFFF0000"/>
        <rFont val="Century Gothic"/>
        <family val="2"/>
      </rPr>
      <t xml:space="preserve"> ComEd</t>
    </r>
    <r>
      <rPr>
        <b/>
        <sz val="11"/>
        <rFont val="Century Gothic"/>
        <family val="2"/>
      </rPr>
      <t xml:space="preserve"> Service Territory as of</t>
    </r>
    <r>
      <rPr>
        <b/>
        <sz val="11"/>
        <color rgb="FFFF0000"/>
        <rFont val="Century Gothic"/>
        <family val="2"/>
      </rPr>
      <t xml:space="preserve"> CY2021 Q1</t>
    </r>
  </si>
  <si>
    <t>Performance Metrics (Equivalents)*</t>
  </si>
  <si>
    <t>EPY9/
GPY6****</t>
  </si>
  <si>
    <t>CY2018</t>
  </si>
  <si>
    <t>CY2019</t>
  </si>
  <si>
    <t>CY2020</t>
  </si>
  <si>
    <t>CY2021</t>
  </si>
  <si>
    <t>Net Energy Savings Achieved (MWh)**</t>
  </si>
  <si>
    <t>Carbon reduction (tons)</t>
  </si>
  <si>
    <t>Cars removed from the road</t>
  </si>
  <si>
    <t>Acres of trees planted</t>
  </si>
  <si>
    <t>Number of homes powered for 1 year*****</t>
  </si>
  <si>
    <t>Direct Portfolio Jobs******</t>
  </si>
  <si>
    <t>Income qualified homes served***</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</si>
  <si>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</si>
  <si>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</si>
  <si>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</si>
  <si>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</si>
  <si>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</si>
  <si>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******Direct portfolio Jobs reflect actual positions held by ComEd and its contractors that are part of the Rider EEPP and does not attempt to capture indirect jobs in the energy efficiency industry that may result from the ComEd Energy Efficiency Program.</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</si>
  <si>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</si>
  <si>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</si>
  <si>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</si>
  <si>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</si>
  <si>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</si>
  <si>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</si>
  <si>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rPr>
        <b/>
        <sz val="11"/>
        <color rgb="FFFF0000"/>
        <rFont val="Century Gothic"/>
        <family val="2"/>
      </rPr>
      <t>ComEd</t>
    </r>
    <r>
      <rPr>
        <b/>
        <sz val="11"/>
        <color theme="1"/>
        <rFont val="Century Gothic"/>
        <family val="2"/>
      </rPr>
      <t xml:space="preserve"> CPAS and AAIG Progress Ex Ante Results - Section 8-103B Portfolio</t>
    </r>
    <r>
      <rPr>
        <b/>
        <sz val="11"/>
        <color rgb="FFFF0000"/>
        <rFont val="Century Gothic"/>
        <family val="2"/>
      </rPr>
      <t xml:space="preserve"> CY2021 Q1</t>
    </r>
  </si>
  <si>
    <r>
      <t xml:space="preserve">Cumulative Persisting Annual Savings (CPAS) Goal Progress </t>
    </r>
    <r>
      <rPr>
        <b/>
        <sz val="11"/>
        <color rgb="FFFF0000"/>
        <rFont val="Century Gothic"/>
        <family val="2"/>
      </rPr>
      <t>CY2021 Q1</t>
    </r>
  </si>
  <si>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</si>
  <si>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</si>
  <si>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</si>
  <si>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</si>
  <si>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</si>
  <si>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</si>
  <si>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</si>
  <si>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</si>
  <si>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</si>
  <si>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</si>
  <si>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</si>
  <si>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</si>
  <si>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</si>
  <si>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</si>
  <si>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</si>
  <si>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</si>
  <si>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</si>
  <si>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</si>
  <si>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</si>
  <si>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</si>
  <si>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</si>
  <si>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t>2012-2017 Legacy Savings Expiring in Current Year (MWh)</t>
  </si>
  <si>
    <t>= g * b</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</si>
  <si>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</si>
  <si>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</si>
  <si>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</si>
  <si>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</si>
  <si>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</si>
  <si>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</si>
  <si>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</si>
  <si>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</si>
  <si>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</si>
  <si>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</si>
  <si>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</si>
  <si>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</si>
  <si>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</si>
  <si>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</si>
  <si>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</si>
  <si>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</si>
  <si>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</si>
  <si>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</si>
  <si>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</si>
  <si>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</si>
  <si>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</si>
  <si>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</si>
  <si>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 o * b</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</si>
  <si>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</si>
  <si>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</si>
  <si>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</si>
  <si>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</si>
  <si>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</si>
  <si>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</si>
  <si>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</si>
  <si>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</si>
  <si>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</si>
  <si>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</si>
  <si>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</si>
  <si>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</si>
  <si>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</si>
  <si>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</si>
  <si>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</si>
  <si>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</si>
  <si>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</si>
  <si>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</si>
  <si>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*Savings from Measures Installed post-2017 Expiring in Current Year per Navigant's 4/1 draft summary evaluation report. These are subject to change once evaluation is finalized.</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</si>
  <si>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</si>
  <si>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</si>
  <si>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rPr>
        <b/>
        <sz val="11"/>
        <color rgb="FFFF0000"/>
        <rFont val="Century Gothic"/>
        <family val="2"/>
      </rPr>
      <t>ComEd</t>
    </r>
    <r>
      <rPr>
        <b/>
        <sz val="11"/>
        <rFont val="Century Gothic"/>
        <family val="2"/>
      </rPr>
      <t xml:space="preserve"> Service Territory Historical Energy Efficiency Costs as of</t>
    </r>
    <r>
      <rPr>
        <b/>
        <sz val="11"/>
        <color rgb="FFFF0000"/>
        <rFont val="Century Gothic"/>
        <family val="2"/>
      </rPr>
      <t xml:space="preserve"> Q1 2021</t>
    </r>
  </si>
  <si>
    <r>
      <t xml:space="preserve">Actual </t>
    </r>
    <r>
      <rPr>
        <b/>
        <sz val="11"/>
        <color rgb="FFFF0000"/>
        <rFont val="Century Gothic"/>
        <family val="2"/>
      </rPr>
      <t xml:space="preserve">ComEd </t>
    </r>
    <r>
      <rPr>
        <b/>
        <sz val="11"/>
        <color theme="0"/>
        <rFont val="Century Gothic"/>
        <family val="2"/>
      </rPr>
      <t>EEPS Costs</t>
    </r>
  </si>
  <si>
    <t>Actual DCEO EEPS Costs</t>
  </si>
  <si>
    <t>Total Actual EEPS Costs (ComEd + DCEO)</t>
  </si>
  <si>
    <t>Actual Section 16-111.5B Costs</t>
  </si>
  <si>
    <t>Total Actual EEPS + Section 16-111.5B Costs</t>
  </si>
  <si>
    <t>Actual ComEd EEPS Costs YTD</t>
  </si>
  <si>
    <t>Approved ComEd EEPS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</si>
</sst>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s>
  <fonts count="40" x14ac:knownFonts="1">
    <font>
      <sz val="11"/>
      <color theme="1"/>
      <name val="Calibri"/>
      <family val="2"/>
      <scheme val="minor"/>
    </font>
    <font>
      <sz val="10"/>
      <name val="Arial"/>
      <family val="2"/>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sz val="11"/>
      <color rgb="FFFF0000"/>
      <name val="Century Gothic"/>
      <family val="2"/>
    </font>
    <font>
      <sz val="11"/>
      <name val="Calibri"/>
      <family val="2"/>
      <scheme val="minor"/>
    </font>
    <font>
      <b/>
      <vertAlign val="superscript"/>
      <sz val="10"/>
      <name val="Century Gothic"/>
      <family val="2"/>
    </font>
    <font>
      <b/>
      <sz val="11"/>
      <color theme="1"/>
      <name val="Calibri"/>
      <family val="2"/>
      <scheme val="minor"/>
    </font>
    <font>
      <b/>
      <i/>
      <sz val="10"/>
      <name val="Century Gothic"/>
      <family val="2"/>
    </font>
    <font>
      <sz val="11"/>
      <color rgb="FFFF0000"/>
      <name val="Calibri"/>
      <family val="2"/>
      <scheme val="minor"/>
    </font>
    <font>
      <sz val="11"/>
      <color theme="1"/>
      <name val="Calibri"/>
      <family val="2"/>
      <scheme val="minor"/>
    </font>
    <font>
      <sz val="8"/>
      <name val="Calibri"/>
      <family val="2"/>
      <scheme val="minor"/>
    </font>
    <font>
      <sz val="8"/>
      <color theme="1"/>
      <name val="Calibri"/>
      <family val="2"/>
      <scheme val="minor"/>
    </font>
    <font>
      <b/>
      <sz val="8"/>
      <color rgb="FFFF0000"/>
      <name val="Century Gothic"/>
      <family val="2"/>
    </font>
    <font>
      <sz val="8"/>
      <color rgb="FF000000"/>
      <name val="Calibri"/>
      <family val="2"/>
    </font>
    <font>
      <b/>
      <i/>
      <sz val="11"/>
      <name val="Century Gothic"/>
      <family val="2"/>
    </font>
    <font>
      <i/>
      <sz val="11"/>
      <name val="Century Gothic"/>
      <family val="2"/>
    </font>
    <font>
      <b/>
      <sz val="9"/>
      <color indexed="81"/>
      <name val="Tahoma"/>
      <family val="2"/>
    </font>
    <font>
      <sz val="9"/>
      <color indexed="81"/>
      <name val="Tahoma"/>
      <family val="2"/>
    </font>
  </fonts>
  <fills count="16">
    <fill>
      <patternFill patternType="none"/>
    </fill>
    <fill>
      <patternFill patternType="gray125"/>
    </fill>
    <fill>
      <patternFill patternType="solid">
        <fgColor rgb="FFCACACA"/>
        <bgColor indexed="64"/>
      </patternFill>
    </fill>
    <fill>
      <patternFill patternType="solid">
        <fgColor rgb="FF656565"/>
        <bgColor indexed="64"/>
      </patternFill>
    </fill>
    <fill>
      <patternFill patternType="solid">
        <fgColor theme="0" tint="-4.9958800012207406E-2"/>
        <bgColor indexed="64"/>
      </patternFill>
    </fill>
    <fill>
      <patternFill patternType="solid">
        <fgColor theme="0" tint="-0.14996795556505021"/>
        <bgColor indexed="64"/>
      </patternFill>
    </fill>
    <fill>
      <patternFill patternType="solid">
        <fgColor theme="0" tint="-0.34995574816125979"/>
        <bgColor indexed="64"/>
      </patternFill>
    </fill>
    <fill>
      <patternFill patternType="solid">
        <fgColor theme="0" tint="-0.49995422223578601"/>
        <bgColor indexed="64"/>
      </patternFill>
    </fill>
    <fill>
      <patternFill patternType="solid">
        <fgColor rgb="FFFFC000"/>
        <bgColor indexed="64"/>
      </patternFill>
    </fill>
    <fill>
      <patternFill patternType="solid">
        <fgColor theme="8" tint="0.59996337778862885"/>
        <bgColor indexed="64"/>
      </patternFill>
    </fill>
    <fill>
      <patternFill patternType="solid">
        <fgColor rgb="FFFFFF00"/>
        <bgColor indexed="64"/>
      </patternFill>
    </fill>
    <fill>
      <patternFill patternType="solid">
        <fgColor theme="0" tint="-0.24994659260841701"/>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5999938962981048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CACACA"/>
      </left>
      <right style="thin">
        <color rgb="FFCACACA"/>
      </right>
      <top style="thin">
        <color rgb="FFCACACA"/>
      </top>
      <bottom style="thin">
        <color rgb="FFCACACA"/>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9" fontId="31" fillId="0" borderId="0" applyFont="0" applyFill="0" applyBorder="0" applyAlignment="0" applyProtection="0"/>
    <xf numFmtId="44" fontId="31" fillId="0" borderId="0" applyFont="0" applyFill="0" applyBorder="0" applyAlignment="0" applyProtection="0"/>
    <xf numFmtId="42" fontId="1" fillId="0" borderId="0" applyFont="0" applyFill="0" applyBorder="0" applyAlignment="0" applyProtection="0"/>
    <xf numFmtId="43" fontId="31" fillId="0" borderId="0" applyFont="0" applyFill="0" applyBorder="0" applyAlignment="0" applyProtection="0"/>
    <xf numFmtId="41" fontId="1" fillId="0" borderId="0" applyFont="0" applyFill="0" applyBorder="0" applyAlignment="0" applyProtection="0"/>
    <xf numFmtId="0" fontId="14" fillId="0" borderId="0" applyNumberFormat="0" applyFill="0" applyBorder="0">
      <protection locked="0"/>
    </xf>
  </cellStyleXfs>
  <cellXfs count="354">
    <xf numFmtId="0" fontId="0" fillId="0" borderId="0" xfId="0"/>
    <xf numFmtId="0" fontId="2" fillId="0" borderId="1" xfId="0" applyFont="1" applyBorder="1" applyAlignment="1">
      <alignment horizontal="left" wrapText="1"/>
    </xf>
    <xf numFmtId="0" fontId="3" fillId="2" borderId="1" xfId="0" applyFont="1" applyFill="1" applyBorder="1" applyAlignment="1">
      <alignment horizontal="left" wrapText="1"/>
    </xf>
    <xf numFmtId="0" fontId="0" fillId="0" borderId="0" xfId="0" applyAlignment="1">
      <alignment horizontal="center"/>
    </xf>
    <xf numFmtId="0" fontId="5" fillId="0" borderId="0" xfId="0" applyFont="1"/>
    <xf numFmtId="0" fontId="6" fillId="0" borderId="0" xfId="0" applyFont="1"/>
    <xf numFmtId="0" fontId="8" fillId="0" borderId="0" xfId="0" applyFont="1"/>
    <xf numFmtId="0" fontId="9" fillId="3" borderId="1" xfId="0" applyFont="1" applyFill="1" applyBorder="1" applyAlignment="1">
      <alignment horizontal="center" vertical="center" wrapText="1"/>
    </xf>
    <xf numFmtId="0" fontId="7" fillId="0" borderId="1" xfId="0" applyFont="1" applyBorder="1"/>
    <xf numFmtId="0" fontId="12" fillId="0" borderId="0" xfId="0" applyFont="1"/>
    <xf numFmtId="0" fontId="13" fillId="0" borderId="0" xfId="0" applyFont="1" applyFill="1" applyBorder="1" applyAlignment="1"/>
    <xf numFmtId="0" fontId="8" fillId="0" borderId="0" xfId="0" applyFont="1" applyAlignment="1">
      <alignment horizontal="justify" vertical="center"/>
    </xf>
    <xf numFmtId="0" fontId="11" fillId="0" borderId="1" xfId="0" applyFont="1" applyFill="1" applyBorder="1" applyAlignment="1">
      <alignment horizontal="center"/>
    </xf>
    <xf numFmtId="3" fontId="5" fillId="0" borderId="1" xfId="0" applyNumberFormat="1" applyFont="1" applyFill="1" applyBorder="1" applyAlignment="1">
      <alignment horizontal="center"/>
    </xf>
    <xf numFmtId="9" fontId="5" fillId="0" borderId="1" xfId="0" applyNumberFormat="1" applyFont="1" applyFill="1" applyBorder="1" applyAlignment="1">
      <alignment horizontal="center"/>
    </xf>
    <xf numFmtId="0" fontId="5" fillId="0" borderId="1" xfId="0" applyFont="1" applyFill="1" applyBorder="1" applyAlignment="1">
      <alignment horizontal="center"/>
    </xf>
    <xf numFmtId="0" fontId="11" fillId="0" borderId="0" xfId="0" applyFont="1" applyFill="1" applyBorder="1" applyAlignment="1">
      <alignment horizontal="center"/>
    </xf>
    <xf numFmtId="3" fontId="5" fillId="0" borderId="0" xfId="0" applyNumberFormat="1" applyFont="1" applyFill="1" applyBorder="1" applyAlignment="1">
      <alignment horizontal="center"/>
    </xf>
    <xf numFmtId="0" fontId="9" fillId="3" borderId="1" xfId="0" applyFont="1" applyFill="1" applyBorder="1" applyAlignment="1">
      <alignment horizontal="center" vertical="center"/>
    </xf>
    <xf numFmtId="165" fontId="5" fillId="0" borderId="1" xfId="4" applyNumberFormat="1" applyFont="1" applyBorder="1"/>
    <xf numFmtId="0" fontId="0" fillId="0" borderId="0" xfId="0" applyAlignment="1">
      <alignment vertical="center"/>
    </xf>
    <xf numFmtId="0" fontId="9" fillId="3" borderId="1" xfId="0" applyFont="1" applyFill="1" applyBorder="1" applyAlignment="1">
      <alignment vertical="center"/>
    </xf>
    <xf numFmtId="0" fontId="8" fillId="0" borderId="0" xfId="0" applyFont="1" applyFill="1" applyBorder="1" applyAlignment="1"/>
    <xf numFmtId="0" fontId="4" fillId="0" borderId="0" xfId="0" applyFont="1" applyFill="1" applyBorder="1" applyAlignment="1"/>
    <xf numFmtId="3" fontId="7" fillId="0" borderId="1" xfId="0" applyNumberFormat="1" applyFont="1" applyFill="1" applyBorder="1" applyAlignment="1">
      <alignment horizontal="center"/>
    </xf>
    <xf numFmtId="3" fontId="7" fillId="0" borderId="1" xfId="0" applyNumberFormat="1" applyFont="1" applyBorder="1" applyAlignment="1">
      <alignment horizontal="center"/>
    </xf>
    <xf numFmtId="1" fontId="7" fillId="0" borderId="1" xfId="0" applyNumberFormat="1" applyFont="1" applyBorder="1" applyAlignment="1">
      <alignment horizontal="center"/>
    </xf>
    <xf numFmtId="0" fontId="7" fillId="0" borderId="0" xfId="0" applyFont="1" applyBorder="1"/>
    <xf numFmtId="0" fontId="10" fillId="0" borderId="0" xfId="0" applyFont="1" applyBorder="1"/>
    <xf numFmtId="3" fontId="10" fillId="0" borderId="0" xfId="0" applyNumberFormat="1" applyFont="1" applyBorder="1" applyAlignment="1">
      <alignment horizontal="center"/>
    </xf>
    <xf numFmtId="1" fontId="10" fillId="0" borderId="0" xfId="0" applyNumberFormat="1" applyFont="1" applyBorder="1" applyAlignment="1">
      <alignment horizontal="center"/>
    </xf>
    <xf numFmtId="0" fontId="10" fillId="0" borderId="0" xfId="0" applyFont="1" applyBorder="1" applyAlignment="1">
      <alignment horizontal="center"/>
    </xf>
    <xf numFmtId="0" fontId="12" fillId="0" borderId="0" xfId="0" applyFont="1" applyFill="1" applyBorder="1" applyAlignment="1"/>
    <xf numFmtId="0" fontId="9" fillId="3" borderId="1"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4" fillId="0" borderId="0" xfId="0" applyFont="1" applyFill="1" applyBorder="1" applyAlignment="1">
      <alignment horizontal="left" wrapText="1"/>
    </xf>
    <xf numFmtId="0" fontId="3" fillId="0" borderId="0" xfId="0" applyFont="1" applyFill="1" applyBorder="1" applyAlignment="1">
      <alignment horizontal="left" wrapText="1"/>
    </xf>
    <xf numFmtId="37" fontId="4" fillId="0" borderId="0" xfId="4" applyNumberFormat="1" applyFont="1" applyFill="1" applyBorder="1" applyAlignment="1">
      <alignment horizontal="center"/>
    </xf>
    <xf numFmtId="9" fontId="4" fillId="0" borderId="0" xfId="0" applyNumberFormat="1" applyFont="1" applyFill="1" applyBorder="1" applyAlignment="1">
      <alignment horizontal="center"/>
    </xf>
    <xf numFmtId="164" fontId="4" fillId="0" borderId="0" xfId="0" applyNumberFormat="1" applyFont="1" applyFill="1" applyBorder="1" applyAlignment="1"/>
    <xf numFmtId="0" fontId="0" fillId="0" borderId="0" xfId="0" applyFill="1" applyBorder="1"/>
    <xf numFmtId="0" fontId="12" fillId="0" borderId="0" xfId="0" applyFont="1" applyAlignment="1">
      <alignment vertical="center"/>
    </xf>
    <xf numFmtId="0" fontId="16" fillId="3" borderId="1" xfId="0" applyFont="1" applyFill="1" applyBorder="1" applyAlignment="1">
      <alignment horizontal="center" vertical="center" wrapText="1"/>
    </xf>
    <xf numFmtId="0" fontId="17" fillId="0" borderId="0" xfId="0" applyFont="1"/>
    <xf numFmtId="0" fontId="11" fillId="4" borderId="1" xfId="0" applyFont="1" applyFill="1" applyBorder="1" applyAlignment="1">
      <alignment horizontal="center"/>
    </xf>
    <xf numFmtId="3" fontId="5" fillId="4" borderId="1" xfId="0" applyNumberFormat="1" applyFont="1" applyFill="1" applyBorder="1" applyAlignment="1">
      <alignment horizontal="center"/>
    </xf>
    <xf numFmtId="9" fontId="5" fillId="4" borderId="1" xfId="0" applyNumberFormat="1" applyFont="1" applyFill="1" applyBorder="1" applyAlignment="1">
      <alignment horizontal="center"/>
    </xf>
    <xf numFmtId="3" fontId="7" fillId="0" borderId="0" xfId="0" applyNumberFormat="1" applyFont="1" applyFill="1" applyBorder="1" applyAlignment="1">
      <alignment horizontal="center"/>
    </xf>
    <xf numFmtId="1" fontId="7" fillId="0" borderId="0" xfId="0" applyNumberFormat="1" applyFont="1" applyBorder="1" applyAlignment="1">
      <alignment horizontal="center"/>
    </xf>
    <xf numFmtId="3" fontId="7" fillId="0" borderId="0" xfId="0" applyNumberFormat="1" applyFont="1" applyBorder="1" applyAlignment="1">
      <alignment horizontal="center"/>
    </xf>
    <xf numFmtId="0" fontId="7" fillId="0" borderId="0" xfId="0" applyFont="1" applyBorder="1" applyAlignment="1">
      <alignment horizontal="center"/>
    </xf>
    <xf numFmtId="0" fontId="0" fillId="0" borderId="0" xfId="0"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64" fontId="7" fillId="0" borderId="1" xfId="2" applyNumberFormat="1" applyFont="1" applyBorder="1"/>
    <xf numFmtId="0" fontId="7" fillId="0" borderId="1" xfId="0" applyFont="1" applyFill="1" applyBorder="1" applyAlignment="1">
      <alignment horizontal="left" vertical="center" wrapText="1"/>
    </xf>
    <xf numFmtId="0" fontId="7" fillId="0" borderId="1" xfId="0" applyFont="1" applyFill="1" applyBorder="1"/>
    <xf numFmtId="164" fontId="7" fillId="0" borderId="1" xfId="2" applyNumberFormat="1" applyFont="1" applyFill="1" applyBorder="1"/>
    <xf numFmtId="0" fontId="7" fillId="0" borderId="0" xfId="0" applyFont="1" applyBorder="1" applyAlignment="1">
      <alignment horizontal="left" vertical="center" wrapText="1"/>
    </xf>
    <xf numFmtId="0" fontId="0" fillId="0" borderId="0" xfId="0" applyFill="1"/>
    <xf numFmtId="0" fontId="10" fillId="0" borderId="0" xfId="0" applyFont="1" applyFill="1" applyBorder="1" applyAlignment="1"/>
    <xf numFmtId="0" fontId="7" fillId="0" borderId="1" xfId="0" applyFont="1" applyBorder="1" applyAlignment="1">
      <alignment wrapText="1"/>
    </xf>
    <xf numFmtId="0" fontId="7" fillId="0" borderId="1" xfId="0" applyFont="1" applyBorder="1" applyAlignment="1">
      <alignment vertical="center"/>
    </xf>
    <xf numFmtId="9" fontId="5" fillId="0" borderId="0" xfId="0" applyNumberFormat="1" applyFont="1" applyFill="1" applyBorder="1" applyAlignment="1">
      <alignment horizontal="center"/>
    </xf>
    <xf numFmtId="0" fontId="5" fillId="0" borderId="1" xfId="0" applyFont="1" applyBorder="1" applyAlignment="1">
      <alignment wrapText="1"/>
    </xf>
    <xf numFmtId="0" fontId="11" fillId="0" borderId="1" xfId="0" applyFont="1" applyFill="1" applyBorder="1" applyAlignment="1">
      <alignment horizontal="center" vertical="center"/>
    </xf>
    <xf numFmtId="3"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xf>
    <xf numFmtId="0" fontId="5" fillId="0" borderId="1" xfId="0" applyFont="1" applyBorder="1" applyAlignment="1">
      <alignment vertical="center" wrapText="1"/>
    </xf>
    <xf numFmtId="165" fontId="5" fillId="0" borderId="1" xfId="4" applyNumberFormat="1" applyFont="1" applyBorder="1" applyAlignment="1">
      <alignment vertical="center"/>
    </xf>
    <xf numFmtId="165" fontId="5" fillId="0" borderId="1" xfId="4" applyNumberFormat="1" applyFont="1" applyBorder="1" applyAlignment="1">
      <alignment horizontal="right" vertical="center"/>
    </xf>
    <xf numFmtId="0" fontId="4" fillId="0" borderId="0" xfId="0" applyFont="1" applyFill="1" applyBorder="1" applyAlignment="1">
      <alignment vertical="center" wrapText="1"/>
    </xf>
    <xf numFmtId="0" fontId="6" fillId="0" borderId="0" xfId="0" applyFont="1" applyAlignment="1">
      <alignment vertical="center"/>
    </xf>
    <xf numFmtId="0" fontId="3" fillId="2" borderId="1" xfId="0" applyFont="1" applyFill="1" applyBorder="1" applyAlignment="1">
      <alignment horizontal="left" vertical="center" wrapText="1"/>
    </xf>
    <xf numFmtId="0" fontId="6" fillId="0" borderId="0" xfId="0" applyFont="1" applyAlignment="1">
      <alignment wrapText="1"/>
    </xf>
    <xf numFmtId="0" fontId="4" fillId="0" borderId="0"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10" fillId="5" borderId="1" xfId="0" applyFont="1" applyFill="1" applyBorder="1" applyAlignment="1">
      <alignment vertical="center"/>
    </xf>
    <xf numFmtId="164" fontId="10" fillId="5" borderId="1" xfId="2" applyNumberFormat="1" applyFont="1" applyFill="1" applyBorder="1" applyAlignment="1">
      <alignment vertical="center"/>
    </xf>
    <xf numFmtId="0" fontId="3" fillId="0" borderId="1" xfId="0" applyFont="1" applyFill="1" applyBorder="1" applyAlignment="1">
      <alignment vertical="center" wrapText="1"/>
    </xf>
    <xf numFmtId="0" fontId="3" fillId="6" borderId="1" xfId="0" applyFont="1" applyFill="1" applyBorder="1" applyAlignment="1">
      <alignment vertical="center" wrapText="1"/>
    </xf>
    <xf numFmtId="0" fontId="3" fillId="7" borderId="1" xfId="0" applyFont="1" applyFill="1" applyBorder="1" applyAlignment="1">
      <alignment horizontal="left" vertical="center" wrapText="1"/>
    </xf>
    <xf numFmtId="0" fontId="20" fillId="5" borderId="1" xfId="0" applyFont="1" applyFill="1" applyBorder="1" applyAlignment="1">
      <alignment horizontal="right" wrapText="1"/>
    </xf>
    <xf numFmtId="0" fontId="0" fillId="0" borderId="0" xfId="0" applyBorder="1"/>
    <xf numFmtId="0" fontId="21" fillId="0" borderId="0" xfId="0" applyFont="1"/>
    <xf numFmtId="0" fontId="23" fillId="0" borderId="0" xfId="0" applyFont="1"/>
    <xf numFmtId="0" fontId="7" fillId="0" borderId="0" xfId="0" applyFont="1" applyBorder="1" applyAlignment="1">
      <alignment vertical="center"/>
    </xf>
    <xf numFmtId="0" fontId="5" fillId="0" borderId="1" xfId="0" applyFont="1" applyBorder="1"/>
    <xf numFmtId="0" fontId="5" fillId="8" borderId="1" xfId="0" applyFont="1" applyFill="1" applyBorder="1"/>
    <xf numFmtId="0" fontId="5" fillId="0" borderId="0" xfId="0" applyFont="1" applyAlignment="1">
      <alignment horizontal="center"/>
    </xf>
    <xf numFmtId="9" fontId="5" fillId="0" borderId="0" xfId="1" applyFont="1"/>
    <xf numFmtId="0" fontId="5" fillId="0" borderId="0" xfId="0" quotePrefix="1" applyFont="1"/>
    <xf numFmtId="0" fontId="24" fillId="0" borderId="0" xfId="0" applyFont="1" applyFill="1" applyBorder="1" applyAlignment="1"/>
    <xf numFmtId="0" fontId="24" fillId="0" borderId="0" xfId="0" applyFont="1" applyFill="1" applyBorder="1" applyAlignment="1">
      <alignment horizontal="center"/>
    </xf>
    <xf numFmtId="0" fontId="22" fillId="0" borderId="0" xfId="0" applyFont="1" applyFill="1" applyBorder="1" applyAlignment="1"/>
    <xf numFmtId="0" fontId="5" fillId="9" borderId="1" xfId="0" quotePrefix="1" applyFont="1" applyFill="1" applyBorder="1" applyAlignment="1">
      <alignment vertical="center"/>
    </xf>
    <xf numFmtId="0" fontId="5" fillId="0" borderId="1" xfId="0" applyFont="1" applyBorder="1" applyAlignment="1">
      <alignment horizontal="center" vertical="center"/>
    </xf>
    <xf numFmtId="165" fontId="5" fillId="9" borderId="1" xfId="0" applyNumberFormat="1" applyFont="1" applyFill="1" applyBorder="1" applyAlignment="1">
      <alignment horizontal="center" vertical="center"/>
    </xf>
    <xf numFmtId="166" fontId="5" fillId="9" borderId="1" xfId="1" applyNumberFormat="1" applyFont="1" applyFill="1" applyBorder="1" applyAlignment="1">
      <alignment horizontal="center" vertical="center"/>
    </xf>
    <xf numFmtId="0" fontId="11" fillId="0" borderId="1" xfId="0" applyFont="1" applyFill="1" applyBorder="1" applyAlignment="1">
      <alignment horizontal="center" vertical="center" wrapText="1"/>
    </xf>
    <xf numFmtId="9" fontId="6" fillId="9" borderId="1" xfId="1"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Border="1" applyAlignment="1">
      <alignment horizontal="left" vertical="center"/>
    </xf>
    <xf numFmtId="3" fontId="3" fillId="2" borderId="1" xfId="0" applyNumberFormat="1" applyFont="1" applyFill="1" applyBorder="1" applyAlignment="1">
      <alignment horizontal="right"/>
    </xf>
    <xf numFmtId="165" fontId="15" fillId="0" borderId="1" xfId="6" applyNumberFormat="1" applyFont="1" applyBorder="1" applyAlignment="1" applyProtection="1">
      <alignment horizontal="left" vertical="center"/>
    </xf>
    <xf numFmtId="165" fontId="5" fillId="0" borderId="1" xfId="4" applyNumberFormat="1" applyFont="1" applyBorder="1" applyAlignment="1">
      <alignment horizontal="left" vertical="center"/>
    </xf>
    <xf numFmtId="3" fontId="3" fillId="7" borderId="1" xfId="0" applyNumberFormat="1" applyFont="1" applyFill="1" applyBorder="1" applyAlignment="1">
      <alignment horizontal="right" wrapText="1"/>
    </xf>
    <xf numFmtId="164" fontId="3" fillId="7" borderId="1" xfId="2" applyNumberFormat="1" applyFont="1" applyFill="1" applyBorder="1" applyAlignment="1">
      <alignment horizontal="right" wrapText="1"/>
    </xf>
    <xf numFmtId="3" fontId="2" fillId="0" borderId="1" xfId="0" applyNumberFormat="1" applyFont="1" applyFill="1" applyBorder="1" applyAlignment="1">
      <alignment horizontal="right"/>
    </xf>
    <xf numFmtId="3" fontId="2" fillId="0" borderId="1" xfId="4" applyNumberFormat="1" applyFont="1" applyFill="1" applyBorder="1" applyAlignment="1">
      <alignment horizontal="right"/>
    </xf>
    <xf numFmtId="0" fontId="2" fillId="0" borderId="1" xfId="0" applyFont="1" applyBorder="1" applyAlignment="1">
      <alignment horizontal="right" wrapText="1"/>
    </xf>
    <xf numFmtId="164" fontId="3" fillId="2" borderId="1" xfId="2" applyNumberFormat="1" applyFont="1" applyFill="1" applyBorder="1" applyAlignment="1">
      <alignment horizontal="right"/>
    </xf>
    <xf numFmtId="3" fontId="2" fillId="0" borderId="1" xfId="0" applyNumberFormat="1" applyFont="1" applyFill="1" applyBorder="1" applyAlignment="1">
      <alignment horizontal="center"/>
    </xf>
    <xf numFmtId="164" fontId="2" fillId="0" borderId="1" xfId="2" applyNumberFormat="1" applyFont="1" applyBorder="1" applyAlignment="1">
      <alignment horizontal="right"/>
    </xf>
    <xf numFmtId="164" fontId="7" fillId="0" borderId="1" xfId="2" applyNumberFormat="1" applyFont="1" applyFill="1" applyBorder="1" applyAlignment="1">
      <alignment horizontal="left"/>
    </xf>
    <xf numFmtId="164" fontId="10" fillId="5" borderId="1" xfId="0" applyNumberFormat="1" applyFont="1" applyFill="1" applyBorder="1" applyAlignment="1">
      <alignment vertical="center"/>
    </xf>
    <xf numFmtId="164" fontId="4" fillId="6" borderId="1" xfId="0" applyNumberFormat="1" applyFont="1" applyFill="1" applyBorder="1" applyAlignment="1">
      <alignment vertical="center"/>
    </xf>
    <xf numFmtId="164" fontId="3" fillId="0" borderId="1" xfId="0" applyNumberFormat="1" applyFont="1" applyFill="1" applyBorder="1" applyAlignment="1">
      <alignment vertical="center"/>
    </xf>
    <xf numFmtId="3" fontId="18" fillId="5" borderId="1" xfId="0" applyNumberFormat="1" applyFont="1" applyFill="1" applyBorder="1" applyAlignment="1">
      <alignment vertical="center" wrapText="1"/>
    </xf>
    <xf numFmtId="0" fontId="2" fillId="0" borderId="1" xfId="0" applyFont="1" applyFill="1" applyBorder="1" applyAlignment="1">
      <alignment horizontal="left" wrapText="1" indent="1"/>
    </xf>
    <xf numFmtId="0" fontId="20" fillId="0" borderId="1" xfId="0" applyFont="1" applyBorder="1" applyAlignment="1">
      <alignment horizontal="left" wrapText="1" indent="1"/>
    </xf>
    <xf numFmtId="164" fontId="0" fillId="0" borderId="0" xfId="0" applyNumberFormat="1"/>
    <xf numFmtId="0" fontId="3" fillId="0" borderId="0" xfId="0" applyFont="1" applyFill="1" applyBorder="1" applyAlignment="1"/>
    <xf numFmtId="0" fontId="2" fillId="0" borderId="1" xfId="0" applyFont="1" applyFill="1" applyBorder="1" applyAlignment="1">
      <alignment horizontal="left" wrapText="1"/>
    </xf>
    <xf numFmtId="3" fontId="19" fillId="0" borderId="0" xfId="0" applyNumberFormat="1" applyFont="1" applyFill="1" applyBorder="1" applyAlignment="1"/>
    <xf numFmtId="9" fontId="3" fillId="0" borderId="0" xfId="1" applyFont="1" applyFill="1" applyBorder="1" applyAlignment="1">
      <alignment horizontal="center"/>
    </xf>
    <xf numFmtId="165" fontId="0" fillId="0" borderId="0" xfId="0" applyNumberFormat="1"/>
    <xf numFmtId="0" fontId="20" fillId="0" borderId="1" xfId="0" applyFont="1" applyFill="1" applyBorder="1" applyAlignment="1">
      <alignment horizontal="left" wrapText="1" indent="2"/>
    </xf>
    <xf numFmtId="164" fontId="0" fillId="0" borderId="5" xfId="2" applyNumberFormat="1" applyFont="1" applyBorder="1"/>
    <xf numFmtId="164" fontId="0" fillId="0" borderId="0" xfId="0" applyNumberFormat="1" applyAlignment="1">
      <alignment vertical="center"/>
    </xf>
    <xf numFmtId="1" fontId="7" fillId="0" borderId="1" xfId="0" applyNumberFormat="1" applyFont="1" applyFill="1" applyBorder="1" applyAlignment="1">
      <alignment horizontal="center"/>
    </xf>
    <xf numFmtId="0" fontId="9" fillId="0" borderId="6" xfId="0" applyFont="1" applyFill="1" applyBorder="1" applyAlignment="1">
      <alignment horizontal="center" vertical="center" wrapText="1"/>
    </xf>
    <xf numFmtId="3" fontId="5" fillId="0" borderId="7" xfId="0" applyNumberFormat="1" applyFont="1" applyFill="1" applyBorder="1" applyAlignment="1">
      <alignment horizontal="center"/>
    </xf>
    <xf numFmtId="6" fontId="3" fillId="0" borderId="1" xfId="0" applyNumberFormat="1" applyFont="1" applyFill="1" applyBorder="1" applyAlignment="1">
      <alignment vertical="center"/>
    </xf>
    <xf numFmtId="9" fontId="3" fillId="0" borderId="1" xfId="1" applyFont="1" applyFill="1" applyBorder="1" applyAlignment="1">
      <alignment vertical="center"/>
    </xf>
    <xf numFmtId="164" fontId="11" fillId="0" borderId="1" xfId="2" applyNumberFormat="1" applyFont="1" applyFill="1" applyBorder="1" applyAlignment="1">
      <alignment horizontal="center"/>
    </xf>
    <xf numFmtId="164" fontId="5" fillId="0" borderId="1" xfId="2" applyNumberFormat="1" applyFont="1" applyFill="1" applyBorder="1" applyAlignment="1">
      <alignment horizontal="center"/>
    </xf>
    <xf numFmtId="164" fontId="11" fillId="0" borderId="1" xfId="2" applyNumberFormat="1" applyFont="1" applyFill="1" applyBorder="1" applyAlignment="1">
      <alignment horizontal="center" vertical="center"/>
    </xf>
    <xf numFmtId="164" fontId="5" fillId="0" borderId="1" xfId="2" applyNumberFormat="1" applyFont="1" applyFill="1" applyBorder="1" applyAlignment="1">
      <alignment horizontal="center" vertical="center"/>
    </xf>
    <xf numFmtId="164" fontId="11" fillId="4" borderId="1" xfId="2" applyNumberFormat="1" applyFont="1" applyFill="1" applyBorder="1" applyAlignment="1">
      <alignment horizontal="center"/>
    </xf>
    <xf numFmtId="9" fontId="5" fillId="0" borderId="1" xfId="1" applyFont="1" applyFill="1" applyBorder="1" applyAlignment="1">
      <alignment horizontal="center"/>
    </xf>
    <xf numFmtId="164" fontId="0" fillId="0" borderId="0" xfId="0" applyNumberFormat="1" applyFill="1"/>
    <xf numFmtId="164" fontId="2" fillId="0" borderId="1" xfId="2" applyNumberFormat="1" applyFont="1" applyFill="1" applyBorder="1" applyAlignment="1">
      <alignment horizontal="right" vertical="center"/>
    </xf>
    <xf numFmtId="164" fontId="20" fillId="0" borderId="1" xfId="2" applyNumberFormat="1" applyFont="1" applyFill="1" applyBorder="1" applyAlignment="1">
      <alignment horizontal="right" vertical="center"/>
    </xf>
    <xf numFmtId="3" fontId="20" fillId="0" borderId="1" xfId="0" applyNumberFormat="1" applyFont="1" applyFill="1" applyBorder="1" applyAlignment="1">
      <alignment horizontal="right" vertical="center" wrapText="1"/>
    </xf>
    <xf numFmtId="3" fontId="2" fillId="0" borderId="1" xfId="0" applyNumberFormat="1" applyFont="1" applyFill="1" applyBorder="1" applyAlignment="1">
      <alignment horizontal="right" vertical="center" wrapText="1"/>
    </xf>
    <xf numFmtId="3" fontId="2" fillId="0" borderId="1" xfId="0" applyNumberFormat="1" applyFont="1" applyFill="1" applyBorder="1" applyAlignment="1">
      <alignment horizontal="right" vertical="center"/>
    </xf>
    <xf numFmtId="3" fontId="3" fillId="2" borderId="1" xfId="0" applyNumberFormat="1" applyFont="1" applyFill="1" applyBorder="1" applyAlignment="1">
      <alignment horizontal="right" vertical="center"/>
    </xf>
    <xf numFmtId="9" fontId="3" fillId="2" borderId="1" xfId="1" applyFont="1" applyFill="1" applyBorder="1" applyAlignment="1">
      <alignment horizontal="right" vertical="center"/>
    </xf>
    <xf numFmtId="164" fontId="3" fillId="2" borderId="1" xfId="2" applyNumberFormat="1" applyFont="1" applyFill="1" applyBorder="1" applyAlignment="1">
      <alignment horizontal="right" vertical="center"/>
    </xf>
    <xf numFmtId="3" fontId="2" fillId="0" borderId="1" xfId="4" applyNumberFormat="1" applyFont="1" applyFill="1" applyBorder="1" applyAlignment="1">
      <alignment horizontal="right" vertical="center"/>
    </xf>
    <xf numFmtId="3" fontId="20" fillId="0" borderId="1" xfId="4" applyNumberFormat="1" applyFont="1" applyFill="1" applyBorder="1" applyAlignment="1">
      <alignment horizontal="right" vertical="center"/>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9" fontId="2" fillId="0" borderId="1" xfId="1" applyFont="1" applyBorder="1" applyAlignment="1">
      <alignment horizontal="right"/>
    </xf>
    <xf numFmtId="164" fontId="2" fillId="0" borderId="1" xfId="2" applyNumberFormat="1" applyFont="1" applyFill="1" applyBorder="1" applyAlignment="1">
      <alignment horizontal="right"/>
    </xf>
    <xf numFmtId="9" fontId="3" fillId="2" borderId="1" xfId="1" applyFont="1" applyFill="1" applyBorder="1" applyAlignment="1">
      <alignment horizontal="right"/>
    </xf>
    <xf numFmtId="9" fontId="3" fillId="7" borderId="1" xfId="1" applyFont="1" applyFill="1" applyBorder="1" applyAlignment="1">
      <alignment horizontal="right"/>
    </xf>
    <xf numFmtId="164" fontId="5" fillId="0" borderId="1" xfId="2" applyNumberFormat="1" applyFont="1" applyFill="1" applyBorder="1" applyAlignment="1">
      <alignment horizontal="left"/>
    </xf>
    <xf numFmtId="164" fontId="11" fillId="4" borderId="1" xfId="0" applyNumberFormat="1" applyFont="1" applyFill="1" applyBorder="1" applyAlignment="1">
      <alignment horizontal="center"/>
    </xf>
    <xf numFmtId="164" fontId="5" fillId="0" borderId="1" xfId="2" applyNumberFormat="1" applyFont="1" applyFill="1" applyBorder="1" applyAlignment="1">
      <alignment horizontal="right"/>
    </xf>
    <xf numFmtId="0" fontId="7" fillId="0" borderId="0" xfId="0" applyFont="1" applyBorder="1" applyAlignment="1">
      <alignment vertical="center" wrapText="1"/>
    </xf>
    <xf numFmtId="166" fontId="0" fillId="0" borderId="0" xfId="0" applyNumberFormat="1"/>
    <xf numFmtId="164" fontId="2" fillId="0" borderId="1" xfId="0" applyNumberFormat="1" applyFont="1" applyBorder="1" applyAlignment="1">
      <alignment horizontal="right" wrapText="1"/>
    </xf>
    <xf numFmtId="9" fontId="29" fillId="5" borderId="1" xfId="1" applyFont="1" applyFill="1" applyBorder="1" applyAlignment="1">
      <alignment horizontal="right" vertical="center"/>
    </xf>
    <xf numFmtId="165" fontId="5" fillId="0" borderId="1" xfId="4" applyNumberFormat="1" applyFont="1" applyBorder="1" applyAlignment="1">
      <alignment horizontal="left" vertical="center" wrapText="1"/>
    </xf>
    <xf numFmtId="0" fontId="17" fillId="0" borderId="0" xfId="0" applyFont="1" applyBorder="1"/>
    <xf numFmtId="165" fontId="0" fillId="0" borderId="0" xfId="0" applyNumberFormat="1" applyBorder="1"/>
    <xf numFmtId="0" fontId="7" fillId="0" borderId="0" xfId="0" applyFont="1" applyFill="1" applyBorder="1" applyAlignment="1">
      <alignment horizontal="left" vertical="center" wrapText="1"/>
    </xf>
    <xf numFmtId="0" fontId="30" fillId="0" borderId="0" xfId="0" applyFont="1"/>
    <xf numFmtId="0" fontId="6" fillId="0" borderId="0" xfId="0" applyFont="1" applyFill="1"/>
    <xf numFmtId="0" fontId="3" fillId="0" borderId="3" xfId="0" applyFont="1" applyFill="1" applyBorder="1" applyAlignment="1">
      <alignment vertical="center" wrapText="1"/>
    </xf>
    <xf numFmtId="0" fontId="26" fillId="0" borderId="0" xfId="0" applyFont="1" applyFill="1"/>
    <xf numFmtId="9" fontId="3" fillId="11" borderId="1" xfId="1" applyFont="1" applyFill="1" applyBorder="1" applyAlignment="1">
      <alignment horizontal="right" vertical="center"/>
    </xf>
    <xf numFmtId="3" fontId="3" fillId="11" borderId="1" xfId="0" applyNumberFormat="1" applyFont="1" applyFill="1" applyBorder="1" applyAlignment="1">
      <alignment horizontal="right" vertical="center"/>
    </xf>
    <xf numFmtId="3" fontId="3" fillId="11" borderId="1" xfId="0" applyNumberFormat="1" applyFont="1" applyFill="1" applyBorder="1" applyAlignment="1">
      <alignment horizontal="right"/>
    </xf>
    <xf numFmtId="9" fontId="3" fillId="11" borderId="1" xfId="1" applyFont="1" applyFill="1" applyBorder="1" applyAlignment="1">
      <alignment horizontal="right"/>
    </xf>
    <xf numFmtId="3" fontId="20" fillId="0" borderId="1" xfId="0" applyNumberFormat="1" applyFont="1" applyFill="1" applyBorder="1" applyAlignment="1">
      <alignment horizontal="right" vertical="center"/>
    </xf>
    <xf numFmtId="3" fontId="2" fillId="0" borderId="1" xfId="0" applyNumberFormat="1" applyFont="1" applyFill="1" applyBorder="1" applyAlignment="1">
      <alignment horizontal="right" wrapText="1"/>
    </xf>
    <xf numFmtId="0" fontId="2" fillId="0" borderId="1" xfId="0" applyFont="1" applyFill="1" applyBorder="1" applyAlignment="1">
      <alignment horizontal="right" wrapText="1"/>
    </xf>
    <xf numFmtId="164" fontId="2" fillId="0" borderId="1" xfId="0" applyNumberFormat="1" applyFont="1" applyFill="1" applyBorder="1" applyAlignment="1">
      <alignment horizontal="right" wrapText="1"/>
    </xf>
    <xf numFmtId="164" fontId="28" fillId="0" borderId="0" xfId="0" applyNumberFormat="1" applyFont="1" applyFill="1" applyAlignment="1">
      <alignment horizontal="center"/>
    </xf>
    <xf numFmtId="3" fontId="0" fillId="0" borderId="0" xfId="0" applyNumberFormat="1" applyFill="1" applyBorder="1"/>
    <xf numFmtId="9" fontId="0" fillId="0" borderId="0" xfId="1" applyFont="1" applyFill="1"/>
    <xf numFmtId="9" fontId="28" fillId="0" borderId="0" xfId="1" applyFont="1" applyFill="1" applyAlignment="1">
      <alignment horizontal="center" vertical="center"/>
    </xf>
    <xf numFmtId="0" fontId="28" fillId="0" borderId="0" xfId="0" applyFont="1" applyFill="1" applyAlignment="1">
      <alignment horizontal="center" vertical="center"/>
    </xf>
    <xf numFmtId="0" fontId="28" fillId="0" borderId="0" xfId="0" applyFont="1" applyFill="1" applyAlignment="1">
      <alignment horizontal="center"/>
    </xf>
    <xf numFmtId="1" fontId="2" fillId="0" borderId="1" xfId="0" applyNumberFormat="1" applyFont="1" applyFill="1" applyBorder="1" applyAlignment="1">
      <alignment horizontal="center"/>
    </xf>
    <xf numFmtId="164" fontId="28" fillId="0" borderId="0" xfId="2" applyNumberFormat="1" applyFont="1" applyBorder="1"/>
    <xf numFmtId="164" fontId="0" fillId="0" borderId="0" xfId="0" applyNumberFormat="1" applyBorder="1" applyAlignment="1">
      <alignment vertical="center"/>
    </xf>
    <xf numFmtId="44" fontId="0" fillId="0" borderId="0" xfId="0" applyNumberFormat="1" applyBorder="1" applyAlignment="1">
      <alignment vertical="center"/>
    </xf>
    <xf numFmtId="164" fontId="5" fillId="0" borderId="14" xfId="2" applyNumberFormat="1" applyFont="1" applyFill="1" applyBorder="1" applyAlignment="1">
      <alignment horizontal="center"/>
    </xf>
    <xf numFmtId="0" fontId="16" fillId="3" borderId="14" xfId="0" applyFont="1" applyFill="1" applyBorder="1" applyAlignment="1">
      <alignment horizontal="center" vertical="center" wrapText="1"/>
    </xf>
    <xf numFmtId="9" fontId="5" fillId="0" borderId="15" xfId="0" applyNumberFormat="1" applyFont="1" applyFill="1" applyBorder="1" applyAlignment="1">
      <alignment horizontal="center"/>
    </xf>
    <xf numFmtId="0" fontId="9" fillId="0" borderId="0" xfId="0" applyFont="1" applyFill="1" applyBorder="1" applyAlignment="1">
      <alignment horizontal="center" vertical="center" wrapText="1"/>
    </xf>
    <xf numFmtId="0" fontId="5" fillId="0" borderId="0" xfId="0" applyFont="1" applyBorder="1"/>
    <xf numFmtId="0" fontId="3" fillId="0" borderId="0" xfId="0" applyFont="1" applyFill="1" applyBorder="1" applyAlignment="1">
      <alignment vertical="center" wrapText="1"/>
    </xf>
    <xf numFmtId="164" fontId="5" fillId="0" borderId="2" xfId="2" applyNumberFormat="1" applyFont="1" applyFill="1" applyBorder="1" applyAlignment="1">
      <alignment horizontal="center"/>
    </xf>
    <xf numFmtId="164" fontId="11" fillId="4" borderId="2" xfId="2" applyNumberFormat="1" applyFont="1" applyFill="1" applyBorder="1" applyAlignment="1">
      <alignment horizontal="center"/>
    </xf>
    <xf numFmtId="3" fontId="5" fillId="0" borderId="2" xfId="0" applyNumberFormat="1" applyFont="1" applyFill="1" applyBorder="1" applyAlignment="1">
      <alignment horizontal="center"/>
    </xf>
    <xf numFmtId="3" fontId="5" fillId="4" borderId="2" xfId="0" applyNumberFormat="1" applyFont="1" applyFill="1" applyBorder="1" applyAlignment="1">
      <alignment horizontal="center"/>
    </xf>
    <xf numFmtId="164" fontId="11" fillId="4" borderId="14" xfId="2" applyNumberFormat="1" applyFont="1" applyFill="1" applyBorder="1" applyAlignment="1">
      <alignment horizontal="center"/>
    </xf>
    <xf numFmtId="3" fontId="2" fillId="14" borderId="1" xfId="0" applyNumberFormat="1" applyFont="1" applyFill="1" applyBorder="1" applyAlignment="1">
      <alignment horizontal="right" vertical="center" wrapText="1"/>
    </xf>
    <xf numFmtId="3" fontId="2" fillId="14" borderId="2" xfId="0" applyNumberFormat="1" applyFont="1" applyFill="1" applyBorder="1" applyAlignment="1">
      <alignment horizontal="right" vertical="center" wrapText="1"/>
    </xf>
    <xf numFmtId="9" fontId="20" fillId="14" borderId="1" xfId="1" applyFont="1" applyFill="1" applyBorder="1" applyAlignment="1">
      <alignment horizontal="right" vertical="center" wrapText="1"/>
    </xf>
    <xf numFmtId="164" fontId="2" fillId="14" borderId="4" xfId="2" applyNumberFormat="1" applyFont="1" applyFill="1" applyBorder="1" applyAlignment="1">
      <alignment horizontal="right" vertical="center"/>
    </xf>
    <xf numFmtId="164" fontId="2" fillId="14" borderId="1" xfId="2" applyNumberFormat="1" applyFont="1" applyFill="1" applyBorder="1" applyAlignment="1">
      <alignment horizontal="right" vertical="center"/>
    </xf>
    <xf numFmtId="9" fontId="2" fillId="14" borderId="1" xfId="1" applyFont="1" applyFill="1" applyBorder="1" applyAlignment="1">
      <alignment horizontal="right" vertical="center"/>
    </xf>
    <xf numFmtId="3" fontId="20" fillId="14" borderId="1" xfId="0" applyNumberFormat="1" applyFont="1" applyFill="1" applyBorder="1" applyAlignment="1">
      <alignment horizontal="right" vertical="center" wrapText="1"/>
    </xf>
    <xf numFmtId="164" fontId="20" fillId="14" borderId="1" xfId="2" applyNumberFormat="1" applyFont="1" applyFill="1" applyBorder="1" applyAlignment="1">
      <alignment horizontal="right" vertical="center"/>
    </xf>
    <xf numFmtId="3" fontId="20" fillId="14" borderId="2" xfId="0" applyNumberFormat="1" applyFont="1" applyFill="1" applyBorder="1" applyAlignment="1">
      <alignment horizontal="right" vertical="center" wrapText="1"/>
    </xf>
    <xf numFmtId="164" fontId="20" fillId="14" borderId="4" xfId="2" applyNumberFormat="1" applyFont="1" applyFill="1" applyBorder="1" applyAlignment="1">
      <alignment horizontal="right" vertical="center"/>
    </xf>
    <xf numFmtId="9" fontId="20" fillId="14" borderId="1" xfId="1" applyFont="1" applyFill="1" applyBorder="1" applyAlignment="1">
      <alignment horizontal="right" vertical="center"/>
    </xf>
    <xf numFmtId="9" fontId="20" fillId="14" borderId="15" xfId="1" applyFont="1" applyFill="1" applyBorder="1" applyAlignment="1">
      <alignment horizontal="right" vertical="center" wrapText="1"/>
    </xf>
    <xf numFmtId="3" fontId="2" fillId="14" borderId="1" xfId="0" applyNumberFormat="1" applyFont="1" applyFill="1" applyBorder="1" applyAlignment="1">
      <alignment horizontal="right" vertical="center"/>
    </xf>
    <xf numFmtId="9" fontId="2" fillId="14" borderId="1" xfId="1" applyFont="1" applyFill="1" applyBorder="1" applyAlignment="1">
      <alignment horizontal="right" vertical="center" wrapText="1"/>
    </xf>
    <xf numFmtId="3" fontId="2" fillId="14" borderId="1" xfId="4" applyNumberFormat="1" applyFont="1" applyFill="1" applyBorder="1" applyAlignment="1">
      <alignment horizontal="right" vertical="center"/>
    </xf>
    <xf numFmtId="3" fontId="20" fillId="14" borderId="1" xfId="4" applyNumberFormat="1" applyFont="1" applyFill="1" applyBorder="1" applyAlignment="1">
      <alignment horizontal="right" vertical="center"/>
    </xf>
    <xf numFmtId="3" fontId="2" fillId="14" borderId="1" xfId="4" applyNumberFormat="1" applyFont="1" applyFill="1" applyBorder="1" applyAlignment="1">
      <alignment horizontal="right"/>
    </xf>
    <xf numFmtId="3" fontId="2" fillId="14" borderId="1" xfId="0" applyNumberFormat="1" applyFont="1" applyFill="1" applyBorder="1" applyAlignment="1">
      <alignment horizontal="right"/>
    </xf>
    <xf numFmtId="9" fontId="2" fillId="14" borderId="1" xfId="1" applyFont="1" applyFill="1" applyBorder="1" applyAlignment="1">
      <alignment horizontal="right"/>
    </xf>
    <xf numFmtId="164" fontId="2" fillId="14" borderId="1" xfId="2" applyNumberFormat="1" applyFont="1" applyFill="1" applyBorder="1" applyAlignment="1">
      <alignment horizontal="right"/>
    </xf>
    <xf numFmtId="3" fontId="2" fillId="14" borderId="1" xfId="0" applyNumberFormat="1" applyFont="1" applyFill="1" applyBorder="1" applyAlignment="1">
      <alignment horizontal="right" wrapText="1"/>
    </xf>
    <xf numFmtId="3" fontId="29" fillId="5" borderId="1" xfId="0" applyNumberFormat="1" applyFont="1" applyFill="1" applyBorder="1" applyAlignment="1">
      <alignment horizontal="right" vertical="center" wrapText="1"/>
    </xf>
    <xf numFmtId="164" fontId="29" fillId="5" borderId="1" xfId="2" applyNumberFormat="1" applyFont="1" applyFill="1" applyBorder="1" applyAlignment="1">
      <alignment horizontal="right" vertical="center"/>
    </xf>
    <xf numFmtId="0" fontId="17" fillId="0" borderId="0" xfId="0" applyFont="1" applyAlignment="1">
      <alignment wrapText="1"/>
    </xf>
    <xf numFmtId="3" fontId="2" fillId="0" borderId="1" xfId="0" applyNumberFormat="1" applyFont="1" applyBorder="1" applyAlignment="1">
      <alignment horizontal="right" vertical="center" wrapText="1"/>
    </xf>
    <xf numFmtId="3" fontId="2" fillId="0" borderId="1" xfId="0" applyNumberFormat="1" applyFont="1" applyBorder="1" applyAlignment="1">
      <alignment horizontal="right" vertical="center"/>
    </xf>
    <xf numFmtId="3" fontId="20" fillId="0" borderId="1" xfId="0" applyNumberFormat="1" applyFont="1" applyBorder="1" applyAlignment="1">
      <alignment horizontal="right" vertical="center" wrapText="1"/>
    </xf>
    <xf numFmtId="3" fontId="2" fillId="0" borderId="1" xfId="0" applyNumberFormat="1" applyFont="1" applyBorder="1" applyAlignment="1">
      <alignment horizontal="right"/>
    </xf>
    <xf numFmtId="3" fontId="2" fillId="0" borderId="1" xfId="0" applyNumberFormat="1" applyFont="1" applyBorder="1" applyAlignment="1">
      <alignment horizontal="right" wrapText="1"/>
    </xf>
    <xf numFmtId="0" fontId="33" fillId="0" borderId="0" xfId="0" applyFont="1" applyAlignment="1">
      <alignment wrapText="1"/>
    </xf>
    <xf numFmtId="0" fontId="0" fillId="0" borderId="0" xfId="0" applyFill="1" applyAlignment="1">
      <alignment horizontal="center"/>
    </xf>
    <xf numFmtId="0" fontId="33" fillId="0" borderId="0" xfId="0" applyFont="1" applyAlignment="1">
      <alignment horizontal="center" wrapText="1"/>
    </xf>
    <xf numFmtId="0" fontId="19" fillId="0" borderId="0" xfId="0" applyFont="1" applyFill="1" applyBorder="1" applyAlignment="1">
      <alignment horizontal="left" vertical="center" wrapText="1"/>
    </xf>
    <xf numFmtId="0" fontId="19" fillId="0" borderId="0" xfId="0" applyFont="1" applyBorder="1" applyAlignment="1">
      <alignment horizontal="left" vertical="center" wrapText="1"/>
    </xf>
    <xf numFmtId="0" fontId="34" fillId="0" borderId="0" xfId="0" applyFont="1" applyBorder="1" applyAlignment="1">
      <alignment horizontal="left" vertical="center" wrapText="1"/>
    </xf>
    <xf numFmtId="0" fontId="34" fillId="0" borderId="0" xfId="0" applyFont="1" applyFill="1" applyBorder="1" applyAlignment="1">
      <alignment horizontal="left" vertical="center" wrapText="1"/>
    </xf>
    <xf numFmtId="0" fontId="35" fillId="0" borderId="0" xfId="0" applyFont="1" applyFill="1" applyBorder="1" applyAlignment="1">
      <alignment wrapText="1"/>
    </xf>
    <xf numFmtId="164" fontId="7" fillId="0" borderId="16" xfId="2" applyNumberFormat="1" applyFont="1" applyFill="1" applyBorder="1"/>
    <xf numFmtId="0" fontId="7" fillId="0" borderId="2" xfId="0" applyFont="1" applyBorder="1"/>
    <xf numFmtId="164" fontId="7" fillId="0" borderId="14" xfId="2" applyNumberFormat="1" applyFont="1" applyBorder="1"/>
    <xf numFmtId="164" fontId="7" fillId="0" borderId="15" xfId="2" applyNumberFormat="1" applyFont="1" applyFill="1" applyBorder="1"/>
    <xf numFmtId="0" fontId="17" fillId="0" borderId="0" xfId="0" applyFont="1" applyAlignment="1">
      <alignment horizontal="center" wrapText="1"/>
    </xf>
    <xf numFmtId="44" fontId="0" fillId="0" borderId="0" xfId="0" applyNumberFormat="1" applyFill="1"/>
    <xf numFmtId="164" fontId="0" fillId="0" borderId="0" xfId="0" applyNumberFormat="1" applyFill="1" applyAlignment="1">
      <alignment vertical="center"/>
    </xf>
    <xf numFmtId="3" fontId="0" fillId="0" borderId="0" xfId="0" applyNumberFormat="1" applyFill="1" applyAlignment="1">
      <alignment vertical="center"/>
    </xf>
    <xf numFmtId="164" fontId="0" fillId="0" borderId="0" xfId="2" applyNumberFormat="1" applyFont="1" applyFill="1" applyBorder="1"/>
    <xf numFmtId="0" fontId="4" fillId="0" borderId="0" xfId="0" applyFont="1" applyFill="1" applyBorder="1" applyAlignment="1">
      <alignment horizontal="center" vertical="center" wrapText="1"/>
    </xf>
    <xf numFmtId="0" fontId="0" fillId="0" borderId="0" xfId="0" applyFill="1" applyBorder="1" applyAlignment="1">
      <alignment vertical="center"/>
    </xf>
    <xf numFmtId="0" fontId="33" fillId="0" borderId="0" xfId="0" applyFont="1" applyFill="1" applyAlignment="1">
      <alignment wrapText="1"/>
    </xf>
    <xf numFmtId="0" fontId="33" fillId="0" borderId="0" xfId="0" applyFont="1" applyFill="1" applyAlignment="1">
      <alignment horizontal="center" wrapText="1"/>
    </xf>
    <xf numFmtId="0" fontId="30" fillId="0" borderId="0" xfId="0" applyFont="1" applyFill="1" applyAlignment="1">
      <alignment horizontal="center"/>
    </xf>
    <xf numFmtId="0" fontId="33" fillId="0" borderId="0" xfId="0" applyFont="1" applyFill="1"/>
    <xf numFmtId="164" fontId="0" fillId="0" borderId="0" xfId="0" applyNumberFormat="1" applyFill="1" applyBorder="1"/>
    <xf numFmtId="6" fontId="0" fillId="0" borderId="0" xfId="0" applyNumberFormat="1"/>
    <xf numFmtId="3" fontId="3" fillId="0" borderId="0" xfId="4" applyNumberFormat="1" applyFont="1" applyFill="1" applyBorder="1" applyAlignment="1">
      <alignment horizontal="center"/>
    </xf>
    <xf numFmtId="0" fontId="3" fillId="0" borderId="0" xfId="0" applyFont="1" applyFill="1" applyBorder="1" applyAlignment="1">
      <alignment horizontal="center" wrapText="1"/>
    </xf>
    <xf numFmtId="0" fontId="4" fillId="0" borderId="0" xfId="0" applyFont="1" applyFill="1" applyBorder="1" applyAlignment="1">
      <alignment horizontal="center" wrapText="1"/>
    </xf>
    <xf numFmtId="164" fontId="3" fillId="0" borderId="0" xfId="0" applyNumberFormat="1" applyFont="1" applyFill="1" applyBorder="1" applyAlignment="1"/>
    <xf numFmtId="9" fontId="2" fillId="14" borderId="1" xfId="2" applyNumberFormat="1" applyFont="1" applyFill="1" applyBorder="1" applyAlignment="1">
      <alignment horizontal="right"/>
    </xf>
    <xf numFmtId="3" fontId="5" fillId="15" borderId="1" xfId="0" applyNumberFormat="1" applyFont="1" applyFill="1" applyBorder="1" applyAlignment="1">
      <alignment horizontal="center"/>
    </xf>
    <xf numFmtId="3" fontId="7" fillId="15" borderId="1" xfId="0" applyNumberFormat="1" applyFont="1" applyFill="1" applyBorder="1" applyAlignment="1">
      <alignment horizontal="center"/>
    </xf>
    <xf numFmtId="10" fontId="11" fillId="15" borderId="1" xfId="0" applyNumberFormat="1" applyFont="1" applyFill="1" applyBorder="1" applyAlignment="1">
      <alignment horizontal="center" vertical="center"/>
    </xf>
    <xf numFmtId="0" fontId="11" fillId="8" borderId="1" xfId="0" applyFont="1" applyFill="1" applyBorder="1" applyAlignment="1">
      <alignment vertical="center"/>
    </xf>
    <xf numFmtId="165" fontId="11" fillId="8" borderId="1" xfId="4" applyNumberFormat="1" applyFont="1" applyFill="1" applyBorder="1" applyAlignment="1">
      <alignment horizontal="center" vertical="center"/>
    </xf>
    <xf numFmtId="165" fontId="11" fillId="9" borderId="1" xfId="0" applyNumberFormat="1" applyFont="1" applyFill="1" applyBorder="1" applyAlignment="1">
      <alignment horizontal="center" vertical="center"/>
    </xf>
    <xf numFmtId="0" fontId="11" fillId="9" borderId="1" xfId="0" quotePrefix="1" applyFont="1" applyFill="1" applyBorder="1" applyAlignment="1">
      <alignment vertical="center"/>
    </xf>
    <xf numFmtId="166" fontId="11" fillId="15" borderId="1" xfId="0" applyNumberFormat="1" applyFont="1" applyFill="1" applyBorder="1" applyAlignment="1">
      <alignment horizontal="center" vertical="center"/>
    </xf>
    <xf numFmtId="0" fontId="11" fillId="10" borderId="1" xfId="0" applyFont="1" applyFill="1" applyBorder="1" applyAlignment="1">
      <alignment vertical="center"/>
    </xf>
    <xf numFmtId="10" fontId="11" fillId="9" borderId="1" xfId="0" applyNumberFormat="1" applyFont="1" applyFill="1" applyBorder="1" applyAlignment="1">
      <alignment horizontal="center" vertical="center"/>
    </xf>
    <xf numFmtId="166" fontId="11" fillId="9" borderId="1" xfId="0" applyNumberFormat="1" applyFont="1" applyFill="1" applyBorder="1" applyAlignment="1">
      <alignment horizontal="center" vertical="center"/>
    </xf>
    <xf numFmtId="165" fontId="11" fillId="10" borderId="1" xfId="0" applyNumberFormat="1" applyFont="1" applyFill="1" applyBorder="1" applyAlignment="1">
      <alignment horizontal="center" vertical="center"/>
    </xf>
    <xf numFmtId="9" fontId="12" fillId="9" borderId="1" xfId="1" applyFont="1" applyFill="1" applyBorder="1" applyAlignment="1">
      <alignment horizontal="center" vertical="center"/>
    </xf>
    <xf numFmtId="3" fontId="11" fillId="15" borderId="1" xfId="0" applyNumberFormat="1" applyFont="1" applyFill="1" applyBorder="1" applyAlignment="1">
      <alignment horizontal="center"/>
    </xf>
    <xf numFmtId="3" fontId="0" fillId="0" borderId="0" xfId="0" applyNumberFormat="1" applyFill="1"/>
    <xf numFmtId="0" fontId="26" fillId="0" borderId="0" xfId="0" applyFont="1"/>
    <xf numFmtId="0" fontId="26" fillId="0" borderId="0" xfId="0" applyFont="1" applyAlignment="1">
      <alignment vertical="center"/>
    </xf>
    <xf numFmtId="0" fontId="2" fillId="0" borderId="1" xfId="0" applyFont="1" applyFill="1" applyBorder="1" applyAlignment="1">
      <alignment horizontal="left" vertical="center" wrapText="1"/>
    </xf>
    <xf numFmtId="0" fontId="26" fillId="0" borderId="0" xfId="0" applyFont="1" applyFill="1" applyAlignment="1">
      <alignment vertical="center"/>
    </xf>
    <xf numFmtId="0" fontId="7"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 xfId="0" applyFont="1" applyBorder="1" applyAlignment="1">
      <alignment horizontal="left" vertical="center" wrapText="1"/>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6" applyFont="1" applyBorder="1" applyAlignment="1" applyProtection="1">
      <alignment vertical="center" wrapText="1"/>
    </xf>
    <xf numFmtId="0" fontId="7" fillId="0" borderId="1" xfId="0" applyFont="1" applyBorder="1" applyAlignment="1">
      <alignment horizontal="left" vertical="center"/>
    </xf>
    <xf numFmtId="0" fontId="6" fillId="0" borderId="1" xfId="0" applyFont="1" applyFill="1" applyBorder="1" applyAlignment="1">
      <alignment horizontal="left" vertical="center"/>
    </xf>
    <xf numFmtId="0" fontId="9" fillId="12" borderId="1" xfId="0" applyFont="1" applyFill="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5" fillId="0" borderId="2" xfId="0" applyFont="1" applyBorder="1" applyAlignment="1">
      <alignment horizontal="left"/>
    </xf>
    <xf numFmtId="0" fontId="5" fillId="0" borderId="4" xfId="0" applyFont="1" applyBorder="1" applyAlignment="1">
      <alignment horizontal="left"/>
    </xf>
    <xf numFmtId="0" fontId="7" fillId="0" borderId="1" xfId="0" applyFont="1" applyBorder="1" applyAlignment="1">
      <alignment vertical="center" wrapText="1"/>
    </xf>
    <xf numFmtId="0" fontId="0" fillId="0" borderId="1" xfId="0" applyBorder="1" applyAlignment="1">
      <alignment vertical="center" wrapText="1"/>
    </xf>
    <xf numFmtId="0" fontId="36" fillId="13" borderId="2" xfId="0" applyFont="1" applyFill="1" applyBorder="1" applyAlignment="1">
      <alignment horizontal="left" vertical="center"/>
    </xf>
    <xf numFmtId="0" fontId="36" fillId="13" borderId="3" xfId="0" applyFont="1" applyFill="1" applyBorder="1" applyAlignment="1">
      <alignment horizontal="left" vertical="center"/>
    </xf>
    <xf numFmtId="0" fontId="36" fillId="13" borderId="4" xfId="0" applyFont="1" applyFill="1" applyBorder="1" applyAlignment="1">
      <alignment horizontal="left" vertical="center"/>
    </xf>
    <xf numFmtId="0" fontId="6" fillId="10"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9" fillId="12" borderId="11"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7" fillId="0" borderId="2" xfId="0" applyFont="1" applyBorder="1" applyAlignment="1">
      <alignment horizontal="right" vertical="center"/>
    </xf>
    <xf numFmtId="0" fontId="37" fillId="0" borderId="4" xfId="0" applyFont="1" applyBorder="1" applyAlignment="1">
      <alignment horizontal="right" vertical="center"/>
    </xf>
    <xf numFmtId="0" fontId="36" fillId="0" borderId="2" xfId="0" applyFont="1" applyBorder="1" applyAlignment="1">
      <alignment horizontal="left" vertical="center"/>
    </xf>
    <xf numFmtId="0" fontId="36" fillId="0" borderId="4" xfId="0" applyFont="1" applyBorder="1" applyAlignment="1">
      <alignment horizontal="left" vertical="center"/>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Percent"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xeloncorp.sharepoint.com/Marketing%20&amp;%20Environmental%20Programs/DSM%20-%20EE%20Planning/_EMV_Reporting/Reporting/Weekly%20Scorecard/CY2021/2021%20EE%20MWh%20Forecast%20Savings_Filed%20Goal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sheetName val="Residential Team-Grimyser"/>
      <sheetName val="Business Team-Lewand"/>
      <sheetName val="PS_IE Team-Jean A"/>
      <sheetName val="Engineering Team-Ed K"/>
      <sheetName val="Technical Team-Hamann"/>
      <sheetName val="VO-Sepideh Fard"/>
      <sheetName val="2021_monthly_forecast_distri"/>
    </sheetNames>
    <sheetDataSet>
      <sheetData sheetId="0">
        <row r="3">
          <cell r="F3">
            <v>33862.940225642007</v>
          </cell>
        </row>
        <row r="4">
          <cell r="F4">
            <v>1377.4776228332878</v>
          </cell>
        </row>
        <row r="5">
          <cell r="F5">
            <v>106471.00000000003</v>
          </cell>
        </row>
        <row r="6">
          <cell r="F6">
            <v>91176.495665813753</v>
          </cell>
        </row>
        <row r="9">
          <cell r="F9">
            <v>6843.5748594873885</v>
          </cell>
        </row>
        <row r="10">
          <cell r="F10">
            <v>9816</v>
          </cell>
        </row>
        <row r="11">
          <cell r="F11">
            <v>15066.644098050696</v>
          </cell>
        </row>
        <row r="13">
          <cell r="F13">
            <v>21702.515446331541</v>
          </cell>
        </row>
        <row r="14">
          <cell r="F14">
            <v>570.7407967267693</v>
          </cell>
        </row>
        <row r="16">
          <cell r="F16">
            <v>1538.9443886003498</v>
          </cell>
        </row>
        <row r="17">
          <cell r="F17">
            <v>28660.759957638285</v>
          </cell>
        </row>
        <row r="18">
          <cell r="F18">
            <v>3010.1229186056808</v>
          </cell>
        </row>
        <row r="19">
          <cell r="F19">
            <v>4111.1334175836964</v>
          </cell>
        </row>
        <row r="22">
          <cell r="F22">
            <v>6837.7481626347435</v>
          </cell>
        </row>
        <row r="25">
          <cell r="F25">
            <v>1630.8776568833398</v>
          </cell>
        </row>
        <row r="26">
          <cell r="F26">
            <v>15196.602981013857</v>
          </cell>
        </row>
        <row r="31">
          <cell r="F31">
            <v>160140.7657945622</v>
          </cell>
        </row>
        <row r="32">
          <cell r="F32">
            <v>184459.67777032725</v>
          </cell>
        </row>
        <row r="34">
          <cell r="F34">
            <v>14926.645603053184</v>
          </cell>
        </row>
        <row r="36">
          <cell r="F36">
            <v>1323.3162023529403</v>
          </cell>
        </row>
        <row r="38">
          <cell r="F38">
            <v>54686.422238193532</v>
          </cell>
        </row>
        <row r="39">
          <cell r="F39">
            <v>22382</v>
          </cell>
        </row>
        <row r="40">
          <cell r="F40">
            <v>28599.581599999987</v>
          </cell>
        </row>
        <row r="45">
          <cell r="F45">
            <v>7522.812526956478</v>
          </cell>
        </row>
        <row r="46">
          <cell r="F46">
            <v>11071.236595337323</v>
          </cell>
        </row>
        <row r="48">
          <cell r="F48">
            <v>52253.524597827665</v>
          </cell>
        </row>
        <row r="51">
          <cell r="F51">
            <v>330.82905058823508</v>
          </cell>
        </row>
        <row r="53">
          <cell r="F53">
            <v>6427.1449239326994</v>
          </cell>
        </row>
        <row r="54">
          <cell r="F54">
            <v>5595.5</v>
          </cell>
        </row>
        <row r="55">
          <cell r="F55">
            <v>559.99999999999943</v>
          </cell>
        </row>
        <row r="59">
          <cell r="F59">
            <v>259999.99999979819</v>
          </cell>
        </row>
      </sheetData>
      <sheetData sheetId="1"/>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Kapoor, Shikha:(ComEd)" id="{6056DAB8-A795-405A-B438-21F71FC6DD18}" userId="S::E061910@exelonds.com::f9467f03-421a-4614-be94-8bd49321dc4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0" dT="2021-04-20T15:38:31.06" personId="{6056DAB8-A795-405A-B438-21F71FC6DD18}" id="{399958BB-6B1E-4412-AD20-DE3C32FED2A2}">
    <text>Reflects Filed Goal</text>
  </threadedComment>
  <threadedComment ref="F20" dT="2021-04-27T19:15:05.61" personId="{6056DAB8-A795-405A-B438-21F71FC6DD18}" id="{CC1ABFD2-C679-4B3A-8669-6B6BB1B74505}">
    <text>Reflects LRP</text>
  </threadedComment>
  <threadedComment ref="K20" dT="2021-04-16T20:43:20.31" personId="{6056DAB8-A795-405A-B438-21F71FC6DD18}" id="{B5EDF01C-C365-49AC-B4A9-2A7C8EF067E4}">
    <text>LRP</text>
  </threadedComment>
  <threadedComment ref="L20" dT="2020-03-20T20:11:20.39" personId="{6056DAB8-A795-405A-B438-21F71FC6DD18}" id="{F5AFB128-45BC-421C-AC33-3A1CE674BDAF}">
    <text>Fadila's LE</text>
  </threadedComment>
  <threadedComment ref="H50" dT="2020-04-14T21:36:43.54" personId="{6056DAB8-A795-405A-B438-21F71FC6DD18}" id="{9332729E-CBA3-42CA-9A42-3573626B3DBA}">
    <text>RCx+Power TakeOff</text>
  </threadedComment>
  <threadedComment ref="B52" dT="2021-04-16T18:23:53.19" personId="{6056DAB8-A795-405A-B438-21F71FC6DD18}" id="{E77C4B4F-4DF8-405F-AB6B-346D2C47C188}">
    <text>Capital Streetlights</text>
  </threadedComment>
  <threadedComment ref="H55" dT="2020-03-11T14:54:36.40" personId="{6056DAB8-A795-405A-B438-21F71FC6DD18}" id="{7E7C4305-F617-4724-A96D-32974B65B4AD}">
    <text>Add value from reporting Quarter in this cell, Q1+Q2+Q3+Q4+C&amp;I General portion of BIDA</text>
  </threadedComment>
  <threadedComment ref="K55" dT="2021-05-06T12:18:37.94" personId="{6056DAB8-A795-405A-B438-21F71FC6DD18}" id="{A7BAB925-07A8-4C80-8C14-A35B326966AB}">
    <text>1. 11EECIGEN = $  150,000
2. 18EECITCH = $  200,400
3. 18EEPFEXP = $1,430,000
4. 16CSBIDA4 = $  279,697</text>
  </threadedComment>
</ThreadedComments>
</file>

<file path=xl/threadedComments/threadedComment2.xml><?xml version="1.0" encoding="utf-8"?>
<ThreadedComments xmlns="http://schemas.microsoft.com/office/spreadsheetml/2018/threadedcomments" xmlns:x="http://schemas.openxmlformats.org/spreadsheetml/2006/main">
  <threadedComment ref="C25" dT="2021-05-06T12:23:07.53" personId="{6056DAB8-A795-405A-B438-21F71FC6DD18}" id="{210E4CE7-2A0E-4A22-9E56-06F6EA717D48}">
    <text>Captured in "Ex-Ante Results",Cell H52</text>
  </threadedComment>
</ThreadedComments>
</file>

<file path=xl/threadedComments/threadedComment3.xml><?xml version="1.0" encoding="utf-8"?>
<ThreadedComments xmlns="http://schemas.microsoft.com/office/spreadsheetml/2018/threadedcomments" xmlns:x="http://schemas.openxmlformats.org/spreadsheetml/2006/main">
  <threadedComment ref="D28" dT="2021-04-19T13:52:47.41" personId="{6056DAB8-A795-405A-B438-21F71FC6DD18}" id="{4EBD50D9-13D4-40A4-BE93-192CFB232905}">
    <text>Per Summary Impact Evaluation Report 2021 received from Guide House</text>
  </threadedComment>
</ThreadedComments>
</file>

<file path=xl/threadedComments/threadedComment4.xml><?xml version="1.0" encoding="utf-8"?>
<ThreadedComments xmlns="http://schemas.microsoft.com/office/spreadsheetml/2018/threadedcomments" xmlns:x="http://schemas.openxmlformats.org/spreadsheetml/2006/main">
  <threadedComment ref="N12" dT="2021-04-19T14:30:22.57" personId="{6056DAB8-A795-405A-B438-21F71FC6DD18}" id="{CF2C3884-3175-4FF8-9CB0-001C6D061AA1}">
    <text>Per Summary Impact Evaluation Report 2021 received from Guide House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7" Type="http://schemas.microsoft.com/office/2017/10/relationships/threadedComment" Target="../threadedComments/threadedComment3.xml"/><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89318521683403E-2"/>
    <pageSetUpPr fitToPage="1"/>
  </sheetPr>
  <dimension ref="B1:U128"/>
  <sheetViews>
    <sheetView tabSelected="1" topLeftCell="A114" zoomScaleNormal="100" zoomScaleSheetLayoutView="50" workbookViewId="0">
      <selection activeCell="C120" sqref="C120"/>
    </sheetView>
  </sheetViews>
  <sheetFormatPr defaultColWidth="9.1796875" defaultRowHeight="22.5" customHeight="1" x14ac:dyDescent="0.35"/>
  <cols>
    <col min="1" max="1" width="2.54296875" customWidth="1"/>
    <col min="2" max="2" width="40.54296875" customWidth="1"/>
    <col min="3" max="3" width="15" style="61" customWidth="1"/>
    <col min="4" max="4" width="17.26953125" style="61" customWidth="1"/>
    <col min="5" max="5" width="17.54296875" style="61" customWidth="1"/>
    <col min="6" max="6" width="16" customWidth="1"/>
    <col min="7" max="7" width="19.54296875" style="61" customWidth="1"/>
    <col min="8" max="8" width="14.54296875" customWidth="1"/>
    <col min="9" max="9" width="19.54296875" customWidth="1"/>
    <col min="10" max="10" width="16.1796875" customWidth="1"/>
    <col min="11" max="12" width="14.54296875" customWidth="1"/>
    <col min="13" max="13" width="16.453125" customWidth="1"/>
    <col min="14" max="14" width="15.26953125" customWidth="1"/>
    <col min="15" max="15" width="24.54296875" customWidth="1"/>
    <col min="16" max="16" width="14" customWidth="1"/>
    <col min="17" max="17" width="18.26953125" customWidth="1"/>
    <col min="18" max="18" width="17.54296875" customWidth="1"/>
    <col min="19" max="19" width="10.54296875" bestFit="1" customWidth="1"/>
    <col min="20" max="20" width="17" bestFit="1" customWidth="1"/>
    <col min="21" max="21" width="13.26953125" bestFit="1" customWidth="1"/>
  </cols>
  <sheetData>
    <row r="1" spans="2:15" ht="22.5" customHeight="1" x14ac:dyDescent="0.35">
      <c r="B1" s="5" t="s">
        <v>0</v>
      </c>
      <c r="C1" s="174"/>
      <c r="D1" s="174"/>
      <c r="E1" s="174"/>
    </row>
    <row r="2" spans="2:15" ht="22.5" customHeight="1" x14ac:dyDescent="0.35">
      <c r="B2" s="5" t="s">
        <v>1</v>
      </c>
      <c r="C2" s="174"/>
      <c r="D2" s="174"/>
      <c r="E2" s="174"/>
    </row>
    <row r="3" spans="2:15" ht="22.5" customHeight="1" x14ac:dyDescent="0.35">
      <c r="B3" s="5" t="s">
        <v>2</v>
      </c>
      <c r="C3" s="174"/>
      <c r="D3" s="174"/>
      <c r="E3" s="174"/>
    </row>
    <row r="4" spans="2:15" ht="22.5" customHeight="1" x14ac:dyDescent="0.35">
      <c r="B4" s="5"/>
      <c r="C4" s="174"/>
      <c r="D4" s="174"/>
      <c r="E4" s="174"/>
    </row>
    <row r="5" spans="2:15" ht="22.5" customHeight="1" x14ac:dyDescent="0.35">
      <c r="B5" s="285" t="s">
        <v>3</v>
      </c>
      <c r="C5" s="286"/>
      <c r="D5" s="286"/>
      <c r="E5" s="286"/>
      <c r="F5" s="286"/>
      <c r="G5" s="286"/>
      <c r="H5" s="286"/>
      <c r="I5" s="286"/>
      <c r="J5" s="286"/>
      <c r="K5" s="286"/>
      <c r="L5" s="286"/>
      <c r="M5" s="287"/>
    </row>
    <row r="6" spans="2:15" ht="45" customHeight="1" x14ac:dyDescent="0.35">
      <c r="B6" s="288"/>
      <c r="C6" s="289"/>
      <c r="D6" s="289"/>
      <c r="E6" s="289"/>
      <c r="F6" s="289"/>
      <c r="G6" s="289"/>
      <c r="H6" s="289"/>
      <c r="I6" s="289"/>
      <c r="J6" s="289"/>
      <c r="K6" s="289"/>
      <c r="L6" s="289"/>
      <c r="M6" s="290"/>
    </row>
    <row r="7" spans="2:15" ht="22.5" customHeight="1" x14ac:dyDescent="0.35">
      <c r="B7" s="76"/>
      <c r="C7" s="174"/>
      <c r="D7" s="174"/>
      <c r="E7" s="174"/>
    </row>
    <row r="8" spans="2:15" ht="22.5" customHeight="1" x14ac:dyDescent="0.35">
      <c r="B8" s="291" t="s">
        <v>4</v>
      </c>
      <c r="C8" s="291"/>
      <c r="D8" s="291"/>
      <c r="E8" s="291"/>
      <c r="F8" s="291"/>
      <c r="G8" s="291"/>
      <c r="H8" s="291"/>
      <c r="I8" s="291"/>
      <c r="J8" s="291"/>
      <c r="K8" s="291"/>
      <c r="L8" s="291"/>
      <c r="M8" s="291"/>
    </row>
    <row r="9" spans="2:15" ht="22.5" customHeight="1" x14ac:dyDescent="0.35">
      <c r="B9" s="291"/>
      <c r="C9" s="291"/>
      <c r="D9" s="291"/>
      <c r="E9" s="291"/>
      <c r="F9" s="291"/>
      <c r="G9" s="291"/>
      <c r="H9" s="291"/>
      <c r="I9" s="291"/>
      <c r="J9" s="291"/>
      <c r="K9" s="291"/>
      <c r="L9" s="291"/>
      <c r="M9" s="291"/>
    </row>
    <row r="10" spans="2:15" ht="22.5" customHeight="1" x14ac:dyDescent="0.35">
      <c r="B10" s="291"/>
      <c r="C10" s="291"/>
      <c r="D10" s="291"/>
      <c r="E10" s="291"/>
      <c r="F10" s="291"/>
      <c r="G10" s="291"/>
      <c r="H10" s="291"/>
      <c r="I10" s="291"/>
      <c r="J10" s="291"/>
      <c r="K10" s="291"/>
      <c r="L10" s="291"/>
      <c r="M10" s="291"/>
    </row>
    <row r="11" spans="2:15" ht="22.5" customHeight="1" x14ac:dyDescent="0.35">
      <c r="B11" s="291"/>
      <c r="C11" s="291"/>
      <c r="D11" s="291"/>
      <c r="E11" s="291"/>
      <c r="F11" s="291"/>
      <c r="G11" s="291"/>
      <c r="H11" s="291"/>
      <c r="I11" s="291"/>
      <c r="J11" s="291"/>
      <c r="K11" s="291"/>
      <c r="L11" s="291"/>
      <c r="M11" s="291"/>
    </row>
    <row r="12" spans="2:15" ht="22.5" customHeight="1" x14ac:dyDescent="0.35">
      <c r="B12" s="291"/>
      <c r="C12" s="291"/>
      <c r="D12" s="291"/>
      <c r="E12" s="291"/>
      <c r="F12" s="291"/>
      <c r="G12" s="291"/>
      <c r="H12" s="291"/>
      <c r="I12" s="291"/>
      <c r="J12" s="291"/>
      <c r="K12" s="291"/>
      <c r="L12" s="291"/>
      <c r="M12" s="291"/>
    </row>
    <row r="13" spans="2:15" ht="22.5" customHeight="1" x14ac:dyDescent="0.35">
      <c r="B13" s="291"/>
      <c r="C13" s="291"/>
      <c r="D13" s="291"/>
      <c r="E13" s="291"/>
      <c r="F13" s="291"/>
      <c r="G13" s="291"/>
      <c r="H13" s="291"/>
      <c r="I13" s="291"/>
      <c r="J13" s="291"/>
      <c r="K13" s="291"/>
      <c r="L13" s="291"/>
      <c r="M13" s="291"/>
    </row>
    <row r="14" spans="2:15" ht="27.75" customHeight="1" x14ac:dyDescent="0.35">
      <c r="B14" s="291"/>
      <c r="C14" s="291"/>
      <c r="D14" s="291"/>
      <c r="E14" s="291"/>
      <c r="F14" s="291"/>
      <c r="G14" s="291"/>
      <c r="H14" s="291"/>
      <c r="I14" s="291"/>
      <c r="J14" s="291"/>
      <c r="K14" s="291"/>
      <c r="L14" s="291"/>
      <c r="M14" s="291"/>
    </row>
    <row r="15" spans="2:15" ht="22.5" customHeight="1" x14ac:dyDescent="0.35">
      <c r="B15" s="291"/>
      <c r="C15" s="291"/>
      <c r="D15" s="291"/>
      <c r="E15" s="291"/>
      <c r="F15" s="291"/>
      <c r="G15" s="291"/>
      <c r="H15" s="291"/>
      <c r="I15" s="291"/>
      <c r="J15" s="291"/>
      <c r="K15" s="291"/>
      <c r="L15" s="291"/>
      <c r="M15" s="291"/>
    </row>
    <row r="16" spans="2:15" ht="17.25" customHeight="1" x14ac:dyDescent="0.35">
      <c r="B16" s="291"/>
      <c r="C16" s="291"/>
      <c r="D16" s="291"/>
      <c r="E16" s="291"/>
      <c r="F16" s="291"/>
      <c r="G16" s="291"/>
      <c r="H16" s="291"/>
      <c r="I16" s="291"/>
      <c r="J16" s="291"/>
      <c r="K16" s="291"/>
      <c r="L16" s="291"/>
      <c r="M16" s="291"/>
      <c r="O16" s="173"/>
    </row>
    <row r="17" spans="2:18" ht="22.5" customHeight="1" x14ac:dyDescent="0.35">
      <c r="B17" s="60"/>
      <c r="C17" s="172"/>
      <c r="D17" s="172"/>
      <c r="E17" s="172"/>
      <c r="F17" s="60"/>
      <c r="G17" s="172"/>
      <c r="H17" s="60"/>
      <c r="I17" s="60"/>
      <c r="J17" s="60"/>
      <c r="K17" s="60"/>
      <c r="L17" s="60"/>
      <c r="M17" s="60"/>
    </row>
    <row r="18" spans="2:18" ht="22.5" customHeight="1" x14ac:dyDescent="0.35">
      <c r="B18" s="106" t="s">
        <v>5</v>
      </c>
      <c r="C18" s="172"/>
      <c r="D18" s="172"/>
      <c r="E18" s="172"/>
      <c r="F18" s="60"/>
      <c r="G18" s="172"/>
      <c r="H18" s="60"/>
      <c r="I18" s="60"/>
      <c r="J18" s="60"/>
      <c r="K18" s="60"/>
      <c r="L18" s="60"/>
      <c r="M18" s="60"/>
    </row>
    <row r="19" spans="2:18" ht="35.25" customHeight="1" x14ac:dyDescent="0.35">
      <c r="B19" s="172"/>
      <c r="C19" s="172"/>
      <c r="D19" s="172"/>
      <c r="E19" s="172"/>
      <c r="F19" s="172"/>
      <c r="G19" s="172"/>
      <c r="H19" s="241"/>
      <c r="I19" s="238"/>
      <c r="J19" s="239"/>
      <c r="K19" s="240"/>
      <c r="L19" s="239"/>
      <c r="M19" s="60"/>
      <c r="P19" s="229"/>
    </row>
    <row r="20" spans="2:18" s="45" customFormat="1" ht="66.75" customHeight="1" x14ac:dyDescent="0.3">
      <c r="B20" s="44" t="s">
        <v>6</v>
      </c>
      <c r="C20" s="44" t="s">
        <v>7</v>
      </c>
      <c r="D20" s="44" t="s">
        <v>8</v>
      </c>
      <c r="E20" s="44" t="s">
        <v>9</v>
      </c>
      <c r="F20" s="44" t="s">
        <v>10</v>
      </c>
      <c r="G20" s="196" t="s">
        <v>11</v>
      </c>
      <c r="H20" s="55" t="s">
        <v>12</v>
      </c>
      <c r="I20" s="44" t="s">
        <v>13</v>
      </c>
      <c r="J20" s="44" t="s">
        <v>14</v>
      </c>
      <c r="K20" s="44" t="s">
        <v>15</v>
      </c>
      <c r="L20" s="44" t="s">
        <v>16</v>
      </c>
      <c r="M20" s="44" t="s">
        <v>17</v>
      </c>
      <c r="N20" s="229"/>
      <c r="O20" s="247"/>
      <c r="P20" s="247"/>
      <c r="Q20" s="170"/>
      <c r="R20" s="170"/>
    </row>
    <row r="21" spans="2:18" ht="22.5" customHeight="1" x14ac:dyDescent="0.35">
      <c r="B21" s="34" t="s">
        <v>18</v>
      </c>
      <c r="C21" s="175"/>
      <c r="D21" s="35"/>
      <c r="E21" s="35"/>
      <c r="F21" s="35"/>
      <c r="G21" s="200"/>
      <c r="H21" s="35"/>
      <c r="I21" s="35"/>
      <c r="J21" s="35"/>
      <c r="K21" s="35"/>
      <c r="L21" s="35"/>
      <c r="M21" s="36"/>
      <c r="Q21" s="87"/>
      <c r="R21" s="87"/>
    </row>
    <row r="22" spans="2:18" ht="22.5" customHeight="1" x14ac:dyDescent="0.35">
      <c r="B22" s="1" t="s">
        <v>19</v>
      </c>
      <c r="C22" s="206">
        <f>C40+C57</f>
        <v>37201.777569092403</v>
      </c>
      <c r="D22" s="206">
        <f>D40+D57</f>
        <v>307390.91582805471</v>
      </c>
      <c r="E22" s="206">
        <f>D22</f>
        <v>307390.91582805471</v>
      </c>
      <c r="F22" s="207">
        <f t="shared" ref="F22:F35" si="0">F40+F57</f>
        <v>206736.32675142787</v>
      </c>
      <c r="G22" s="208">
        <f>IF(F22=0,"N/A",C22/F22)</f>
        <v>0.17994794699928304</v>
      </c>
      <c r="H22" s="209">
        <f>H40+H57</f>
        <v>9289063.9600000009</v>
      </c>
      <c r="I22" s="210">
        <f>I40+I57</f>
        <v>5666329.0155999996</v>
      </c>
      <c r="J22" s="210">
        <f>J40+J57</f>
        <v>3622734.9444000009</v>
      </c>
      <c r="K22" s="210">
        <f>K40+K57</f>
        <v>51818993.379689015</v>
      </c>
      <c r="L22" s="210">
        <f>L40+L57</f>
        <v>51791435.677124999</v>
      </c>
      <c r="M22" s="211">
        <f t="shared" ref="M22:M38" si="1">IF(L22=0,"N/A",H22/L22)</f>
        <v>0.17935521266313828</v>
      </c>
      <c r="N22" s="235"/>
      <c r="O22" s="235"/>
      <c r="P22" s="235"/>
      <c r="Q22" s="87"/>
      <c r="R22" s="87"/>
    </row>
    <row r="23" spans="2:18" ht="22.5" customHeight="1" x14ac:dyDescent="0.35">
      <c r="B23" s="124" t="s">
        <v>20</v>
      </c>
      <c r="C23" s="212">
        <f t="shared" ref="C23:C35" si="2">C41+C58</f>
        <v>36710.909999999996</v>
      </c>
      <c r="D23" s="213" t="s">
        <v>21</v>
      </c>
      <c r="E23" s="212" t="str">
        <f t="shared" ref="E23:E86" si="3">D23</f>
        <v>N/A</v>
      </c>
      <c r="F23" s="214">
        <f t="shared" si="0"/>
        <v>191121</v>
      </c>
      <c r="G23" s="208">
        <f t="shared" ref="G23:G36" si="4">IF(F23=0,"N/A",C23/F23)</f>
        <v>0.1920820318018428</v>
      </c>
      <c r="H23" s="215">
        <f t="shared" ref="H23:J35" si="5">H41+H58</f>
        <v>8635718.0800000001</v>
      </c>
      <c r="I23" s="213">
        <f t="shared" si="5"/>
        <v>5267788.0287999995</v>
      </c>
      <c r="J23" s="213">
        <f t="shared" si="5"/>
        <v>3367930.0512000006</v>
      </c>
      <c r="K23" s="213" t="s">
        <v>21</v>
      </c>
      <c r="L23" s="213">
        <f t="shared" ref="L23:L35" si="6">L41+L58</f>
        <v>46346989.079999998</v>
      </c>
      <c r="M23" s="216">
        <f t="shared" si="1"/>
        <v>0.18632748861190965</v>
      </c>
      <c r="N23" s="235"/>
      <c r="O23" s="235"/>
      <c r="P23" s="235"/>
      <c r="Q23" s="87"/>
      <c r="R23" s="87"/>
    </row>
    <row r="24" spans="2:18" ht="22.5" customHeight="1" x14ac:dyDescent="0.35">
      <c r="B24" s="124" t="s">
        <v>22</v>
      </c>
      <c r="C24" s="212">
        <f t="shared" si="2"/>
        <v>490.8675690924</v>
      </c>
      <c r="D24" s="213" t="s">
        <v>21</v>
      </c>
      <c r="E24" s="212" t="str">
        <f t="shared" si="3"/>
        <v>N/A</v>
      </c>
      <c r="F24" s="214">
        <f t="shared" si="0"/>
        <v>15615.32675142788</v>
      </c>
      <c r="G24" s="208">
        <f t="shared" si="4"/>
        <v>3.1434985441307822E-2</v>
      </c>
      <c r="H24" s="215">
        <f t="shared" si="5"/>
        <v>653345.87999999989</v>
      </c>
      <c r="I24" s="213">
        <f t="shared" si="5"/>
        <v>398540.98679999996</v>
      </c>
      <c r="J24" s="213">
        <f t="shared" si="5"/>
        <v>254804.89319999993</v>
      </c>
      <c r="K24" s="213" t="s">
        <v>21</v>
      </c>
      <c r="L24" s="213">
        <f t="shared" si="6"/>
        <v>5444446.5971250003</v>
      </c>
      <c r="M24" s="216">
        <f t="shared" si="1"/>
        <v>0.12000225704206674</v>
      </c>
      <c r="N24" s="235"/>
      <c r="O24" s="235"/>
      <c r="P24" s="235"/>
      <c r="Q24" s="87"/>
      <c r="R24" s="87"/>
    </row>
    <row r="25" spans="2:18" ht="22.5" customHeight="1" x14ac:dyDescent="0.35">
      <c r="B25" s="124" t="s">
        <v>23</v>
      </c>
      <c r="C25" s="212">
        <f t="shared" si="2"/>
        <v>0</v>
      </c>
      <c r="D25" s="213" t="s">
        <v>21</v>
      </c>
      <c r="E25" s="212" t="str">
        <f t="shared" si="3"/>
        <v>N/A</v>
      </c>
      <c r="F25" s="214">
        <f t="shared" si="0"/>
        <v>0</v>
      </c>
      <c r="G25" s="208" t="str">
        <f t="shared" si="4"/>
        <v>N/A</v>
      </c>
      <c r="H25" s="215">
        <f t="shared" si="5"/>
        <v>0</v>
      </c>
      <c r="I25" s="213">
        <f t="shared" si="5"/>
        <v>0</v>
      </c>
      <c r="J25" s="213">
        <f t="shared" si="5"/>
        <v>0</v>
      </c>
      <c r="K25" s="213" t="s">
        <v>21</v>
      </c>
      <c r="L25" s="213">
        <f t="shared" si="6"/>
        <v>0</v>
      </c>
      <c r="M25" s="216" t="str">
        <f>IF(L25=0,"N/A",H25/L25)</f>
        <v>N/A</v>
      </c>
      <c r="N25" s="235"/>
      <c r="O25" s="3"/>
      <c r="P25" s="3"/>
      <c r="Q25" s="87"/>
      <c r="R25" s="87"/>
    </row>
    <row r="26" spans="2:18" s="61" customFormat="1" ht="22.5" customHeight="1" x14ac:dyDescent="0.35">
      <c r="B26" s="124" t="s">
        <v>24</v>
      </c>
      <c r="C26" s="212">
        <f t="shared" si="2"/>
        <v>0</v>
      </c>
      <c r="D26" s="213" t="s">
        <v>21</v>
      </c>
      <c r="E26" s="212" t="str">
        <f>D26</f>
        <v>N/A</v>
      </c>
      <c r="F26" s="214">
        <f t="shared" si="0"/>
        <v>0</v>
      </c>
      <c r="G26" s="208" t="str">
        <f t="shared" si="4"/>
        <v>N/A</v>
      </c>
      <c r="H26" s="215">
        <f t="shared" si="5"/>
        <v>0</v>
      </c>
      <c r="I26" s="213">
        <f t="shared" si="5"/>
        <v>0</v>
      </c>
      <c r="J26" s="213">
        <f t="shared" si="5"/>
        <v>0</v>
      </c>
      <c r="K26" s="213" t="s">
        <v>21</v>
      </c>
      <c r="L26" s="213">
        <f t="shared" si="6"/>
        <v>0</v>
      </c>
      <c r="M26" s="216" t="str">
        <f t="shared" si="1"/>
        <v>N/A</v>
      </c>
      <c r="N26" s="235"/>
      <c r="O26" s="236"/>
      <c r="P26" s="236"/>
      <c r="Q26" s="42"/>
      <c r="R26" s="42"/>
    </row>
    <row r="27" spans="2:18" ht="22.5" customHeight="1" x14ac:dyDescent="0.35">
      <c r="B27" s="1" t="s">
        <v>25</v>
      </c>
      <c r="C27" s="206">
        <f t="shared" si="2"/>
        <v>58693.699000000008</v>
      </c>
      <c r="D27" s="206">
        <f t="shared" ref="D27:D35" si="7">D45+D62</f>
        <v>167663.5783215187</v>
      </c>
      <c r="E27" s="206">
        <f t="shared" si="3"/>
        <v>167663.5783215187</v>
      </c>
      <c r="F27" s="207">
        <f t="shared" si="0"/>
        <v>196000</v>
      </c>
      <c r="G27" s="208">
        <f t="shared" si="4"/>
        <v>0.29945764795918373</v>
      </c>
      <c r="H27" s="209">
        <f t="shared" si="5"/>
        <v>17322152.940000001</v>
      </c>
      <c r="I27" s="210">
        <f t="shared" si="5"/>
        <v>10566513.293399999</v>
      </c>
      <c r="J27" s="210">
        <f t="shared" si="5"/>
        <v>6755639.6466000015</v>
      </c>
      <c r="K27" s="210">
        <f>K45+K62</f>
        <v>58080000.039999999</v>
      </c>
      <c r="L27" s="210">
        <f t="shared" si="6"/>
        <v>59828047.03701812</v>
      </c>
      <c r="M27" s="211">
        <f t="shared" si="1"/>
        <v>0.28953231465640289</v>
      </c>
      <c r="N27" s="235"/>
      <c r="O27" s="235"/>
      <c r="P27" s="235"/>
      <c r="Q27" s="87"/>
      <c r="R27" s="87"/>
    </row>
    <row r="28" spans="2:18" ht="22.5" customHeight="1" x14ac:dyDescent="0.35">
      <c r="B28" s="1" t="s">
        <v>26</v>
      </c>
      <c r="C28" s="206">
        <f t="shared" si="2"/>
        <v>33515.143451199736</v>
      </c>
      <c r="D28" s="206">
        <f t="shared" si="7"/>
        <v>195530.91436566459</v>
      </c>
      <c r="E28" s="206">
        <f t="shared" si="3"/>
        <v>195530.91436566459</v>
      </c>
      <c r="F28" s="207">
        <f t="shared" si="0"/>
        <v>175380</v>
      </c>
      <c r="G28" s="208">
        <f t="shared" si="4"/>
        <v>0.19110014512030868</v>
      </c>
      <c r="H28" s="209">
        <f t="shared" si="5"/>
        <v>2991820.1800000006</v>
      </c>
      <c r="I28" s="210">
        <f t="shared" si="5"/>
        <v>1825010.3098000004</v>
      </c>
      <c r="J28" s="210">
        <f t="shared" si="5"/>
        <v>1166809.8702000002</v>
      </c>
      <c r="K28" s="210">
        <f>K46+K63</f>
        <v>15249995</v>
      </c>
      <c r="L28" s="210">
        <f t="shared" si="6"/>
        <v>15250074.940000001</v>
      </c>
      <c r="M28" s="211">
        <f t="shared" si="1"/>
        <v>0.19618396576876102</v>
      </c>
      <c r="N28" s="235"/>
      <c r="O28" s="235"/>
      <c r="P28" s="235"/>
      <c r="Q28" s="87"/>
      <c r="R28" s="87"/>
    </row>
    <row r="29" spans="2:18" ht="22.5" customHeight="1" x14ac:dyDescent="0.35">
      <c r="B29" s="1" t="s">
        <v>27</v>
      </c>
      <c r="C29" s="206">
        <f t="shared" si="2"/>
        <v>0</v>
      </c>
      <c r="D29" s="206">
        <f t="shared" si="7"/>
        <v>0</v>
      </c>
      <c r="E29" s="206">
        <f t="shared" si="3"/>
        <v>0</v>
      </c>
      <c r="F29" s="206">
        <f t="shared" si="0"/>
        <v>0</v>
      </c>
      <c r="G29" s="217" t="str">
        <f t="shared" si="4"/>
        <v>N/A</v>
      </c>
      <c r="H29" s="210">
        <f t="shared" si="5"/>
        <v>0</v>
      </c>
      <c r="I29" s="210">
        <f t="shared" si="5"/>
        <v>0</v>
      </c>
      <c r="J29" s="210">
        <f t="shared" si="5"/>
        <v>0</v>
      </c>
      <c r="K29" s="210">
        <f>K47+K64</f>
        <v>0</v>
      </c>
      <c r="L29" s="210">
        <f t="shared" si="6"/>
        <v>0</v>
      </c>
      <c r="M29" s="211" t="str">
        <f>IF(L29=0,"N/A",H29/L29)</f>
        <v>N/A</v>
      </c>
      <c r="N29" s="235"/>
      <c r="O29" s="3"/>
      <c r="P29" s="3"/>
      <c r="Q29" s="87"/>
      <c r="R29" s="87"/>
    </row>
    <row r="30" spans="2:18" ht="22.5" customHeight="1" x14ac:dyDescent="0.35">
      <c r="B30" s="1" t="s">
        <v>28</v>
      </c>
      <c r="C30" s="206">
        <f t="shared" si="2"/>
        <v>1968.95623</v>
      </c>
      <c r="D30" s="206">
        <f t="shared" si="7"/>
        <v>31670.882876243966</v>
      </c>
      <c r="E30" s="206">
        <f t="shared" si="3"/>
        <v>31670.882876243966</v>
      </c>
      <c r="F30" s="206">
        <f t="shared" si="0"/>
        <v>16322.783764745</v>
      </c>
      <c r="G30" s="208">
        <f t="shared" si="4"/>
        <v>0.12062625213798878</v>
      </c>
      <c r="H30" s="210">
        <f t="shared" si="5"/>
        <v>1154434.6600000001</v>
      </c>
      <c r="I30" s="210">
        <f t="shared" si="5"/>
        <v>704205.14260000014</v>
      </c>
      <c r="J30" s="210">
        <f t="shared" si="5"/>
        <v>450229.51740000001</v>
      </c>
      <c r="K30" s="210">
        <f t="shared" ref="K30:K35" si="8">K48+K65</f>
        <v>5860572.7930000005</v>
      </c>
      <c r="L30" s="210">
        <f t="shared" si="6"/>
        <v>5425043.6661007749</v>
      </c>
      <c r="M30" s="211">
        <f t="shared" si="1"/>
        <v>0.21279730285189477</v>
      </c>
      <c r="N30" s="235"/>
      <c r="O30" s="235"/>
      <c r="P30" s="235"/>
      <c r="Q30" s="87"/>
      <c r="R30" s="87"/>
    </row>
    <row r="31" spans="2:18" ht="22.5" customHeight="1" x14ac:dyDescent="0.35">
      <c r="B31" s="1" t="s">
        <v>29</v>
      </c>
      <c r="C31" s="206">
        <f t="shared" si="2"/>
        <v>5066</v>
      </c>
      <c r="D31" s="206">
        <f t="shared" si="7"/>
        <v>29159.581599999987</v>
      </c>
      <c r="E31" s="206">
        <f t="shared" si="3"/>
        <v>29159.581599999987</v>
      </c>
      <c r="F31" s="206">
        <f t="shared" si="0"/>
        <v>46699.999680851062</v>
      </c>
      <c r="G31" s="208">
        <f t="shared" si="4"/>
        <v>0.10847965812893293</v>
      </c>
      <c r="H31" s="210">
        <f t="shared" si="5"/>
        <v>1844788.43</v>
      </c>
      <c r="I31" s="210">
        <f t="shared" si="5"/>
        <v>1125320.9423</v>
      </c>
      <c r="J31" s="210">
        <f t="shared" si="5"/>
        <v>719467.48769999994</v>
      </c>
      <c r="K31" s="210">
        <f t="shared" si="8"/>
        <v>11399999.960000001</v>
      </c>
      <c r="L31" s="210">
        <f t="shared" si="6"/>
        <v>11314433.120000001</v>
      </c>
      <c r="M31" s="211">
        <f t="shared" si="1"/>
        <v>0.1630473582223976</v>
      </c>
      <c r="O31" s="235"/>
      <c r="P31" s="235"/>
      <c r="Q31" s="87"/>
      <c r="R31" s="87"/>
    </row>
    <row r="32" spans="2:18" ht="22.5" customHeight="1" x14ac:dyDescent="0.35">
      <c r="B32" s="1" t="s">
        <v>30</v>
      </c>
      <c r="C32" s="206">
        <f t="shared" si="2"/>
        <v>5651.6145980000001</v>
      </c>
      <c r="D32" s="206">
        <f t="shared" si="7"/>
        <v>61113.56716212623</v>
      </c>
      <c r="E32" s="206">
        <f t="shared" si="3"/>
        <v>61113.56716212623</v>
      </c>
      <c r="F32" s="206">
        <f t="shared" si="0"/>
        <v>50178.684286135431</v>
      </c>
      <c r="G32" s="208">
        <f t="shared" si="4"/>
        <v>0.11262978849291119</v>
      </c>
      <c r="H32" s="210">
        <f t="shared" si="5"/>
        <v>1355835.5999999999</v>
      </c>
      <c r="I32" s="210">
        <f t="shared" si="5"/>
        <v>827059.7159999999</v>
      </c>
      <c r="J32" s="210">
        <f t="shared" si="5"/>
        <v>528775.88399999996</v>
      </c>
      <c r="K32" s="210">
        <f t="shared" si="8"/>
        <v>11983967.071791463</v>
      </c>
      <c r="L32" s="210">
        <f t="shared" si="6"/>
        <v>11573668.970950859</v>
      </c>
      <c r="M32" s="211">
        <f t="shared" si="1"/>
        <v>0.11714829613695167</v>
      </c>
      <c r="N32" s="235"/>
      <c r="O32" s="235"/>
      <c r="P32" s="235"/>
      <c r="Q32" s="87"/>
      <c r="R32" s="87"/>
    </row>
    <row r="33" spans="2:20" ht="22.5" customHeight="1" x14ac:dyDescent="0.35">
      <c r="B33" s="1" t="s">
        <v>31</v>
      </c>
      <c r="C33" s="206">
        <f t="shared" si="2"/>
        <v>0</v>
      </c>
      <c r="D33" s="206">
        <f t="shared" si="7"/>
        <v>27977.5</v>
      </c>
      <c r="E33" s="206">
        <f t="shared" si="3"/>
        <v>27977.5</v>
      </c>
      <c r="F33" s="206">
        <f t="shared" si="0"/>
        <v>33900</v>
      </c>
      <c r="G33" s="208">
        <f t="shared" si="4"/>
        <v>0</v>
      </c>
      <c r="H33" s="210">
        <f t="shared" si="5"/>
        <v>897552.77000000025</v>
      </c>
      <c r="I33" s="210">
        <f t="shared" si="5"/>
        <v>0</v>
      </c>
      <c r="J33" s="210">
        <f t="shared" si="5"/>
        <v>897552.77000000025</v>
      </c>
      <c r="K33" s="210">
        <f t="shared" si="8"/>
        <v>4519583.6459999997</v>
      </c>
      <c r="L33" s="210">
        <f t="shared" si="6"/>
        <v>4507238.3899999997</v>
      </c>
      <c r="M33" s="211">
        <f t="shared" si="1"/>
        <v>0.19913585489317781</v>
      </c>
      <c r="N33" s="235"/>
      <c r="O33" s="235"/>
      <c r="P33" s="235"/>
      <c r="Q33" s="87"/>
      <c r="R33" s="87"/>
    </row>
    <row r="34" spans="2:20" ht="22.5" customHeight="1" x14ac:dyDescent="0.35">
      <c r="B34" s="1" t="s">
        <v>32</v>
      </c>
      <c r="C34" s="206">
        <f t="shared" si="2"/>
        <v>3201.19</v>
      </c>
      <c r="D34" s="206">
        <f t="shared" si="7"/>
        <v>67180.17020088085</v>
      </c>
      <c r="E34" s="206">
        <f t="shared" si="3"/>
        <v>67180.17020088085</v>
      </c>
      <c r="F34" s="206">
        <f t="shared" si="0"/>
        <v>41867</v>
      </c>
      <c r="G34" s="208">
        <f t="shared" si="4"/>
        <v>7.6460935820574671E-2</v>
      </c>
      <c r="H34" s="210">
        <f t="shared" si="5"/>
        <v>1087972.1299999999</v>
      </c>
      <c r="I34" s="210">
        <f t="shared" si="5"/>
        <v>441519.99469999998</v>
      </c>
      <c r="J34" s="210">
        <f t="shared" si="5"/>
        <v>646452.13529999997</v>
      </c>
      <c r="K34" s="210">
        <f t="shared" si="8"/>
        <v>19915230.73</v>
      </c>
      <c r="L34" s="210">
        <f t="shared" si="6"/>
        <v>19934735.27</v>
      </c>
      <c r="M34" s="211">
        <f t="shared" si="1"/>
        <v>5.4576703189898941E-2</v>
      </c>
      <c r="N34" s="235"/>
      <c r="O34" s="235"/>
      <c r="P34" s="235"/>
      <c r="Q34" s="87"/>
      <c r="R34" s="87"/>
    </row>
    <row r="35" spans="2:20" ht="22.5" customHeight="1" x14ac:dyDescent="0.35">
      <c r="B35" s="1" t="s">
        <v>33</v>
      </c>
      <c r="C35" s="206">
        <f t="shared" si="2"/>
        <v>839</v>
      </c>
      <c r="D35" s="206">
        <f t="shared" si="7"/>
        <v>1654.1452529411754</v>
      </c>
      <c r="E35" s="206">
        <f t="shared" si="3"/>
        <v>1654.1452529411754</v>
      </c>
      <c r="F35" s="206">
        <f t="shared" si="0"/>
        <v>3430</v>
      </c>
      <c r="G35" s="208">
        <f t="shared" si="4"/>
        <v>0.2446064139941691</v>
      </c>
      <c r="H35" s="210">
        <f t="shared" si="5"/>
        <v>305695.53000000003</v>
      </c>
      <c r="I35" s="210">
        <f t="shared" si="5"/>
        <v>0</v>
      </c>
      <c r="J35" s="210">
        <f t="shared" si="5"/>
        <v>305695.53000000003</v>
      </c>
      <c r="K35" s="210">
        <f t="shared" si="8"/>
        <v>2122621.5999999996</v>
      </c>
      <c r="L35" s="210">
        <f t="shared" si="6"/>
        <v>1891629.63</v>
      </c>
      <c r="M35" s="211">
        <f t="shared" si="1"/>
        <v>0.16160432526107135</v>
      </c>
      <c r="N35" s="235"/>
      <c r="O35" s="254"/>
      <c r="P35" s="254"/>
      <c r="Q35" s="61"/>
      <c r="R35" s="87"/>
    </row>
    <row r="36" spans="2:20" ht="22.5" customHeight="1" x14ac:dyDescent="0.35">
      <c r="B36" s="1" t="s">
        <v>34</v>
      </c>
      <c r="C36" s="206">
        <f>C71</f>
        <v>301</v>
      </c>
      <c r="D36" s="206">
        <f>D71</f>
        <v>1538.9443886003498</v>
      </c>
      <c r="E36" s="206">
        <f>E71</f>
        <v>1538.9443886003498</v>
      </c>
      <c r="F36" s="206">
        <f>F71</f>
        <v>2199.2190000000001</v>
      </c>
      <c r="G36" s="208">
        <f t="shared" si="4"/>
        <v>0.1368667695213619</v>
      </c>
      <c r="H36" s="210">
        <f>H71</f>
        <v>274241.78999999998</v>
      </c>
      <c r="I36" s="210">
        <f>I71</f>
        <v>167287.49189999999</v>
      </c>
      <c r="J36" s="210">
        <f>J71</f>
        <v>106954.29809999999</v>
      </c>
      <c r="K36" s="210">
        <f>K71</f>
        <v>2348510</v>
      </c>
      <c r="L36" s="210">
        <f>L71</f>
        <v>2181972.758808258</v>
      </c>
      <c r="M36" s="211">
        <f t="shared" si="1"/>
        <v>0.12568524922821878</v>
      </c>
      <c r="N36" s="61"/>
      <c r="O36" s="254"/>
      <c r="P36" s="254"/>
      <c r="Q36" s="42"/>
      <c r="R36" s="87"/>
    </row>
    <row r="37" spans="2:20" ht="22.5" customHeight="1" x14ac:dyDescent="0.35">
      <c r="B37" s="1" t="s">
        <v>35</v>
      </c>
      <c r="C37" s="218" t="s">
        <v>21</v>
      </c>
      <c r="D37" s="218" t="s">
        <v>21</v>
      </c>
      <c r="E37" s="218" t="str">
        <f t="shared" si="3"/>
        <v>N/A</v>
      </c>
      <c r="F37" s="218" t="s">
        <v>21</v>
      </c>
      <c r="G37" s="218" t="s">
        <v>21</v>
      </c>
      <c r="H37" s="210">
        <f t="shared" ref="H37:L38" si="9">H54+H72</f>
        <v>471902.74</v>
      </c>
      <c r="I37" s="210">
        <f t="shared" si="9"/>
        <v>0</v>
      </c>
      <c r="J37" s="210">
        <f t="shared" si="9"/>
        <v>471902.74</v>
      </c>
      <c r="K37" s="210">
        <f t="shared" si="9"/>
        <v>4785958.3</v>
      </c>
      <c r="L37" s="210">
        <f t="shared" si="9"/>
        <v>3517927.9799999995</v>
      </c>
      <c r="M37" s="211">
        <f t="shared" si="1"/>
        <v>0.13414224017172746</v>
      </c>
      <c r="N37" s="235"/>
      <c r="O37" s="254"/>
      <c r="P37" s="254"/>
      <c r="Q37" s="42"/>
      <c r="R37" s="87"/>
    </row>
    <row r="38" spans="2:20" ht="22.5" customHeight="1" x14ac:dyDescent="0.35">
      <c r="B38" s="1" t="s">
        <v>36</v>
      </c>
      <c r="C38" s="218" t="s">
        <v>21</v>
      </c>
      <c r="D38" s="218" t="s">
        <v>21</v>
      </c>
      <c r="E38" s="218" t="str">
        <f>D38</f>
        <v>N/A</v>
      </c>
      <c r="F38" s="218" t="s">
        <v>21</v>
      </c>
      <c r="G38" s="218" t="s">
        <v>21</v>
      </c>
      <c r="H38" s="210">
        <f t="shared" si="9"/>
        <v>418379</v>
      </c>
      <c r="I38" s="210">
        <f t="shared" si="9"/>
        <v>0</v>
      </c>
      <c r="J38" s="210">
        <f t="shared" si="9"/>
        <v>418379</v>
      </c>
      <c r="K38" s="210">
        <f t="shared" si="9"/>
        <v>2060097</v>
      </c>
      <c r="L38" s="210">
        <f t="shared" si="9"/>
        <v>1866679.4317000001</v>
      </c>
      <c r="M38" s="211">
        <f t="shared" si="1"/>
        <v>0.22413007444935462</v>
      </c>
      <c r="N38" s="235"/>
      <c r="O38" s="254"/>
      <c r="P38" s="254"/>
      <c r="Q38" s="42"/>
      <c r="R38" s="87"/>
    </row>
    <row r="39" spans="2:20" ht="22.5" customHeight="1" x14ac:dyDescent="0.35">
      <c r="B39" s="2" t="s">
        <v>37</v>
      </c>
      <c r="C39" s="151">
        <f>SUM(C22,C27:C38)</f>
        <v>146438.38084829214</v>
      </c>
      <c r="D39" s="151">
        <f>SUM(D22,D27:D38)</f>
        <v>890880.19999603042</v>
      </c>
      <c r="E39" s="151">
        <f>SUM(E22,E27:E38)</f>
        <v>890880.19999603042</v>
      </c>
      <c r="F39" s="151">
        <f>SUM(F22,F27:F38)</f>
        <v>772714.01348315948</v>
      </c>
      <c r="G39" s="177">
        <f>C39/F39</f>
        <v>0.18951174469865315</v>
      </c>
      <c r="H39" s="153">
        <f>SUM(H22,H27:H38)</f>
        <v>37413839.730000012</v>
      </c>
      <c r="I39" s="153">
        <f>SUM(I22,I27:I38)</f>
        <v>21323245.906299997</v>
      </c>
      <c r="J39" s="153">
        <f>SUM(J22,J27:J38)</f>
        <v>16090593.823700001</v>
      </c>
      <c r="K39" s="153">
        <f>SUM(K22,K27:K38)</f>
        <v>190145529.52048048</v>
      </c>
      <c r="L39" s="153">
        <f>SUM(L22,L27:L38)</f>
        <v>189082886.871703</v>
      </c>
      <c r="M39" s="152">
        <f>H39/L39</f>
        <v>0.19787004709414102</v>
      </c>
      <c r="O39" s="61"/>
      <c r="P39" s="61"/>
      <c r="Q39" s="42"/>
      <c r="R39" s="87"/>
    </row>
    <row r="40" spans="2:20" ht="22.5" customHeight="1" x14ac:dyDescent="0.35">
      <c r="B40" s="123" t="s">
        <v>38</v>
      </c>
      <c r="C40" s="218">
        <f>SUM(C41:C44)</f>
        <v>33987.7448881124</v>
      </c>
      <c r="D40" s="218">
        <v>242815.39497756289</v>
      </c>
      <c r="E40" s="220">
        <f t="shared" si="3"/>
        <v>242815.39497756289</v>
      </c>
      <c r="F40" s="220">
        <f>SUM(F41:F44)</f>
        <v>183665.23009505103</v>
      </c>
      <c r="G40" s="219">
        <f t="shared" ref="G40:G53" si="10">IF(F40=0,"N/A",C40/F40)</f>
        <v>0.18505268999757304</v>
      </c>
      <c r="H40" s="210">
        <f>SUM(H41:H44)</f>
        <v>7839856.3700000001</v>
      </c>
      <c r="I40" s="210">
        <f>SUM(I41:I44)</f>
        <v>4782312.3856999995</v>
      </c>
      <c r="J40" s="210">
        <f>SUM(J41:J44)</f>
        <v>3057543.9843000006</v>
      </c>
      <c r="K40" s="210">
        <f>SUM(K41:K42)</f>
        <v>44250868.574766025</v>
      </c>
      <c r="L40" s="210">
        <f>SUM(L41:L44)</f>
        <v>44230410.620458335</v>
      </c>
      <c r="M40" s="211">
        <f t="shared" ref="M40:M55" si="11">IF(L40=0,"N/A",H40/L40)</f>
        <v>0.17725036372087744</v>
      </c>
      <c r="N40" s="237"/>
      <c r="O40" s="255"/>
      <c r="P40" s="255"/>
      <c r="Q40" s="42"/>
      <c r="R40" s="87"/>
    </row>
    <row r="41" spans="2:20" ht="22.5" customHeight="1" x14ac:dyDescent="0.35">
      <c r="B41" s="131" t="s">
        <v>39</v>
      </c>
      <c r="C41" s="181">
        <v>33632.99</v>
      </c>
      <c r="D41" s="230">
        <v>0</v>
      </c>
      <c r="E41" s="221">
        <f t="shared" si="3"/>
        <v>0</v>
      </c>
      <c r="F41" s="155">
        <v>170832</v>
      </c>
      <c r="G41" s="216">
        <f t="shared" si="10"/>
        <v>0.19687757562985855</v>
      </c>
      <c r="H41" s="147">
        <v>7372305.3200000003</v>
      </c>
      <c r="I41" s="213">
        <f t="shared" ref="I41:I50" si="12">H41*0.61</f>
        <v>4497106.2451999998</v>
      </c>
      <c r="J41" s="213">
        <f>H41-I41</f>
        <v>2875199.0748000005</v>
      </c>
      <c r="K41" s="147">
        <v>39910649.74000001</v>
      </c>
      <c r="L41" s="147">
        <v>40112727.32</v>
      </c>
      <c r="M41" s="216">
        <f t="shared" si="11"/>
        <v>0.18378968004811297</v>
      </c>
      <c r="N41" s="235"/>
      <c r="O41" s="256"/>
      <c r="P41" s="256"/>
      <c r="Q41" s="42"/>
      <c r="R41" s="87"/>
    </row>
    <row r="42" spans="2:20" ht="22.5" customHeight="1" x14ac:dyDescent="0.35">
      <c r="B42" s="131" t="s">
        <v>40</v>
      </c>
      <c r="C42" s="181">
        <v>354.75488811240001</v>
      </c>
      <c r="D42" s="230">
        <v>0</v>
      </c>
      <c r="E42" s="221">
        <f t="shared" si="3"/>
        <v>0</v>
      </c>
      <c r="F42" s="155">
        <v>12833.230095051027</v>
      </c>
      <c r="G42" s="216">
        <f t="shared" si="10"/>
        <v>2.7643460413696374E-2</v>
      </c>
      <c r="H42" s="147">
        <v>467551.04999999993</v>
      </c>
      <c r="I42" s="213">
        <f t="shared" si="12"/>
        <v>285206.14049999998</v>
      </c>
      <c r="J42" s="213">
        <f t="shared" ref="J42:J73" si="13">H42-I42</f>
        <v>182344.90949999995</v>
      </c>
      <c r="K42" s="147">
        <v>4340218.8347660163</v>
      </c>
      <c r="L42" s="147">
        <v>4117683.3004583335</v>
      </c>
      <c r="M42" s="216">
        <f t="shared" si="11"/>
        <v>0.11354711275341586</v>
      </c>
      <c r="N42" s="235"/>
      <c r="O42" s="256"/>
      <c r="P42" s="256"/>
      <c r="Q42" s="42"/>
      <c r="R42" s="87"/>
    </row>
    <row r="43" spans="2:20" ht="22.5" customHeight="1" x14ac:dyDescent="0.35">
      <c r="B43" s="131" t="s">
        <v>41</v>
      </c>
      <c r="C43" s="181">
        <v>0</v>
      </c>
      <c r="D43" s="230">
        <v>0</v>
      </c>
      <c r="E43" s="221">
        <f t="shared" si="3"/>
        <v>0</v>
      </c>
      <c r="F43" s="155">
        <v>0</v>
      </c>
      <c r="G43" s="216" t="str">
        <f t="shared" si="10"/>
        <v>N/A</v>
      </c>
      <c r="H43" s="147">
        <v>0</v>
      </c>
      <c r="I43" s="213">
        <f t="shared" si="12"/>
        <v>0</v>
      </c>
      <c r="J43" s="213">
        <f t="shared" si="13"/>
        <v>0</v>
      </c>
      <c r="K43" s="147">
        <v>0</v>
      </c>
      <c r="L43" s="147">
        <v>0</v>
      </c>
      <c r="M43" s="216" t="str">
        <f t="shared" si="11"/>
        <v>N/A</v>
      </c>
      <c r="N43" s="235"/>
      <c r="O43" s="236"/>
      <c r="P43" s="236"/>
      <c r="Q43" s="42"/>
      <c r="R43" s="87"/>
    </row>
    <row r="44" spans="2:20" s="61" customFormat="1" ht="22.5" customHeight="1" x14ac:dyDescent="0.35">
      <c r="B44" s="131" t="s">
        <v>42</v>
      </c>
      <c r="C44" s="181">
        <v>0</v>
      </c>
      <c r="D44" s="230">
        <v>0</v>
      </c>
      <c r="E44" s="221">
        <f t="shared" si="3"/>
        <v>0</v>
      </c>
      <c r="F44" s="155">
        <v>0</v>
      </c>
      <c r="G44" s="216" t="str">
        <f t="shared" si="10"/>
        <v>N/A</v>
      </c>
      <c r="H44" s="147">
        <v>0</v>
      </c>
      <c r="I44" s="213">
        <f t="shared" si="12"/>
        <v>0</v>
      </c>
      <c r="J44" s="213">
        <f t="shared" si="13"/>
        <v>0</v>
      </c>
      <c r="K44" s="147">
        <v>0</v>
      </c>
      <c r="L44" s="147">
        <v>0</v>
      </c>
      <c r="M44" s="216" t="str">
        <f t="shared" si="11"/>
        <v>N/A</v>
      </c>
      <c r="N44" s="235"/>
      <c r="O44" s="236"/>
      <c r="P44" s="236"/>
      <c r="Q44" s="42"/>
      <c r="R44" s="42"/>
    </row>
    <row r="45" spans="2:20" ht="22.5" customHeight="1" x14ac:dyDescent="0.35">
      <c r="B45" s="123" t="s">
        <v>43</v>
      </c>
      <c r="C45" s="150">
        <v>55773.706000000006</v>
      </c>
      <c r="D45" s="230">
        <f>'[1]2021'!$F$31</f>
        <v>160140.7657945622</v>
      </c>
      <c r="E45" s="220">
        <f t="shared" si="3"/>
        <v>160140.7657945622</v>
      </c>
      <c r="F45" s="155">
        <v>183000</v>
      </c>
      <c r="G45" s="216">
        <f t="shared" si="10"/>
        <v>0.30477434972677597</v>
      </c>
      <c r="H45" s="146">
        <v>16333220.300000001</v>
      </c>
      <c r="I45" s="213">
        <f t="shared" si="12"/>
        <v>9963264.3829999994</v>
      </c>
      <c r="J45" s="213">
        <f t="shared" si="13"/>
        <v>6369955.9170000013</v>
      </c>
      <c r="K45" s="146">
        <v>54210000</v>
      </c>
      <c r="L45" s="146">
        <v>53944582.449878119</v>
      </c>
      <c r="M45" s="211">
        <f t="shared" si="11"/>
        <v>0.30277776855860905</v>
      </c>
      <c r="N45" s="235"/>
      <c r="O45" s="256"/>
      <c r="P45" s="256"/>
      <c r="Q45" s="42"/>
      <c r="R45" s="87"/>
    </row>
    <row r="46" spans="2:20" ht="22.5" customHeight="1" x14ac:dyDescent="0.35">
      <c r="B46" s="123" t="s">
        <v>44</v>
      </c>
      <c r="C46" s="150">
        <v>29067.294077234656</v>
      </c>
      <c r="D46" s="230">
        <f>'[1]2021'!$F$32</f>
        <v>184459.67777032725</v>
      </c>
      <c r="E46" s="220">
        <f t="shared" si="3"/>
        <v>184459.67777032725</v>
      </c>
      <c r="F46" s="155">
        <v>153074</v>
      </c>
      <c r="G46" s="211">
        <f t="shared" si="10"/>
        <v>0.18989047177988852</v>
      </c>
      <c r="H46" s="146">
        <v>2458805.7500000005</v>
      </c>
      <c r="I46" s="213">
        <f t="shared" si="12"/>
        <v>1499871.5075000003</v>
      </c>
      <c r="J46" s="213">
        <f t="shared" si="13"/>
        <v>958934.24250000017</v>
      </c>
      <c r="K46" s="146">
        <v>12633873</v>
      </c>
      <c r="L46" s="146">
        <v>12571458.75</v>
      </c>
      <c r="M46" s="211">
        <f t="shared" si="11"/>
        <v>0.19558635150435508</v>
      </c>
      <c r="N46" s="235"/>
      <c r="O46" s="256"/>
      <c r="P46" s="256"/>
      <c r="Q46" s="42"/>
      <c r="R46" s="87"/>
      <c r="T46" s="61"/>
    </row>
    <row r="47" spans="2:20" ht="22.5" customHeight="1" x14ac:dyDescent="0.35">
      <c r="B47" s="123" t="s">
        <v>45</v>
      </c>
      <c r="C47" s="150">
        <v>0</v>
      </c>
      <c r="D47" s="154">
        <v>0</v>
      </c>
      <c r="E47" s="220">
        <f t="shared" si="3"/>
        <v>0</v>
      </c>
      <c r="F47" s="154">
        <v>0</v>
      </c>
      <c r="G47" s="211" t="str">
        <f t="shared" si="10"/>
        <v>N/A</v>
      </c>
      <c r="H47" s="146">
        <v>0</v>
      </c>
      <c r="I47" s="213">
        <f t="shared" si="12"/>
        <v>0</v>
      </c>
      <c r="J47" s="213">
        <f t="shared" si="13"/>
        <v>0</v>
      </c>
      <c r="K47" s="146">
        <v>0</v>
      </c>
      <c r="L47" s="146">
        <v>0</v>
      </c>
      <c r="M47" s="211" t="str">
        <f t="shared" si="11"/>
        <v>N/A</v>
      </c>
      <c r="N47" s="235"/>
      <c r="O47" s="236"/>
      <c r="P47" s="236"/>
      <c r="Q47" s="42"/>
      <c r="R47" s="87"/>
    </row>
    <row r="48" spans="2:20" ht="22.5" customHeight="1" x14ac:dyDescent="0.35">
      <c r="B48" s="123" t="s">
        <v>46</v>
      </c>
      <c r="C48" s="150">
        <v>1219.012377</v>
      </c>
      <c r="D48" s="154">
        <f>'[1]2021'!$F$17</f>
        <v>28660.759957638285</v>
      </c>
      <c r="E48" s="220">
        <f t="shared" si="3"/>
        <v>28660.759957638285</v>
      </c>
      <c r="F48" s="155">
        <v>14578.86214657</v>
      </c>
      <c r="G48" s="211">
        <f t="shared" si="10"/>
        <v>8.3615056150784697E-2</v>
      </c>
      <c r="H48" s="146">
        <v>900199.35000000009</v>
      </c>
      <c r="I48" s="213">
        <f t="shared" si="12"/>
        <v>549121.60350000008</v>
      </c>
      <c r="J48" s="213">
        <f t="shared" si="13"/>
        <v>351077.74650000001</v>
      </c>
      <c r="K48" s="146">
        <v>5122252.3470000001</v>
      </c>
      <c r="L48" s="146">
        <v>4670414.8157674419</v>
      </c>
      <c r="M48" s="211">
        <f t="shared" si="11"/>
        <v>0.19274505274368856</v>
      </c>
      <c r="N48" s="235"/>
      <c r="O48" s="256"/>
      <c r="P48" s="256"/>
      <c r="Q48" s="42"/>
      <c r="R48" s="171"/>
      <c r="S48" s="130"/>
    </row>
    <row r="49" spans="2:21" ht="22.5" customHeight="1" x14ac:dyDescent="0.35">
      <c r="B49" s="123" t="s">
        <v>47</v>
      </c>
      <c r="C49" s="150">
        <v>5066</v>
      </c>
      <c r="D49" s="154">
        <f>'[1]2021'!$F$40</f>
        <v>28599.581599999987</v>
      </c>
      <c r="E49" s="220">
        <f t="shared" si="3"/>
        <v>28599.581599999987</v>
      </c>
      <c r="F49" s="155">
        <v>46699.999680851062</v>
      </c>
      <c r="G49" s="211">
        <f t="shared" si="10"/>
        <v>0.10847965812893293</v>
      </c>
      <c r="H49" s="146">
        <v>1844788.43</v>
      </c>
      <c r="I49" s="213">
        <f t="shared" si="12"/>
        <v>1125320.9423</v>
      </c>
      <c r="J49" s="213">
        <f t="shared" si="13"/>
        <v>719467.48769999994</v>
      </c>
      <c r="K49" s="146">
        <v>11399999.960000001</v>
      </c>
      <c r="L49" s="146">
        <v>11314433.120000001</v>
      </c>
      <c r="M49" s="211">
        <f t="shared" si="11"/>
        <v>0.1630473582223976</v>
      </c>
      <c r="N49" s="235"/>
      <c r="O49" s="256"/>
      <c r="P49" s="256"/>
      <c r="Q49" s="42"/>
      <c r="R49" s="87"/>
    </row>
    <row r="50" spans="2:21" ht="22.5" customHeight="1" x14ac:dyDescent="0.35">
      <c r="B50" s="123" t="s">
        <v>48</v>
      </c>
      <c r="C50" s="150">
        <v>4996.8205980000002</v>
      </c>
      <c r="D50" s="154">
        <f>'[1]2021'!$F$38</f>
        <v>54686.422238193532</v>
      </c>
      <c r="E50" s="220">
        <f t="shared" si="3"/>
        <v>54686.422238193532</v>
      </c>
      <c r="F50" s="155">
        <v>34814.277955900005</v>
      </c>
      <c r="G50" s="211">
        <f t="shared" si="10"/>
        <v>0.14352791128770731</v>
      </c>
      <c r="H50" s="146">
        <v>1109387.1199999999</v>
      </c>
      <c r="I50" s="213">
        <f t="shared" si="12"/>
        <v>676726.14319999993</v>
      </c>
      <c r="J50" s="213">
        <f t="shared" si="13"/>
        <v>432660.97679999995</v>
      </c>
      <c r="K50" s="146">
        <v>8625674.0796000008</v>
      </c>
      <c r="L50" s="146">
        <v>8436213.2964999918</v>
      </c>
      <c r="M50" s="211">
        <f t="shared" si="11"/>
        <v>0.13150297189146004</v>
      </c>
      <c r="N50" s="235"/>
      <c r="O50" s="256"/>
      <c r="P50" s="256"/>
      <c r="Q50" s="42"/>
      <c r="R50" s="87"/>
      <c r="U50" s="132"/>
    </row>
    <row r="51" spans="2:21" ht="22.5" customHeight="1" x14ac:dyDescent="0.35">
      <c r="B51" s="123" t="s">
        <v>49</v>
      </c>
      <c r="C51" s="150">
        <v>0</v>
      </c>
      <c r="D51" s="154">
        <f>'[1]2021'!$F$39</f>
        <v>22382</v>
      </c>
      <c r="E51" s="220">
        <f t="shared" si="3"/>
        <v>22382</v>
      </c>
      <c r="F51" s="155">
        <v>28500</v>
      </c>
      <c r="G51" s="211">
        <f t="shared" si="10"/>
        <v>0</v>
      </c>
      <c r="H51" s="146">
        <v>750786.56000000017</v>
      </c>
      <c r="I51" s="210">
        <v>0</v>
      </c>
      <c r="J51" s="213">
        <f t="shared" si="13"/>
        <v>750786.56000000017</v>
      </c>
      <c r="K51" s="146">
        <v>3799378.8959999997</v>
      </c>
      <c r="L51" s="146">
        <v>3787033.58</v>
      </c>
      <c r="M51" s="211">
        <f t="shared" si="11"/>
        <v>0.19825188875140637</v>
      </c>
      <c r="N51" s="235"/>
      <c r="O51" s="256"/>
      <c r="P51" s="256"/>
      <c r="Q51" s="42"/>
      <c r="R51" s="87"/>
    </row>
    <row r="52" spans="2:21" ht="22.5" customHeight="1" x14ac:dyDescent="0.35">
      <c r="B52" s="123" t="s">
        <v>50</v>
      </c>
      <c r="C52" s="150">
        <v>757</v>
      </c>
      <c r="D52" s="154">
        <f>'[1]2021'!$F$34</f>
        <v>14926.645603053184</v>
      </c>
      <c r="E52" s="220">
        <f t="shared" si="3"/>
        <v>14926.645603053184</v>
      </c>
      <c r="F52" s="155">
        <v>14928</v>
      </c>
      <c r="G52" s="211">
        <f t="shared" si="10"/>
        <v>5.0710075026795282E-2</v>
      </c>
      <c r="H52" s="146">
        <v>364168.86</v>
      </c>
      <c r="I52" s="210">
        <v>0</v>
      </c>
      <c r="J52" s="213">
        <f t="shared" si="13"/>
        <v>364168.86</v>
      </c>
      <c r="K52" s="146">
        <v>8973360</v>
      </c>
      <c r="L52" s="146">
        <v>8973360</v>
      </c>
      <c r="M52" s="211">
        <f t="shared" si="11"/>
        <v>4.0583333333333332E-2</v>
      </c>
      <c r="N52" s="235"/>
      <c r="O52" s="236"/>
      <c r="P52" s="236"/>
      <c r="Q52" s="42"/>
      <c r="R52" s="87"/>
    </row>
    <row r="53" spans="2:21" ht="30.75" customHeight="1" x14ac:dyDescent="0.35">
      <c r="B53" s="123" t="s">
        <v>51</v>
      </c>
      <c r="C53" s="150">
        <v>473</v>
      </c>
      <c r="D53" s="154">
        <f>'[1]2021'!$F$36</f>
        <v>1323.3162023529403</v>
      </c>
      <c r="E53" s="220">
        <f t="shared" si="3"/>
        <v>1323.3162023529403</v>
      </c>
      <c r="F53" s="155">
        <v>2971</v>
      </c>
      <c r="G53" s="211">
        <f t="shared" si="10"/>
        <v>0.15920565466173006</v>
      </c>
      <c r="H53" s="146">
        <v>203091.33000000002</v>
      </c>
      <c r="I53" s="210">
        <v>0</v>
      </c>
      <c r="J53" s="213">
        <f t="shared" si="13"/>
        <v>203091.33000000002</v>
      </c>
      <c r="K53" s="146">
        <v>1431924.9999999998</v>
      </c>
      <c r="L53" s="146">
        <v>1256431.5299999998</v>
      </c>
      <c r="M53" s="211">
        <f t="shared" si="11"/>
        <v>0.16164138287742591</v>
      </c>
      <c r="N53" s="235"/>
      <c r="O53" s="256"/>
      <c r="P53" s="256"/>
      <c r="Q53" s="42"/>
      <c r="R53" s="87"/>
    </row>
    <row r="54" spans="2:21" ht="22.5" customHeight="1" x14ac:dyDescent="0.35">
      <c r="B54" s="123" t="s">
        <v>52</v>
      </c>
      <c r="C54" s="150" t="s">
        <v>21</v>
      </c>
      <c r="D54" s="231" t="s">
        <v>21</v>
      </c>
      <c r="E54" s="218" t="str">
        <f t="shared" si="3"/>
        <v>N/A</v>
      </c>
      <c r="F54" s="150" t="s">
        <v>21</v>
      </c>
      <c r="G54" s="218" t="s">
        <v>21</v>
      </c>
      <c r="H54" s="146">
        <v>373284.24</v>
      </c>
      <c r="I54" s="210">
        <v>0</v>
      </c>
      <c r="J54" s="213">
        <f t="shared" si="13"/>
        <v>373284.24</v>
      </c>
      <c r="K54" s="146">
        <v>2830473.5</v>
      </c>
      <c r="L54" s="146">
        <v>2612469.9999999995</v>
      </c>
      <c r="M54" s="211">
        <f t="shared" si="11"/>
        <v>0.14288556040834921</v>
      </c>
      <c r="N54" s="235"/>
      <c r="O54" s="256"/>
      <c r="P54" s="256"/>
      <c r="Q54" s="42"/>
      <c r="R54" s="87"/>
    </row>
    <row r="55" spans="2:21" ht="30" customHeight="1" x14ac:dyDescent="0.35">
      <c r="B55" s="123" t="s">
        <v>53</v>
      </c>
      <c r="C55" s="150" t="s">
        <v>21</v>
      </c>
      <c r="D55" s="231" t="s">
        <v>21</v>
      </c>
      <c r="E55" s="218" t="str">
        <f t="shared" si="3"/>
        <v>N/A</v>
      </c>
      <c r="F55" s="150" t="s">
        <v>21</v>
      </c>
      <c r="G55" s="218" t="s">
        <v>21</v>
      </c>
      <c r="H55" s="146">
        <f>348396+69983</f>
        <v>418379</v>
      </c>
      <c r="I55" s="210">
        <v>0</v>
      </c>
      <c r="J55" s="213">
        <f t="shared" si="13"/>
        <v>418379</v>
      </c>
      <c r="K55" s="146">
        <v>2060097</v>
      </c>
      <c r="L55" s="146">
        <f>1586747.11+279932.3217</f>
        <v>1866679.4317000001</v>
      </c>
      <c r="M55" s="211">
        <f t="shared" si="11"/>
        <v>0.22413007444935462</v>
      </c>
      <c r="N55" s="235"/>
      <c r="O55" s="254"/>
      <c r="P55" s="254"/>
      <c r="Q55" s="42"/>
      <c r="R55" s="87"/>
    </row>
    <row r="56" spans="2:21" ht="22.5" customHeight="1" x14ac:dyDescent="0.35">
      <c r="B56" s="86" t="s">
        <v>54</v>
      </c>
      <c r="C56" s="227">
        <f>SUM(C40,C45:C55)</f>
        <v>131340.57794034708</v>
      </c>
      <c r="D56" s="227">
        <f>SUM(D40,D45:D55)</f>
        <v>737994.5641436904</v>
      </c>
      <c r="E56" s="227">
        <f>SUM(E40,E45:E55)</f>
        <v>737994.5641436904</v>
      </c>
      <c r="F56" s="227">
        <f>SUM(F40,F45:F55)</f>
        <v>662231.36987837194</v>
      </c>
      <c r="G56" s="168">
        <f>C56/F56</f>
        <v>0.19833034784273298</v>
      </c>
      <c r="H56" s="228">
        <f>SUM(H40,H45:H55)</f>
        <v>32595967.309999999</v>
      </c>
      <c r="I56" s="228">
        <f>SUM(I40,I45:I55)</f>
        <v>18596616.9652</v>
      </c>
      <c r="J56" s="228">
        <f>H56-I56</f>
        <v>13999350.344799999</v>
      </c>
      <c r="K56" s="228">
        <f>SUM(K40,K45:K55)</f>
        <v>155337902.35736603</v>
      </c>
      <c r="L56" s="228">
        <f>SUM(L40,L45:L55)</f>
        <v>153663487.59430391</v>
      </c>
      <c r="M56" s="168">
        <f>H56/L56</f>
        <v>0.21212565079909254</v>
      </c>
      <c r="O56" s="61"/>
      <c r="P56" s="61"/>
      <c r="Q56" s="42"/>
      <c r="R56" s="87"/>
    </row>
    <row r="57" spans="2:21" ht="22.5" customHeight="1" x14ac:dyDescent="0.35">
      <c r="B57" s="123" t="s">
        <v>55</v>
      </c>
      <c r="C57" s="206">
        <f>SUM(C58:C61)</f>
        <v>3214.0326809799999</v>
      </c>
      <c r="D57" s="206">
        <v>64575.520850491841</v>
      </c>
      <c r="E57" s="206">
        <f t="shared" si="3"/>
        <v>64575.520850491841</v>
      </c>
      <c r="F57" s="206">
        <f>SUM(F58:F61)</f>
        <v>23071.096656376852</v>
      </c>
      <c r="G57" s="211">
        <f t="shared" ref="G57:G71" si="14">IF(F57=0,"N/A",C57/F57)</f>
        <v>0.13930992223083774</v>
      </c>
      <c r="H57" s="210">
        <f>SUM(H58:H61)</f>
        <v>1449207.5900000003</v>
      </c>
      <c r="I57" s="210">
        <f>SUM(I58:I61)</f>
        <v>884016.62990000006</v>
      </c>
      <c r="J57" s="213">
        <f t="shared" si="13"/>
        <v>565190.96010000026</v>
      </c>
      <c r="K57" s="146">
        <f>SUM(K58:K59)</f>
        <v>7568124.8049229933</v>
      </c>
      <c r="L57" s="210">
        <f>SUM(L58:L61)</f>
        <v>7561025.0566666666</v>
      </c>
      <c r="M57" s="211">
        <f t="shared" ref="M57:M73" si="15">IF(L57=0,"N/A",H57/L57)</f>
        <v>0.19166813747326664</v>
      </c>
      <c r="N57" s="235"/>
      <c r="O57" s="254"/>
      <c r="P57" s="254"/>
      <c r="Q57" s="42"/>
      <c r="R57" s="87"/>
    </row>
    <row r="58" spans="2:21" ht="22.5" customHeight="1" x14ac:dyDescent="0.35">
      <c r="B58" s="131" t="s">
        <v>56</v>
      </c>
      <c r="C58" s="148">
        <v>3077.92</v>
      </c>
      <c r="D58" s="230">
        <v>0</v>
      </c>
      <c r="E58" s="212">
        <f t="shared" si="3"/>
        <v>0</v>
      </c>
      <c r="F58" s="155">
        <v>20289</v>
      </c>
      <c r="G58" s="216">
        <f t="shared" si="14"/>
        <v>0.1517038789491843</v>
      </c>
      <c r="H58" s="147">
        <v>1263412.7600000002</v>
      </c>
      <c r="I58" s="213">
        <f>H58*0.61</f>
        <v>770681.78360000008</v>
      </c>
      <c r="J58" s="213">
        <f t="shared" si="13"/>
        <v>492730.97640000016</v>
      </c>
      <c r="K58" s="147">
        <v>6268273.4000000013</v>
      </c>
      <c r="L58" s="147">
        <v>6234261.7599999998</v>
      </c>
      <c r="M58" s="211">
        <f t="shared" si="15"/>
        <v>0.20265635429462625</v>
      </c>
      <c r="N58" s="235"/>
      <c r="O58" s="256"/>
      <c r="P58" s="256"/>
      <c r="Q58" s="42"/>
      <c r="R58" s="87"/>
    </row>
    <row r="59" spans="2:21" ht="22.5" customHeight="1" x14ac:dyDescent="0.35">
      <c r="B59" s="131" t="s">
        <v>57</v>
      </c>
      <c r="C59" s="148">
        <v>136.11268097999999</v>
      </c>
      <c r="D59" s="230">
        <v>0</v>
      </c>
      <c r="E59" s="212">
        <f t="shared" si="3"/>
        <v>0</v>
      </c>
      <c r="F59" s="155">
        <v>2782.0966563768529</v>
      </c>
      <c r="G59" s="216">
        <f t="shared" si="14"/>
        <v>4.8924497525280317E-2</v>
      </c>
      <c r="H59" s="147">
        <v>185794.82999999996</v>
      </c>
      <c r="I59" s="213">
        <f>H59*0.61</f>
        <v>113334.84629999998</v>
      </c>
      <c r="J59" s="213">
        <f t="shared" si="13"/>
        <v>72459.983699999982</v>
      </c>
      <c r="K59" s="147">
        <v>1299851.4049229918</v>
      </c>
      <c r="L59" s="147">
        <v>1326763.2966666666</v>
      </c>
      <c r="M59" s="211">
        <f t="shared" si="15"/>
        <v>0.14003615450230433</v>
      </c>
      <c r="N59" s="235"/>
      <c r="O59" s="256"/>
      <c r="P59" s="256"/>
      <c r="Q59" s="42"/>
      <c r="R59" s="87"/>
    </row>
    <row r="60" spans="2:21" ht="22.5" customHeight="1" x14ac:dyDescent="0.35">
      <c r="B60" s="131" t="s">
        <v>58</v>
      </c>
      <c r="C60" s="148">
        <v>0</v>
      </c>
      <c r="D60" s="232">
        <v>0</v>
      </c>
      <c r="E60" s="212">
        <f t="shared" si="3"/>
        <v>0</v>
      </c>
      <c r="F60" s="148">
        <v>0</v>
      </c>
      <c r="G60" s="216" t="str">
        <f t="shared" si="14"/>
        <v>N/A</v>
      </c>
      <c r="H60" s="147">
        <v>0</v>
      </c>
      <c r="I60" s="213"/>
      <c r="J60" s="213">
        <f t="shared" si="13"/>
        <v>0</v>
      </c>
      <c r="K60" s="147">
        <v>0</v>
      </c>
      <c r="L60" s="147">
        <v>0</v>
      </c>
      <c r="M60" s="211" t="str">
        <f t="shared" si="15"/>
        <v>N/A</v>
      </c>
      <c r="N60" s="235"/>
      <c r="O60" s="256"/>
      <c r="P60" s="256"/>
      <c r="Q60" s="42"/>
      <c r="R60" s="87"/>
    </row>
    <row r="61" spans="2:21" s="61" customFormat="1" ht="22.5" customHeight="1" x14ac:dyDescent="0.35">
      <c r="B61" s="131" t="s">
        <v>59</v>
      </c>
      <c r="C61" s="148">
        <v>0</v>
      </c>
      <c r="D61" s="232">
        <v>0</v>
      </c>
      <c r="E61" s="212">
        <f>D61</f>
        <v>0</v>
      </c>
      <c r="F61" s="148">
        <v>0</v>
      </c>
      <c r="G61" s="216" t="str">
        <f t="shared" si="14"/>
        <v>N/A</v>
      </c>
      <c r="H61" s="147">
        <v>0</v>
      </c>
      <c r="I61" s="213">
        <f t="shared" ref="I61:I67" si="16">H61*0.61</f>
        <v>0</v>
      </c>
      <c r="J61" s="213">
        <f t="shared" si="13"/>
        <v>0</v>
      </c>
      <c r="K61" s="147">
        <v>0</v>
      </c>
      <c r="L61" s="147">
        <v>0</v>
      </c>
      <c r="M61" s="211" t="str">
        <f t="shared" si="15"/>
        <v>N/A</v>
      </c>
      <c r="N61" s="235"/>
      <c r="O61" s="256"/>
      <c r="P61" s="256"/>
      <c r="Q61" s="42"/>
      <c r="R61" s="42"/>
    </row>
    <row r="62" spans="2:21" ht="22.5" customHeight="1" x14ac:dyDescent="0.35">
      <c r="B62" s="123" t="s">
        <v>60</v>
      </c>
      <c r="C62" s="149">
        <v>2919.9929999999999</v>
      </c>
      <c r="D62" s="230">
        <f>'[1]2021'!$F$45</f>
        <v>7522.812526956478</v>
      </c>
      <c r="E62" s="206">
        <f t="shared" si="3"/>
        <v>7522.812526956478</v>
      </c>
      <c r="F62" s="155">
        <v>13000</v>
      </c>
      <c r="G62" s="211">
        <f t="shared" si="14"/>
        <v>0.22461484615384614</v>
      </c>
      <c r="H62" s="146">
        <v>988932.64000000013</v>
      </c>
      <c r="I62" s="213">
        <f t="shared" si="16"/>
        <v>603248.91040000005</v>
      </c>
      <c r="J62" s="213">
        <f t="shared" si="13"/>
        <v>385683.72960000008</v>
      </c>
      <c r="K62" s="146">
        <v>3870000.0399999996</v>
      </c>
      <c r="L62" s="146">
        <v>5883464.5871400014</v>
      </c>
      <c r="M62" s="211">
        <f t="shared" si="15"/>
        <v>0.16808678379089695</v>
      </c>
      <c r="N62" s="235"/>
      <c r="O62" s="256"/>
      <c r="P62" s="256"/>
      <c r="Q62" s="42"/>
      <c r="R62" s="87"/>
    </row>
    <row r="63" spans="2:21" ht="22.5" customHeight="1" x14ac:dyDescent="0.35">
      <c r="B63" s="123" t="s">
        <v>61</v>
      </c>
      <c r="C63" s="149">
        <v>4447.8493739650794</v>
      </c>
      <c r="D63" s="230">
        <f>'[1]2021'!$F$46</f>
        <v>11071.236595337323</v>
      </c>
      <c r="E63" s="206">
        <f t="shared" si="3"/>
        <v>11071.236595337323</v>
      </c>
      <c r="F63" s="155">
        <v>22306</v>
      </c>
      <c r="G63" s="211">
        <f t="shared" si="14"/>
        <v>0.19940147825540569</v>
      </c>
      <c r="H63" s="146">
        <v>533014.43000000005</v>
      </c>
      <c r="I63" s="213">
        <f t="shared" si="16"/>
        <v>325138.80230000004</v>
      </c>
      <c r="J63" s="213">
        <f t="shared" si="13"/>
        <v>207875.62770000001</v>
      </c>
      <c r="K63" s="146">
        <v>2616122</v>
      </c>
      <c r="L63" s="146">
        <v>2678616.1900000004</v>
      </c>
      <c r="M63" s="211">
        <f t="shared" si="15"/>
        <v>0.19898872857928929</v>
      </c>
      <c r="N63" s="235"/>
      <c r="O63" s="256"/>
      <c r="P63" s="256"/>
      <c r="Q63" s="186"/>
      <c r="R63" s="87"/>
    </row>
    <row r="64" spans="2:21" ht="22.5" customHeight="1" x14ac:dyDescent="0.35">
      <c r="B64" s="123" t="s">
        <v>62</v>
      </c>
      <c r="C64" s="149">
        <v>0</v>
      </c>
      <c r="D64" s="230">
        <v>0</v>
      </c>
      <c r="E64" s="206">
        <f t="shared" si="3"/>
        <v>0</v>
      </c>
      <c r="F64" s="149">
        <v>0</v>
      </c>
      <c r="G64" s="211" t="str">
        <f t="shared" si="14"/>
        <v>N/A</v>
      </c>
      <c r="H64" s="146">
        <v>0</v>
      </c>
      <c r="I64" s="213">
        <f t="shared" si="16"/>
        <v>0</v>
      </c>
      <c r="J64" s="213">
        <f t="shared" si="13"/>
        <v>0</v>
      </c>
      <c r="K64" s="146">
        <v>0</v>
      </c>
      <c r="L64" s="146">
        <v>0</v>
      </c>
      <c r="M64" s="211" t="str">
        <f>IF(L64=0,"N/A",H64/L64)</f>
        <v>N/A</v>
      </c>
      <c r="N64" s="235"/>
      <c r="O64" s="256"/>
      <c r="P64" s="256"/>
      <c r="Q64" s="42"/>
      <c r="R64" s="87"/>
    </row>
    <row r="65" spans="2:18" ht="22.5" customHeight="1" x14ac:dyDescent="0.35">
      <c r="B65" s="123" t="s">
        <v>63</v>
      </c>
      <c r="C65" s="149">
        <v>749.94385299999999</v>
      </c>
      <c r="D65" s="230">
        <f>'[1]2021'!$F$18</f>
        <v>3010.1229186056808</v>
      </c>
      <c r="E65" s="206">
        <f t="shared" si="3"/>
        <v>3010.1229186056808</v>
      </c>
      <c r="F65" s="155">
        <v>1743.9216181750003</v>
      </c>
      <c r="G65" s="211">
        <f t="shared" si="14"/>
        <v>0.43003300445624965</v>
      </c>
      <c r="H65" s="146">
        <v>254235.31</v>
      </c>
      <c r="I65" s="213">
        <f t="shared" si="16"/>
        <v>155083.53909999999</v>
      </c>
      <c r="J65" s="213">
        <f t="shared" si="13"/>
        <v>99151.770900000003</v>
      </c>
      <c r="K65" s="146">
        <v>738320.44600000011</v>
      </c>
      <c r="L65" s="146">
        <v>754628.85033333336</v>
      </c>
      <c r="M65" s="211">
        <f t="shared" si="15"/>
        <v>0.33690112680915874</v>
      </c>
      <c r="O65" s="256"/>
      <c r="P65" s="256"/>
      <c r="Q65" s="42"/>
      <c r="R65" s="87"/>
    </row>
    <row r="66" spans="2:18" ht="22.5" customHeight="1" x14ac:dyDescent="0.35">
      <c r="B66" s="123" t="s">
        <v>64</v>
      </c>
      <c r="C66" s="149">
        <v>0</v>
      </c>
      <c r="D66" s="230">
        <f>'[1]2021'!$F$55</f>
        <v>559.99999999999943</v>
      </c>
      <c r="E66" s="206">
        <f t="shared" si="3"/>
        <v>559.99999999999943</v>
      </c>
      <c r="F66" s="155">
        <v>0</v>
      </c>
      <c r="G66" s="211" t="str">
        <f t="shared" si="14"/>
        <v>N/A</v>
      </c>
      <c r="H66" s="146">
        <v>0</v>
      </c>
      <c r="I66" s="213">
        <f t="shared" si="16"/>
        <v>0</v>
      </c>
      <c r="J66" s="213">
        <f t="shared" si="13"/>
        <v>0</v>
      </c>
      <c r="K66" s="146">
        <v>0</v>
      </c>
      <c r="L66" s="146">
        <v>0</v>
      </c>
      <c r="M66" s="211" t="str">
        <f t="shared" si="15"/>
        <v>N/A</v>
      </c>
      <c r="N66" s="235"/>
      <c r="O66" s="256"/>
      <c r="P66" s="256"/>
      <c r="Q66" s="42"/>
      <c r="R66" s="87"/>
    </row>
    <row r="67" spans="2:18" ht="22.5" customHeight="1" x14ac:dyDescent="0.35">
      <c r="B67" s="123" t="s">
        <v>65</v>
      </c>
      <c r="C67" s="149">
        <v>654.79399999999998</v>
      </c>
      <c r="D67" s="230">
        <f>'[1]2021'!$F$53</f>
        <v>6427.1449239326994</v>
      </c>
      <c r="E67" s="206">
        <f t="shared" si="3"/>
        <v>6427.1449239326994</v>
      </c>
      <c r="F67" s="155">
        <v>15364.406330235428</v>
      </c>
      <c r="G67" s="211">
        <f t="shared" si="14"/>
        <v>4.2617591980201597E-2</v>
      </c>
      <c r="H67" s="146">
        <v>246448.47999999992</v>
      </c>
      <c r="I67" s="213">
        <f t="shared" si="16"/>
        <v>150333.57279999994</v>
      </c>
      <c r="J67" s="213">
        <f t="shared" si="13"/>
        <v>96114.907199999987</v>
      </c>
      <c r="K67" s="146">
        <v>3358292.9921914623</v>
      </c>
      <c r="L67" s="146">
        <v>3137455.6744508673</v>
      </c>
      <c r="M67" s="211">
        <f t="shared" si="15"/>
        <v>7.8550426068771328E-2</v>
      </c>
      <c r="O67" s="256"/>
      <c r="P67" s="256"/>
      <c r="Q67" s="42"/>
      <c r="R67" s="87"/>
    </row>
    <row r="68" spans="2:18" ht="22.5" customHeight="1" x14ac:dyDescent="0.35">
      <c r="B68" s="123" t="s">
        <v>66</v>
      </c>
      <c r="C68" s="149">
        <v>0</v>
      </c>
      <c r="D68" s="230">
        <f>'[1]2021'!$F$54</f>
        <v>5595.5</v>
      </c>
      <c r="E68" s="206">
        <f t="shared" si="3"/>
        <v>5595.5</v>
      </c>
      <c r="F68" s="155">
        <v>5400</v>
      </c>
      <c r="G68" s="211">
        <f t="shared" si="14"/>
        <v>0</v>
      </c>
      <c r="H68" s="146">
        <v>146766.21000000002</v>
      </c>
      <c r="I68" s="210">
        <v>0</v>
      </c>
      <c r="J68" s="213">
        <f t="shared" si="13"/>
        <v>146766.21000000002</v>
      </c>
      <c r="K68" s="146">
        <v>720204.74999999988</v>
      </c>
      <c r="L68" s="146">
        <v>720204.80999999994</v>
      </c>
      <c r="M68" s="211">
        <f t="shared" si="15"/>
        <v>0.20378399027909858</v>
      </c>
      <c r="O68" s="256"/>
      <c r="P68" s="256"/>
      <c r="Q68" s="42"/>
      <c r="R68" s="87"/>
    </row>
    <row r="69" spans="2:18" ht="22.5" customHeight="1" x14ac:dyDescent="0.35">
      <c r="B69" s="123" t="s">
        <v>67</v>
      </c>
      <c r="C69" s="149">
        <v>2444.19</v>
      </c>
      <c r="D69" s="230">
        <f>'[1]2021'!$F$48</f>
        <v>52253.524597827665</v>
      </c>
      <c r="E69" s="206">
        <f t="shared" si="3"/>
        <v>52253.524597827665</v>
      </c>
      <c r="F69" s="155">
        <v>26939</v>
      </c>
      <c r="G69" s="211">
        <f t="shared" si="14"/>
        <v>9.0730539366717405E-2</v>
      </c>
      <c r="H69" s="146">
        <v>723803.27</v>
      </c>
      <c r="I69" s="210">
        <f>H69*0.61</f>
        <v>441519.99469999998</v>
      </c>
      <c r="J69" s="213">
        <f t="shared" si="13"/>
        <v>282283.27530000004</v>
      </c>
      <c r="K69" s="146">
        <v>10941870.73</v>
      </c>
      <c r="L69" s="146">
        <v>10961375.27</v>
      </c>
      <c r="M69" s="211">
        <f t="shared" si="15"/>
        <v>6.6032158572379582E-2</v>
      </c>
      <c r="O69" s="256"/>
      <c r="P69" s="256"/>
      <c r="Q69" s="42"/>
      <c r="R69" s="87"/>
    </row>
    <row r="70" spans="2:18" ht="22.5" customHeight="1" x14ac:dyDescent="0.35">
      <c r="B70" s="123" t="s">
        <v>68</v>
      </c>
      <c r="C70" s="149">
        <v>366</v>
      </c>
      <c r="D70" s="230">
        <f>'[1]2021'!$F$51</f>
        <v>330.82905058823508</v>
      </c>
      <c r="E70" s="206">
        <f t="shared" si="3"/>
        <v>330.82905058823508</v>
      </c>
      <c r="F70" s="155">
        <v>459</v>
      </c>
      <c r="G70" s="211">
        <f t="shared" si="14"/>
        <v>0.79738562091503273</v>
      </c>
      <c r="H70" s="146">
        <v>102604.2</v>
      </c>
      <c r="I70" s="210">
        <v>0</v>
      </c>
      <c r="J70" s="213">
        <f t="shared" si="13"/>
        <v>102604.2</v>
      </c>
      <c r="K70" s="146">
        <v>690696.6</v>
      </c>
      <c r="L70" s="146">
        <v>635198.1</v>
      </c>
      <c r="M70" s="211">
        <f t="shared" si="15"/>
        <v>0.16153102473070999</v>
      </c>
      <c r="O70" s="256"/>
      <c r="P70" s="256"/>
      <c r="Q70" s="42"/>
      <c r="R70" s="87"/>
    </row>
    <row r="71" spans="2:18" ht="22.5" customHeight="1" x14ac:dyDescent="0.35">
      <c r="B71" s="123" t="s">
        <v>34</v>
      </c>
      <c r="C71" s="149">
        <v>301</v>
      </c>
      <c r="D71" s="230">
        <f>'[1]2021'!$F$16</f>
        <v>1538.9443886003498</v>
      </c>
      <c r="E71" s="206">
        <f t="shared" si="3"/>
        <v>1538.9443886003498</v>
      </c>
      <c r="F71" s="155">
        <v>2199.2190000000001</v>
      </c>
      <c r="G71" s="211">
        <f t="shared" si="14"/>
        <v>0.1368667695213619</v>
      </c>
      <c r="H71" s="146">
        <v>274241.78999999998</v>
      </c>
      <c r="I71" s="210">
        <f>H71*0.61</f>
        <v>167287.49189999999</v>
      </c>
      <c r="J71" s="213">
        <f t="shared" si="13"/>
        <v>106954.29809999999</v>
      </c>
      <c r="K71" s="146">
        <v>2348510</v>
      </c>
      <c r="L71" s="146">
        <v>2181972.758808258</v>
      </c>
      <c r="M71" s="211">
        <f t="shared" si="15"/>
        <v>0.12568524922821878</v>
      </c>
      <c r="N71" s="61"/>
      <c r="O71" s="256"/>
      <c r="P71" s="256"/>
      <c r="Q71" s="42"/>
      <c r="R71" s="87"/>
    </row>
    <row r="72" spans="2:18" ht="22.5" customHeight="1" x14ac:dyDescent="0.35">
      <c r="B72" s="123" t="s">
        <v>69</v>
      </c>
      <c r="C72" s="150">
        <v>0</v>
      </c>
      <c r="D72" s="231" t="s">
        <v>21</v>
      </c>
      <c r="E72" s="218" t="str">
        <f t="shared" si="3"/>
        <v>N/A</v>
      </c>
      <c r="F72" s="150" t="s">
        <v>21</v>
      </c>
      <c r="G72" s="218" t="s">
        <v>21</v>
      </c>
      <c r="H72" s="146">
        <v>98618.499999999971</v>
      </c>
      <c r="I72" s="210">
        <v>0</v>
      </c>
      <c r="J72" s="213">
        <f t="shared" si="13"/>
        <v>98618.499999999971</v>
      </c>
      <c r="K72" s="146">
        <v>1955484.7999999998</v>
      </c>
      <c r="L72" s="146">
        <v>905457.98</v>
      </c>
      <c r="M72" s="211">
        <f t="shared" si="15"/>
        <v>0.10891560092054187</v>
      </c>
      <c r="O72" s="256"/>
      <c r="P72" s="256"/>
      <c r="Q72" s="42"/>
      <c r="R72" s="87"/>
    </row>
    <row r="73" spans="2:18" ht="22.5" customHeight="1" x14ac:dyDescent="0.35">
      <c r="B73" s="123" t="s">
        <v>70</v>
      </c>
      <c r="C73" s="150">
        <v>0</v>
      </c>
      <c r="D73" s="231" t="s">
        <v>21</v>
      </c>
      <c r="E73" s="218" t="str">
        <f t="shared" si="3"/>
        <v>N/A</v>
      </c>
      <c r="F73" s="150" t="s">
        <v>21</v>
      </c>
      <c r="G73" s="218" t="s">
        <v>21</v>
      </c>
      <c r="H73" s="146">
        <v>0</v>
      </c>
      <c r="I73" s="210">
        <v>0</v>
      </c>
      <c r="J73" s="213">
        <f t="shared" si="13"/>
        <v>0</v>
      </c>
      <c r="K73" s="146">
        <v>0</v>
      </c>
      <c r="L73" s="146">
        <v>0</v>
      </c>
      <c r="M73" s="211" t="str">
        <f t="shared" si="15"/>
        <v>N/A</v>
      </c>
      <c r="O73" s="256"/>
      <c r="P73" s="256"/>
      <c r="Q73" s="42"/>
      <c r="R73" s="87"/>
    </row>
    <row r="74" spans="2:18" ht="22.5" customHeight="1" x14ac:dyDescent="0.35">
      <c r="B74" s="86" t="s">
        <v>71</v>
      </c>
      <c r="C74" s="227">
        <f>SUM(C57,C62:C73)</f>
        <v>15097.802907945079</v>
      </c>
      <c r="D74" s="227">
        <f>SUM(D57,D62:D73)</f>
        <v>152885.63585234029</v>
      </c>
      <c r="E74" s="227">
        <f>SUM(E57,E62:E73)</f>
        <v>152885.63585234029</v>
      </c>
      <c r="F74" s="227">
        <f>SUM(F57,F62:F73)</f>
        <v>110482.64360478728</v>
      </c>
      <c r="G74" s="168">
        <f>C74/F74</f>
        <v>0.13665316483512241</v>
      </c>
      <c r="H74" s="228">
        <f>SUM(H57,H62:H73)</f>
        <v>4817872.4200000009</v>
      </c>
      <c r="I74" s="228">
        <f>SUM(I57,I62:I73)</f>
        <v>2726628.9410999999</v>
      </c>
      <c r="J74" s="228">
        <f>SUM(J57,J62:J73)</f>
        <v>2091243.4789000005</v>
      </c>
      <c r="K74" s="228">
        <f>SUM(K57,K62:K73)</f>
        <v>34807627.163114458</v>
      </c>
      <c r="L74" s="228">
        <f>SUM(L57,L62:L73)</f>
        <v>35419399.277399123</v>
      </c>
      <c r="M74" s="168">
        <f>H74/L74</f>
        <v>0.13602354975778069</v>
      </c>
      <c r="O74" s="61"/>
      <c r="P74" s="61"/>
      <c r="Q74" s="42"/>
      <c r="R74" s="87"/>
    </row>
    <row r="75" spans="2:18" ht="22.5" customHeight="1" x14ac:dyDescent="0.35">
      <c r="B75" s="34" t="s">
        <v>72</v>
      </c>
      <c r="C75" s="156"/>
      <c r="D75" s="156"/>
      <c r="E75" s="156"/>
      <c r="F75" s="156"/>
      <c r="G75" s="156"/>
      <c r="H75" s="156"/>
      <c r="I75" s="156"/>
      <c r="J75" s="156"/>
      <c r="K75" s="156"/>
      <c r="L75" s="156"/>
      <c r="M75" s="157"/>
      <c r="O75" s="61"/>
      <c r="P75" s="61"/>
      <c r="Q75" s="42"/>
      <c r="R75" s="87"/>
    </row>
    <row r="76" spans="2:18" ht="22.5" customHeight="1" x14ac:dyDescent="0.35">
      <c r="B76" s="127" t="s">
        <v>73</v>
      </c>
      <c r="C76" s="150">
        <v>19982</v>
      </c>
      <c r="D76" s="154">
        <f>'[1]2021'!$F$5</f>
        <v>106471.00000000003</v>
      </c>
      <c r="E76" s="220">
        <f t="shared" si="3"/>
        <v>106471.00000000003</v>
      </c>
      <c r="F76" s="155">
        <v>75000</v>
      </c>
      <c r="G76" s="211">
        <f t="shared" ref="G76:G84" si="17">IF(F76=0,"N/A",C76/F76)</f>
        <v>0.26642666666666664</v>
      </c>
      <c r="H76" s="146">
        <f>6489.1+1350727</f>
        <v>1357216.1</v>
      </c>
      <c r="I76" s="210">
        <f t="shared" ref="I76:I85" si="18">H76*0.61</f>
        <v>827901.821</v>
      </c>
      <c r="J76" s="210">
        <f>H76-I76</f>
        <v>529314.2790000001</v>
      </c>
      <c r="K76" s="146">
        <f>50000+6011689.66</f>
        <v>6061689.6600000001</v>
      </c>
      <c r="L76" s="146">
        <f>48289.1+5751181.5157</f>
        <v>5799470.6157</v>
      </c>
      <c r="M76" s="211">
        <f>IF(L76=0,"N/A",H76/L76)</f>
        <v>0.23402413598334668</v>
      </c>
      <c r="O76" s="242"/>
      <c r="P76" s="61"/>
      <c r="Q76" s="42"/>
      <c r="R76" s="87"/>
    </row>
    <row r="77" spans="2:18" ht="22.5" customHeight="1" x14ac:dyDescent="0.35">
      <c r="B77" s="127" t="s">
        <v>74</v>
      </c>
      <c r="C77" s="150">
        <v>37211</v>
      </c>
      <c r="D77" s="154">
        <f>'[1]2021'!$F$6</f>
        <v>91176.495665813753</v>
      </c>
      <c r="E77" s="220">
        <f t="shared" si="3"/>
        <v>91176.495665813753</v>
      </c>
      <c r="F77" s="155">
        <v>146083</v>
      </c>
      <c r="G77" s="211">
        <f t="shared" si="17"/>
        <v>0.25472505356543884</v>
      </c>
      <c r="H77" s="146">
        <v>4289180.9700000007</v>
      </c>
      <c r="I77" s="210">
        <f t="shared" si="18"/>
        <v>2616400.3917000005</v>
      </c>
      <c r="J77" s="210">
        <f t="shared" ref="J77:J86" si="19">H77-I77</f>
        <v>1672780.5783000002</v>
      </c>
      <c r="K77" s="146">
        <v>19763000.010000002</v>
      </c>
      <c r="L77" s="146">
        <v>19781868.551150683</v>
      </c>
      <c r="M77" s="211">
        <f t="shared" ref="M77:M86" si="20">IF(L77=0,"N/A",H77/L77)</f>
        <v>0.21682385356617412</v>
      </c>
      <c r="O77" s="242"/>
      <c r="P77" s="61"/>
      <c r="Q77" s="42"/>
      <c r="R77" s="87"/>
    </row>
    <row r="78" spans="2:18" ht="22.5" customHeight="1" x14ac:dyDescent="0.35">
      <c r="B78" s="127" t="s">
        <v>75</v>
      </c>
      <c r="C78" s="150">
        <v>352.19910695679425</v>
      </c>
      <c r="D78" s="154"/>
      <c r="E78" s="220">
        <f t="shared" si="3"/>
        <v>0</v>
      </c>
      <c r="F78" s="155">
        <v>0</v>
      </c>
      <c r="G78" s="211"/>
      <c r="H78" s="146">
        <v>41334.460000000006</v>
      </c>
      <c r="I78" s="210">
        <f t="shared" si="18"/>
        <v>25214.020600000003</v>
      </c>
      <c r="J78" s="210">
        <f t="shared" si="19"/>
        <v>16120.439400000003</v>
      </c>
      <c r="K78" s="146">
        <v>61635.333333333343</v>
      </c>
      <c r="L78" s="146">
        <v>126556.53500000003</v>
      </c>
      <c r="M78" s="211">
        <f t="shared" si="20"/>
        <v>0.32660865754581536</v>
      </c>
      <c r="O78" s="242"/>
      <c r="P78" s="61"/>
      <c r="Q78" s="42"/>
      <c r="R78" s="87"/>
    </row>
    <row r="79" spans="2:18" ht="22.5" customHeight="1" x14ac:dyDescent="0.35">
      <c r="B79" s="127" t="s">
        <v>76</v>
      </c>
      <c r="C79" s="150">
        <v>3315.7584729642899</v>
      </c>
      <c r="D79" s="154">
        <f>'[1]2021'!$F$3</f>
        <v>33862.940225642007</v>
      </c>
      <c r="E79" s="220">
        <f t="shared" si="3"/>
        <v>33862.940225642007</v>
      </c>
      <c r="F79" s="155">
        <v>31573.619999999995</v>
      </c>
      <c r="G79" s="211">
        <f t="shared" si="17"/>
        <v>0.10501673463366856</v>
      </c>
      <c r="H79" s="146">
        <v>2618033.5199999996</v>
      </c>
      <c r="I79" s="210">
        <f t="shared" si="18"/>
        <v>1597000.4471999996</v>
      </c>
      <c r="J79" s="210">
        <f t="shared" si="19"/>
        <v>1021033.0728</v>
      </c>
      <c r="K79" s="146">
        <v>14084840.410958903</v>
      </c>
      <c r="L79" s="146">
        <v>14323731.756712331</v>
      </c>
      <c r="M79" s="211">
        <f t="shared" si="20"/>
        <v>0.18277593887313248</v>
      </c>
      <c r="O79" s="257"/>
      <c r="P79" s="61"/>
      <c r="Q79" s="42"/>
      <c r="R79" s="87"/>
    </row>
    <row r="80" spans="2:18" ht="22.5" customHeight="1" x14ac:dyDescent="0.35">
      <c r="B80" s="127" t="s">
        <v>77</v>
      </c>
      <c r="C80" s="150">
        <v>2551.5999080000001</v>
      </c>
      <c r="D80" s="154"/>
      <c r="E80" s="220">
        <f t="shared" si="3"/>
        <v>0</v>
      </c>
      <c r="F80" s="155">
        <v>0</v>
      </c>
      <c r="G80" s="211"/>
      <c r="H80" s="146">
        <v>1093020.42</v>
      </c>
      <c r="I80" s="210">
        <f t="shared" si="18"/>
        <v>666742.4561999999</v>
      </c>
      <c r="J80" s="210">
        <f t="shared" si="19"/>
        <v>426277.96380000003</v>
      </c>
      <c r="K80" s="146">
        <v>3556797.2000000007</v>
      </c>
      <c r="L80" s="146">
        <v>4599497.9749999996</v>
      </c>
      <c r="M80" s="211">
        <f t="shared" si="20"/>
        <v>0.23763906972912627</v>
      </c>
      <c r="O80" s="257"/>
      <c r="P80" s="61"/>
      <c r="Q80" s="42"/>
      <c r="R80" s="87"/>
    </row>
    <row r="81" spans="2:18" ht="22.5" customHeight="1" x14ac:dyDescent="0.35">
      <c r="B81" s="127" t="s">
        <v>78</v>
      </c>
      <c r="C81" s="150" t="s">
        <v>21</v>
      </c>
      <c r="D81" s="154">
        <f>'[1]2021'!$F$13</f>
        <v>21702.515446331541</v>
      </c>
      <c r="E81" s="220">
        <f t="shared" si="3"/>
        <v>21702.515446331541</v>
      </c>
      <c r="F81" s="155">
        <v>0</v>
      </c>
      <c r="G81" s="211" t="str">
        <f t="shared" si="17"/>
        <v>N/A</v>
      </c>
      <c r="H81" s="146">
        <v>-61607</v>
      </c>
      <c r="I81" s="210">
        <f t="shared" si="18"/>
        <v>-37580.269999999997</v>
      </c>
      <c r="J81" s="210">
        <f t="shared" si="19"/>
        <v>-24026.730000000003</v>
      </c>
      <c r="K81" s="146">
        <v>4500</v>
      </c>
      <c r="L81" s="146">
        <v>-61307</v>
      </c>
      <c r="M81" s="211">
        <f t="shared" si="20"/>
        <v>1.0048934053207628</v>
      </c>
      <c r="O81" s="257"/>
      <c r="P81" s="61"/>
      <c r="Q81" s="42"/>
      <c r="R81" s="87"/>
    </row>
    <row r="82" spans="2:18" ht="22.5" customHeight="1" x14ac:dyDescent="0.35">
      <c r="B82" s="127" t="s">
        <v>79</v>
      </c>
      <c r="C82" s="150">
        <v>4245</v>
      </c>
      <c r="D82" s="154">
        <f>'[1]2021'!$F$11</f>
        <v>15066.644098050696</v>
      </c>
      <c r="E82" s="220">
        <f t="shared" si="3"/>
        <v>15066.644098050696</v>
      </c>
      <c r="F82" s="155">
        <v>17358.601289861519</v>
      </c>
      <c r="G82" s="211">
        <f t="shared" si="17"/>
        <v>0.24454735316026521</v>
      </c>
      <c r="H82" s="146">
        <v>1511744.4400000002</v>
      </c>
      <c r="I82" s="210">
        <f t="shared" si="18"/>
        <v>922164.10840000014</v>
      </c>
      <c r="J82" s="210">
        <f t="shared" si="19"/>
        <v>589580.33160000003</v>
      </c>
      <c r="K82" s="146">
        <v>6043359.7006802037</v>
      </c>
      <c r="L82" s="146">
        <v>5900504.0078303348</v>
      </c>
      <c r="M82" s="211">
        <f t="shared" si="20"/>
        <v>0.25620598477584655</v>
      </c>
      <c r="O82" s="257"/>
      <c r="P82" s="61"/>
      <c r="Q82" s="42"/>
      <c r="R82" s="87"/>
    </row>
    <row r="83" spans="2:18" ht="22.5" customHeight="1" x14ac:dyDescent="0.35">
      <c r="B83" s="127" t="s">
        <v>80</v>
      </c>
      <c r="C83" s="150">
        <v>1394</v>
      </c>
      <c r="D83" s="154">
        <f>'[1]2021'!$F$9</f>
        <v>6843.5748594873885</v>
      </c>
      <c r="E83" s="220">
        <f t="shared" si="3"/>
        <v>6843.5748594873885</v>
      </c>
      <c r="F83" s="155">
        <v>9125.0262004879405</v>
      </c>
      <c r="G83" s="211">
        <f t="shared" si="17"/>
        <v>0.15276668465077492</v>
      </c>
      <c r="H83" s="146">
        <v>792196.71000000008</v>
      </c>
      <c r="I83" s="210">
        <f t="shared" si="18"/>
        <v>483239.99310000002</v>
      </c>
      <c r="J83" s="210">
        <f t="shared" si="19"/>
        <v>308956.71690000006</v>
      </c>
      <c r="K83" s="146">
        <v>3960314.9311522818</v>
      </c>
      <c r="L83" s="146">
        <v>4101240.1981250658</v>
      </c>
      <c r="M83" s="211">
        <f t="shared" si="20"/>
        <v>0.19316028121497564</v>
      </c>
      <c r="O83" s="257"/>
      <c r="P83" s="61"/>
      <c r="Q83" s="42"/>
      <c r="R83" s="87"/>
    </row>
    <row r="84" spans="2:18" ht="22.5" customHeight="1" x14ac:dyDescent="0.35">
      <c r="B84" s="127" t="s">
        <v>81</v>
      </c>
      <c r="C84" s="150">
        <v>783.08899999999994</v>
      </c>
      <c r="D84" s="154">
        <f>'[1]2021'!$F$10</f>
        <v>9816</v>
      </c>
      <c r="E84" s="220">
        <f t="shared" si="3"/>
        <v>9816</v>
      </c>
      <c r="F84" s="155">
        <v>3384.1640000000002</v>
      </c>
      <c r="G84" s="211">
        <f t="shared" si="17"/>
        <v>0.23139806463280146</v>
      </c>
      <c r="H84" s="146">
        <v>547343.89</v>
      </c>
      <c r="I84" s="210">
        <f t="shared" si="18"/>
        <v>333879.77289999998</v>
      </c>
      <c r="J84" s="210">
        <f t="shared" si="19"/>
        <v>213464.11710000003</v>
      </c>
      <c r="K84" s="146">
        <v>2258604</v>
      </c>
      <c r="L84" s="146">
        <v>2464499.89</v>
      </c>
      <c r="M84" s="211">
        <f t="shared" si="20"/>
        <v>0.2220912616879849</v>
      </c>
      <c r="O84" s="242"/>
      <c r="P84" s="61"/>
      <c r="Q84" s="258"/>
      <c r="R84" s="87"/>
    </row>
    <row r="85" spans="2:18" ht="22.5" customHeight="1" x14ac:dyDescent="0.35">
      <c r="B85" s="127" t="s">
        <v>82</v>
      </c>
      <c r="C85" s="149">
        <v>0</v>
      </c>
      <c r="D85" s="154">
        <f>'[1]2021'!$F$14</f>
        <v>570.7407967267693</v>
      </c>
      <c r="E85" s="220" t="s">
        <v>21</v>
      </c>
      <c r="F85" s="155">
        <v>0</v>
      </c>
      <c r="G85" s="211" t="s">
        <v>21</v>
      </c>
      <c r="H85" s="146">
        <v>0</v>
      </c>
      <c r="I85" s="210">
        <f t="shared" si="18"/>
        <v>0</v>
      </c>
      <c r="J85" s="210">
        <f t="shared" si="19"/>
        <v>0</v>
      </c>
      <c r="K85" s="146">
        <v>0</v>
      </c>
      <c r="L85" s="146">
        <v>0</v>
      </c>
      <c r="M85" s="211" t="str">
        <f t="shared" si="20"/>
        <v>N/A</v>
      </c>
      <c r="O85" s="257"/>
      <c r="P85" s="61"/>
      <c r="Q85" s="42"/>
      <c r="R85" s="87"/>
    </row>
    <row r="86" spans="2:18" ht="22.5" customHeight="1" x14ac:dyDescent="0.35">
      <c r="B86" s="127" t="s">
        <v>83</v>
      </c>
      <c r="C86" s="150">
        <v>0</v>
      </c>
      <c r="D86" s="231" t="s">
        <v>21</v>
      </c>
      <c r="E86" s="218" t="str">
        <f t="shared" si="3"/>
        <v>N/A</v>
      </c>
      <c r="F86" s="150" t="s">
        <v>21</v>
      </c>
      <c r="G86" s="218" t="s">
        <v>21</v>
      </c>
      <c r="H86" s="146">
        <v>42650.39</v>
      </c>
      <c r="I86" s="210">
        <v>0</v>
      </c>
      <c r="J86" s="210">
        <f t="shared" si="19"/>
        <v>42650.39</v>
      </c>
      <c r="K86" s="146">
        <v>449191</v>
      </c>
      <c r="L86" s="146">
        <v>394598.39</v>
      </c>
      <c r="M86" s="211">
        <f t="shared" si="20"/>
        <v>0.10808556517425223</v>
      </c>
      <c r="O86" s="257"/>
      <c r="P86" s="61"/>
      <c r="Q86" s="42"/>
      <c r="R86" s="87"/>
    </row>
    <row r="87" spans="2:18" ht="22.5" customHeight="1" x14ac:dyDescent="0.35">
      <c r="B87" s="2" t="s">
        <v>84</v>
      </c>
      <c r="C87" s="178">
        <f>SUM(C76:C86)</f>
        <v>69834.646487921098</v>
      </c>
      <c r="D87" s="151">
        <f>SUM(D76:D86)</f>
        <v>285509.91109205224</v>
      </c>
      <c r="E87" s="151">
        <f>D87</f>
        <v>285509.91109205224</v>
      </c>
      <c r="F87" s="151">
        <f>SUM(F76:F86)</f>
        <v>282524.41149034945</v>
      </c>
      <c r="G87" s="177">
        <f>C87/F87</f>
        <v>0.24718092896658075</v>
      </c>
      <c r="H87" s="153">
        <f>SUM(H76:H86)</f>
        <v>12231113.9</v>
      </c>
      <c r="I87" s="153">
        <f>SUM(I76:I86)</f>
        <v>7434962.7411000002</v>
      </c>
      <c r="J87" s="153">
        <f>SUM(J76:J86)</f>
        <v>4796151.1589000002</v>
      </c>
      <c r="K87" s="153">
        <f>SUM(K76:K86)</f>
        <v>56243932.24612473</v>
      </c>
      <c r="L87" s="153">
        <f>SUM(L76:L86)</f>
        <v>57430660.919518419</v>
      </c>
      <c r="M87" s="152">
        <f>H87/L87</f>
        <v>0.21297184646961162</v>
      </c>
      <c r="O87" s="61"/>
      <c r="P87" s="61"/>
      <c r="Q87" s="42"/>
      <c r="R87" s="87"/>
    </row>
    <row r="88" spans="2:18" ht="22.5" customHeight="1" x14ac:dyDescent="0.35">
      <c r="B88" s="292" t="s">
        <v>85</v>
      </c>
      <c r="C88" s="293"/>
      <c r="D88" s="293"/>
      <c r="E88" s="293"/>
      <c r="F88" s="293"/>
      <c r="G88" s="293"/>
      <c r="H88" s="293"/>
      <c r="I88" s="293"/>
      <c r="J88" s="293"/>
      <c r="K88" s="293"/>
      <c r="L88" s="293"/>
      <c r="M88" s="294"/>
      <c r="O88" s="61"/>
      <c r="P88" s="61"/>
      <c r="Q88" s="42"/>
      <c r="R88" s="87"/>
    </row>
    <row r="89" spans="2:18" ht="22.5" customHeight="1" x14ac:dyDescent="0.35">
      <c r="B89" s="127" t="s">
        <v>86</v>
      </c>
      <c r="C89" s="150">
        <v>15326</v>
      </c>
      <c r="D89" s="113">
        <f>'[1]2021'!$F$26</f>
        <v>15196.602981013857</v>
      </c>
      <c r="E89" s="222">
        <f t="shared" ref="E89:E94" si="21">D89</f>
        <v>15196.602981013857</v>
      </c>
      <c r="F89" s="155">
        <v>66518.485438550793</v>
      </c>
      <c r="G89" s="224">
        <f>IF(F89=0,"N/A",C89/F89)</f>
        <v>0.23040211903438523</v>
      </c>
      <c r="H89" s="159">
        <v>1458028.33</v>
      </c>
      <c r="I89" s="225">
        <f>H89*0.61</f>
        <v>889397.28130000003</v>
      </c>
      <c r="J89" s="225">
        <f t="shared" ref="J89:J94" si="22">H89-I89</f>
        <v>568631.04870000004</v>
      </c>
      <c r="K89" s="159">
        <v>7850000.002876712</v>
      </c>
      <c r="L89" s="159">
        <v>7968082.4699999997</v>
      </c>
      <c r="M89" s="224">
        <f>H89/L89</f>
        <v>0.18298358927502417</v>
      </c>
      <c r="O89" s="257"/>
      <c r="P89" s="61"/>
      <c r="Q89" s="42"/>
      <c r="R89" s="87"/>
    </row>
    <row r="90" spans="2:18" ht="22.5" customHeight="1" x14ac:dyDescent="0.35">
      <c r="B90" s="127" t="s">
        <v>87</v>
      </c>
      <c r="C90" s="150">
        <v>688</v>
      </c>
      <c r="D90" s="113">
        <f>'[1]2021'!$F$22</f>
        <v>6837.7481626347435</v>
      </c>
      <c r="E90" s="222">
        <f t="shared" si="21"/>
        <v>6837.7481626347435</v>
      </c>
      <c r="F90" s="155">
        <v>3408.9870000000001</v>
      </c>
      <c r="G90" s="224">
        <f>IF(F90=0,"N/A",C90/F90)</f>
        <v>0.20181948479122977</v>
      </c>
      <c r="H90" s="159">
        <v>2599656.5000000005</v>
      </c>
      <c r="I90" s="225">
        <f>H90*0.61</f>
        <v>1585790.4650000003</v>
      </c>
      <c r="J90" s="225">
        <f t="shared" si="22"/>
        <v>1013866.0350000001</v>
      </c>
      <c r="K90" s="159">
        <v>11690636.93</v>
      </c>
      <c r="L90" s="159">
        <v>12079316.760487106</v>
      </c>
      <c r="M90" s="224">
        <f>H90/L90</f>
        <v>0.21521552514491454</v>
      </c>
      <c r="O90" s="242"/>
      <c r="P90" s="61"/>
      <c r="Q90" s="42"/>
      <c r="R90" s="87"/>
    </row>
    <row r="91" spans="2:18" ht="22.5" customHeight="1" x14ac:dyDescent="0.35">
      <c r="B91" s="127" t="s">
        <v>88</v>
      </c>
      <c r="C91" s="150">
        <v>1037</v>
      </c>
      <c r="D91" s="113">
        <f>'[1]2021'!$F$19</f>
        <v>4111.1334175836964</v>
      </c>
      <c r="E91" s="222">
        <f t="shared" si="21"/>
        <v>4111.1334175836964</v>
      </c>
      <c r="F91" s="155">
        <v>5361.7740000000003</v>
      </c>
      <c r="G91" s="224">
        <f>IF(F91=0,"N/A",C91/F91)</f>
        <v>0.19340613759550476</v>
      </c>
      <c r="H91" s="159">
        <v>1608690.9900000002</v>
      </c>
      <c r="I91" s="225">
        <f>H91*0.61</f>
        <v>981301.50390000013</v>
      </c>
      <c r="J91" s="225">
        <f t="shared" si="22"/>
        <v>627389.4861000001</v>
      </c>
      <c r="K91" s="159">
        <v>12271966</v>
      </c>
      <c r="L91" s="159">
        <v>12332463.871052951</v>
      </c>
      <c r="M91" s="224">
        <f>H91/L91</f>
        <v>0.13044360046948586</v>
      </c>
      <c r="O91" s="242"/>
      <c r="P91" s="61"/>
      <c r="Q91" s="42"/>
      <c r="R91" s="87"/>
    </row>
    <row r="92" spans="2:18" ht="22.5" customHeight="1" x14ac:dyDescent="0.35">
      <c r="B92" s="127" t="s">
        <v>89</v>
      </c>
      <c r="C92" s="150">
        <v>125.878</v>
      </c>
      <c r="D92" s="113">
        <f>'[1]2021'!$F$25</f>
        <v>1630.8776568833398</v>
      </c>
      <c r="E92" s="222">
        <f t="shared" si="21"/>
        <v>1630.8776568833398</v>
      </c>
      <c r="F92" s="155">
        <v>1518.6528452702742</v>
      </c>
      <c r="G92" s="224">
        <f>IF(F92=0,"N/A",C92/F92)</f>
        <v>8.2887936102077051E-2</v>
      </c>
      <c r="H92" s="159">
        <v>259234.72999999998</v>
      </c>
      <c r="I92" s="225">
        <f>H92*0.61</f>
        <v>158133.18529999998</v>
      </c>
      <c r="J92" s="225">
        <f t="shared" si="22"/>
        <v>101101.5447</v>
      </c>
      <c r="K92" s="159">
        <v>2494484.1643407568</v>
      </c>
      <c r="L92" s="159">
        <v>2100871.700619</v>
      </c>
      <c r="M92" s="224">
        <f>H92/L92</f>
        <v>0.12339388927159101</v>
      </c>
      <c r="O92" s="242"/>
      <c r="P92" s="61"/>
      <c r="Q92" s="42"/>
      <c r="R92" s="87"/>
    </row>
    <row r="93" spans="2:18" ht="22.5" customHeight="1" x14ac:dyDescent="0.35">
      <c r="B93" s="127" t="s">
        <v>90</v>
      </c>
      <c r="C93" s="112">
        <v>0</v>
      </c>
      <c r="D93" s="233" t="s">
        <v>21</v>
      </c>
      <c r="E93" s="223" t="str">
        <f t="shared" si="21"/>
        <v>N/A</v>
      </c>
      <c r="F93" s="112" t="s">
        <v>21</v>
      </c>
      <c r="G93" s="223" t="s">
        <v>21</v>
      </c>
      <c r="H93" s="159">
        <v>72865.510000000009</v>
      </c>
      <c r="I93" s="225">
        <v>0</v>
      </c>
      <c r="J93" s="225">
        <f t="shared" si="22"/>
        <v>72865.510000000009</v>
      </c>
      <c r="K93" s="159">
        <v>1000000</v>
      </c>
      <c r="L93" s="159">
        <v>978079.70000000007</v>
      </c>
      <c r="M93" s="224">
        <f>H93/L93</f>
        <v>7.4498540354124523E-2</v>
      </c>
      <c r="O93" s="242"/>
      <c r="P93" s="61"/>
      <c r="Q93" s="42"/>
      <c r="R93" s="87"/>
    </row>
    <row r="94" spans="2:18" ht="22.5" customHeight="1" x14ac:dyDescent="0.35">
      <c r="B94" s="127" t="s">
        <v>91</v>
      </c>
      <c r="C94" s="112">
        <v>0</v>
      </c>
      <c r="D94" s="233" t="s">
        <v>21</v>
      </c>
      <c r="E94" s="223" t="str">
        <f t="shared" si="21"/>
        <v>N/A</v>
      </c>
      <c r="F94" s="112" t="s">
        <v>21</v>
      </c>
      <c r="G94" s="223" t="s">
        <v>21</v>
      </c>
      <c r="H94" s="159">
        <v>27513.64</v>
      </c>
      <c r="I94" s="225">
        <v>0</v>
      </c>
      <c r="J94" s="225">
        <f t="shared" si="22"/>
        <v>27513.64</v>
      </c>
      <c r="K94" s="159">
        <v>150000</v>
      </c>
      <c r="L94" s="159">
        <v>168235.59</v>
      </c>
      <c r="M94" s="224" t="s">
        <v>21</v>
      </c>
      <c r="O94" s="242"/>
      <c r="P94" s="61"/>
      <c r="Q94" s="42"/>
      <c r="R94" s="87"/>
    </row>
    <row r="95" spans="2:18" ht="22.5" customHeight="1" x14ac:dyDescent="0.35">
      <c r="B95" s="2" t="s">
        <v>92</v>
      </c>
      <c r="C95" s="179">
        <f>SUM(C89:C94)</f>
        <v>17176.878000000001</v>
      </c>
      <c r="D95" s="107">
        <f>SUM(D89:D94)</f>
        <v>27776.362218115635</v>
      </c>
      <c r="E95" s="107">
        <f>SUM(E89:E94)</f>
        <v>27776.362218115635</v>
      </c>
      <c r="F95" s="107">
        <f>SUM(F89:F94)</f>
        <v>76807.899283821069</v>
      </c>
      <c r="G95" s="180">
        <f>C95/F95</f>
        <v>0.22363426366509367</v>
      </c>
      <c r="H95" s="153">
        <f>SUM(H89:H94)</f>
        <v>6025989.7000000002</v>
      </c>
      <c r="I95" s="115">
        <f>SUM(I89:I94)</f>
        <v>3614622.4355000006</v>
      </c>
      <c r="J95" s="115">
        <f>SUM(J89:J94)</f>
        <v>2411367.264500001</v>
      </c>
      <c r="K95" s="115">
        <f>SUM(K89:K94)</f>
        <v>35457087.09721747</v>
      </c>
      <c r="L95" s="115">
        <f>SUM(L89:L94)</f>
        <v>35627050.092159063</v>
      </c>
      <c r="M95" s="160">
        <f>H95/L95</f>
        <v>0.16914085461502251</v>
      </c>
      <c r="O95" s="61"/>
      <c r="P95" s="61"/>
      <c r="Q95" s="42"/>
      <c r="R95" s="87"/>
    </row>
    <row r="96" spans="2:18" ht="22.5" customHeight="1" x14ac:dyDescent="0.35">
      <c r="B96" s="292" t="s">
        <v>93</v>
      </c>
      <c r="C96" s="293"/>
      <c r="D96" s="293"/>
      <c r="E96" s="293"/>
      <c r="F96" s="293"/>
      <c r="G96" s="293"/>
      <c r="H96" s="293"/>
      <c r="I96" s="293"/>
      <c r="J96" s="293"/>
      <c r="K96" s="293"/>
      <c r="L96" s="293"/>
      <c r="M96" s="294"/>
      <c r="O96" s="257"/>
      <c r="P96" s="61"/>
      <c r="Q96" s="42"/>
      <c r="R96" s="87"/>
    </row>
    <row r="97" spans="2:18" ht="22.5" customHeight="1" x14ac:dyDescent="0.35">
      <c r="B97" s="127" t="s">
        <v>94</v>
      </c>
      <c r="C97" s="112">
        <v>0</v>
      </c>
      <c r="D97" s="113">
        <v>0</v>
      </c>
      <c r="E97" s="222">
        <f>D97</f>
        <v>0</v>
      </c>
      <c r="F97" s="155">
        <v>0</v>
      </c>
      <c r="G97" s="224" t="str">
        <f t="shared" ref="G97:G110" si="23">IF(F97=0,"N/A",C97/F97)</f>
        <v>N/A</v>
      </c>
      <c r="H97" s="159">
        <v>0</v>
      </c>
      <c r="I97" s="225">
        <f t="shared" ref="I97:I107" si="24">H97*0.61</f>
        <v>0</v>
      </c>
      <c r="J97" s="225">
        <f>H97-I97</f>
        <v>0</v>
      </c>
      <c r="K97" s="159">
        <v>0</v>
      </c>
      <c r="L97" s="159"/>
      <c r="M97" s="225" t="str">
        <f>IF(L97=0,"N/A",H97/L97)</f>
        <v>N/A</v>
      </c>
      <c r="O97" s="242"/>
      <c r="P97" s="61"/>
      <c r="Q97" s="42"/>
      <c r="R97" s="87"/>
    </row>
    <row r="98" spans="2:18" ht="22.5" customHeight="1" x14ac:dyDescent="0.35">
      <c r="B98" s="127" t="s">
        <v>95</v>
      </c>
      <c r="C98" s="150" t="s">
        <v>21</v>
      </c>
      <c r="D98" s="113">
        <v>0</v>
      </c>
      <c r="E98" s="222">
        <f t="shared" ref="E98:E110" si="25">D98</f>
        <v>0</v>
      </c>
      <c r="F98" s="155">
        <v>0</v>
      </c>
      <c r="G98" s="224" t="str">
        <f t="shared" si="23"/>
        <v>N/A</v>
      </c>
      <c r="H98" s="159">
        <v>897.52000000000044</v>
      </c>
      <c r="I98" s="225">
        <f t="shared" si="24"/>
        <v>547.48720000000026</v>
      </c>
      <c r="J98" s="225">
        <f t="shared" ref="J98:J110" si="26">H98-I98</f>
        <v>350.03280000000018</v>
      </c>
      <c r="K98" s="159">
        <v>0</v>
      </c>
      <c r="L98" s="159">
        <v>897.52000000000044</v>
      </c>
      <c r="M98" s="264">
        <f t="shared" ref="M98:M101" si="27">IF(L98=0,"N/A",H98/L98)</f>
        <v>1</v>
      </c>
      <c r="O98" s="242"/>
      <c r="P98" s="61"/>
      <c r="Q98" s="42"/>
      <c r="R98" s="87"/>
    </row>
    <row r="99" spans="2:18" ht="22.5" customHeight="1" x14ac:dyDescent="0.35">
      <c r="B99" s="127" t="s">
        <v>96</v>
      </c>
      <c r="C99" s="150">
        <v>304.904</v>
      </c>
      <c r="D99" s="113">
        <v>0</v>
      </c>
      <c r="E99" s="222">
        <f t="shared" si="25"/>
        <v>0</v>
      </c>
      <c r="F99" s="155">
        <v>5200</v>
      </c>
      <c r="G99" s="224">
        <f t="shared" si="23"/>
        <v>5.8635384615384617E-2</v>
      </c>
      <c r="H99" s="159">
        <v>362144.26</v>
      </c>
      <c r="I99" s="225">
        <f t="shared" si="24"/>
        <v>220907.99859999999</v>
      </c>
      <c r="J99" s="225">
        <f t="shared" si="26"/>
        <v>141236.26140000002</v>
      </c>
      <c r="K99" s="159">
        <v>2125000</v>
      </c>
      <c r="L99" s="159">
        <v>2228978.8816200001</v>
      </c>
      <c r="M99" s="264">
        <f t="shared" si="27"/>
        <v>0.16247092468493785</v>
      </c>
      <c r="O99" s="256"/>
      <c r="P99" s="256"/>
      <c r="Q99" s="42"/>
      <c r="R99" s="87"/>
    </row>
    <row r="100" spans="2:18" ht="22.5" customHeight="1" x14ac:dyDescent="0.35">
      <c r="B100" s="127" t="s">
        <v>97</v>
      </c>
      <c r="C100" s="150">
        <v>18289</v>
      </c>
      <c r="D100" s="113">
        <v>0</v>
      </c>
      <c r="E100" s="222">
        <f t="shared" si="25"/>
        <v>0</v>
      </c>
      <c r="F100" s="155">
        <v>89371.005615999995</v>
      </c>
      <c r="G100" s="224">
        <f t="shared" si="23"/>
        <v>0.20464131374533553</v>
      </c>
      <c r="H100" s="159">
        <v>1276864.43</v>
      </c>
      <c r="I100" s="225">
        <f t="shared" si="24"/>
        <v>778887.30229999998</v>
      </c>
      <c r="J100" s="225">
        <f t="shared" si="26"/>
        <v>497977.12769999995</v>
      </c>
      <c r="K100" s="159">
        <v>6810856</v>
      </c>
      <c r="L100" s="159">
        <v>6818647.9299999997</v>
      </c>
      <c r="M100" s="264">
        <f>IF(L100=0,"N/A",H100/L100)</f>
        <v>0.18726064802116862</v>
      </c>
      <c r="O100" s="61"/>
      <c r="P100" s="61"/>
      <c r="Q100" s="42"/>
      <c r="R100" s="87"/>
    </row>
    <row r="101" spans="2:18" ht="22.5" customHeight="1" x14ac:dyDescent="0.35">
      <c r="B101" s="127" t="s">
        <v>98</v>
      </c>
      <c r="C101" s="150">
        <v>24.93526232</v>
      </c>
      <c r="D101" s="113">
        <v>0</v>
      </c>
      <c r="E101" s="222">
        <f t="shared" si="25"/>
        <v>0</v>
      </c>
      <c r="F101" s="155">
        <v>3935.6660000000002</v>
      </c>
      <c r="G101" s="224">
        <f t="shared" si="23"/>
        <v>6.3357160694022304E-3</v>
      </c>
      <c r="H101" s="159">
        <v>130848.64</v>
      </c>
      <c r="I101" s="225">
        <f t="shared" si="24"/>
        <v>79817.670400000003</v>
      </c>
      <c r="J101" s="225">
        <f t="shared" si="26"/>
        <v>51030.969599999997</v>
      </c>
      <c r="K101" s="159">
        <v>2115517</v>
      </c>
      <c r="L101" s="159">
        <v>2121044.8262807871</v>
      </c>
      <c r="M101" s="264">
        <f t="shared" si="27"/>
        <v>6.1690652822948902E-2</v>
      </c>
      <c r="O101" s="256"/>
      <c r="P101" s="256"/>
      <c r="Q101" s="42"/>
      <c r="R101" s="87"/>
    </row>
    <row r="102" spans="2:18" ht="27.75" customHeight="1" x14ac:dyDescent="0.35">
      <c r="B102" s="127" t="s">
        <v>99</v>
      </c>
      <c r="C102" s="150">
        <v>3308.4160000000002</v>
      </c>
      <c r="D102" s="113">
        <v>0</v>
      </c>
      <c r="E102" s="222">
        <f t="shared" si="25"/>
        <v>0</v>
      </c>
      <c r="F102" s="155">
        <v>30957.08</v>
      </c>
      <c r="G102" s="224">
        <f t="shared" si="23"/>
        <v>0.10687106148254293</v>
      </c>
      <c r="H102" s="159">
        <v>559455</v>
      </c>
      <c r="I102" s="225">
        <f t="shared" si="24"/>
        <v>341267.55</v>
      </c>
      <c r="J102" s="225">
        <f t="shared" si="26"/>
        <v>218187.45</v>
      </c>
      <c r="K102" s="159">
        <v>5164200</v>
      </c>
      <c r="L102" s="159">
        <v>5164200</v>
      </c>
      <c r="M102" s="264">
        <f t="shared" ref="M102:M110" si="28">IF(L102=0,"N/A",H102/L102)</f>
        <v>0.10833333333333334</v>
      </c>
      <c r="O102" s="242"/>
      <c r="P102" s="61"/>
      <c r="Q102" s="42"/>
      <c r="R102" s="87"/>
    </row>
    <row r="103" spans="2:18" ht="22.5" customHeight="1" x14ac:dyDescent="0.35">
      <c r="B103" s="127" t="s">
        <v>100</v>
      </c>
      <c r="C103" s="150">
        <v>1046</v>
      </c>
      <c r="D103" s="113">
        <v>0</v>
      </c>
      <c r="E103" s="222">
        <f t="shared" si="25"/>
        <v>0</v>
      </c>
      <c r="F103" s="155">
        <v>8849.9999999999982</v>
      </c>
      <c r="G103" s="224">
        <f t="shared" si="23"/>
        <v>0.11819209039548025</v>
      </c>
      <c r="H103" s="159">
        <v>304014.89</v>
      </c>
      <c r="I103" s="225">
        <f t="shared" si="24"/>
        <v>185449.08290000001</v>
      </c>
      <c r="J103" s="225">
        <f t="shared" si="26"/>
        <v>118565.80710000001</v>
      </c>
      <c r="K103" s="159">
        <v>2306802.6406592056</v>
      </c>
      <c r="L103" s="159">
        <v>2299014.14</v>
      </c>
      <c r="M103" s="264">
        <f t="shared" si="28"/>
        <v>0.13223706836357257</v>
      </c>
      <c r="O103" s="256"/>
      <c r="P103" s="256"/>
      <c r="Q103" s="42"/>
      <c r="R103" s="87"/>
    </row>
    <row r="104" spans="2:18" ht="22.5" customHeight="1" x14ac:dyDescent="0.35">
      <c r="B104" s="127" t="s">
        <v>101</v>
      </c>
      <c r="C104" s="150">
        <v>864.34999999999991</v>
      </c>
      <c r="D104" s="113">
        <v>0</v>
      </c>
      <c r="E104" s="222">
        <f t="shared" si="25"/>
        <v>0</v>
      </c>
      <c r="F104" s="155">
        <v>8357.2279999999992</v>
      </c>
      <c r="G104" s="224">
        <f t="shared" si="23"/>
        <v>0.10342544202455646</v>
      </c>
      <c r="H104" s="159">
        <v>304310.72000000003</v>
      </c>
      <c r="I104" s="225">
        <f t="shared" si="24"/>
        <v>185629.53920000003</v>
      </c>
      <c r="J104" s="225">
        <f t="shared" si="26"/>
        <v>118681.1808</v>
      </c>
      <c r="K104" s="159">
        <v>2376693.6460030489</v>
      </c>
      <c r="L104" s="159">
        <v>2374587.4700000002</v>
      </c>
      <c r="M104" s="264">
        <f t="shared" si="28"/>
        <v>0.12815308926059482</v>
      </c>
      <c r="O104" s="256"/>
      <c r="P104" s="256"/>
      <c r="Q104" s="42"/>
      <c r="R104" s="87"/>
    </row>
    <row r="105" spans="2:18" ht="22.5" customHeight="1" x14ac:dyDescent="0.35">
      <c r="B105" s="127" t="s">
        <v>102</v>
      </c>
      <c r="C105" s="150">
        <v>767</v>
      </c>
      <c r="D105" s="113">
        <v>0</v>
      </c>
      <c r="E105" s="222">
        <f t="shared" si="25"/>
        <v>0</v>
      </c>
      <c r="F105" s="155">
        <v>7289.7551180000009</v>
      </c>
      <c r="G105" s="224">
        <f t="shared" si="23"/>
        <v>0.10521615439538005</v>
      </c>
      <c r="H105" s="159">
        <v>176657.32</v>
      </c>
      <c r="I105" s="225">
        <f t="shared" si="24"/>
        <v>107760.96520000001</v>
      </c>
      <c r="J105" s="225">
        <f t="shared" si="26"/>
        <v>68896.354800000001</v>
      </c>
      <c r="K105" s="159">
        <v>1767866.8999999994</v>
      </c>
      <c r="L105" s="159">
        <v>1806408.5000000002</v>
      </c>
      <c r="M105" s="264">
        <f t="shared" si="28"/>
        <v>9.7794778977180405E-2</v>
      </c>
      <c r="N105" s="235"/>
      <c r="O105" s="256"/>
      <c r="P105" s="256"/>
      <c r="Q105" s="42"/>
      <c r="R105" s="87"/>
    </row>
    <row r="106" spans="2:18" ht="30.75" customHeight="1" x14ac:dyDescent="0.35">
      <c r="B106" s="127" t="s">
        <v>103</v>
      </c>
      <c r="C106" s="150">
        <v>2881.3440000000001</v>
      </c>
      <c r="D106" s="113">
        <v>0</v>
      </c>
      <c r="E106" s="222">
        <f t="shared" si="25"/>
        <v>0</v>
      </c>
      <c r="F106" s="155">
        <v>15525</v>
      </c>
      <c r="G106" s="224">
        <f t="shared" si="23"/>
        <v>0.18559381642512077</v>
      </c>
      <c r="H106" s="159">
        <v>531129.03999999992</v>
      </c>
      <c r="I106" s="225">
        <f t="shared" si="24"/>
        <v>323988.71439999994</v>
      </c>
      <c r="J106" s="225">
        <f t="shared" si="26"/>
        <v>207140.32559999998</v>
      </c>
      <c r="K106" s="159">
        <v>2961187.5</v>
      </c>
      <c r="L106" s="159">
        <v>1664129.04</v>
      </c>
      <c r="M106" s="264">
        <f t="shared" si="28"/>
        <v>0.31916337449408366</v>
      </c>
      <c r="N106" s="235"/>
      <c r="O106" s="256"/>
      <c r="P106" s="256"/>
      <c r="Q106" s="42"/>
      <c r="R106" s="87"/>
    </row>
    <row r="107" spans="2:18" ht="22.5" customHeight="1" x14ac:dyDescent="0.35">
      <c r="B107" s="127" t="s">
        <v>104</v>
      </c>
      <c r="C107" s="150">
        <v>495.87393940000004</v>
      </c>
      <c r="D107" s="113">
        <f>'[1]2021'!$F$4</f>
        <v>1377.4776228332878</v>
      </c>
      <c r="E107" s="222">
        <f t="shared" si="25"/>
        <v>1377.4776228332878</v>
      </c>
      <c r="F107" s="155">
        <v>7915.7938687102296</v>
      </c>
      <c r="G107" s="224">
        <f t="shared" si="23"/>
        <v>6.264361447815163E-2</v>
      </c>
      <c r="H107" s="159">
        <v>84123.499999999985</v>
      </c>
      <c r="I107" s="225">
        <f t="shared" si="24"/>
        <v>51315.334999999992</v>
      </c>
      <c r="J107" s="225">
        <f t="shared" si="26"/>
        <v>32808.164999999994</v>
      </c>
      <c r="K107" s="159">
        <v>1499999.52125</v>
      </c>
      <c r="L107" s="159">
        <v>1363507.1199999999</v>
      </c>
      <c r="M107" s="264">
        <f>IF(L107=0,"N/A",H107/L107)</f>
        <v>6.1696414170539858E-2</v>
      </c>
      <c r="O107" s="242"/>
      <c r="P107" s="61"/>
      <c r="Q107" s="42"/>
      <c r="R107" s="87"/>
    </row>
    <row r="108" spans="2:18" ht="22.5" customHeight="1" x14ac:dyDescent="0.35">
      <c r="B108" s="127" t="s">
        <v>105</v>
      </c>
      <c r="C108" s="112">
        <v>0</v>
      </c>
      <c r="D108" s="113">
        <v>0</v>
      </c>
      <c r="E108" s="222">
        <f t="shared" si="25"/>
        <v>0</v>
      </c>
      <c r="F108" s="113">
        <v>0</v>
      </c>
      <c r="G108" s="224" t="str">
        <f t="shared" si="23"/>
        <v>N/A</v>
      </c>
      <c r="H108" s="159">
        <v>0</v>
      </c>
      <c r="I108" s="225">
        <v>0</v>
      </c>
      <c r="J108" s="225">
        <f t="shared" si="26"/>
        <v>0</v>
      </c>
      <c r="K108" s="159">
        <v>0</v>
      </c>
      <c r="L108" s="159">
        <v>0</v>
      </c>
      <c r="M108" s="225" t="str">
        <f t="shared" si="28"/>
        <v>N/A</v>
      </c>
      <c r="O108" s="61"/>
      <c r="P108" s="61"/>
      <c r="Q108" s="42"/>
      <c r="R108" s="87"/>
    </row>
    <row r="109" spans="2:18" ht="22.5" customHeight="1" x14ac:dyDescent="0.35">
      <c r="B109" s="127" t="s">
        <v>106</v>
      </c>
      <c r="C109" s="112">
        <v>0</v>
      </c>
      <c r="D109" s="113">
        <v>63333.333336398879</v>
      </c>
      <c r="E109" s="222">
        <f t="shared" si="25"/>
        <v>63333.333336398879</v>
      </c>
      <c r="F109" s="113">
        <v>0</v>
      </c>
      <c r="G109" s="224" t="str">
        <f t="shared" si="23"/>
        <v>N/A</v>
      </c>
      <c r="H109" s="159">
        <v>0</v>
      </c>
      <c r="I109" s="225">
        <v>0</v>
      </c>
      <c r="J109" s="225">
        <f t="shared" si="26"/>
        <v>0</v>
      </c>
      <c r="K109" s="159">
        <v>0</v>
      </c>
      <c r="L109" s="159">
        <v>0</v>
      </c>
      <c r="M109" s="224" t="str">
        <f>IF(L109=0,"N/A",H109/L109)</f>
        <v>N/A</v>
      </c>
      <c r="O109" s="256"/>
      <c r="P109" s="256"/>
      <c r="Q109" s="42"/>
      <c r="R109" s="87"/>
    </row>
    <row r="110" spans="2:18" ht="22.5" customHeight="1" x14ac:dyDescent="0.35">
      <c r="B110" s="127" t="s">
        <v>107</v>
      </c>
      <c r="C110" s="112">
        <v>0</v>
      </c>
      <c r="D110" s="113">
        <v>20000.000000968066</v>
      </c>
      <c r="E110" s="222">
        <f t="shared" si="25"/>
        <v>20000.000000968066</v>
      </c>
      <c r="F110" s="113">
        <v>0</v>
      </c>
      <c r="G110" s="224" t="str">
        <f t="shared" si="23"/>
        <v>N/A</v>
      </c>
      <c r="H110" s="159">
        <v>0</v>
      </c>
      <c r="I110" s="225">
        <v>0</v>
      </c>
      <c r="J110" s="225">
        <f t="shared" si="26"/>
        <v>0</v>
      </c>
      <c r="K110" s="117">
        <v>0</v>
      </c>
      <c r="L110" s="117">
        <v>0</v>
      </c>
      <c r="M110" s="224" t="str">
        <f t="shared" si="28"/>
        <v>N/A</v>
      </c>
      <c r="O110" s="61"/>
      <c r="P110" s="61"/>
      <c r="Q110" s="42"/>
      <c r="R110" s="87"/>
    </row>
    <row r="111" spans="2:18" ht="25.5" customHeight="1" x14ac:dyDescent="0.35">
      <c r="B111" s="75" t="s">
        <v>108</v>
      </c>
      <c r="C111" s="179">
        <f>SUM(C97:C110)</f>
        <v>27981.823201719999</v>
      </c>
      <c r="D111" s="107">
        <f>SUM(D97:D110)</f>
        <v>84710.810960200237</v>
      </c>
      <c r="E111" s="107">
        <f>SUM(E97:E110)</f>
        <v>84710.810960200237</v>
      </c>
      <c r="F111" s="107">
        <f>SUM(F97:F110)</f>
        <v>177401.52860271023</v>
      </c>
      <c r="G111" s="180">
        <f>C111/F111</f>
        <v>0.15773157887711972</v>
      </c>
      <c r="H111" s="115">
        <f>SUM(H97:H110)</f>
        <v>3730445.32</v>
      </c>
      <c r="I111" s="115" t="s">
        <v>109</v>
      </c>
      <c r="J111" s="115">
        <f>SUM(J97:J110)</f>
        <v>1454873.6748000002</v>
      </c>
      <c r="K111" s="115">
        <f>SUM(K97:K110)</f>
        <v>27128123.207912251</v>
      </c>
      <c r="L111" s="115">
        <f>SUM(L97:L110)</f>
        <v>25841415.427900787</v>
      </c>
      <c r="M111" s="160">
        <f>H111/L111</f>
        <v>0.14435917143966756</v>
      </c>
      <c r="O111" s="145"/>
      <c r="P111" s="61"/>
      <c r="Q111" s="42"/>
      <c r="R111" s="87"/>
    </row>
    <row r="112" spans="2:18" ht="22.5" customHeight="1" x14ac:dyDescent="0.35">
      <c r="B112" s="307" t="s">
        <v>110</v>
      </c>
      <c r="C112" s="308"/>
      <c r="D112" s="308"/>
      <c r="E112" s="308"/>
      <c r="F112" s="308"/>
      <c r="G112" s="308"/>
      <c r="H112" s="308"/>
      <c r="I112" s="308"/>
      <c r="J112" s="308"/>
      <c r="K112" s="308"/>
      <c r="L112" s="308"/>
      <c r="M112" s="309"/>
      <c r="O112" s="61"/>
      <c r="P112" s="61"/>
      <c r="Q112" s="42"/>
      <c r="R112" s="87"/>
    </row>
    <row r="113" spans="2:18" ht="22.5" customHeight="1" x14ac:dyDescent="0.35">
      <c r="B113" s="282" t="s">
        <v>111</v>
      </c>
      <c r="C113" s="182">
        <v>0</v>
      </c>
      <c r="D113" s="234">
        <v>0</v>
      </c>
      <c r="E113" s="226">
        <f>D113</f>
        <v>0</v>
      </c>
      <c r="F113" s="182">
        <v>0</v>
      </c>
      <c r="G113" s="224" t="s">
        <v>21</v>
      </c>
      <c r="H113" s="159">
        <v>1828408.9200000002</v>
      </c>
      <c r="I113" s="159">
        <v>0</v>
      </c>
      <c r="J113" s="159">
        <f>H113-I113</f>
        <v>1828408.9200000002</v>
      </c>
      <c r="K113" s="159">
        <v>9700860</v>
      </c>
      <c r="L113" s="159">
        <v>9454011.8699999992</v>
      </c>
      <c r="M113" s="158">
        <f>H113/L113</f>
        <v>0.19340031990038112</v>
      </c>
      <c r="O113" s="61"/>
      <c r="P113" s="61"/>
      <c r="Q113" s="42"/>
      <c r="R113" s="87"/>
    </row>
    <row r="114" spans="2:18" ht="22.5" customHeight="1" x14ac:dyDescent="0.35">
      <c r="B114" s="282" t="s">
        <v>112</v>
      </c>
      <c r="C114" s="182">
        <v>38075</v>
      </c>
      <c r="D114" s="234">
        <f>'[1]2021'!$F$59</f>
        <v>259999.99999979819</v>
      </c>
      <c r="E114" s="226">
        <f>D114</f>
        <v>259999.99999979819</v>
      </c>
      <c r="F114" s="182">
        <v>259999.99999979819</v>
      </c>
      <c r="G114" s="224">
        <f>C114/F114</f>
        <v>0.14644230769242136</v>
      </c>
      <c r="H114" s="183" t="s">
        <v>21</v>
      </c>
      <c r="I114" s="183" t="s">
        <v>21</v>
      </c>
      <c r="J114" s="114" t="s">
        <v>21</v>
      </c>
      <c r="K114" s="114" t="s">
        <v>21</v>
      </c>
      <c r="L114" s="114" t="s">
        <v>21</v>
      </c>
      <c r="M114" s="158" t="s">
        <v>21</v>
      </c>
      <c r="O114" s="61"/>
      <c r="P114" s="61"/>
      <c r="Q114" s="42"/>
      <c r="R114" s="87"/>
    </row>
    <row r="115" spans="2:18" ht="22.5" customHeight="1" x14ac:dyDescent="0.35">
      <c r="B115" s="282" t="s">
        <v>113</v>
      </c>
      <c r="C115" s="182">
        <v>0</v>
      </c>
      <c r="D115" s="234">
        <v>0</v>
      </c>
      <c r="E115" s="226">
        <v>0</v>
      </c>
      <c r="F115" s="182">
        <v>0</v>
      </c>
      <c r="G115" s="224" t="s">
        <v>21</v>
      </c>
      <c r="H115" s="184">
        <v>216212.27000000002</v>
      </c>
      <c r="I115" s="184">
        <v>0</v>
      </c>
      <c r="J115" s="167"/>
      <c r="K115" s="167">
        <v>804000</v>
      </c>
      <c r="L115" s="167">
        <v>819212.27</v>
      </c>
      <c r="M115" s="158">
        <f t="shared" ref="M115" si="29">H115/L115</f>
        <v>0.2639270405459137</v>
      </c>
      <c r="O115" s="256"/>
      <c r="P115" s="61"/>
      <c r="Q115" s="42"/>
      <c r="R115" s="87"/>
    </row>
    <row r="116" spans="2:18" ht="22.5" customHeight="1" x14ac:dyDescent="0.35">
      <c r="B116" s="75" t="s">
        <v>114</v>
      </c>
      <c r="C116" s="179">
        <f>SUM(C113:C114)</f>
        <v>38075</v>
      </c>
      <c r="D116" s="107">
        <f>SUM(D113:D114)</f>
        <v>259999.99999979819</v>
      </c>
      <c r="E116" s="107">
        <f>D116</f>
        <v>259999.99999979819</v>
      </c>
      <c r="F116" s="107">
        <f>SUM(F113:F114)</f>
        <v>259999.99999979819</v>
      </c>
      <c r="G116" s="180">
        <f>C116/F116</f>
        <v>0.14644230769242136</v>
      </c>
      <c r="H116" s="115">
        <f>SUM(H113:H115)</f>
        <v>2044621.1900000002</v>
      </c>
      <c r="I116" s="115">
        <f>SUM(I113:I115)</f>
        <v>0</v>
      </c>
      <c r="J116" s="115">
        <f>SUM(J113:J115)</f>
        <v>1828408.9200000002</v>
      </c>
      <c r="K116" s="115">
        <f>SUM(K113:K115)</f>
        <v>10504860</v>
      </c>
      <c r="L116" s="115">
        <f>SUM(L113:L115)</f>
        <v>10273224.139999999</v>
      </c>
      <c r="M116" s="160">
        <f>H116/L116</f>
        <v>0.1990242948208468</v>
      </c>
      <c r="O116" s="61"/>
      <c r="P116" s="61"/>
      <c r="Q116" s="42"/>
      <c r="R116" s="87"/>
    </row>
    <row r="117" spans="2:18" ht="22.5" customHeight="1" x14ac:dyDescent="0.35">
      <c r="B117" s="75" t="s">
        <v>115</v>
      </c>
      <c r="C117" s="179">
        <v>27510.258972933356</v>
      </c>
      <c r="D117" s="107">
        <v>110160</v>
      </c>
      <c r="E117" s="107">
        <f>D117</f>
        <v>110160</v>
      </c>
      <c r="F117" s="107">
        <v>110040.99999999999</v>
      </c>
      <c r="G117" s="180">
        <f>C117/F117</f>
        <v>0.25000008154172865</v>
      </c>
      <c r="H117" s="115" t="s">
        <v>21</v>
      </c>
      <c r="I117" s="115" t="s">
        <v>21</v>
      </c>
      <c r="J117" s="115" t="s">
        <v>21</v>
      </c>
      <c r="K117" s="115" t="s">
        <v>21</v>
      </c>
      <c r="L117" s="115" t="s">
        <v>21</v>
      </c>
      <c r="M117" s="160" t="s">
        <v>21</v>
      </c>
      <c r="O117" s="61"/>
      <c r="P117" s="61"/>
      <c r="Q117" s="42"/>
      <c r="R117" s="87"/>
    </row>
    <row r="118" spans="2:18" ht="22.5" customHeight="1" x14ac:dyDescent="0.35">
      <c r="B118" s="75" t="s">
        <v>116</v>
      </c>
      <c r="C118" s="179"/>
      <c r="D118" s="107" t="s">
        <v>21</v>
      </c>
      <c r="E118" s="107" t="s">
        <v>21</v>
      </c>
      <c r="F118" s="107">
        <v>20000</v>
      </c>
      <c r="G118" s="180">
        <f>C118/F118</f>
        <v>0</v>
      </c>
      <c r="H118" s="115" t="s">
        <v>21</v>
      </c>
      <c r="I118" s="115" t="s">
        <v>21</v>
      </c>
      <c r="J118" s="115" t="s">
        <v>21</v>
      </c>
      <c r="K118" s="115" t="s">
        <v>21</v>
      </c>
      <c r="L118" s="115" t="s">
        <v>21</v>
      </c>
      <c r="M118" s="160" t="s">
        <v>21</v>
      </c>
      <c r="O118" s="145"/>
      <c r="P118" s="61"/>
      <c r="Q118" s="42"/>
      <c r="R118" s="87"/>
    </row>
    <row r="119" spans="2:18" s="61" customFormat="1" ht="27" customHeight="1" x14ac:dyDescent="0.35">
      <c r="B119" s="85" t="s">
        <v>117</v>
      </c>
      <c r="C119" s="110">
        <f>SUM(C39,C87,C95,C111,C116,C118,C117)</f>
        <v>327016.98751086654</v>
      </c>
      <c r="D119" s="110">
        <f>SUM(D39,D87,D95,D111,D116,D118,D117)</f>
        <v>1659037.2842661967</v>
      </c>
      <c r="E119" s="110">
        <f>SUM(E39,E87,E95,E111,E116,E118,E117)</f>
        <v>1659037.2842661967</v>
      </c>
      <c r="F119" s="110">
        <f>SUM(F39,F87,F95,F111,F116,F118,F117)</f>
        <v>1699488.8528598382</v>
      </c>
      <c r="G119" s="161">
        <f>C119/F119</f>
        <v>0.19242078991019812</v>
      </c>
      <c r="H119" s="111">
        <f>SUM(H39,H87,H95,H111,H116,H118,H117)</f>
        <v>61446009.840000011</v>
      </c>
      <c r="I119" s="111">
        <f>SUM(I39,I87,I95,I111,I116,I118,I117)</f>
        <v>32372831.082899999</v>
      </c>
      <c r="J119" s="111">
        <f>SUM(J39,J87,J95,J111,J116,J118,J117)</f>
        <v>26581394.841900006</v>
      </c>
      <c r="K119" s="111">
        <f>SUM(K39,K87,K95,K111,K116,K118,K117)</f>
        <v>319479532.07173496</v>
      </c>
      <c r="L119" s="111">
        <f>SUM(L39,L87,L95,L111,L116,L118,L117)</f>
        <v>318255237.45128125</v>
      </c>
      <c r="M119" s="161">
        <f>H119/L119</f>
        <v>0.1930714804007152</v>
      </c>
      <c r="O119" s="279"/>
      <c r="Q119" s="42"/>
      <c r="R119" s="42"/>
    </row>
    <row r="120" spans="2:18" s="42" customFormat="1" ht="22.5" customHeight="1" x14ac:dyDescent="0.35">
      <c r="B120" s="77"/>
      <c r="C120" s="38"/>
      <c r="D120" s="261"/>
      <c r="E120" s="262"/>
      <c r="F120" s="260"/>
      <c r="G120" s="40"/>
      <c r="H120" s="263"/>
      <c r="I120" s="41"/>
      <c r="J120" s="41"/>
      <c r="K120" s="263"/>
      <c r="L120" s="263"/>
      <c r="M120" s="40"/>
      <c r="O120" s="186"/>
    </row>
    <row r="121" spans="2:18" ht="22.5" customHeight="1" x14ac:dyDescent="0.35">
      <c r="B121" s="37"/>
      <c r="C121" s="37"/>
      <c r="D121" s="262"/>
      <c r="E121" s="262"/>
      <c r="F121" s="39"/>
      <c r="G121" s="129"/>
      <c r="H121" s="41"/>
      <c r="I121" s="41"/>
      <c r="J121" s="41"/>
      <c r="K121" s="41"/>
      <c r="L121" s="41"/>
      <c r="M121" s="40"/>
      <c r="O121" s="61"/>
      <c r="P121" s="61"/>
      <c r="Q121" s="61"/>
    </row>
    <row r="122" spans="2:18" ht="22.5" customHeight="1" x14ac:dyDescent="0.35">
      <c r="B122" s="38" t="s">
        <v>118</v>
      </c>
      <c r="C122" s="38"/>
      <c r="D122" s="38"/>
      <c r="E122" s="38"/>
      <c r="G122" s="176"/>
      <c r="L122" s="3"/>
    </row>
    <row r="123" spans="2:18" ht="30.75" customHeight="1" x14ac:dyDescent="0.35">
      <c r="B123" s="304" t="s">
        <v>119</v>
      </c>
      <c r="C123" s="305"/>
      <c r="D123" s="305"/>
      <c r="E123" s="305"/>
      <c r="F123" s="305"/>
      <c r="G123" s="305"/>
      <c r="H123" s="305"/>
      <c r="I123" s="305"/>
      <c r="J123" s="305"/>
      <c r="K123" s="305"/>
      <c r="L123" s="305"/>
      <c r="M123" s="306"/>
    </row>
    <row r="124" spans="2:18" ht="34.5" customHeight="1" x14ac:dyDescent="0.35">
      <c r="B124" s="301" t="s">
        <v>120</v>
      </c>
      <c r="C124" s="302"/>
      <c r="D124" s="302"/>
      <c r="E124" s="302"/>
      <c r="F124" s="302"/>
      <c r="G124" s="302"/>
      <c r="H124" s="302"/>
      <c r="I124" s="302"/>
      <c r="J124" s="302"/>
      <c r="K124" s="302"/>
      <c r="L124" s="302"/>
      <c r="M124" s="303"/>
    </row>
    <row r="125" spans="2:18" ht="22.5" customHeight="1" x14ac:dyDescent="0.35">
      <c r="B125" s="295" t="s">
        <v>121</v>
      </c>
      <c r="C125" s="296"/>
      <c r="D125" s="296"/>
      <c r="E125" s="296"/>
      <c r="F125" s="296"/>
      <c r="G125" s="296"/>
      <c r="H125" s="296"/>
      <c r="I125" s="296"/>
      <c r="J125" s="296"/>
      <c r="K125" s="296"/>
      <c r="L125" s="296"/>
      <c r="M125" s="297"/>
    </row>
    <row r="126" spans="2:18" ht="22.5" customHeight="1" x14ac:dyDescent="0.35">
      <c r="B126" s="298"/>
      <c r="C126" s="299"/>
      <c r="D126" s="299"/>
      <c r="E126" s="299"/>
      <c r="F126" s="299"/>
      <c r="G126" s="299"/>
      <c r="H126" s="299"/>
      <c r="I126" s="299"/>
      <c r="J126" s="299"/>
      <c r="K126" s="299"/>
      <c r="L126" s="299"/>
      <c r="M126" s="300"/>
    </row>
    <row r="127" spans="2:18" ht="45" customHeight="1" x14ac:dyDescent="0.35">
      <c r="B127" s="284" t="s">
        <v>122</v>
      </c>
      <c r="C127" s="284"/>
      <c r="D127" s="284"/>
      <c r="E127" s="284"/>
      <c r="F127" s="284"/>
      <c r="G127" s="284"/>
      <c r="H127" s="284"/>
      <c r="I127" s="284"/>
      <c r="J127" s="284"/>
      <c r="K127" s="284"/>
      <c r="L127" s="284"/>
      <c r="M127" s="284"/>
    </row>
    <row r="128" spans="2:18" ht="43.5" customHeight="1" x14ac:dyDescent="0.35">
      <c r="B128" s="284" t="s">
        <v>123</v>
      </c>
      <c r="C128" s="284"/>
      <c r="D128" s="284"/>
      <c r="E128" s="284"/>
      <c r="F128" s="284"/>
      <c r="G128" s="284"/>
      <c r="H128" s="284"/>
      <c r="I128" s="284"/>
      <c r="J128" s="284"/>
      <c r="K128" s="284"/>
      <c r="L128" s="284"/>
      <c r="M128" s="284"/>
    </row>
  </sheetData>
  <autoFilter ref="B20:M119" xr:uid="{775B0D6F-32EA-450B-B7EC-4DB9A701AFA4}"/>
  <mergeCells count="10">
    <mergeCell ref="B128:M128"/>
    <mergeCell ref="B5:M6"/>
    <mergeCell ref="B8:M16"/>
    <mergeCell ref="B127:M127"/>
    <mergeCell ref="B88:M88"/>
    <mergeCell ref="B96:M96"/>
    <mergeCell ref="B125:M126"/>
    <mergeCell ref="B124:M124"/>
    <mergeCell ref="B123:M123"/>
    <mergeCell ref="B112:M112"/>
  </mergeCells>
  <printOptions horizontalCentered="1" headings="1"/>
  <pageMargins left="1" right="1" top="1.25" bottom="0.5" header="0.5" footer="0.5"/>
  <pageSetup paperSize="17" scale="36" orientation="portrait" r:id="rId1"/>
  <headerFooter scaleWithDoc="0">
    <oddHeader>&amp;R&amp;"Arial,Bold"ICC Docket No. 17-0312
Statewide Quarterly Report ComEd 2019 Q4 
Tab: &amp;A</oddHeader>
  </headerFooter>
  <ignoredErrors>
    <ignoredError sqref="G23:G25 G39:H39 F39 G56 G57 J56 G74 G40 M39 G27:G36 G119" formula="1"/>
    <ignoredError sqref="H56:H57 M57 L74 K57" formulaRange="1"/>
    <ignoredError sqref="F57 M56 H74" formula="1"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4.9989318521683403E-2"/>
    <pageSetUpPr fitToPage="1"/>
  </sheetPr>
  <dimension ref="A1:I34"/>
  <sheetViews>
    <sheetView tabSelected="1" workbookViewId="0">
      <selection activeCell="C120" sqref="C120"/>
    </sheetView>
  </sheetViews>
  <sheetFormatPr defaultColWidth="9.1796875" defaultRowHeight="14.5" x14ac:dyDescent="0.35"/>
  <cols>
    <col min="1" max="1" width="3.453125" customWidth="1"/>
    <col min="2" max="2" width="62.54296875" style="4" customWidth="1"/>
    <col min="3" max="3" width="21.453125" style="4" customWidth="1"/>
    <col min="4" max="4" width="19.54296875" customWidth="1"/>
    <col min="5" max="5" width="19.1796875" customWidth="1"/>
    <col min="6" max="6" width="14.453125" bestFit="1" customWidth="1"/>
    <col min="7" max="7" width="16.81640625" customWidth="1"/>
    <col min="9" max="9" width="13.54296875" bestFit="1" customWidth="1"/>
  </cols>
  <sheetData>
    <row r="1" spans="2:7" x14ac:dyDescent="0.35">
      <c r="B1" s="5" t="s">
        <v>0</v>
      </c>
    </row>
    <row r="2" spans="2:7" x14ac:dyDescent="0.35">
      <c r="B2" s="5" t="s">
        <v>124</v>
      </c>
    </row>
    <row r="3" spans="2:7" x14ac:dyDescent="0.35">
      <c r="B3" s="5"/>
    </row>
    <row r="4" spans="2:7" x14ac:dyDescent="0.35">
      <c r="B4" s="5"/>
    </row>
    <row r="5" spans="2:7" ht="37.5" customHeight="1" x14ac:dyDescent="0.35">
      <c r="B5" s="313" t="s">
        <v>125</v>
      </c>
      <c r="C5" s="314"/>
      <c r="D5" s="314"/>
      <c r="E5" s="315"/>
    </row>
    <row r="6" spans="2:7" ht="37.5" customHeight="1" x14ac:dyDescent="0.35">
      <c r="B6" s="316"/>
      <c r="C6" s="317"/>
      <c r="D6" s="317"/>
      <c r="E6" s="318"/>
    </row>
    <row r="7" spans="2:7" ht="18.75" customHeight="1" x14ac:dyDescent="0.35">
      <c r="B7" s="319"/>
      <c r="C7" s="320"/>
      <c r="D7" s="320"/>
      <c r="E7" s="321"/>
    </row>
    <row r="9" spans="2:7" x14ac:dyDescent="0.35">
      <c r="B9" s="5" t="s">
        <v>126</v>
      </c>
    </row>
    <row r="10" spans="2:7" x14ac:dyDescent="0.35">
      <c r="B10" s="5"/>
    </row>
    <row r="11" spans="2:7" ht="32.65" customHeight="1" x14ac:dyDescent="0.35">
      <c r="B11" s="54" t="s">
        <v>127</v>
      </c>
      <c r="C11" s="55" t="s">
        <v>128</v>
      </c>
      <c r="D11" s="252"/>
      <c r="E11" s="252"/>
      <c r="F11" s="61"/>
      <c r="G11" s="248"/>
    </row>
    <row r="12" spans="2:7" s="53" customFormat="1" ht="21" customHeight="1" x14ac:dyDescent="0.35">
      <c r="B12" s="310" t="s">
        <v>129</v>
      </c>
      <c r="C12" s="292"/>
      <c r="D12" s="253"/>
      <c r="E12" s="253"/>
    </row>
    <row r="13" spans="2:7" x14ac:dyDescent="0.35">
      <c r="B13" s="8" t="s">
        <v>130</v>
      </c>
      <c r="C13" s="245">
        <f>'1- Ex Ante Results'!H56</f>
        <v>32595967.309999999</v>
      </c>
      <c r="D13" s="61"/>
      <c r="E13" s="61"/>
      <c r="F13" s="61"/>
      <c r="G13" s="248"/>
    </row>
    <row r="14" spans="2:7" x14ac:dyDescent="0.35">
      <c r="B14" s="244" t="s">
        <v>131</v>
      </c>
      <c r="C14" s="243">
        <f>'1- Ex Ante Results'!H74</f>
        <v>4817872.4200000009</v>
      </c>
      <c r="D14" s="185"/>
      <c r="E14" s="61"/>
      <c r="F14" s="61"/>
      <c r="G14" s="248"/>
    </row>
    <row r="15" spans="2:7" x14ac:dyDescent="0.35">
      <c r="B15" s="8" t="s">
        <v>72</v>
      </c>
      <c r="C15" s="246">
        <f>'1- Ex Ante Results'!H87</f>
        <v>12231113.9</v>
      </c>
      <c r="D15" s="61"/>
      <c r="E15" s="61"/>
      <c r="F15" s="61"/>
      <c r="G15" s="248"/>
    </row>
    <row r="16" spans="2:7" x14ac:dyDescent="0.35">
      <c r="B16" s="8" t="s">
        <v>85</v>
      </c>
      <c r="C16" s="59">
        <f>'1- Ex Ante Results'!H95</f>
        <v>6025989.7000000002</v>
      </c>
      <c r="D16" s="61"/>
      <c r="E16" s="61"/>
      <c r="F16" s="61"/>
      <c r="G16" s="61"/>
    </row>
    <row r="17" spans="1:9" x14ac:dyDescent="0.35">
      <c r="B17" s="8" t="s">
        <v>132</v>
      </c>
      <c r="C17" s="59">
        <v>263216.98</v>
      </c>
      <c r="D17" s="187"/>
      <c r="E17" s="61"/>
      <c r="F17" s="61"/>
      <c r="G17" s="61"/>
    </row>
    <row r="18" spans="1:9" x14ac:dyDescent="0.35">
      <c r="B18" s="8" t="s">
        <v>133</v>
      </c>
      <c r="C18" s="56">
        <f>'1- Ex Ante Results'!H111</f>
        <v>3730445.32</v>
      </c>
      <c r="D18" s="61"/>
      <c r="E18" s="145"/>
      <c r="F18" s="61"/>
      <c r="G18" s="61"/>
    </row>
    <row r="19" spans="1:9" s="20" customFormat="1" ht="21" customHeight="1" x14ac:dyDescent="0.35">
      <c r="B19" s="81" t="s">
        <v>134</v>
      </c>
      <c r="C19" s="82">
        <f>SUM(C13:C18)</f>
        <v>59664605.629999995</v>
      </c>
      <c r="D19" s="188"/>
      <c r="E19" s="53"/>
      <c r="F19" s="249"/>
      <c r="G19" s="53"/>
    </row>
    <row r="20" spans="1:9" s="20" customFormat="1" ht="21" customHeight="1" x14ac:dyDescent="0.35">
      <c r="B20" s="311" t="s">
        <v>135</v>
      </c>
      <c r="C20" s="312"/>
      <c r="D20" s="189"/>
      <c r="E20" s="250"/>
      <c r="F20" s="53"/>
      <c r="G20" s="53"/>
    </row>
    <row r="21" spans="1:9" ht="29.65" customHeight="1" x14ac:dyDescent="0.35">
      <c r="B21" s="57" t="s">
        <v>136</v>
      </c>
      <c r="C21" s="118">
        <f>'1- Ex Ante Results'!H116</f>
        <v>2044621.1900000002</v>
      </c>
      <c r="D21" s="190"/>
      <c r="E21" s="145"/>
      <c r="F21" s="145"/>
      <c r="G21" s="251"/>
    </row>
    <row r="22" spans="1:9" x14ac:dyDescent="0.35">
      <c r="B22" s="58" t="s">
        <v>137</v>
      </c>
      <c r="C22" s="59">
        <v>2836774.78</v>
      </c>
      <c r="D22" s="185"/>
      <c r="E22" s="61"/>
      <c r="F22" s="61"/>
      <c r="G22" s="251"/>
    </row>
    <row r="23" spans="1:9" x14ac:dyDescent="0.35">
      <c r="B23" s="63" t="s">
        <v>138</v>
      </c>
      <c r="C23" s="59">
        <v>482066</v>
      </c>
      <c r="D23" s="190"/>
      <c r="E23" s="61"/>
      <c r="F23" s="61"/>
      <c r="G23" s="251"/>
    </row>
    <row r="24" spans="1:9" x14ac:dyDescent="0.35">
      <c r="B24" s="8" t="s">
        <v>139</v>
      </c>
      <c r="C24" s="59">
        <v>4949649</v>
      </c>
      <c r="D24" s="185"/>
      <c r="E24" s="248"/>
      <c r="F24" s="61"/>
      <c r="G24" s="251"/>
      <c r="I24" s="125"/>
    </row>
    <row r="25" spans="1:9" x14ac:dyDescent="0.35">
      <c r="B25" s="8" t="s">
        <v>140</v>
      </c>
      <c r="C25" s="59">
        <v>0</v>
      </c>
      <c r="D25" s="185"/>
      <c r="E25" s="248"/>
      <c r="F25" s="145"/>
      <c r="G25" s="251"/>
    </row>
    <row r="26" spans="1:9" s="20" customFormat="1" ht="21" customHeight="1" x14ac:dyDescent="0.35">
      <c r="B26" s="81" t="s">
        <v>141</v>
      </c>
      <c r="C26" s="119">
        <f>SUM(C21:C25)</f>
        <v>10313110.969999999</v>
      </c>
      <c r="D26" s="188"/>
      <c r="G26" s="193"/>
      <c r="I26" s="133"/>
    </row>
    <row r="27" spans="1:9" s="20" customFormat="1" ht="32.65" customHeight="1" x14ac:dyDescent="0.35">
      <c r="B27" s="84" t="s">
        <v>142</v>
      </c>
      <c r="C27" s="120">
        <f>C19+C26</f>
        <v>69977716.599999994</v>
      </c>
      <c r="D27" s="53"/>
      <c r="E27" s="192"/>
      <c r="F27" s="133"/>
      <c r="G27" s="194"/>
      <c r="I27" s="133"/>
    </row>
    <row r="28" spans="1:9" s="61" customFormat="1" x14ac:dyDescent="0.35">
      <c r="B28" s="62"/>
      <c r="C28" s="62"/>
      <c r="F28" s="145"/>
      <c r="G28" s="42"/>
    </row>
    <row r="29" spans="1:9" s="53" customFormat="1" ht="17.649999999999999" customHeight="1" x14ac:dyDescent="0.35">
      <c r="B29" s="73"/>
      <c r="C29" s="73"/>
    </row>
    <row r="30" spans="1:9" s="53" customFormat="1" ht="20.25" customHeight="1" x14ac:dyDescent="0.35">
      <c r="B30" s="74" t="s">
        <v>143</v>
      </c>
      <c r="C30" s="73"/>
    </row>
    <row r="31" spans="1:9" s="61" customFormat="1" ht="36" customHeight="1" x14ac:dyDescent="0.35">
      <c r="A31" s="42"/>
      <c r="B31" s="55" t="s">
        <v>144</v>
      </c>
      <c r="C31" s="55" t="s">
        <v>145</v>
      </c>
      <c r="D31" s="55" t="s">
        <v>146</v>
      </c>
      <c r="E31" s="44" t="s">
        <v>17</v>
      </c>
    </row>
    <row r="32" spans="1:9" s="20" customFormat="1" ht="35.65" customHeight="1" x14ac:dyDescent="0.35">
      <c r="B32" s="83" t="s">
        <v>142</v>
      </c>
      <c r="C32" s="121">
        <f>C27</f>
        <v>69977716.599999994</v>
      </c>
      <c r="D32" s="137">
        <v>351334190</v>
      </c>
      <c r="E32" s="138">
        <f>C32/D32</f>
        <v>0.19917707582060259</v>
      </c>
    </row>
    <row r="34" spans="4:4" x14ac:dyDescent="0.35">
      <c r="D34" s="259"/>
    </row>
  </sheetData>
  <mergeCells count="3">
    <mergeCell ref="B12:C12"/>
    <mergeCell ref="B20:C20"/>
    <mergeCell ref="B5:E7"/>
  </mergeCells>
  <printOptions horizontalCentered="1" headings="1"/>
  <pageMargins left="1" right="1" top="1.25" bottom="1" header="0.5" footer="0.5"/>
  <pageSetup scale="63" orientation="portrait" r:id="rId1"/>
  <headerFooter scaleWithDoc="0">
    <oddHeader>&amp;R&amp;"Arial,Bold"ICC Docket No. 17-0312
Statewide Quarterly Report ComEd 2019 Q4 
Tab: &amp;A</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4.9989318521683403E-2"/>
    <pageSetUpPr fitToPage="1"/>
  </sheetPr>
  <dimension ref="B1:R35"/>
  <sheetViews>
    <sheetView tabSelected="1" workbookViewId="0">
      <selection activeCell="C120" sqref="C120"/>
    </sheetView>
  </sheetViews>
  <sheetFormatPr defaultColWidth="9.1796875" defaultRowHeight="14.5" x14ac:dyDescent="0.35"/>
  <cols>
    <col min="1" max="1" width="3.54296875" customWidth="1"/>
    <col min="2" max="2" width="18.54296875" style="20" customWidth="1"/>
    <col min="3" max="3" width="22.26953125" customWidth="1"/>
    <col min="4" max="4" width="24.26953125" customWidth="1"/>
    <col min="5" max="6" width="18.54296875" customWidth="1"/>
    <col min="7" max="7" width="19.453125" customWidth="1"/>
    <col min="8" max="8" width="3.453125" customWidth="1"/>
    <col min="9" max="9" width="31.54296875" customWidth="1"/>
    <col min="10" max="10" width="11.54296875" customWidth="1"/>
    <col min="11" max="13" width="12.453125" customWidth="1"/>
    <col min="14" max="14" width="13.453125" customWidth="1"/>
    <col min="15" max="15" width="12.54296875" customWidth="1"/>
    <col min="16" max="17" width="12.453125" customWidth="1"/>
    <col min="18" max="18" width="12.54296875" customWidth="1"/>
    <col min="19" max="19" width="12.453125" customWidth="1"/>
  </cols>
  <sheetData>
    <row r="1" spans="2:18" x14ac:dyDescent="0.35">
      <c r="B1" s="74" t="s">
        <v>0</v>
      </c>
    </row>
    <row r="2" spans="2:18" x14ac:dyDescent="0.35">
      <c r="B2" s="74" t="s">
        <v>147</v>
      </c>
    </row>
    <row r="3" spans="2:18" x14ac:dyDescent="0.35">
      <c r="B3" s="74"/>
    </row>
    <row r="4" spans="2:18" x14ac:dyDescent="0.35">
      <c r="B4" s="74"/>
    </row>
    <row r="5" spans="2:18" ht="14.65" customHeight="1" x14ac:dyDescent="0.35">
      <c r="B5" s="322" t="s">
        <v>148</v>
      </c>
      <c r="C5" s="322"/>
      <c r="D5" s="322"/>
      <c r="E5" s="322"/>
      <c r="F5" s="322"/>
      <c r="G5" s="322"/>
    </row>
    <row r="6" spans="2:18" x14ac:dyDescent="0.35">
      <c r="B6" s="322"/>
      <c r="C6" s="322"/>
      <c r="D6" s="322"/>
      <c r="E6" s="322"/>
      <c r="F6" s="322"/>
      <c r="G6" s="322"/>
    </row>
    <row r="7" spans="2:18" x14ac:dyDescent="0.35">
      <c r="B7" s="322"/>
      <c r="C7" s="322"/>
      <c r="D7" s="322"/>
      <c r="E7" s="322"/>
      <c r="F7" s="322"/>
      <c r="G7" s="322"/>
    </row>
    <row r="8" spans="2:18" x14ac:dyDescent="0.35">
      <c r="B8" s="322"/>
      <c r="C8" s="322"/>
      <c r="D8" s="322"/>
      <c r="E8" s="322"/>
      <c r="F8" s="322"/>
      <c r="G8" s="322"/>
    </row>
    <row r="9" spans="2:18" x14ac:dyDescent="0.35">
      <c r="B9" s="322"/>
      <c r="C9" s="322"/>
      <c r="D9" s="322"/>
      <c r="E9" s="322"/>
      <c r="F9" s="322"/>
      <c r="G9" s="322"/>
    </row>
    <row r="11" spans="2:18" ht="18" x14ac:dyDescent="0.4">
      <c r="B11" s="43" t="s">
        <v>149</v>
      </c>
      <c r="C11" s="43"/>
      <c r="D11" s="10"/>
      <c r="E11" s="10"/>
      <c r="F11" s="10"/>
      <c r="G11" s="10"/>
      <c r="I11" s="9" t="s">
        <v>150</v>
      </c>
    </row>
    <row r="12" spans="2:18" ht="18" x14ac:dyDescent="0.4">
      <c r="C12" s="11"/>
      <c r="D12" s="10"/>
      <c r="E12" s="10"/>
      <c r="F12" s="10"/>
      <c r="G12" s="10"/>
      <c r="I12" s="6"/>
    </row>
    <row r="13" spans="2:18" s="20" customFormat="1" ht="47.25" customHeight="1" x14ac:dyDescent="0.35">
      <c r="B13" s="18" t="s">
        <v>151</v>
      </c>
      <c r="C13" s="7" t="s">
        <v>152</v>
      </c>
      <c r="D13" s="7" t="s">
        <v>7</v>
      </c>
      <c r="E13" s="7" t="s">
        <v>153</v>
      </c>
      <c r="F13" s="7" t="s">
        <v>154</v>
      </c>
      <c r="G13" s="7" t="s">
        <v>155</v>
      </c>
      <c r="I13" s="21" t="s">
        <v>156</v>
      </c>
      <c r="J13" s="7" t="s">
        <v>157</v>
      </c>
      <c r="K13" s="7" t="s">
        <v>158</v>
      </c>
      <c r="L13" s="7" t="s">
        <v>159</v>
      </c>
      <c r="M13" s="7" t="s">
        <v>160</v>
      </c>
      <c r="N13" s="7" t="s">
        <v>161</v>
      </c>
      <c r="O13" s="7" t="s">
        <v>162</v>
      </c>
      <c r="P13" s="7" t="s">
        <v>163</v>
      </c>
      <c r="Q13" s="7" t="s">
        <v>164</v>
      </c>
      <c r="R13" s="7" t="s">
        <v>165</v>
      </c>
    </row>
    <row r="14" spans="2:18" ht="27" x14ac:dyDescent="0.35">
      <c r="B14" s="103" t="s">
        <v>166</v>
      </c>
      <c r="C14" s="12" t="s">
        <v>167</v>
      </c>
      <c r="D14" s="13">
        <v>163717</v>
      </c>
      <c r="E14" s="13">
        <v>148842</v>
      </c>
      <c r="F14" s="13">
        <f>E14</f>
        <v>148842</v>
      </c>
      <c r="G14" s="14">
        <f>D14/F14</f>
        <v>1.0999381894895257</v>
      </c>
      <c r="I14" s="70" t="s">
        <v>168</v>
      </c>
      <c r="J14" s="19">
        <v>18636</v>
      </c>
      <c r="K14" s="19">
        <v>34038</v>
      </c>
      <c r="L14" s="19">
        <v>54130</v>
      </c>
      <c r="M14" s="19">
        <v>107640</v>
      </c>
      <c r="N14" s="19">
        <v>98944</v>
      </c>
      <c r="O14" s="19">
        <v>86439</v>
      </c>
      <c r="P14" s="19">
        <v>85124.305999999997</v>
      </c>
      <c r="Q14" s="19">
        <v>30340.597000000002</v>
      </c>
      <c r="R14" s="19">
        <v>171941.09</v>
      </c>
    </row>
    <row r="15" spans="2:18" s="20" customFormat="1" ht="27" x14ac:dyDescent="0.25">
      <c r="B15" s="103" t="s">
        <v>169</v>
      </c>
      <c r="C15" s="12" t="s">
        <v>167</v>
      </c>
      <c r="D15" s="68">
        <v>472132</v>
      </c>
      <c r="E15" s="68">
        <v>312339</v>
      </c>
      <c r="F15" s="13">
        <f>E15</f>
        <v>312339</v>
      </c>
      <c r="G15" s="69">
        <f t="shared" ref="G15:G30" si="0">D15/F15</f>
        <v>1.5116011769263524</v>
      </c>
      <c r="I15" s="66" t="s">
        <v>170</v>
      </c>
      <c r="J15" s="71" t="s">
        <v>167</v>
      </c>
      <c r="K15" s="71" t="s">
        <v>167</v>
      </c>
      <c r="L15" s="71" t="s">
        <v>167</v>
      </c>
      <c r="M15" s="71" t="s">
        <v>167</v>
      </c>
      <c r="N15" s="71" t="s">
        <v>167</v>
      </c>
      <c r="O15" s="71" t="s">
        <v>167</v>
      </c>
      <c r="P15" s="72" t="s">
        <v>171</v>
      </c>
      <c r="Q15" s="72" t="s">
        <v>171</v>
      </c>
      <c r="R15" s="72" t="s">
        <v>171</v>
      </c>
    </row>
    <row r="16" spans="2:18" ht="27" x14ac:dyDescent="0.35">
      <c r="B16" s="103" t="s">
        <v>172</v>
      </c>
      <c r="C16" s="12" t="s">
        <v>167</v>
      </c>
      <c r="D16" s="13">
        <v>626715</v>
      </c>
      <c r="E16" s="13">
        <v>458919</v>
      </c>
      <c r="F16" s="13">
        <f>E16</f>
        <v>458919</v>
      </c>
      <c r="G16" s="14">
        <f t="shared" si="0"/>
        <v>1.3656331509482065</v>
      </c>
      <c r="I16" s="66" t="s">
        <v>173</v>
      </c>
      <c r="J16" s="108" t="s">
        <v>174</v>
      </c>
      <c r="K16" s="108" t="s">
        <v>175</v>
      </c>
      <c r="L16" s="109" t="s">
        <v>176</v>
      </c>
      <c r="M16" s="109" t="s">
        <v>177</v>
      </c>
      <c r="N16" s="109" t="s">
        <v>178</v>
      </c>
      <c r="O16" s="109" t="s">
        <v>179</v>
      </c>
      <c r="P16" s="108" t="s">
        <v>180</v>
      </c>
      <c r="Q16" s="109" t="s">
        <v>181</v>
      </c>
      <c r="R16" s="169" t="s">
        <v>181</v>
      </c>
    </row>
    <row r="17" spans="2:18" ht="28" x14ac:dyDescent="0.35">
      <c r="B17" s="78" t="s">
        <v>182</v>
      </c>
      <c r="C17" s="46"/>
      <c r="D17" s="47">
        <f>SUM(D14:D16)</f>
        <v>1262564</v>
      </c>
      <c r="E17" s="47">
        <f>SUM(E14:E16)</f>
        <v>920100</v>
      </c>
      <c r="F17" s="47">
        <f>SUM(F14:F16)</f>
        <v>920100</v>
      </c>
      <c r="G17" s="48">
        <f t="shared" si="0"/>
        <v>1.3722030214107162</v>
      </c>
      <c r="I17" s="80"/>
      <c r="J17" s="87"/>
      <c r="K17" s="87"/>
      <c r="L17" s="87"/>
      <c r="M17" s="87"/>
      <c r="N17" s="87"/>
      <c r="O17" s="87"/>
      <c r="P17" s="87"/>
      <c r="Q17" s="87"/>
      <c r="R17" s="87"/>
    </row>
    <row r="18" spans="2:18" ht="33" customHeight="1" x14ac:dyDescent="0.35">
      <c r="B18" s="103" t="s">
        <v>183</v>
      </c>
      <c r="C18" s="12" t="s">
        <v>167</v>
      </c>
      <c r="D18" s="13">
        <v>944111</v>
      </c>
      <c r="E18" s="13">
        <v>610804</v>
      </c>
      <c r="F18" s="13">
        <f>E18</f>
        <v>610804</v>
      </c>
      <c r="G18" s="14">
        <f t="shared" si="0"/>
        <v>1.5456856864067687</v>
      </c>
      <c r="I18" s="80" t="s">
        <v>118</v>
      </c>
      <c r="J18" s="87"/>
      <c r="K18" s="87"/>
      <c r="L18" s="87"/>
      <c r="M18" s="87"/>
      <c r="N18" s="87"/>
      <c r="O18" s="87"/>
      <c r="P18" s="87"/>
      <c r="Q18" s="87"/>
      <c r="R18" s="87"/>
    </row>
    <row r="19" spans="2:18" ht="33" customHeight="1" x14ac:dyDescent="0.35">
      <c r="B19" s="103" t="s">
        <v>184</v>
      </c>
      <c r="C19" s="12" t="s">
        <v>167</v>
      </c>
      <c r="D19" s="13">
        <v>942061</v>
      </c>
      <c r="E19" s="13">
        <v>806353</v>
      </c>
      <c r="F19" s="13">
        <f>E19</f>
        <v>806353</v>
      </c>
      <c r="G19" s="14">
        <f t="shared" si="0"/>
        <v>1.1682984995405239</v>
      </c>
      <c r="I19" s="301" t="s">
        <v>185</v>
      </c>
      <c r="J19" s="302"/>
      <c r="K19" s="302"/>
      <c r="L19" s="302"/>
      <c r="M19" s="302"/>
      <c r="N19" s="302"/>
      <c r="O19" s="302"/>
      <c r="P19" s="302"/>
      <c r="Q19" s="302"/>
      <c r="R19" s="303"/>
    </row>
    <row r="20" spans="2:18" ht="40.5" customHeight="1" x14ac:dyDescent="0.35">
      <c r="B20" s="103" t="s">
        <v>186</v>
      </c>
      <c r="C20" s="12" t="s">
        <v>167</v>
      </c>
      <c r="D20" s="13">
        <v>977911</v>
      </c>
      <c r="E20" s="13">
        <v>809556</v>
      </c>
      <c r="F20" s="13">
        <v>791103</v>
      </c>
      <c r="G20" s="14">
        <f t="shared" si="0"/>
        <v>1.2361361289237938</v>
      </c>
      <c r="I20" s="301" t="s">
        <v>187</v>
      </c>
      <c r="J20" s="302"/>
      <c r="K20" s="302"/>
      <c r="L20" s="302"/>
      <c r="M20" s="302"/>
      <c r="N20" s="302"/>
      <c r="O20" s="302"/>
      <c r="P20" s="302"/>
      <c r="Q20" s="302"/>
      <c r="R20" s="303"/>
    </row>
    <row r="21" spans="2:18" ht="43.5" customHeight="1" x14ac:dyDescent="0.35">
      <c r="B21" s="78" t="s">
        <v>188</v>
      </c>
      <c r="C21" s="46"/>
      <c r="D21" s="47">
        <f>SUM(D18:D20)</f>
        <v>2864083</v>
      </c>
      <c r="E21" s="47">
        <f>SUM(E18:E20)</f>
        <v>2226713</v>
      </c>
      <c r="F21" s="47">
        <f>SUM(F18:F20)</f>
        <v>2208260</v>
      </c>
      <c r="G21" s="48">
        <f t="shared" si="0"/>
        <v>1.2969863150172534</v>
      </c>
    </row>
    <row r="22" spans="2:18" ht="27" x14ac:dyDescent="0.35">
      <c r="B22" s="103" t="s">
        <v>189</v>
      </c>
      <c r="C22" s="12" t="s">
        <v>171</v>
      </c>
      <c r="D22" s="13">
        <v>809877.65800000005</v>
      </c>
      <c r="E22" s="13">
        <v>648029</v>
      </c>
      <c r="F22" s="203">
        <f>E22</f>
        <v>648029</v>
      </c>
      <c r="G22" s="14">
        <f t="shared" si="0"/>
        <v>1.2497552702116728</v>
      </c>
    </row>
    <row r="23" spans="2:18" ht="27" x14ac:dyDescent="0.35">
      <c r="B23" s="103" t="s">
        <v>190</v>
      </c>
      <c r="C23" s="12" t="s">
        <v>171</v>
      </c>
      <c r="D23" s="13">
        <v>671027.05099999998</v>
      </c>
      <c r="E23" s="13">
        <v>541983</v>
      </c>
      <c r="F23" s="203">
        <f>E23</f>
        <v>541983</v>
      </c>
      <c r="G23" s="14">
        <f t="shared" si="0"/>
        <v>1.2380961229411254</v>
      </c>
    </row>
    <row r="24" spans="2:18" ht="27" x14ac:dyDescent="0.35">
      <c r="B24" s="103" t="s">
        <v>191</v>
      </c>
      <c r="C24" s="15" t="s">
        <v>171</v>
      </c>
      <c r="D24" s="13">
        <v>1087076</v>
      </c>
      <c r="E24" s="13">
        <v>787629</v>
      </c>
      <c r="F24" s="203">
        <f>E24</f>
        <v>787629</v>
      </c>
      <c r="G24" s="14">
        <f t="shared" si="0"/>
        <v>1.3801878803345229</v>
      </c>
    </row>
    <row r="25" spans="2:18" ht="44.25" customHeight="1" x14ac:dyDescent="0.35">
      <c r="B25" s="78" t="s">
        <v>192</v>
      </c>
      <c r="C25" s="46"/>
      <c r="D25" s="47">
        <f>SUM(D22:D24)</f>
        <v>2567980.7089999998</v>
      </c>
      <c r="E25" s="47">
        <f>SUM(E22:E24)</f>
        <v>1977641</v>
      </c>
      <c r="F25" s="204">
        <f>SUM(F22:F24)</f>
        <v>1977641</v>
      </c>
      <c r="G25" s="48">
        <f t="shared" si="0"/>
        <v>1.298507013659203</v>
      </c>
    </row>
    <row r="26" spans="2:18" x14ac:dyDescent="0.35">
      <c r="B26" s="67">
        <v>2018</v>
      </c>
      <c r="C26" s="15" t="s">
        <v>171</v>
      </c>
      <c r="D26" s="13">
        <v>1859773.2879999999</v>
      </c>
      <c r="E26" s="278">
        <v>1713349</v>
      </c>
      <c r="F26" s="203">
        <f>E26</f>
        <v>1713349</v>
      </c>
      <c r="G26" s="14">
        <f t="shared" si="0"/>
        <v>1.0854608652411155</v>
      </c>
    </row>
    <row r="27" spans="2:18" x14ac:dyDescent="0.35">
      <c r="B27" s="67">
        <v>2019</v>
      </c>
      <c r="C27" s="15" t="s">
        <v>171</v>
      </c>
      <c r="D27" s="13">
        <v>1700029.4500006568</v>
      </c>
      <c r="E27" s="278">
        <v>1629672</v>
      </c>
      <c r="F27" s="203">
        <f>E27</f>
        <v>1629672</v>
      </c>
      <c r="G27" s="14">
        <f t="shared" si="0"/>
        <v>1.043172767281181</v>
      </c>
    </row>
    <row r="28" spans="2:18" x14ac:dyDescent="0.35">
      <c r="B28" s="67">
        <v>2020</v>
      </c>
      <c r="C28" s="15" t="s">
        <v>171</v>
      </c>
      <c r="D28" s="265">
        <v>1821166.2136200001</v>
      </c>
      <c r="E28" s="278">
        <v>1637572</v>
      </c>
      <c r="F28" s="203">
        <f>E28</f>
        <v>1637572</v>
      </c>
      <c r="G28" s="14">
        <f t="shared" si="0"/>
        <v>1.1121136741590598</v>
      </c>
    </row>
    <row r="29" spans="2:18" x14ac:dyDescent="0.35">
      <c r="B29" s="67">
        <v>2021</v>
      </c>
      <c r="C29" s="15" t="s">
        <v>193</v>
      </c>
      <c r="D29" s="13">
        <f>'1- Ex Ante Results'!C119</f>
        <v>327016.98751086654</v>
      </c>
      <c r="E29" s="278">
        <v>1658918</v>
      </c>
      <c r="F29" s="13">
        <f>E29</f>
        <v>1658918</v>
      </c>
      <c r="G29" s="197">
        <f t="shared" si="0"/>
        <v>0.19712667383853003</v>
      </c>
    </row>
    <row r="30" spans="2:18" ht="42" customHeight="1" x14ac:dyDescent="0.35">
      <c r="B30" s="78" t="s">
        <v>194</v>
      </c>
      <c r="C30" s="46"/>
      <c r="D30" s="47">
        <f>SUM(D26:D29)</f>
        <v>5707985.9391315235</v>
      </c>
      <c r="E30" s="47">
        <f>SUM(E26:E29)</f>
        <v>6639511</v>
      </c>
      <c r="F30" s="47">
        <f>SUM(F26:F29)</f>
        <v>6639511</v>
      </c>
      <c r="G30" s="48">
        <f t="shared" si="0"/>
        <v>0.85969974884167277</v>
      </c>
    </row>
    <row r="31" spans="2:18" s="61" customFormat="1" ht="14.65" customHeight="1" x14ac:dyDescent="0.35">
      <c r="B31" s="79"/>
      <c r="C31" s="16"/>
      <c r="D31" s="17"/>
      <c r="E31" s="17"/>
      <c r="F31" s="17"/>
      <c r="G31" s="65"/>
    </row>
    <row r="32" spans="2:18" x14ac:dyDescent="0.35">
      <c r="B32" s="80" t="s">
        <v>118</v>
      </c>
    </row>
    <row r="33" spans="2:7" ht="46.5" customHeight="1" x14ac:dyDescent="0.35">
      <c r="B33" s="323" t="s">
        <v>195</v>
      </c>
      <c r="C33" s="323"/>
      <c r="D33" s="323"/>
      <c r="E33" s="323"/>
      <c r="F33" s="323"/>
      <c r="G33" s="323"/>
    </row>
    <row r="34" spans="2:7" ht="42.75" customHeight="1" x14ac:dyDescent="0.35">
      <c r="B34" s="323" t="s">
        <v>196</v>
      </c>
      <c r="C34" s="323"/>
      <c r="D34" s="323"/>
      <c r="E34" s="323"/>
      <c r="F34" s="323"/>
      <c r="G34" s="323"/>
    </row>
    <row r="35" spans="2:7" ht="42" customHeight="1" x14ac:dyDescent="0.35">
      <c r="B35" s="284" t="s">
        <v>197</v>
      </c>
      <c r="C35" s="284"/>
      <c r="D35" s="284"/>
      <c r="E35" s="284"/>
      <c r="F35" s="284"/>
      <c r="G35" s="284"/>
    </row>
  </sheetData>
  <mergeCells count="6">
    <mergeCell ref="I20:R20"/>
    <mergeCell ref="I19:R19"/>
    <mergeCell ref="B35:G35"/>
    <mergeCell ref="B5:G9"/>
    <mergeCell ref="B33:G33"/>
    <mergeCell ref="B34:G34"/>
  </mergeCells>
  <hyperlinks>
    <hyperlink ref="J16" r:id="rId1" xr:uid="{00000000-0004-0000-0200-000000000000}"/>
    <hyperlink ref="K16" r:id="rId2" display="Docket 10-0520, Staff Ex. 1.1, p. 12." xr:uid="{00000000-0004-0000-0200-000001000000}"/>
    <hyperlink ref="P16" r:id="rId3" xr:uid="{00000000-0004-0000-0200-000002000000}"/>
  </hyperlinks>
  <printOptions horizontalCentered="1" headings="1"/>
  <pageMargins left="0.5" right="0.5" top="1.25" bottom="1" header="0.5" footer="0.5"/>
  <pageSetup scale="46" orientation="landscape" r:id="rId4"/>
  <headerFooter scaleWithDoc="0">
    <oddHeader>&amp;R&amp;"Arial,Bold"ICC Docket No. 17-0312
Statewide Quarterly Report ComEd 2019 Q4
Tab: &amp;A</oddHeader>
  </headerFooter>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4.9989318521683403E-2"/>
    <pageSetUpPr fitToPage="1"/>
  </sheetPr>
  <dimension ref="B1:U31"/>
  <sheetViews>
    <sheetView tabSelected="1" workbookViewId="0">
      <selection activeCell="C120" sqref="C120"/>
    </sheetView>
  </sheetViews>
  <sheetFormatPr defaultColWidth="9.1796875" defaultRowHeight="14.5" x14ac:dyDescent="0.35"/>
  <cols>
    <col min="1" max="1" width="4.453125" customWidth="1"/>
    <col min="2" max="2" width="44.453125" customWidth="1"/>
    <col min="3" max="3" width="11.54296875" customWidth="1"/>
    <col min="4" max="4" width="10.54296875" customWidth="1"/>
    <col min="5" max="5" width="11.453125" customWidth="1"/>
    <col min="6" max="8" width="11.54296875" customWidth="1"/>
    <col min="9" max="9" width="12.26953125" customWidth="1"/>
    <col min="10" max="10" width="12.453125" customWidth="1"/>
    <col min="11" max="11" width="12" customWidth="1"/>
    <col min="12" max="12" width="12.453125" customWidth="1"/>
    <col min="13" max="14" width="12" customWidth="1"/>
    <col min="15" max="15" width="12.81640625" customWidth="1"/>
  </cols>
  <sheetData>
    <row r="1" spans="2:15" x14ac:dyDescent="0.35">
      <c r="B1" s="5" t="s">
        <v>0</v>
      </c>
    </row>
    <row r="2" spans="2:15" x14ac:dyDescent="0.35">
      <c r="B2" s="5" t="s">
        <v>198</v>
      </c>
    </row>
    <row r="3" spans="2:15" x14ac:dyDescent="0.35">
      <c r="B3" s="5"/>
    </row>
    <row r="4" spans="2:15" x14ac:dyDescent="0.35">
      <c r="B4" s="5"/>
    </row>
    <row r="5" spans="2:15" ht="22.5" customHeight="1" x14ac:dyDescent="0.35">
      <c r="B5" s="291" t="s">
        <v>199</v>
      </c>
      <c r="C5" s="291"/>
      <c r="D5" s="291"/>
      <c r="E5" s="291"/>
      <c r="F5" s="291"/>
      <c r="G5" s="291"/>
      <c r="H5" s="291"/>
      <c r="I5" s="291"/>
      <c r="J5" s="291"/>
      <c r="K5" s="291"/>
    </row>
    <row r="6" spans="2:15" ht="21" customHeight="1" x14ac:dyDescent="0.35">
      <c r="B6" s="291"/>
      <c r="C6" s="291"/>
      <c r="D6" s="291"/>
      <c r="E6" s="291"/>
      <c r="F6" s="291"/>
      <c r="G6" s="291"/>
      <c r="H6" s="291"/>
      <c r="I6" s="291"/>
      <c r="J6" s="291"/>
      <c r="K6" s="291"/>
    </row>
    <row r="7" spans="2:15" ht="21" customHeight="1" x14ac:dyDescent="0.35">
      <c r="B7" s="291"/>
      <c r="C7" s="291"/>
      <c r="D7" s="291"/>
      <c r="E7" s="291"/>
      <c r="F7" s="291"/>
      <c r="G7" s="291"/>
      <c r="H7" s="291"/>
      <c r="I7" s="291"/>
      <c r="J7" s="291"/>
      <c r="K7" s="291"/>
    </row>
    <row r="8" spans="2:15" x14ac:dyDescent="0.35">
      <c r="B8" s="4"/>
      <c r="C8" s="4"/>
      <c r="D8" s="4"/>
      <c r="E8" s="4"/>
      <c r="F8" s="4"/>
      <c r="G8" s="4"/>
      <c r="H8" s="4"/>
      <c r="I8" s="4"/>
      <c r="J8" s="4"/>
      <c r="K8" s="4"/>
      <c r="L8" s="4"/>
    </row>
    <row r="9" spans="2:15" x14ac:dyDescent="0.35">
      <c r="B9" s="32" t="s">
        <v>200</v>
      </c>
      <c r="C9" s="32"/>
      <c r="D9" s="22"/>
      <c r="E9" s="22"/>
      <c r="F9" s="23"/>
      <c r="G9" s="126"/>
      <c r="H9" s="23"/>
      <c r="I9" s="23"/>
      <c r="J9" s="23"/>
      <c r="K9" s="23"/>
      <c r="L9" s="23"/>
    </row>
    <row r="10" spans="2:15" x14ac:dyDescent="0.35">
      <c r="B10" s="22"/>
      <c r="C10" s="22"/>
      <c r="D10" s="22"/>
      <c r="E10" s="22"/>
      <c r="F10" s="23"/>
      <c r="G10" s="23"/>
      <c r="H10" s="23"/>
      <c r="I10" s="23"/>
      <c r="J10" s="23"/>
      <c r="K10" s="23"/>
      <c r="L10" s="128"/>
    </row>
    <row r="11" spans="2:15" ht="28" x14ac:dyDescent="0.35">
      <c r="B11" s="33" t="s">
        <v>201</v>
      </c>
      <c r="C11" s="18" t="s">
        <v>157</v>
      </c>
      <c r="D11" s="18" t="s">
        <v>158</v>
      </c>
      <c r="E11" s="7" t="s">
        <v>159</v>
      </c>
      <c r="F11" s="7" t="s">
        <v>160</v>
      </c>
      <c r="G11" s="7" t="s">
        <v>161</v>
      </c>
      <c r="H11" s="7" t="s">
        <v>162</v>
      </c>
      <c r="I11" s="7" t="s">
        <v>163</v>
      </c>
      <c r="J11" s="7" t="s">
        <v>164</v>
      </c>
      <c r="K11" s="7" t="s">
        <v>202</v>
      </c>
      <c r="L11" s="7" t="s">
        <v>203</v>
      </c>
      <c r="M11" s="7" t="s">
        <v>204</v>
      </c>
      <c r="N11" s="7" t="s">
        <v>205</v>
      </c>
      <c r="O11" s="7" t="s">
        <v>206</v>
      </c>
    </row>
    <row r="12" spans="2:15" x14ac:dyDescent="0.35">
      <c r="B12" s="8" t="s">
        <v>207</v>
      </c>
      <c r="C12" s="24">
        <v>182353</v>
      </c>
      <c r="D12" s="24">
        <v>506170</v>
      </c>
      <c r="E12" s="24">
        <v>680845</v>
      </c>
      <c r="F12" s="24">
        <v>1051751</v>
      </c>
      <c r="G12" s="24">
        <v>1041005</v>
      </c>
      <c r="H12" s="25">
        <v>1205087.922</v>
      </c>
      <c r="I12" s="25">
        <v>1207781.348736</v>
      </c>
      <c r="J12" s="25">
        <v>1382679.5970000001</v>
      </c>
      <c r="K12" s="25">
        <v>2542422.09</v>
      </c>
      <c r="L12" s="25">
        <v>1859773.2879999999</v>
      </c>
      <c r="M12" s="24">
        <v>1700029.4500006568</v>
      </c>
      <c r="N12" s="266">
        <v>1821166.2136200001</v>
      </c>
      <c r="O12" s="116">
        <f>'1- Ex Ante Results'!C119</f>
        <v>327016.98751086654</v>
      </c>
    </row>
    <row r="13" spans="2:15" x14ac:dyDescent="0.35">
      <c r="B13" s="8" t="s">
        <v>208</v>
      </c>
      <c r="C13" s="24">
        <f>C12*1000*1.3909/2204.62</f>
        <v>115046.94128693381</v>
      </c>
      <c r="D13" s="24">
        <f t="shared" ref="D13:K13" si="0">D12*1000*1.3909/2204.62</f>
        <v>319343.85653763462</v>
      </c>
      <c r="E13" s="24">
        <f t="shared" si="0"/>
        <v>429546.72936832655</v>
      </c>
      <c r="F13" s="24">
        <f t="shared" si="0"/>
        <v>663552.20668414515</v>
      </c>
      <c r="G13" s="24">
        <f t="shared" si="0"/>
        <v>656772.52973301522</v>
      </c>
      <c r="H13" s="24">
        <f t="shared" si="0"/>
        <v>760292.83536836284</v>
      </c>
      <c r="I13" s="24">
        <f t="shared" si="0"/>
        <v>761992.12470035767</v>
      </c>
      <c r="J13" s="24">
        <f t="shared" si="0"/>
        <v>872335.84539163217</v>
      </c>
      <c r="K13" s="24">
        <f t="shared" si="0"/>
        <v>1604020.1417845252</v>
      </c>
      <c r="L13" s="24">
        <f>L12*1000*1.2515/2204.62</f>
        <v>1055740.3407081494</v>
      </c>
      <c r="M13" s="24">
        <f>M12*1000*1.174/2204.62</f>
        <v>905296.41130932816</v>
      </c>
      <c r="N13" s="24">
        <f>N12*1000*1.174/2204.62</f>
        <v>969803.92756569397</v>
      </c>
      <c r="O13" s="24">
        <f>O12*1000*1.174/2204.62</f>
        <v>174142.45690312042</v>
      </c>
    </row>
    <row r="14" spans="2:15" x14ac:dyDescent="0.35">
      <c r="B14" s="8" t="s">
        <v>209</v>
      </c>
      <c r="C14" s="24">
        <f>C12*1000*1.3909/(4.67*2204.62)</f>
        <v>24635.31933339054</v>
      </c>
      <c r="D14" s="24">
        <f t="shared" ref="D14:K14" si="1">D12*1000*1.3909/(4.67*2204.62)</f>
        <v>68381.982127973155</v>
      </c>
      <c r="E14" s="24">
        <f t="shared" si="1"/>
        <v>91980.027701997111</v>
      </c>
      <c r="F14" s="24">
        <f t="shared" si="1"/>
        <v>142088.26695591974</v>
      </c>
      <c r="G14" s="24">
        <f t="shared" si="1"/>
        <v>140636.51600278699</v>
      </c>
      <c r="H14" s="24">
        <f t="shared" si="1"/>
        <v>162803.60500393208</v>
      </c>
      <c r="I14" s="24">
        <f t="shared" si="1"/>
        <v>163167.47852256053</v>
      </c>
      <c r="J14" s="24">
        <f t="shared" si="1"/>
        <v>186795.68423803686</v>
      </c>
      <c r="K14" s="24">
        <f t="shared" si="1"/>
        <v>343473.26376542298</v>
      </c>
      <c r="L14" s="24">
        <f>L12*1000*1.2515/(4.67*2204.62)</f>
        <v>226068.59544071721</v>
      </c>
      <c r="M14" s="24">
        <f>M12*1000*1.174/(4.63*2204.62)</f>
        <v>195528.38257220911</v>
      </c>
      <c r="N14" s="24">
        <f>N12*1000*1.174/(4.63*2204.62)</f>
        <v>209460.89148287126</v>
      </c>
      <c r="O14" s="24">
        <f>O12*1000*1.174/(4.63*2204.62)</f>
        <v>37611.761750133999</v>
      </c>
    </row>
    <row r="15" spans="2:15" x14ac:dyDescent="0.35">
      <c r="B15" s="8" t="s">
        <v>210</v>
      </c>
      <c r="C15" s="24">
        <f>(C12*1000*1.3909)/(0.85*2204.62)</f>
        <v>135349.34269051038</v>
      </c>
      <c r="D15" s="24">
        <f t="shared" ref="D15:K15" si="2">(D12*1000*1.3909)/(0.85*2204.62)</f>
        <v>375698.65475015837</v>
      </c>
      <c r="E15" s="24">
        <f t="shared" si="2"/>
        <v>505349.0933745018</v>
      </c>
      <c r="F15" s="24">
        <f t="shared" si="2"/>
        <v>780649.65492252377</v>
      </c>
      <c r="G15" s="24">
        <f t="shared" si="2"/>
        <v>772673.56439178262</v>
      </c>
      <c r="H15" s="24">
        <f t="shared" si="2"/>
        <v>894462.15925689752</v>
      </c>
      <c r="I15" s="24">
        <f t="shared" si="2"/>
        <v>896461.32317689143</v>
      </c>
      <c r="J15" s="24">
        <f t="shared" si="2"/>
        <v>1026277.465166626</v>
      </c>
      <c r="K15" s="24">
        <f t="shared" si="2"/>
        <v>1887082.5197465003</v>
      </c>
      <c r="L15" s="24">
        <f>(L12*1000*1.2515)/(0.85*2204.62)</f>
        <v>1242047.4596566462</v>
      </c>
      <c r="M15" s="24">
        <f>(M12*1000*1.174)/(0.77*2204.62)</f>
        <v>1175709.6250770495</v>
      </c>
      <c r="N15" s="24">
        <f>(N12*1000*1.174)/(0.77*2204.62)</f>
        <v>1259485.6202151868</v>
      </c>
      <c r="O15" s="24">
        <f>(O12*1000*1.174)/(0.77*2204.62)</f>
        <v>226159.03493911741</v>
      </c>
    </row>
    <row r="16" spans="2:15" x14ac:dyDescent="0.35">
      <c r="B16" s="8" t="s">
        <v>211</v>
      </c>
      <c r="C16" s="24">
        <f>C12*1000/8916</f>
        <v>20452.33288470166</v>
      </c>
      <c r="D16" s="24">
        <f t="shared" ref="D16:L16" si="3">D12*1000/8916</f>
        <v>56770.973530731273</v>
      </c>
      <c r="E16" s="24">
        <f t="shared" si="3"/>
        <v>76362.157918349039</v>
      </c>
      <c r="F16" s="24">
        <f t="shared" si="3"/>
        <v>117962.20278151637</v>
      </c>
      <c r="G16" s="24">
        <f t="shared" si="3"/>
        <v>116756.95379093764</v>
      </c>
      <c r="H16" s="24">
        <f t="shared" si="3"/>
        <v>135160.1527590848</v>
      </c>
      <c r="I16" s="24">
        <f t="shared" si="3"/>
        <v>135462.24189502018</v>
      </c>
      <c r="J16" s="24">
        <f t="shared" si="3"/>
        <v>155078.46534320322</v>
      </c>
      <c r="K16" s="24">
        <f t="shared" si="3"/>
        <v>285152.76917900401</v>
      </c>
      <c r="L16" s="24">
        <f t="shared" si="3"/>
        <v>208588.30058322116</v>
      </c>
      <c r="M16" s="24">
        <f>M12*1000/8640</f>
        <v>196762.66782415009</v>
      </c>
      <c r="N16" s="24">
        <f>N12*1000/8652</f>
        <v>210490.77827323164</v>
      </c>
      <c r="O16" s="24">
        <f>O12*1000/8652</f>
        <v>37796.692962421002</v>
      </c>
    </row>
    <row r="17" spans="2:21" x14ac:dyDescent="0.35">
      <c r="B17" s="8" t="s">
        <v>212</v>
      </c>
      <c r="C17" s="24">
        <v>66</v>
      </c>
      <c r="D17" s="24">
        <v>84</v>
      </c>
      <c r="E17" s="24">
        <v>154</v>
      </c>
      <c r="F17" s="24">
        <v>179</v>
      </c>
      <c r="G17" s="26">
        <v>196</v>
      </c>
      <c r="H17" s="26">
        <v>234</v>
      </c>
      <c r="I17" s="26">
        <v>260</v>
      </c>
      <c r="J17" s="25">
        <v>267</v>
      </c>
      <c r="K17" s="25">
        <v>376</v>
      </c>
      <c r="L17" s="134">
        <v>412.48</v>
      </c>
      <c r="M17" s="191">
        <v>482</v>
      </c>
      <c r="N17" s="116">
        <v>475</v>
      </c>
      <c r="O17" s="116">
        <v>414</v>
      </c>
      <c r="P17" s="176"/>
      <c r="Q17" s="176"/>
      <c r="R17" s="280"/>
      <c r="S17" s="280"/>
      <c r="T17" s="280"/>
      <c r="U17" s="280"/>
    </row>
    <row r="18" spans="2:21" s="20" customFormat="1" x14ac:dyDescent="0.25">
      <c r="B18" s="64" t="s">
        <v>213</v>
      </c>
      <c r="C18" s="122"/>
      <c r="D18" s="122"/>
      <c r="E18" s="122"/>
      <c r="F18" s="122"/>
      <c r="G18" s="122"/>
      <c r="H18" s="122"/>
      <c r="I18" s="122"/>
      <c r="J18" s="122"/>
      <c r="K18" s="24">
        <f>459+1299+1+318</f>
        <v>2077</v>
      </c>
      <c r="L18" s="116">
        <f>1561+5119+2497+9+34899</f>
        <v>44085</v>
      </c>
      <c r="M18" s="116">
        <v>75450</v>
      </c>
      <c r="N18" s="116">
        <v>73577</v>
      </c>
      <c r="O18" s="116">
        <v>10083</v>
      </c>
      <c r="P18" s="283"/>
      <c r="Q18" s="283"/>
      <c r="R18" s="281"/>
      <c r="S18" s="281"/>
      <c r="T18" s="281"/>
      <c r="U18" s="281"/>
    </row>
    <row r="19" spans="2:21" x14ac:dyDescent="0.35">
      <c r="B19" s="27"/>
      <c r="C19" s="49"/>
      <c r="D19" s="49"/>
      <c r="E19" s="49"/>
      <c r="F19" s="49"/>
      <c r="G19" s="50"/>
      <c r="H19" s="50"/>
      <c r="I19" s="50"/>
      <c r="J19" s="51"/>
      <c r="K19" s="51"/>
      <c r="L19" s="52"/>
      <c r="O19" s="61"/>
      <c r="P19" s="176"/>
      <c r="Q19" s="176"/>
      <c r="R19" s="280"/>
      <c r="S19" s="280"/>
      <c r="T19" s="280"/>
      <c r="U19" s="280"/>
    </row>
    <row r="20" spans="2:21" x14ac:dyDescent="0.35">
      <c r="B20" s="28" t="s">
        <v>118</v>
      </c>
      <c r="C20" s="27"/>
      <c r="D20" s="28"/>
      <c r="E20" s="28"/>
      <c r="F20" s="29"/>
      <c r="G20" s="30"/>
      <c r="H20" s="30"/>
      <c r="I20" s="30"/>
      <c r="J20" s="29"/>
      <c r="K20" s="29"/>
      <c r="L20" s="31"/>
      <c r="O20" s="61"/>
      <c r="P20" s="61"/>
      <c r="Q20" s="61"/>
    </row>
    <row r="21" spans="2:21" ht="29.65" customHeight="1" x14ac:dyDescent="0.35">
      <c r="B21" s="284" t="s">
        <v>214</v>
      </c>
      <c r="C21" s="284"/>
      <c r="D21" s="284"/>
      <c r="E21" s="284"/>
      <c r="F21" s="284"/>
      <c r="G21" s="284"/>
      <c r="H21" s="284"/>
      <c r="I21" s="284"/>
      <c r="J21" s="284"/>
      <c r="K21" s="284"/>
      <c r="L21" s="284"/>
      <c r="O21" s="61"/>
      <c r="P21" s="61"/>
      <c r="Q21" s="61"/>
    </row>
    <row r="22" spans="2:21" ht="27.75" customHeight="1" x14ac:dyDescent="0.35">
      <c r="B22" s="301" t="s">
        <v>215</v>
      </c>
      <c r="C22" s="302"/>
      <c r="D22" s="302"/>
      <c r="E22" s="302"/>
      <c r="F22" s="302"/>
      <c r="G22" s="302"/>
      <c r="H22" s="302"/>
      <c r="I22" s="302"/>
      <c r="J22" s="302"/>
      <c r="K22" s="302"/>
      <c r="L22" s="303"/>
    </row>
    <row r="23" spans="2:21" ht="29.5" customHeight="1" x14ac:dyDescent="0.35">
      <c r="B23" s="301" t="s">
        <v>216</v>
      </c>
      <c r="C23" s="302"/>
      <c r="D23" s="302"/>
      <c r="E23" s="302"/>
      <c r="F23" s="302"/>
      <c r="G23" s="302"/>
      <c r="H23" s="302"/>
      <c r="I23" s="302"/>
      <c r="J23" s="302"/>
      <c r="K23" s="302"/>
      <c r="L23" s="303"/>
    </row>
    <row r="24" spans="2:21" ht="20.65" customHeight="1" x14ac:dyDescent="0.35">
      <c r="B24" s="328" t="s">
        <v>217</v>
      </c>
      <c r="C24" s="328"/>
      <c r="D24" s="328"/>
      <c r="E24" s="328"/>
      <c r="F24" s="328"/>
      <c r="G24" s="328"/>
      <c r="H24" s="328"/>
      <c r="I24" s="328"/>
      <c r="J24" s="328"/>
      <c r="K24" s="328"/>
      <c r="L24" s="328"/>
    </row>
    <row r="25" spans="2:21" ht="30" customHeight="1" x14ac:dyDescent="0.35">
      <c r="B25" s="324" t="s">
        <v>218</v>
      </c>
      <c r="C25" s="325"/>
      <c r="D25" s="325"/>
      <c r="E25" s="325"/>
      <c r="F25" s="325"/>
      <c r="G25" s="325"/>
      <c r="H25" s="325"/>
      <c r="I25" s="325"/>
      <c r="J25" s="325"/>
      <c r="K25" s="325"/>
      <c r="L25" s="326"/>
    </row>
    <row r="26" spans="2:21" ht="30" customHeight="1" x14ac:dyDescent="0.35">
      <c r="B26" s="327" t="s">
        <v>219</v>
      </c>
      <c r="C26" s="327"/>
      <c r="D26" s="327"/>
      <c r="E26" s="327"/>
      <c r="F26" s="327"/>
      <c r="G26" s="327"/>
      <c r="H26" s="327"/>
      <c r="I26" s="327"/>
      <c r="J26" s="327"/>
      <c r="K26" s="327"/>
      <c r="L26" s="327"/>
    </row>
    <row r="27" spans="2:21" x14ac:dyDescent="0.35">
      <c r="B27" s="4"/>
      <c r="C27" s="4"/>
      <c r="D27" s="4"/>
      <c r="E27" s="4"/>
      <c r="F27" s="4"/>
      <c r="G27" s="199"/>
      <c r="H27" s="4"/>
      <c r="I27" s="4"/>
      <c r="J27" s="4"/>
      <c r="K27" s="4"/>
      <c r="L27" s="4"/>
    </row>
    <row r="28" spans="2:21" x14ac:dyDescent="0.35">
      <c r="B28" s="4"/>
      <c r="C28" s="4"/>
      <c r="D28" s="4"/>
      <c r="E28" s="4"/>
      <c r="F28" s="4"/>
      <c r="G28" s="199"/>
      <c r="H28" s="4"/>
      <c r="I28" s="4"/>
      <c r="J28" s="4"/>
      <c r="K28" s="4"/>
      <c r="L28" s="4"/>
    </row>
    <row r="29" spans="2:21" x14ac:dyDescent="0.35">
      <c r="B29" s="4"/>
      <c r="C29" s="4"/>
      <c r="D29" s="4"/>
      <c r="E29" s="4"/>
      <c r="F29" s="4"/>
      <c r="G29" s="4"/>
      <c r="H29" s="4"/>
      <c r="I29" s="4"/>
      <c r="J29" s="4"/>
      <c r="K29" s="4"/>
      <c r="L29" s="4"/>
    </row>
    <row r="30" spans="2:21" x14ac:dyDescent="0.35">
      <c r="B30" s="4"/>
      <c r="C30" s="4"/>
      <c r="D30" s="4"/>
      <c r="E30" s="4"/>
      <c r="F30" s="4"/>
      <c r="G30" s="4"/>
      <c r="H30" s="4"/>
      <c r="I30" s="4"/>
      <c r="J30" s="4"/>
      <c r="K30" s="4"/>
      <c r="L30" s="4"/>
    </row>
    <row r="31" spans="2:21" x14ac:dyDescent="0.35">
      <c r="B31" s="4"/>
      <c r="C31" s="4"/>
      <c r="D31" s="4"/>
      <c r="E31" s="4"/>
      <c r="F31" s="4"/>
      <c r="G31" s="4"/>
      <c r="H31" s="4"/>
      <c r="I31" s="4"/>
      <c r="J31" s="4"/>
      <c r="K31" s="4"/>
      <c r="L31" s="4"/>
    </row>
  </sheetData>
  <mergeCells count="7">
    <mergeCell ref="B25:L25"/>
    <mergeCell ref="B26:L26"/>
    <mergeCell ref="B5:K7"/>
    <mergeCell ref="B22:L22"/>
    <mergeCell ref="B21:L21"/>
    <mergeCell ref="B24:L24"/>
    <mergeCell ref="B23:L23"/>
  </mergeCells>
  <phoneticPr fontId="32" type="noConversion"/>
  <printOptions horizontalCentered="1" headings="1"/>
  <pageMargins left="0.5" right="0.5" top="1.25" bottom="1" header="0.5" footer="0.5"/>
  <pageSetup scale="61" fitToHeight="0" orientation="landscape" r:id="rId1"/>
  <headerFooter scaleWithDoc="0">
    <oddHeader>&amp;R&amp;"Arial,Bold"ICC Docket No. 17-0312
Statewide Quarterly Report ComEd 2019 Q4
Tab: &amp;A</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4.9989318521683403E-2"/>
    <pageSetUpPr fitToPage="1"/>
  </sheetPr>
  <dimension ref="A1:N42"/>
  <sheetViews>
    <sheetView tabSelected="1" zoomScale="90" zoomScaleNormal="90" workbookViewId="0">
      <selection activeCell="C120" sqref="C120"/>
    </sheetView>
  </sheetViews>
  <sheetFormatPr defaultColWidth="9.1796875" defaultRowHeight="14.5" x14ac:dyDescent="0.35"/>
  <cols>
    <col min="1" max="1" width="2.54296875" customWidth="1"/>
    <col min="2" max="2" width="4.54296875" style="3" customWidth="1"/>
    <col min="3" max="3" width="4.54296875" customWidth="1"/>
    <col min="4" max="4" width="76.54296875" customWidth="1"/>
    <col min="5" max="5" width="14" customWidth="1"/>
    <col min="6" max="6" width="44.26953125" customWidth="1"/>
    <col min="7" max="7" width="10.453125" customWidth="1"/>
    <col min="8" max="8" width="10.54296875" bestFit="1" customWidth="1"/>
  </cols>
  <sheetData>
    <row r="1" spans="1:14" ht="16.5" customHeight="1" x14ac:dyDescent="0.45">
      <c r="B1" s="5" t="s">
        <v>0</v>
      </c>
      <c r="D1" s="42"/>
      <c r="E1" s="96"/>
      <c r="F1" s="96"/>
      <c r="G1" s="42"/>
      <c r="H1" s="61"/>
    </row>
    <row r="2" spans="1:14" ht="14.25" customHeight="1" x14ac:dyDescent="0.45">
      <c r="B2" s="5" t="s">
        <v>220</v>
      </c>
      <c r="D2" s="42"/>
      <c r="E2" s="97"/>
      <c r="F2" s="97"/>
      <c r="G2" s="42"/>
      <c r="H2" s="61"/>
    </row>
    <row r="3" spans="1:14" ht="15.5" x14ac:dyDescent="0.35">
      <c r="B3" s="5"/>
      <c r="D3" s="42"/>
      <c r="E3" s="98"/>
      <c r="F3" s="98"/>
      <c r="G3" s="42"/>
      <c r="H3" s="61"/>
    </row>
    <row r="4" spans="1:14" ht="18.5" x14ac:dyDescent="0.45">
      <c r="B4" s="89"/>
      <c r="D4" s="42"/>
      <c r="E4" s="98"/>
      <c r="F4" s="98"/>
      <c r="G4" s="42"/>
      <c r="H4" s="87"/>
      <c r="I4" s="87"/>
      <c r="J4" s="87"/>
      <c r="K4" s="87"/>
      <c r="L4" s="87"/>
      <c r="M4" s="87"/>
      <c r="N4" s="87"/>
    </row>
    <row r="5" spans="1:14" ht="22.5" customHeight="1" x14ac:dyDescent="0.35">
      <c r="B5" s="291" t="s">
        <v>221</v>
      </c>
      <c r="C5" s="291"/>
      <c r="D5" s="291"/>
      <c r="E5" s="90"/>
      <c r="F5" s="90"/>
      <c r="G5" s="90"/>
      <c r="H5" s="90"/>
      <c r="I5" s="90"/>
      <c r="J5" s="90"/>
      <c r="K5" s="90"/>
      <c r="L5" s="87"/>
      <c r="M5" s="87"/>
      <c r="N5" s="87"/>
    </row>
    <row r="6" spans="1:14" ht="27" customHeight="1" x14ac:dyDescent="0.35">
      <c r="B6" s="291"/>
      <c r="C6" s="291"/>
      <c r="D6" s="291"/>
      <c r="E6" s="90"/>
      <c r="F6" s="90"/>
      <c r="G6" s="90"/>
      <c r="H6" s="90"/>
      <c r="I6" s="90"/>
      <c r="J6" s="90"/>
      <c r="K6" s="90"/>
      <c r="L6" s="87"/>
      <c r="M6" s="87"/>
      <c r="N6" s="87"/>
    </row>
    <row r="7" spans="1:14" ht="22.5" customHeight="1" x14ac:dyDescent="0.35">
      <c r="B7" s="60"/>
      <c r="C7" s="60"/>
      <c r="D7" s="60"/>
      <c r="E7" s="90"/>
      <c r="F7" s="90"/>
      <c r="G7" s="90"/>
      <c r="H7" s="90"/>
      <c r="I7" s="90"/>
      <c r="J7" s="90"/>
      <c r="K7" s="90"/>
    </row>
    <row r="8" spans="1:14" ht="22.5" customHeight="1" x14ac:dyDescent="0.35">
      <c r="B8" s="329" t="s">
        <v>222</v>
      </c>
      <c r="C8" s="329"/>
      <c r="D8" s="329"/>
      <c r="E8" s="90"/>
      <c r="F8" s="90"/>
      <c r="G8" s="90"/>
      <c r="H8" s="90"/>
      <c r="I8" s="90"/>
      <c r="J8" s="90"/>
      <c r="K8" s="90"/>
    </row>
    <row r="9" spans="1:14" ht="21" customHeight="1" x14ac:dyDescent="0.35">
      <c r="B9" s="342" t="s">
        <v>223</v>
      </c>
      <c r="C9" s="342"/>
      <c r="D9" s="342"/>
      <c r="E9" s="60"/>
      <c r="F9" s="60"/>
      <c r="G9" s="60"/>
      <c r="H9" s="60"/>
      <c r="I9" s="60"/>
      <c r="J9" s="60"/>
      <c r="K9" s="60"/>
    </row>
    <row r="10" spans="1:14" ht="21" customHeight="1" x14ac:dyDescent="0.35">
      <c r="B10" s="343" t="s">
        <v>224</v>
      </c>
      <c r="C10" s="343"/>
      <c r="D10" s="343"/>
      <c r="E10" s="60"/>
      <c r="F10" s="60"/>
      <c r="G10" s="60"/>
      <c r="H10" s="60"/>
      <c r="I10" s="60"/>
      <c r="J10" s="60"/>
      <c r="K10" s="60"/>
    </row>
    <row r="11" spans="1:14" ht="21" customHeight="1" x14ac:dyDescent="0.35">
      <c r="B11" s="344" t="s">
        <v>225</v>
      </c>
      <c r="C11" s="344"/>
      <c r="D11" s="344"/>
      <c r="E11" s="60"/>
      <c r="F11" s="60"/>
      <c r="G11" s="60"/>
      <c r="H11" s="60"/>
      <c r="I11" s="60"/>
      <c r="J11" s="60"/>
      <c r="K11" s="60"/>
    </row>
    <row r="12" spans="1:14" ht="21" customHeight="1" x14ac:dyDescent="0.35">
      <c r="A12" s="61"/>
      <c r="B12" s="105"/>
      <c r="C12" s="105"/>
      <c r="D12" s="105"/>
      <c r="E12" s="60"/>
      <c r="F12" s="60"/>
      <c r="G12" s="60"/>
      <c r="H12" s="60"/>
      <c r="I12" s="60"/>
      <c r="J12" s="60"/>
      <c r="K12" s="60"/>
    </row>
    <row r="13" spans="1:14" ht="21" customHeight="1" x14ac:dyDescent="0.35">
      <c r="A13" s="61"/>
      <c r="B13" s="106" t="s">
        <v>226</v>
      </c>
      <c r="C13" s="105"/>
      <c r="D13" s="105"/>
      <c r="E13" s="60"/>
      <c r="F13" s="60"/>
      <c r="G13" s="60"/>
      <c r="H13" s="60"/>
      <c r="I13" s="60"/>
      <c r="J13" s="60"/>
      <c r="K13" s="60"/>
    </row>
    <row r="14" spans="1:14" ht="21" customHeight="1" x14ac:dyDescent="0.35">
      <c r="B14" s="60"/>
      <c r="C14" s="60"/>
      <c r="D14" s="60"/>
      <c r="E14" s="60"/>
      <c r="F14" s="60"/>
      <c r="G14" s="60"/>
      <c r="H14" s="60"/>
      <c r="I14" s="60"/>
      <c r="J14" s="60"/>
      <c r="K14" s="60"/>
    </row>
    <row r="15" spans="1:14" ht="18" customHeight="1" x14ac:dyDescent="0.35">
      <c r="B15" s="330" t="s">
        <v>227</v>
      </c>
      <c r="C15" s="330"/>
      <c r="D15" s="330"/>
      <c r="E15" s="330"/>
      <c r="F15" s="330"/>
    </row>
    <row r="16" spans="1:14" x14ac:dyDescent="0.35">
      <c r="B16" s="100" t="s">
        <v>228</v>
      </c>
      <c r="C16" s="331" t="s">
        <v>229</v>
      </c>
      <c r="D16" s="332"/>
      <c r="E16" s="267">
        <v>0.11799999999999999</v>
      </c>
      <c r="F16" s="268" t="s">
        <v>230</v>
      </c>
    </row>
    <row r="17" spans="1:10" x14ac:dyDescent="0.35">
      <c r="B17" s="100" t="s">
        <v>231</v>
      </c>
      <c r="C17" s="331" t="s">
        <v>232</v>
      </c>
      <c r="D17" s="332"/>
      <c r="E17" s="269">
        <v>78600739.922666669</v>
      </c>
      <c r="F17" s="268" t="s">
        <v>230</v>
      </c>
    </row>
    <row r="18" spans="1:10" x14ac:dyDescent="0.35">
      <c r="B18" s="100" t="s">
        <v>233</v>
      </c>
      <c r="C18" s="331" t="s">
        <v>234</v>
      </c>
      <c r="D18" s="332"/>
      <c r="E18" s="270">
        <f>E17*E16</f>
        <v>9274887.310874667</v>
      </c>
      <c r="F18" s="271" t="s">
        <v>235</v>
      </c>
    </row>
    <row r="19" spans="1:10" x14ac:dyDescent="0.35">
      <c r="B19" s="100" t="s">
        <v>236</v>
      </c>
      <c r="C19" s="331" t="s">
        <v>237</v>
      </c>
      <c r="D19" s="332"/>
      <c r="E19" s="272">
        <v>8670723.0460508596</v>
      </c>
      <c r="F19" s="273" t="s">
        <v>238</v>
      </c>
    </row>
    <row r="20" spans="1:10" ht="16.5" customHeight="1" x14ac:dyDescent="0.35">
      <c r="B20" s="100"/>
      <c r="C20" s="339" t="s">
        <v>239</v>
      </c>
      <c r="D20" s="340"/>
      <c r="E20" s="340"/>
      <c r="F20" s="341"/>
    </row>
    <row r="21" spans="1:10" x14ac:dyDescent="0.35">
      <c r="B21" s="100" t="s">
        <v>240</v>
      </c>
      <c r="C21" s="350" t="s">
        <v>241</v>
      </c>
      <c r="D21" s="351"/>
      <c r="E21" s="267">
        <v>0.04</v>
      </c>
      <c r="F21" s="268" t="s">
        <v>242</v>
      </c>
      <c r="G21" s="87"/>
    </row>
    <row r="22" spans="1:10" x14ac:dyDescent="0.35">
      <c r="B22" s="100" t="s">
        <v>243</v>
      </c>
      <c r="C22" s="350" t="s">
        <v>244</v>
      </c>
      <c r="D22" s="351"/>
      <c r="E22" s="267">
        <v>4.4999999999999998E-2</v>
      </c>
      <c r="F22" s="268" t="s">
        <v>242</v>
      </c>
      <c r="G22" s="87"/>
      <c r="H22" s="166"/>
      <c r="J22" s="130"/>
    </row>
    <row r="23" spans="1:10" x14ac:dyDescent="0.35">
      <c r="B23" s="100" t="s">
        <v>245</v>
      </c>
      <c r="C23" s="350" t="s">
        <v>246</v>
      </c>
      <c r="D23" s="351"/>
      <c r="E23" s="274">
        <f>E22-E21</f>
        <v>4.9999999999999975E-3</v>
      </c>
      <c r="F23" s="271" t="s">
        <v>247</v>
      </c>
      <c r="G23" s="87"/>
    </row>
    <row r="24" spans="1:10" x14ac:dyDescent="0.35">
      <c r="A24" s="20"/>
      <c r="B24" s="100" t="s">
        <v>248</v>
      </c>
      <c r="C24" s="350" t="s">
        <v>249</v>
      </c>
      <c r="D24" s="351"/>
      <c r="E24" s="270">
        <f>E23*E17</f>
        <v>393003.69961333316</v>
      </c>
      <c r="F24" s="271" t="s">
        <v>250</v>
      </c>
      <c r="G24" s="87"/>
    </row>
    <row r="25" spans="1:10" x14ac:dyDescent="0.35">
      <c r="B25" s="100" t="s">
        <v>251</v>
      </c>
      <c r="C25" s="350" t="s">
        <v>252</v>
      </c>
      <c r="D25" s="351"/>
      <c r="E25" s="272">
        <v>475240.57991661155</v>
      </c>
      <c r="F25" s="273" t="s">
        <v>238</v>
      </c>
      <c r="G25" s="87"/>
    </row>
    <row r="26" spans="1:10" x14ac:dyDescent="0.35">
      <c r="B26" s="100" t="s">
        <v>253</v>
      </c>
      <c r="C26" s="352" t="s">
        <v>254</v>
      </c>
      <c r="D26" s="353"/>
      <c r="E26" s="275">
        <f>E24+E25</f>
        <v>868244.27952994476</v>
      </c>
      <c r="F26" s="271" t="s">
        <v>255</v>
      </c>
      <c r="G26" s="87"/>
    </row>
    <row r="27" spans="1:10" x14ac:dyDescent="0.35">
      <c r="B27" s="100" t="s">
        <v>256</v>
      </c>
      <c r="C27" s="331" t="s">
        <v>257</v>
      </c>
      <c r="D27" s="332"/>
      <c r="E27" s="270">
        <f>E18-E19+E26</f>
        <v>1472408.5443537522</v>
      </c>
      <c r="F27" s="271" t="s">
        <v>258</v>
      </c>
      <c r="G27" s="87"/>
    </row>
    <row r="28" spans="1:10" x14ac:dyDescent="0.35">
      <c r="B28" s="100" t="s">
        <v>259</v>
      </c>
      <c r="C28" s="331" t="s">
        <v>260</v>
      </c>
      <c r="D28" s="332"/>
      <c r="E28" s="276">
        <f>'1- Ex Ante Results'!C119</f>
        <v>327016.98751086654</v>
      </c>
      <c r="F28" s="273" t="s">
        <v>261</v>
      </c>
      <c r="G28" s="87"/>
    </row>
    <row r="29" spans="1:10" x14ac:dyDescent="0.35">
      <c r="B29" s="100" t="s">
        <v>262</v>
      </c>
      <c r="C29" s="331" t="s">
        <v>263</v>
      </c>
      <c r="D29" s="332"/>
      <c r="E29" s="276">
        <f>'1- Ex Ante Results'!C119</f>
        <v>327016.98751086654</v>
      </c>
      <c r="F29" s="273" t="s">
        <v>264</v>
      </c>
    </row>
    <row r="30" spans="1:10" ht="27" customHeight="1" x14ac:dyDescent="0.35">
      <c r="B30" s="100" t="s">
        <v>265</v>
      </c>
      <c r="C30" s="333" t="s">
        <v>266</v>
      </c>
      <c r="D30" s="334"/>
      <c r="E30" s="277">
        <f>E29/E27</f>
        <v>0.22209663803220867</v>
      </c>
      <c r="F30" s="271" t="s">
        <v>267</v>
      </c>
    </row>
    <row r="31" spans="1:10" ht="18" customHeight="1" x14ac:dyDescent="0.35">
      <c r="B31" s="345" t="s">
        <v>268</v>
      </c>
      <c r="C31" s="345"/>
      <c r="D31" s="345"/>
      <c r="E31" s="345"/>
      <c r="F31" s="345"/>
    </row>
    <row r="32" spans="1:10" x14ac:dyDescent="0.35">
      <c r="B32" s="100" t="s">
        <v>269</v>
      </c>
      <c r="C32" s="335" t="s">
        <v>270</v>
      </c>
      <c r="D32" s="336"/>
      <c r="E32" s="267">
        <v>0.104</v>
      </c>
      <c r="F32" s="92" t="s">
        <v>230</v>
      </c>
      <c r="J32" s="93"/>
    </row>
    <row r="33" spans="2:12" x14ac:dyDescent="0.35">
      <c r="B33" s="100" t="s">
        <v>271</v>
      </c>
      <c r="C33" s="335" t="s">
        <v>272</v>
      </c>
      <c r="D33" s="336"/>
      <c r="E33" s="101">
        <f>E32*E17</f>
        <v>8174476.9519573329</v>
      </c>
      <c r="F33" s="99" t="s">
        <v>273</v>
      </c>
    </row>
    <row r="34" spans="2:12" x14ac:dyDescent="0.35">
      <c r="B34" s="100" t="s">
        <v>274</v>
      </c>
      <c r="C34" s="91" t="s">
        <v>275</v>
      </c>
      <c r="D34" s="91"/>
      <c r="E34" s="101">
        <f>E18-E33</f>
        <v>1100410.3589173341</v>
      </c>
      <c r="F34" s="99" t="s">
        <v>276</v>
      </c>
    </row>
    <row r="35" spans="2:12" x14ac:dyDescent="0.35">
      <c r="B35" s="100" t="s">
        <v>277</v>
      </c>
      <c r="C35" s="91" t="s">
        <v>278</v>
      </c>
      <c r="D35" s="91"/>
      <c r="E35" s="101">
        <f>E34+E26</f>
        <v>1968654.6384472789</v>
      </c>
      <c r="F35" s="99" t="s">
        <v>279</v>
      </c>
      <c r="G35" s="88"/>
    </row>
    <row r="36" spans="2:12" x14ac:dyDescent="0.35">
      <c r="B36" s="100" t="s">
        <v>280</v>
      </c>
      <c r="C36" s="91" t="s">
        <v>281</v>
      </c>
      <c r="D36" s="91"/>
      <c r="E36" s="101">
        <f>E29</f>
        <v>327016.98751086654</v>
      </c>
      <c r="F36" s="99" t="s">
        <v>282</v>
      </c>
      <c r="H36" s="88"/>
    </row>
    <row r="37" spans="2:12" ht="32.65" customHeight="1" x14ac:dyDescent="0.35">
      <c r="B37" s="100" t="s">
        <v>283</v>
      </c>
      <c r="C37" s="346" t="s">
        <v>284</v>
      </c>
      <c r="D37" s="347"/>
      <c r="E37" s="102">
        <f>E26</f>
        <v>868244.27952994476</v>
      </c>
      <c r="F37" s="99" t="s">
        <v>285</v>
      </c>
    </row>
    <row r="38" spans="2:12" x14ac:dyDescent="0.35">
      <c r="B38" s="100" t="s">
        <v>286</v>
      </c>
      <c r="C38" s="346" t="s">
        <v>287</v>
      </c>
      <c r="D38" s="347"/>
      <c r="E38" s="101">
        <f>E36-E37</f>
        <v>-541227.29201907828</v>
      </c>
      <c r="F38" s="99" t="s">
        <v>288</v>
      </c>
    </row>
    <row r="39" spans="2:12" ht="30" customHeight="1" x14ac:dyDescent="0.35">
      <c r="B39" s="100" t="s">
        <v>289</v>
      </c>
      <c r="C39" s="348" t="s">
        <v>290</v>
      </c>
      <c r="D39" s="349"/>
      <c r="E39" s="104">
        <f>E38/E34</f>
        <v>-0.49184132776755946</v>
      </c>
      <c r="F39" s="99" t="s">
        <v>291</v>
      </c>
    </row>
    <row r="40" spans="2:12" x14ac:dyDescent="0.35">
      <c r="B40" s="93"/>
      <c r="C40" s="4"/>
      <c r="D40" s="4"/>
      <c r="E40" s="94"/>
      <c r="F40" s="95"/>
    </row>
    <row r="41" spans="2:12" x14ac:dyDescent="0.35">
      <c r="B41" s="28" t="s">
        <v>118</v>
      </c>
      <c r="C41" s="27"/>
      <c r="D41" s="28"/>
      <c r="E41" s="28"/>
      <c r="F41" s="29"/>
      <c r="G41" s="30"/>
      <c r="H41" s="30"/>
      <c r="I41" s="30"/>
      <c r="J41" s="29"/>
      <c r="K41" s="29"/>
      <c r="L41" s="31"/>
    </row>
    <row r="42" spans="2:12" ht="39" customHeight="1" x14ac:dyDescent="0.35">
      <c r="B42" s="337" t="s">
        <v>292</v>
      </c>
      <c r="C42" s="338"/>
      <c r="D42" s="338"/>
      <c r="E42" s="338"/>
      <c r="F42" s="338"/>
      <c r="G42" s="165"/>
      <c r="H42" s="165"/>
      <c r="I42" s="165"/>
      <c r="J42" s="165"/>
      <c r="K42" s="165"/>
      <c r="L42" s="165"/>
    </row>
  </sheetData>
  <mergeCells count="28">
    <mergeCell ref="B42:F42"/>
    <mergeCell ref="C20:F20"/>
    <mergeCell ref="B9:D9"/>
    <mergeCell ref="B10:D10"/>
    <mergeCell ref="B11:D11"/>
    <mergeCell ref="B31:F31"/>
    <mergeCell ref="C37:D37"/>
    <mergeCell ref="C38:D38"/>
    <mergeCell ref="C39:D39"/>
    <mergeCell ref="C21:D21"/>
    <mergeCell ref="C22:D22"/>
    <mergeCell ref="C23:D23"/>
    <mergeCell ref="C24:D24"/>
    <mergeCell ref="C25:D25"/>
    <mergeCell ref="C26:D26"/>
    <mergeCell ref="C27:D27"/>
    <mergeCell ref="C28:D28"/>
    <mergeCell ref="C29:D29"/>
    <mergeCell ref="C30:D30"/>
    <mergeCell ref="C32:D32"/>
    <mergeCell ref="C33:D33"/>
    <mergeCell ref="B5:D6"/>
    <mergeCell ref="B8:D8"/>
    <mergeCell ref="B15:F15"/>
    <mergeCell ref="C19:D19"/>
    <mergeCell ref="C16:D16"/>
    <mergeCell ref="C17:D17"/>
    <mergeCell ref="C18:D18"/>
  </mergeCells>
  <printOptions horizontalCentered="1" headings="1"/>
  <pageMargins left="1" right="1" top="1.25" bottom="1" header="0.5" footer="0.5"/>
  <pageSetup scale="10" orientation="portrait" r:id="rId1"/>
  <headerFooter scaleWithDoc="0">
    <oddHeader>&amp;R&amp;"Arial,Bold"ICC Docket No. 17-0312
Statewide Quarterly Report ComEd 2019 Q4
Tab: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4.9989318521683403E-2"/>
    <pageSetUpPr fitToPage="1"/>
  </sheetPr>
  <dimension ref="B1:G32"/>
  <sheetViews>
    <sheetView tabSelected="1" workbookViewId="0">
      <selection activeCell="C120" sqref="C120"/>
    </sheetView>
  </sheetViews>
  <sheetFormatPr defaultColWidth="9.1796875" defaultRowHeight="14.5" x14ac:dyDescent="0.35"/>
  <cols>
    <col min="1" max="1" width="3.54296875" customWidth="1"/>
    <col min="2" max="2" width="18.81640625" style="20" customWidth="1"/>
    <col min="3" max="3" width="22.26953125" customWidth="1"/>
    <col min="4" max="4" width="24.1796875" customWidth="1"/>
    <col min="5" max="5" width="18.81640625" customWidth="1"/>
    <col min="6" max="7" width="18.54296875" customWidth="1"/>
    <col min="8" max="8" width="8.81640625" customWidth="1"/>
  </cols>
  <sheetData>
    <row r="1" spans="2:7" x14ac:dyDescent="0.35">
      <c r="B1" s="74" t="s">
        <v>0</v>
      </c>
    </row>
    <row r="2" spans="2:7" x14ac:dyDescent="0.35">
      <c r="B2" s="74" t="s">
        <v>293</v>
      </c>
    </row>
    <row r="3" spans="2:7" x14ac:dyDescent="0.35">
      <c r="B3" s="5"/>
    </row>
    <row r="4" spans="2:7" x14ac:dyDescent="0.35">
      <c r="B4" s="74"/>
    </row>
    <row r="5" spans="2:7" ht="29.25" customHeight="1" x14ac:dyDescent="0.35">
      <c r="B5" s="322" t="s">
        <v>294</v>
      </c>
      <c r="C5" s="322"/>
      <c r="D5" s="322"/>
      <c r="E5" s="322"/>
      <c r="F5" s="322"/>
      <c r="G5" s="322"/>
    </row>
    <row r="6" spans="2:7" x14ac:dyDescent="0.35">
      <c r="B6" s="322"/>
      <c r="C6" s="322"/>
      <c r="D6" s="322"/>
      <c r="E6" s="322"/>
      <c r="F6" s="322"/>
      <c r="G6" s="322"/>
    </row>
    <row r="7" spans="2:7" x14ac:dyDescent="0.35">
      <c r="B7" s="322"/>
      <c r="C7" s="322"/>
      <c r="D7" s="322"/>
      <c r="E7" s="322"/>
      <c r="F7" s="322"/>
      <c r="G7" s="322"/>
    </row>
    <row r="8" spans="2:7" x14ac:dyDescent="0.35">
      <c r="B8" s="322"/>
      <c r="C8" s="322"/>
      <c r="D8" s="322"/>
      <c r="E8" s="322"/>
      <c r="F8" s="322"/>
      <c r="G8" s="322"/>
    </row>
    <row r="9" spans="2:7" ht="42" customHeight="1" x14ac:dyDescent="0.35">
      <c r="B9" s="322"/>
      <c r="C9" s="322"/>
      <c r="D9" s="322"/>
      <c r="E9" s="322"/>
      <c r="F9" s="322"/>
      <c r="G9" s="322"/>
    </row>
    <row r="11" spans="2:7" ht="18" x14ac:dyDescent="0.4">
      <c r="B11" s="43" t="s">
        <v>295</v>
      </c>
      <c r="C11" s="43"/>
      <c r="D11" s="10"/>
      <c r="E11" s="10"/>
      <c r="F11" s="10"/>
      <c r="G11" s="10"/>
    </row>
    <row r="12" spans="2:7" ht="18" x14ac:dyDescent="0.4">
      <c r="C12" s="11"/>
      <c r="D12" s="10"/>
      <c r="E12" s="10"/>
      <c r="F12" s="10"/>
      <c r="G12" s="10"/>
    </row>
    <row r="13" spans="2:7" s="20" customFormat="1" ht="42" x14ac:dyDescent="0.35">
      <c r="B13" s="18" t="s">
        <v>151</v>
      </c>
      <c r="C13" s="7" t="s">
        <v>296</v>
      </c>
      <c r="D13" s="7" t="s">
        <v>297</v>
      </c>
      <c r="E13" s="7" t="s">
        <v>298</v>
      </c>
      <c r="F13" s="7" t="s">
        <v>299</v>
      </c>
      <c r="G13" s="7" t="s">
        <v>300</v>
      </c>
    </row>
    <row r="14" spans="2:7" ht="27" x14ac:dyDescent="0.35">
      <c r="B14" s="103" t="s">
        <v>166</v>
      </c>
      <c r="C14" s="139">
        <v>27356150.450000003</v>
      </c>
      <c r="D14" s="140">
        <v>6949809.1399999997</v>
      </c>
      <c r="E14" s="140">
        <f>C14+D14</f>
        <v>34305959.590000004</v>
      </c>
      <c r="F14" s="140">
        <v>0</v>
      </c>
      <c r="G14" s="140">
        <f>SUM(E14,F14)</f>
        <v>34305959.590000004</v>
      </c>
    </row>
    <row r="15" spans="2:7" s="20" customFormat="1" ht="27" x14ac:dyDescent="0.25">
      <c r="B15" s="103" t="s">
        <v>169</v>
      </c>
      <c r="C15" s="141">
        <v>52071860.044945925</v>
      </c>
      <c r="D15" s="142">
        <v>11471615</v>
      </c>
      <c r="E15" s="140">
        <f t="shared" ref="E15:E25" si="0">C15+D15</f>
        <v>63543475.044945925</v>
      </c>
      <c r="F15" s="142">
        <v>0</v>
      </c>
      <c r="G15" s="140">
        <f t="shared" ref="G15:G25" si="1">SUM(E15,F15)</f>
        <v>63543475.044945925</v>
      </c>
    </row>
    <row r="16" spans="2:7" ht="27" x14ac:dyDescent="0.35">
      <c r="B16" s="103" t="s">
        <v>172</v>
      </c>
      <c r="C16" s="139">
        <v>75691132.849999994</v>
      </c>
      <c r="D16" s="140">
        <v>28659010.5</v>
      </c>
      <c r="E16" s="140">
        <f t="shared" si="0"/>
        <v>104350143.34999999</v>
      </c>
      <c r="F16" s="140">
        <v>0</v>
      </c>
      <c r="G16" s="140">
        <f t="shared" si="1"/>
        <v>104350143.34999999</v>
      </c>
    </row>
    <row r="17" spans="2:7" ht="28" x14ac:dyDescent="0.35">
      <c r="B17" s="78" t="s">
        <v>182</v>
      </c>
      <c r="C17" s="143">
        <f>SUM(C14:C16)</f>
        <v>155119143.34494591</v>
      </c>
      <c r="D17" s="143">
        <f>SUM(D14:D16)</f>
        <v>47080434.640000001</v>
      </c>
      <c r="E17" s="143">
        <f t="shared" si="0"/>
        <v>202199577.98494589</v>
      </c>
      <c r="F17" s="143">
        <f>SUM(F14:F16)</f>
        <v>0</v>
      </c>
      <c r="G17" s="143">
        <f t="shared" si="1"/>
        <v>202199577.98494589</v>
      </c>
    </row>
    <row r="18" spans="2:7" ht="27" x14ac:dyDescent="0.35">
      <c r="B18" s="103" t="s">
        <v>183</v>
      </c>
      <c r="C18" s="139">
        <v>106315194.5</v>
      </c>
      <c r="D18" s="140">
        <v>35049987</v>
      </c>
      <c r="E18" s="140">
        <f t="shared" si="0"/>
        <v>141365181.5</v>
      </c>
      <c r="F18" s="140">
        <v>0</v>
      </c>
      <c r="G18" s="140">
        <f t="shared" si="1"/>
        <v>141365181.5</v>
      </c>
    </row>
    <row r="19" spans="2:7" ht="27" x14ac:dyDescent="0.35">
      <c r="B19" s="103" t="s">
        <v>184</v>
      </c>
      <c r="C19" s="139">
        <v>107354963.67</v>
      </c>
      <c r="D19" s="140">
        <v>33565649.329999998</v>
      </c>
      <c r="E19" s="140">
        <f t="shared" si="0"/>
        <v>140920613</v>
      </c>
      <c r="F19" s="140">
        <v>31329</v>
      </c>
      <c r="G19" s="140">
        <f t="shared" si="1"/>
        <v>140951942</v>
      </c>
    </row>
    <row r="20" spans="2:7" ht="27" x14ac:dyDescent="0.35">
      <c r="B20" s="103" t="s">
        <v>186</v>
      </c>
      <c r="C20" s="139">
        <v>124096016.16999999</v>
      </c>
      <c r="D20" s="140">
        <v>31563417</v>
      </c>
      <c r="E20" s="140">
        <f t="shared" si="0"/>
        <v>155659433.16999999</v>
      </c>
      <c r="F20" s="140">
        <v>29469183.289999999</v>
      </c>
      <c r="G20" s="195">
        <f t="shared" si="1"/>
        <v>185128616.45999998</v>
      </c>
    </row>
    <row r="21" spans="2:7" ht="28" x14ac:dyDescent="0.35">
      <c r="B21" s="78" t="s">
        <v>188</v>
      </c>
      <c r="C21" s="143">
        <f>SUM(C18:C20)</f>
        <v>337766174.34000003</v>
      </c>
      <c r="D21" s="143">
        <f>SUM(D18:D20)</f>
        <v>100179053.33</v>
      </c>
      <c r="E21" s="143">
        <f t="shared" si="0"/>
        <v>437945227.67000002</v>
      </c>
      <c r="F21" s="143">
        <f>SUM(F18:F20)</f>
        <v>29500512.289999999</v>
      </c>
      <c r="G21" s="205">
        <f t="shared" si="1"/>
        <v>467445739.96000004</v>
      </c>
    </row>
    <row r="22" spans="2:7" ht="27" x14ac:dyDescent="0.35">
      <c r="B22" s="103" t="s">
        <v>189</v>
      </c>
      <c r="C22" s="140">
        <v>128288585</v>
      </c>
      <c r="D22" s="140">
        <v>33728435</v>
      </c>
      <c r="E22" s="140">
        <f t="shared" si="0"/>
        <v>162017020</v>
      </c>
      <c r="F22" s="201">
        <v>39150326.559999995</v>
      </c>
      <c r="G22" s="140">
        <f t="shared" si="1"/>
        <v>201167346.56</v>
      </c>
    </row>
    <row r="23" spans="2:7" ht="27" x14ac:dyDescent="0.35">
      <c r="B23" s="103" t="s">
        <v>190</v>
      </c>
      <c r="C23" s="140">
        <v>108343594</v>
      </c>
      <c r="D23" s="140">
        <v>3670970</v>
      </c>
      <c r="E23" s="140">
        <f t="shared" si="0"/>
        <v>112014564</v>
      </c>
      <c r="F23" s="201">
        <v>87103873</v>
      </c>
      <c r="G23" s="140">
        <f t="shared" si="1"/>
        <v>199118437</v>
      </c>
    </row>
    <row r="24" spans="2:7" ht="27" x14ac:dyDescent="0.35">
      <c r="B24" s="103" t="s">
        <v>191</v>
      </c>
      <c r="C24" s="140">
        <v>222451927.53999999</v>
      </c>
      <c r="D24" s="140">
        <v>57854489</v>
      </c>
      <c r="E24" s="140">
        <f t="shared" si="0"/>
        <v>280306416.53999996</v>
      </c>
      <c r="F24" s="201">
        <v>159497825.46000001</v>
      </c>
      <c r="G24" s="195">
        <f t="shared" si="1"/>
        <v>439804242</v>
      </c>
    </row>
    <row r="25" spans="2:7" ht="28" x14ac:dyDescent="0.35">
      <c r="B25" s="78" t="s">
        <v>192</v>
      </c>
      <c r="C25" s="143">
        <f>SUM(C22:C24)</f>
        <v>459084106.53999996</v>
      </c>
      <c r="D25" s="143">
        <f>SUM(D22:D24)</f>
        <v>95253894</v>
      </c>
      <c r="E25" s="143">
        <f t="shared" si="0"/>
        <v>554338000.53999996</v>
      </c>
      <c r="F25" s="202">
        <f>SUM(F22:F24)</f>
        <v>285752025.01999998</v>
      </c>
      <c r="G25" s="143">
        <f t="shared" si="1"/>
        <v>840090025.55999994</v>
      </c>
    </row>
    <row r="26" spans="2:7" s="20" customFormat="1" ht="37.5" x14ac:dyDescent="0.35">
      <c r="B26" s="18" t="s">
        <v>151</v>
      </c>
      <c r="C26" s="7" t="s">
        <v>301</v>
      </c>
      <c r="D26" s="7" t="s">
        <v>302</v>
      </c>
      <c r="E26" s="44" t="s">
        <v>17</v>
      </c>
      <c r="F26" s="135"/>
      <c r="G26" s="198"/>
    </row>
    <row r="27" spans="2:7" x14ac:dyDescent="0.35">
      <c r="B27" s="67">
        <v>2018</v>
      </c>
      <c r="C27" s="164">
        <v>352988359</v>
      </c>
      <c r="D27" s="162">
        <f>'2- Costs'!D32</f>
        <v>351334190</v>
      </c>
      <c r="E27" s="144">
        <f>C27/D27</f>
        <v>1.0047082494305493</v>
      </c>
      <c r="F27" s="136"/>
      <c r="G27" s="17"/>
    </row>
    <row r="28" spans="2:7" x14ac:dyDescent="0.35">
      <c r="B28" s="67">
        <v>2019</v>
      </c>
      <c r="C28" s="164">
        <v>351381796</v>
      </c>
      <c r="D28" s="162">
        <v>351334190</v>
      </c>
      <c r="E28" s="144">
        <f>IF(C28=0,"N/A",C28/D28)</f>
        <v>1.0001355006183714</v>
      </c>
      <c r="F28" s="136"/>
      <c r="G28" s="17"/>
    </row>
    <row r="29" spans="2:7" x14ac:dyDescent="0.35">
      <c r="B29" s="67">
        <v>2020</v>
      </c>
      <c r="C29" s="164">
        <v>346480330</v>
      </c>
      <c r="D29" s="162">
        <v>351334190</v>
      </c>
      <c r="E29" s="144">
        <f>IF(C29=0,"N/A",C29/D29)</f>
        <v>0.98618449288980381</v>
      </c>
      <c r="F29" s="136"/>
      <c r="G29" s="17"/>
    </row>
    <row r="30" spans="2:7" x14ac:dyDescent="0.35">
      <c r="B30" s="67">
        <v>2021</v>
      </c>
      <c r="C30" s="164">
        <f>'2- Costs'!C32</f>
        <v>69977716.599999994</v>
      </c>
      <c r="D30" s="162">
        <v>351334190</v>
      </c>
      <c r="E30" s="144">
        <f>IF(C30=0,"N/A",C30/D30)</f>
        <v>0.19917707582060259</v>
      </c>
      <c r="F30" s="136"/>
      <c r="G30" s="17"/>
    </row>
    <row r="31" spans="2:7" ht="28" x14ac:dyDescent="0.35">
      <c r="B31" s="78" t="s">
        <v>194</v>
      </c>
      <c r="C31" s="163">
        <f>SUM(C27:C30)</f>
        <v>1120828201.5999999</v>
      </c>
      <c r="D31" s="163">
        <f>SUM(D27:D30)</f>
        <v>1405336760</v>
      </c>
      <c r="E31" s="144">
        <f>IF(C31=0,"N/A",C31/D31)</f>
        <v>0.79755132968983167</v>
      </c>
      <c r="F31" s="136"/>
      <c r="G31" s="17"/>
    </row>
    <row r="32" spans="2:7" s="61" customFormat="1" x14ac:dyDescent="0.35">
      <c r="B32" s="79"/>
      <c r="C32" s="16"/>
      <c r="D32" s="17"/>
      <c r="E32" s="17"/>
      <c r="F32" s="17"/>
      <c r="G32" s="17"/>
    </row>
  </sheetData>
  <mergeCells count="1">
    <mergeCell ref="B5:G9"/>
  </mergeCells>
  <printOptions horizontalCentered="1"/>
  <pageMargins left="1" right="1" top="1.25" bottom="1" header="0.5" footer="0.5"/>
  <pageSetup scale="10" orientation="portrait" r:id="rId1"/>
  <headerFooter scaleWithDoc="0">
    <oddHeader>&amp;R&amp;"Arial,Bold"ICC Docket No. 17-0312
Statewide Quarterly Report ComEd 2019 Q4 
Tab: &amp;A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D7298ED617D146A3AF46250AE2AF4E" ma:contentTypeVersion="4" ma:contentTypeDescription="Create a new document." ma:contentTypeScope="" ma:versionID="1941a6a2abece074ee073e31a635a015">
  <xsd:schema xmlns:xsd="http://www.w3.org/2001/XMLSchema" xmlns:xs="http://www.w3.org/2001/XMLSchema" xmlns:p="http://schemas.microsoft.com/office/2006/metadata/properties" xmlns:ns2="34179d51-dc0c-413e-aa1e-3fce419c532c" targetNamespace="http://schemas.microsoft.com/office/2006/metadata/properties" ma:root="true" ma:fieldsID="b817cda650c36187a3a53b5331c7b210" ns2:_="">
    <xsd:import namespace="34179d51-dc0c-413e-aa1e-3fce419c53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179d51-dc0c-413e-aa1e-3fce419c5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265358-A200-4181-99F2-5390B7D0CBB5}">
  <ds:schemaRefs>
    <ds:schemaRef ds:uri="http://schemas.microsoft.com/office/2006/metadata/properties"/>
    <ds:schemaRef ds:uri="34179d51-dc0c-413e-aa1e-3fce419c532c"/>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www.w3.org/XML/1998/namespace"/>
  </ds:schemaRefs>
</ds:datastoreItem>
</file>

<file path=customXml/itemProps2.xml><?xml version="1.0" encoding="utf-8"?>
<ds:datastoreItem xmlns:ds="http://schemas.openxmlformats.org/officeDocument/2006/customXml" ds:itemID="{7035F3C2-00F1-4CDD-B138-3CFBC8D34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179d51-dc0c-413e-aa1e-3fce419c53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CB91CF-5463-483A-B537-8D7B40E18D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Ex Ante Results</vt:lpstr>
      <vt:lpstr>2- Costs</vt:lpstr>
      <vt:lpstr>3- Energy</vt:lpstr>
      <vt:lpstr>4- Other</vt:lpstr>
      <vt:lpstr>5- CPAS</vt:lpstr>
      <vt:lpstr>6- Historical Costs</vt:lpstr>
      <vt:lpstr>'1- Ex Ante Results'!Print_Area</vt:lpstr>
      <vt:lpstr>'6- Historical Costs'!Print_Area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Kapoor, Shikha:(ComEd)</dc:creator>
  <cp:keywords/>
  <dc:description/>
  <cp:lastModifiedBy>CJ Consulting</cp:lastModifiedBy>
  <cp:revision/>
  <cp:lastPrinted>2021-05-20T13:36:14Z</cp:lastPrinted>
  <dcterms:created xsi:type="dcterms:W3CDTF">2020-03-11T14:31:19Z</dcterms:created>
  <dcterms:modified xsi:type="dcterms:W3CDTF">2021-05-28T11:43:09Z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0x01010068D7298ED617D146A3AF46250AE2AF4E</vt:lpwstr>
  </property>
  <property fmtid="{D5CDD505-2E9C-101B-9397-08002B2CF9AE}" pid="3" name="eDOCS AutoSave">
    <vt:lpwstr>20210520083624944</vt:lpwstr>
  </property>
</Properties>
</file>