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ComEd/"/>
    </mc:Choice>
  </mc:AlternateContent>
  <xr:revisionPtr revIDLastSave="0" documentId="8_{51BBE1B7-76B7-492D-A632-B541E407388C}" xr6:coauthVersionLast="45" xr6:coauthVersionMax="45" xr10:uidLastSave="{00000000-0000-0000-0000-000000000000}"/>
  <bookViews>
    <workbookView xWindow="28680" yWindow="-120" windowWidth="29040" windowHeight="15840" activeTab="3"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definedNames>
    <definedName name="_xlnm._FilterDatabase" localSheetId="0" hidden="1">'1- Ex Ante Results'!$B$20:$M$117</definedName>
    <definedName name="_xlnm.Print_Area" localSheetId="0">'1- Ex Ante Results'!$A$1:$M$125</definedName>
    <definedName name="_xlnm.Print_Area" localSheetId="5">'6- Historical Costs'!$A$1:$G$31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5" i="4" l="1"/>
  <c r="M14" i="4"/>
  <c r="M16" i="4"/>
  <c r="H22" i="1" l="1"/>
  <c r="H55" i="1" l="1"/>
  <c r="H100" i="1"/>
  <c r="H84" i="1"/>
  <c r="H76" i="1"/>
  <c r="C33" i="1" l="1"/>
  <c r="G49" i="1" l="1"/>
  <c r="C57" i="1" l="1"/>
  <c r="G68" i="1" l="1"/>
  <c r="G53" i="1"/>
  <c r="G59" i="1" l="1"/>
  <c r="L13" i="4" l="1"/>
  <c r="G112" i="1" l="1"/>
  <c r="F27" i="1" l="1"/>
  <c r="I114" i="1" l="1"/>
  <c r="K114" i="1"/>
  <c r="L114" i="1"/>
  <c r="H114" i="1"/>
  <c r="C21" i="2" s="1"/>
  <c r="C26" i="2" s="1"/>
  <c r="D74" i="1"/>
  <c r="D56" i="1"/>
  <c r="I25" i="1" l="1"/>
  <c r="L15" i="4" l="1"/>
  <c r="E33" i="7" l="1"/>
  <c r="G103" i="1" l="1"/>
  <c r="E18" i="7" l="1"/>
  <c r="E34" i="7" s="1"/>
  <c r="M107" i="1" l="1"/>
  <c r="E31" i="8"/>
  <c r="E29" i="8"/>
  <c r="H40" i="1"/>
  <c r="J106" i="1"/>
  <c r="J107" i="1"/>
  <c r="J108" i="1"/>
  <c r="J91" i="1"/>
  <c r="J92" i="1"/>
  <c r="J84" i="1"/>
  <c r="J76" i="1"/>
  <c r="J43" i="1"/>
  <c r="J51" i="1"/>
  <c r="J52" i="1"/>
  <c r="J53" i="1"/>
  <c r="J54" i="1"/>
  <c r="J60" i="1"/>
  <c r="J68" i="1"/>
  <c r="J70" i="1"/>
  <c r="J72" i="1"/>
  <c r="J73" i="1"/>
  <c r="J111" i="1"/>
  <c r="J114" i="1" s="1"/>
  <c r="I96" i="1"/>
  <c r="J96" i="1" s="1"/>
  <c r="I97" i="1"/>
  <c r="J97" i="1" s="1"/>
  <c r="I98" i="1"/>
  <c r="J98" i="1" s="1"/>
  <c r="I99" i="1"/>
  <c r="J99" i="1" s="1"/>
  <c r="I100" i="1"/>
  <c r="J100" i="1" s="1"/>
  <c r="I101" i="1"/>
  <c r="J101" i="1" s="1"/>
  <c r="I102" i="1"/>
  <c r="J102" i="1" s="1"/>
  <c r="I103" i="1"/>
  <c r="J103" i="1" s="1"/>
  <c r="I104" i="1"/>
  <c r="J104" i="1" s="1"/>
  <c r="I105" i="1"/>
  <c r="J105" i="1" s="1"/>
  <c r="I95" i="1"/>
  <c r="J95" i="1" s="1"/>
  <c r="I88" i="1"/>
  <c r="J88" i="1" s="1"/>
  <c r="I89" i="1"/>
  <c r="J89" i="1" s="1"/>
  <c r="I90" i="1"/>
  <c r="J90" i="1" s="1"/>
  <c r="I87" i="1"/>
  <c r="J87" i="1" s="1"/>
  <c r="I77" i="1"/>
  <c r="J77" i="1" s="1"/>
  <c r="I83" i="1"/>
  <c r="J83" i="1" s="1"/>
  <c r="I81" i="1"/>
  <c r="J81" i="1" s="1"/>
  <c r="I80" i="1"/>
  <c r="J80" i="1" s="1"/>
  <c r="I79" i="1"/>
  <c r="J79" i="1" s="1"/>
  <c r="I78" i="1"/>
  <c r="J78" i="1" s="1"/>
  <c r="I71" i="1"/>
  <c r="J71" i="1" s="1"/>
  <c r="I69" i="1"/>
  <c r="J69" i="1" s="1"/>
  <c r="I59" i="1"/>
  <c r="J59" i="1" s="1"/>
  <c r="I61" i="1"/>
  <c r="J61" i="1" s="1"/>
  <c r="I62" i="1"/>
  <c r="J62" i="1" s="1"/>
  <c r="I63" i="1"/>
  <c r="J63" i="1" s="1"/>
  <c r="I64" i="1"/>
  <c r="J64" i="1" s="1"/>
  <c r="I65" i="1"/>
  <c r="J65" i="1" s="1"/>
  <c r="I66" i="1"/>
  <c r="J66" i="1" s="1"/>
  <c r="I67" i="1"/>
  <c r="J67" i="1" s="1"/>
  <c r="I58" i="1"/>
  <c r="J58" i="1" s="1"/>
  <c r="I42" i="1"/>
  <c r="I44" i="1"/>
  <c r="J44" i="1" s="1"/>
  <c r="I45" i="1"/>
  <c r="J45" i="1" s="1"/>
  <c r="I46" i="1"/>
  <c r="J46" i="1" s="1"/>
  <c r="I47" i="1"/>
  <c r="J47" i="1" s="1"/>
  <c r="I48" i="1"/>
  <c r="J48" i="1" s="1"/>
  <c r="I49" i="1"/>
  <c r="J49" i="1" s="1"/>
  <c r="I50" i="1"/>
  <c r="J50" i="1" s="1"/>
  <c r="I41" i="1"/>
  <c r="J41" i="1" s="1"/>
  <c r="J23" i="1" l="1"/>
  <c r="I40" i="1"/>
  <c r="I56" i="1" s="1"/>
  <c r="J42" i="1"/>
  <c r="J40" i="1" s="1"/>
  <c r="G100" i="1"/>
  <c r="G96" i="1"/>
  <c r="G108" i="1"/>
  <c r="G107" i="1"/>
  <c r="G106" i="1"/>
  <c r="G105" i="1"/>
  <c r="G104" i="1"/>
  <c r="G102" i="1"/>
  <c r="G101" i="1"/>
  <c r="G99" i="1"/>
  <c r="G98" i="1"/>
  <c r="G97" i="1"/>
  <c r="G95" i="1"/>
  <c r="G90" i="1"/>
  <c r="G89" i="1"/>
  <c r="G88" i="1"/>
  <c r="G87" i="1"/>
  <c r="G83" i="1"/>
  <c r="G82" i="1"/>
  <c r="G81" i="1"/>
  <c r="G80" i="1"/>
  <c r="G79" i="1"/>
  <c r="G78" i="1"/>
  <c r="G77" i="1"/>
  <c r="G76" i="1"/>
  <c r="G60" i="1"/>
  <c r="G58" i="1"/>
  <c r="G71" i="1"/>
  <c r="G70" i="1"/>
  <c r="G69" i="1"/>
  <c r="G67" i="1"/>
  <c r="G66" i="1"/>
  <c r="G65" i="1"/>
  <c r="G64" i="1"/>
  <c r="G63" i="1"/>
  <c r="G62" i="1"/>
  <c r="G61" i="1"/>
  <c r="G52" i="1"/>
  <c r="G51" i="1"/>
  <c r="G50" i="1"/>
  <c r="G48" i="1"/>
  <c r="G47" i="1"/>
  <c r="G46" i="1"/>
  <c r="G45" i="1"/>
  <c r="G44" i="1"/>
  <c r="G43" i="1"/>
  <c r="G42" i="1"/>
  <c r="G41" i="1"/>
  <c r="L18" i="4" l="1"/>
  <c r="I82" i="1"/>
  <c r="J82" i="1" s="1"/>
  <c r="J55" i="1"/>
  <c r="H56" i="1"/>
  <c r="H25" i="1"/>
  <c r="H24" i="1"/>
  <c r="H23" i="1"/>
  <c r="H57" i="1"/>
  <c r="I23" i="1"/>
  <c r="I24" i="1"/>
  <c r="J24" i="1"/>
  <c r="J25" i="1"/>
  <c r="I26" i="1"/>
  <c r="J26" i="1"/>
  <c r="C13" i="2" l="1"/>
  <c r="I57" i="1" l="1"/>
  <c r="M55" i="1"/>
  <c r="M54" i="1"/>
  <c r="M53" i="1"/>
  <c r="M52" i="1"/>
  <c r="M51" i="1"/>
  <c r="M50" i="1"/>
  <c r="M49" i="1"/>
  <c r="M48" i="1"/>
  <c r="M47" i="1"/>
  <c r="M46" i="1"/>
  <c r="M45" i="1"/>
  <c r="M44" i="1"/>
  <c r="M43" i="1"/>
  <c r="M42" i="1"/>
  <c r="M41" i="1"/>
  <c r="M76" i="1"/>
  <c r="M84" i="1"/>
  <c r="M83" i="1"/>
  <c r="M82" i="1"/>
  <c r="M81" i="1"/>
  <c r="M80" i="1"/>
  <c r="M79" i="1"/>
  <c r="M78" i="1"/>
  <c r="M77" i="1"/>
  <c r="M65" i="1"/>
  <c r="M66" i="1"/>
  <c r="M67" i="1"/>
  <c r="M68" i="1"/>
  <c r="M69" i="1"/>
  <c r="M70" i="1"/>
  <c r="M71" i="1"/>
  <c r="M72" i="1"/>
  <c r="M73" i="1"/>
  <c r="M58" i="1"/>
  <c r="M59" i="1"/>
  <c r="M60" i="1"/>
  <c r="M61" i="1"/>
  <c r="M62" i="1"/>
  <c r="M63" i="1"/>
  <c r="M64" i="1"/>
  <c r="K74" i="1"/>
  <c r="H26" i="1"/>
  <c r="L26" i="1"/>
  <c r="F26" i="1"/>
  <c r="G26" i="1" s="1"/>
  <c r="E26" i="1"/>
  <c r="C26" i="1"/>
  <c r="L57" i="1"/>
  <c r="M57" i="1" s="1"/>
  <c r="F57" i="1"/>
  <c r="F74" i="1" s="1"/>
  <c r="E61" i="1"/>
  <c r="C74" i="1"/>
  <c r="F40" i="1"/>
  <c r="F56" i="1" s="1"/>
  <c r="C40" i="1"/>
  <c r="C56" i="1" s="1"/>
  <c r="L40" i="1"/>
  <c r="L56" i="1" s="1"/>
  <c r="K56" i="1"/>
  <c r="E44" i="1"/>
  <c r="M111" i="1"/>
  <c r="M108" i="1"/>
  <c r="M105" i="1"/>
  <c r="M96" i="1"/>
  <c r="M97" i="1"/>
  <c r="M98" i="1"/>
  <c r="M99" i="1"/>
  <c r="M100" i="1"/>
  <c r="M101" i="1"/>
  <c r="M102" i="1"/>
  <c r="M103" i="1"/>
  <c r="M104" i="1"/>
  <c r="M106" i="1"/>
  <c r="M95" i="1"/>
  <c r="L109" i="1"/>
  <c r="G57" i="1" l="1"/>
  <c r="M26" i="1"/>
  <c r="J57" i="1"/>
  <c r="J22" i="1" s="1"/>
  <c r="I22" i="1"/>
  <c r="G40" i="1"/>
  <c r="M40" i="1"/>
  <c r="L74" i="1"/>
  <c r="L23" i="1" l="1"/>
  <c r="M23" i="1" s="1"/>
  <c r="L24" i="1"/>
  <c r="M24" i="1" s="1"/>
  <c r="L25" i="1"/>
  <c r="M25" i="1" s="1"/>
  <c r="L27" i="1"/>
  <c r="L28" i="1"/>
  <c r="L29" i="1"/>
  <c r="M29" i="1" s="1"/>
  <c r="L30" i="1"/>
  <c r="L31" i="1"/>
  <c r="L32" i="1"/>
  <c r="L33" i="1"/>
  <c r="L34" i="1"/>
  <c r="L35" i="1"/>
  <c r="L36" i="1"/>
  <c r="L37" i="1"/>
  <c r="L38" i="1"/>
  <c r="H109" i="1"/>
  <c r="I109" i="1"/>
  <c r="J109" i="1"/>
  <c r="K109" i="1"/>
  <c r="K22" i="1"/>
  <c r="F85" i="1"/>
  <c r="F109" i="1"/>
  <c r="D109" i="1"/>
  <c r="C109" i="1"/>
  <c r="F23" i="1"/>
  <c r="E96" i="1"/>
  <c r="E97" i="1"/>
  <c r="E98" i="1"/>
  <c r="E99" i="1"/>
  <c r="E100" i="1"/>
  <c r="E101" i="1"/>
  <c r="E102" i="1"/>
  <c r="E103" i="1"/>
  <c r="E104" i="1"/>
  <c r="E105" i="1"/>
  <c r="E106" i="1"/>
  <c r="E107" i="1"/>
  <c r="E108" i="1"/>
  <c r="E95" i="1"/>
  <c r="G109" i="1" l="1"/>
  <c r="E109" i="1"/>
  <c r="M109" i="1"/>
  <c r="C18" i="2"/>
  <c r="F22" i="1"/>
  <c r="E41" i="1" l="1"/>
  <c r="E30" i="8" l="1"/>
  <c r="D27" i="8" l="1"/>
  <c r="G19" i="8"/>
  <c r="G20" i="8"/>
  <c r="F25" i="8"/>
  <c r="F21" i="8"/>
  <c r="F17" i="8"/>
  <c r="D25" i="8"/>
  <c r="C25" i="8"/>
  <c r="D21" i="8"/>
  <c r="C21" i="8"/>
  <c r="D17" i="8"/>
  <c r="C17" i="8"/>
  <c r="E15" i="8"/>
  <c r="G15" i="8" s="1"/>
  <c r="E16" i="8"/>
  <c r="G16" i="8" s="1"/>
  <c r="E18" i="8"/>
  <c r="G18" i="8" s="1"/>
  <c r="E19" i="8"/>
  <c r="E20" i="8"/>
  <c r="E22" i="8"/>
  <c r="G22" i="8" s="1"/>
  <c r="E23" i="8"/>
  <c r="G23" i="8" s="1"/>
  <c r="E24" i="8"/>
  <c r="G24" i="8" s="1"/>
  <c r="E14" i="8"/>
  <c r="G14" i="8" s="1"/>
  <c r="E17" i="8" l="1"/>
  <c r="G17" i="8" s="1"/>
  <c r="E25" i="8"/>
  <c r="G25" i="8" s="1"/>
  <c r="D31" i="8"/>
  <c r="E27" i="8"/>
  <c r="E21" i="8"/>
  <c r="G21" i="8" s="1"/>
  <c r="C85" i="1" l="1"/>
  <c r="C23" i="1"/>
  <c r="G23" i="1" s="1"/>
  <c r="G85" i="1" l="1"/>
  <c r="C13" i="4"/>
  <c r="D13" i="4"/>
  <c r="E13" i="4"/>
  <c r="F13" i="4"/>
  <c r="G13" i="4"/>
  <c r="H13" i="4"/>
  <c r="I13" i="4"/>
  <c r="J13" i="4"/>
  <c r="K13" i="4"/>
  <c r="C14" i="4"/>
  <c r="D14" i="4"/>
  <c r="E14" i="4"/>
  <c r="F14" i="4"/>
  <c r="G14" i="4"/>
  <c r="H14" i="4"/>
  <c r="I14" i="4"/>
  <c r="J14" i="4"/>
  <c r="K14" i="4"/>
  <c r="C15" i="4"/>
  <c r="D15" i="4"/>
  <c r="E15" i="4"/>
  <c r="F15" i="4"/>
  <c r="G15" i="4"/>
  <c r="H15" i="4"/>
  <c r="I15" i="4"/>
  <c r="J15" i="4"/>
  <c r="K15" i="4"/>
  <c r="C16" i="4"/>
  <c r="D16" i="4"/>
  <c r="E16" i="4"/>
  <c r="F16" i="4"/>
  <c r="G16" i="4"/>
  <c r="H16" i="4"/>
  <c r="I16" i="4"/>
  <c r="J16" i="4"/>
  <c r="K16" i="4"/>
  <c r="E38" i="1" l="1"/>
  <c r="G115" i="1" l="1"/>
  <c r="K38" i="1" l="1"/>
  <c r="I38" i="1"/>
  <c r="H38" i="1"/>
  <c r="M38" i="1" s="1"/>
  <c r="H37" i="1"/>
  <c r="M37" i="1" s="1"/>
  <c r="H36" i="1"/>
  <c r="M36" i="1" s="1"/>
  <c r="H35" i="1"/>
  <c r="M35" i="1" s="1"/>
  <c r="H34" i="1"/>
  <c r="M34" i="1" s="1"/>
  <c r="H33" i="1"/>
  <c r="M33" i="1" s="1"/>
  <c r="H32" i="1"/>
  <c r="M32" i="1" s="1"/>
  <c r="H31" i="1"/>
  <c r="M31" i="1" s="1"/>
  <c r="H30" i="1"/>
  <c r="M30" i="1" s="1"/>
  <c r="H29" i="1"/>
  <c r="H28" i="1"/>
  <c r="M28" i="1" s="1"/>
  <c r="H27" i="1"/>
  <c r="J38" i="1"/>
  <c r="M27" i="1" l="1"/>
  <c r="H39" i="1"/>
  <c r="H74" i="1"/>
  <c r="C14" i="2" l="1"/>
  <c r="G116" i="1"/>
  <c r="J74" i="1" l="1"/>
  <c r="I74" i="1"/>
  <c r="J56" i="1"/>
  <c r="K18" i="4" l="1"/>
  <c r="E30" i="3" l="1"/>
  <c r="F23" i="3"/>
  <c r="G23" i="3" s="1"/>
  <c r="F24" i="3"/>
  <c r="G24" i="3" s="1"/>
  <c r="F22" i="3"/>
  <c r="F25" i="3" s="1"/>
  <c r="E25" i="3"/>
  <c r="E21" i="3"/>
  <c r="F27" i="3"/>
  <c r="F28" i="3"/>
  <c r="G28" i="3" s="1"/>
  <c r="F26" i="3"/>
  <c r="F19" i="3"/>
  <c r="G19" i="3" s="1"/>
  <c r="F18" i="3"/>
  <c r="G18" i="3" s="1"/>
  <c r="F15" i="3"/>
  <c r="G15" i="3" s="1"/>
  <c r="F16" i="3"/>
  <c r="F14" i="3"/>
  <c r="G14" i="3" s="1"/>
  <c r="G16" i="3"/>
  <c r="G20" i="3"/>
  <c r="E17" i="3"/>
  <c r="D25" i="3"/>
  <c r="D21" i="3"/>
  <c r="D17" i="3"/>
  <c r="F17" i="3" l="1"/>
  <c r="G17" i="3" s="1"/>
  <c r="F21" i="3"/>
  <c r="G21" i="3" s="1"/>
  <c r="F29" i="3"/>
  <c r="G25" i="3"/>
  <c r="G22" i="3"/>
  <c r="G29" i="3" l="1"/>
  <c r="F30" i="3"/>
  <c r="E73" i="1" l="1"/>
  <c r="E55" i="1"/>
  <c r="L93" i="1"/>
  <c r="K93" i="1"/>
  <c r="H93" i="1"/>
  <c r="F93" i="1"/>
  <c r="D93" i="1"/>
  <c r="C93" i="1"/>
  <c r="E92" i="1"/>
  <c r="M93" i="1" l="1"/>
  <c r="G93" i="1"/>
  <c r="E112" i="1" l="1"/>
  <c r="F24" i="1"/>
  <c r="F25" i="1"/>
  <c r="G25" i="1" s="1"/>
  <c r="F36" i="1"/>
  <c r="F35" i="1"/>
  <c r="F34" i="1"/>
  <c r="F33" i="1"/>
  <c r="F32" i="1"/>
  <c r="F31" i="1"/>
  <c r="F30" i="1"/>
  <c r="F29" i="1"/>
  <c r="G29" i="1" s="1"/>
  <c r="F28" i="1"/>
  <c r="D36" i="1"/>
  <c r="K36" i="1"/>
  <c r="C36" i="1"/>
  <c r="M114" i="1"/>
  <c r="F114" i="1"/>
  <c r="D114" i="1"/>
  <c r="E114" i="1" s="1"/>
  <c r="C114" i="1"/>
  <c r="D27" i="1"/>
  <c r="E27" i="1" s="1"/>
  <c r="D28" i="1"/>
  <c r="E28" i="1" s="1"/>
  <c r="D29" i="1"/>
  <c r="E29" i="1" s="1"/>
  <c r="D30" i="1"/>
  <c r="E30" i="1" s="1"/>
  <c r="D31" i="1"/>
  <c r="E31" i="1" s="1"/>
  <c r="D32" i="1"/>
  <c r="E32" i="1" s="1"/>
  <c r="D33" i="1"/>
  <c r="E33" i="1" s="1"/>
  <c r="D34" i="1"/>
  <c r="E34" i="1" s="1"/>
  <c r="D35" i="1"/>
  <c r="E35" i="1" s="1"/>
  <c r="E111" i="1"/>
  <c r="E88" i="1"/>
  <c r="E89" i="1"/>
  <c r="E90" i="1"/>
  <c r="E91" i="1"/>
  <c r="E87" i="1"/>
  <c r="E23" i="1"/>
  <c r="E24" i="1"/>
  <c r="E25" i="1"/>
  <c r="E37" i="1"/>
  <c r="E40" i="1"/>
  <c r="E42" i="1"/>
  <c r="E43" i="1"/>
  <c r="E45" i="1"/>
  <c r="E46" i="1"/>
  <c r="E47" i="1"/>
  <c r="E48" i="1"/>
  <c r="E49" i="1"/>
  <c r="E50" i="1"/>
  <c r="E51" i="1"/>
  <c r="E52" i="1"/>
  <c r="E53" i="1"/>
  <c r="E54" i="1"/>
  <c r="E58" i="1"/>
  <c r="E59" i="1"/>
  <c r="E60" i="1"/>
  <c r="E62" i="1"/>
  <c r="E63" i="1"/>
  <c r="E64" i="1"/>
  <c r="E65" i="1"/>
  <c r="E66" i="1"/>
  <c r="E67" i="1"/>
  <c r="E68" i="1"/>
  <c r="E69" i="1"/>
  <c r="E70" i="1"/>
  <c r="E71" i="1"/>
  <c r="E36" i="1" s="1"/>
  <c r="E72" i="1"/>
  <c r="E76" i="1"/>
  <c r="E77" i="1"/>
  <c r="E78" i="1"/>
  <c r="E79" i="1"/>
  <c r="E80" i="1"/>
  <c r="E81" i="1"/>
  <c r="E82" i="1"/>
  <c r="E83" i="1"/>
  <c r="E84" i="1"/>
  <c r="E56" i="1" l="1"/>
  <c r="F39" i="1"/>
  <c r="F117" i="1" s="1"/>
  <c r="G36" i="1"/>
  <c r="G114" i="1"/>
  <c r="E93" i="1"/>
  <c r="K85" i="1"/>
  <c r="L85" i="1"/>
  <c r="H85" i="1"/>
  <c r="C16" i="2"/>
  <c r="K37" i="1"/>
  <c r="K35" i="1"/>
  <c r="K34" i="1"/>
  <c r="K33" i="1"/>
  <c r="K32" i="1"/>
  <c r="K31" i="1"/>
  <c r="K30" i="1"/>
  <c r="K29" i="1"/>
  <c r="K28" i="1"/>
  <c r="K27" i="1"/>
  <c r="C15" i="2" l="1"/>
  <c r="C19" i="2" s="1"/>
  <c r="H117" i="1"/>
  <c r="K39" i="1"/>
  <c r="K117" i="1" s="1"/>
  <c r="I93" i="1"/>
  <c r="J36" i="1"/>
  <c r="I36" i="1"/>
  <c r="I28" i="1"/>
  <c r="I30" i="1"/>
  <c r="J34" i="1"/>
  <c r="I32" i="1"/>
  <c r="I34" i="1"/>
  <c r="J30" i="1"/>
  <c r="J32" i="1"/>
  <c r="J28" i="1"/>
  <c r="J29" i="1"/>
  <c r="I33" i="1"/>
  <c r="I85" i="1"/>
  <c r="J85" i="1"/>
  <c r="I37" i="1"/>
  <c r="I29" i="1"/>
  <c r="I35" i="1"/>
  <c r="I31" i="1"/>
  <c r="I27" i="1"/>
  <c r="J33" i="1"/>
  <c r="J37" i="1"/>
  <c r="J35" i="1"/>
  <c r="J31" i="1"/>
  <c r="J27" i="1"/>
  <c r="C27" i="2" l="1"/>
  <c r="I39" i="1"/>
  <c r="I117" i="1" s="1"/>
  <c r="J39" i="1"/>
  <c r="J93" i="1"/>
  <c r="C24" i="1" l="1"/>
  <c r="G24" i="1" s="1"/>
  <c r="C25" i="1"/>
  <c r="C27" i="1"/>
  <c r="C28" i="1"/>
  <c r="G28" i="1" s="1"/>
  <c r="C29" i="1"/>
  <c r="C30" i="1"/>
  <c r="G30" i="1" s="1"/>
  <c r="C31" i="1"/>
  <c r="G31" i="1" s="1"/>
  <c r="C32" i="1"/>
  <c r="G32" i="1" s="1"/>
  <c r="G33" i="1"/>
  <c r="C34" i="1"/>
  <c r="G34" i="1" s="1"/>
  <c r="C35" i="1"/>
  <c r="G35" i="1" s="1"/>
  <c r="L22" i="1"/>
  <c r="M88" i="1"/>
  <c r="M89" i="1"/>
  <c r="M90" i="1"/>
  <c r="M91" i="1"/>
  <c r="M87" i="1"/>
  <c r="M85" i="1"/>
  <c r="D85" i="1"/>
  <c r="E85" i="1" s="1"/>
  <c r="G27" i="1" l="1"/>
  <c r="C22" i="1"/>
  <c r="C39" i="1" s="1"/>
  <c r="C117" i="1" s="1"/>
  <c r="M22" i="1"/>
  <c r="L39" i="1"/>
  <c r="L117" i="1" s="1"/>
  <c r="M117" i="1" s="1"/>
  <c r="E57" i="1"/>
  <c r="E74" i="1" s="1"/>
  <c r="G74" i="1"/>
  <c r="D22" i="1"/>
  <c r="D39" i="1" s="1"/>
  <c r="G22" i="1" l="1"/>
  <c r="E29" i="7"/>
  <c r="D117" i="1"/>
  <c r="G56" i="1"/>
  <c r="M74" i="1"/>
  <c r="M56" i="1"/>
  <c r="E22" i="1"/>
  <c r="E39" i="1" l="1"/>
  <c r="E117" i="1" s="1"/>
  <c r="G117" i="1"/>
  <c r="M12" i="4"/>
  <c r="M13" i="4" s="1"/>
  <c r="D27" i="3"/>
  <c r="D30" i="3" s="1"/>
  <c r="C32" i="2"/>
  <c r="M39" i="1"/>
  <c r="J117" i="1"/>
  <c r="G39" i="1"/>
  <c r="C28" i="8" l="1"/>
  <c r="E28" i="8" s="1"/>
  <c r="G27" i="3"/>
  <c r="E32" i="2"/>
  <c r="E23" i="7"/>
  <c r="E24" i="7" s="1"/>
  <c r="C31" i="8" l="1"/>
  <c r="E26" i="7"/>
  <c r="E37" i="7" l="1"/>
  <c r="E35" i="7"/>
  <c r="E27" i="7"/>
  <c r="G30" i="3" l="1"/>
  <c r="E30" i="7"/>
  <c r="E28" i="7"/>
  <c r="L14" i="4"/>
  <c r="G26" i="3" l="1"/>
  <c r="E36" i="7"/>
  <c r="E38" i="7" s="1"/>
  <c r="E39" i="7" s="1"/>
  <c r="L16" i="4"/>
</calcChain>
</file>

<file path=xl/sharedStrings.xml><?xml version="1.0" encoding="utf-8"?>
<sst xmlns="http://schemas.openxmlformats.org/spreadsheetml/2006/main" count="451" uniqueCount="299">
  <si>
    <t>Statewide Quarterly Report Template</t>
  </si>
  <si>
    <t>Residential Programs</t>
  </si>
  <si>
    <t>Program Year</t>
  </si>
  <si>
    <t>Carbon reduction (tons)</t>
  </si>
  <si>
    <t>Cars removed from the road</t>
  </si>
  <si>
    <t>Acres of trees planted</t>
  </si>
  <si>
    <t>EPY1</t>
  </si>
  <si>
    <t>EPY2</t>
  </si>
  <si>
    <t>EPY3</t>
  </si>
  <si>
    <t>EPY4/
GPY1</t>
  </si>
  <si>
    <t>EPY5/
GPY2</t>
  </si>
  <si>
    <t>EPY6/
GPY3</t>
  </si>
  <si>
    <t>EPY7/
GPY4</t>
  </si>
  <si>
    <t>EPY8/
GPY5</t>
  </si>
  <si>
    <t>Tab 1: Ex Ante Results</t>
  </si>
  <si>
    <t>Tab 3: Historical Energy Saved</t>
  </si>
  <si>
    <t>Tab 4: Historical Other - Environmental and Economic Impacts</t>
  </si>
  <si>
    <t>Commercial &amp; Industrial Programs</t>
  </si>
  <si>
    <t>Footnotes:</t>
  </si>
  <si>
    <t>Non-Incentive Costs YTD</t>
  </si>
  <si>
    <t>% of Costs YTD Compared to Approved Budget</t>
  </si>
  <si>
    <t>Electric Plan 1 Total</t>
  </si>
  <si>
    <t>Electric Plan 2/Gas Plan 1 Total</t>
  </si>
  <si>
    <t>Electric Plan 3/Gas Plan 2 Total</t>
  </si>
  <si>
    <t>% of Net Energy Savings Goal Achieved</t>
  </si>
  <si>
    <t>Evaluation Costs</t>
  </si>
  <si>
    <t>Department</t>
  </si>
  <si>
    <t>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</si>
  <si>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</si>
  <si>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 Savings Achieved Compared to Implementation Plan Savings Goal</t>
  </si>
  <si>
    <t>Market Transformation Programs</t>
  </si>
  <si>
    <t xml:space="preserve"> Section 8-103B/8-104
(EEPS) Program</t>
  </si>
  <si>
    <t>C&amp;I Programs Subtotal</t>
  </si>
  <si>
    <t>Residential Programs Subtotal</t>
  </si>
  <si>
    <t>Income Qualified Programs</t>
  </si>
  <si>
    <t>Income Qualified Programs Subtotal</t>
  </si>
  <si>
    <t>Third Party Programs (Section 8-103B - Beginning in 2019)</t>
  </si>
  <si>
    <t>Third Party Programs (Section 8-103B - Beginning in 2019) Subtotal</t>
  </si>
  <si>
    <t xml:space="preserve">Public Sector Programs </t>
  </si>
  <si>
    <t xml:space="preserve">Demonstration of Breakthrough
Equipment and Devices Costs </t>
  </si>
  <si>
    <t xml:space="preserve">Portfolio Administrative Costs </t>
  </si>
  <si>
    <t>Third Party Programs (Beginning in 2019)</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</si>
  <si>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</si>
  <si>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EPY9/
GPY6****</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</si>
  <si>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</si>
  <si>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</si>
  <si>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</si>
  <si>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Income qualified homes served***</t>
  </si>
  <si>
    <t>2018-2021 Plan Total</t>
  </si>
  <si>
    <t>C&amp;I Programs - Private Sector Total</t>
  </si>
  <si>
    <t>C&amp;I Programs - Public Sector Total</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</si>
  <si>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</si>
  <si>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Demonstration of Breakthrough Equipment and Devices</t>
  </si>
  <si>
    <t>Demonstration of Breakthrough Equipment and Devices Subtotal</t>
  </si>
  <si>
    <t>= u / q</t>
  </si>
  <si>
    <t>v</t>
  </si>
  <si>
    <t>= s - t</t>
  </si>
  <si>
    <t>u</t>
  </si>
  <si>
    <t>= j</t>
  </si>
  <si>
    <t>Expiring savings that have to be offset before counting progress towards AAIG (MWh)</t>
  </si>
  <si>
    <t>t</t>
  </si>
  <si>
    <t>same as "m"</t>
  </si>
  <si>
    <t>s</t>
  </si>
  <si>
    <t>= q + j</t>
  </si>
  <si>
    <t>New Savings Required to Meet AAIG (MWh)</t>
  </si>
  <si>
    <t>r</t>
  </si>
  <si>
    <t>= c - p</t>
  </si>
  <si>
    <t>Current Year Applicable Annual Incremental Goal (MWh)</t>
  </si>
  <si>
    <t>q</t>
  </si>
  <si>
    <t>= o * b</t>
  </si>
  <si>
    <t>Previous Year's CPAS Goal (MWh)</t>
  </si>
  <si>
    <t>p</t>
  </si>
  <si>
    <t>Previous Year's CPAS Goal (% of Sales)</t>
  </si>
  <si>
    <t>o</t>
  </si>
  <si>
    <t>Applicable Annual Incremental Goal (AAIG) Progress</t>
  </si>
  <si>
    <t>n</t>
  </si>
  <si>
    <t>sum of utility reports for all quarters to date</t>
  </si>
  <si>
    <t>m</t>
  </si>
  <si>
    <t>utility report</t>
  </si>
  <si>
    <t>New Annual Savings this Quarter (MWh)</t>
  </si>
  <si>
    <t>l</t>
  </si>
  <si>
    <t>= c - d + j</t>
  </si>
  <si>
    <t>New Annual Savings Needed to Meet Current Year CPAS Goal (MWh)</t>
  </si>
  <si>
    <t>k</t>
  </si>
  <si>
    <t>= h + i</t>
  </si>
  <si>
    <t>Total Savings Expiring in Current Year (MWh)</t>
  </si>
  <si>
    <t>j</t>
  </si>
  <si>
    <t>i</t>
  </si>
  <si>
    <t>= g * b</t>
  </si>
  <si>
    <t>2012-2017 Legacy Savings Expiring in Current Year (MWh)</t>
  </si>
  <si>
    <t>h</t>
  </si>
  <si>
    <t>= f - e</t>
  </si>
  <si>
    <t>2012-2017 Legacy Savings Expiring in Current Year (% of Sales)</t>
  </si>
  <si>
    <t>g</t>
  </si>
  <si>
    <t>statute</t>
  </si>
  <si>
    <t>2012-2017 Legacy Savings Persisting in Previous Year (% of Sales)</t>
  </si>
  <si>
    <t>f</t>
  </si>
  <si>
    <t>2012-2017 Legacy Savings Persisting in Current Year (% of Sales)</t>
  </si>
  <si>
    <t>e</t>
  </si>
  <si>
    <t>Savings Expiring in Current Year</t>
  </si>
  <si>
    <t>d</t>
  </si>
  <si>
    <t>= a * b</t>
  </si>
  <si>
    <t>Current Year CPAS Goal (MWh)</t>
  </si>
  <si>
    <t>c</t>
  </si>
  <si>
    <t>b</t>
  </si>
  <si>
    <t>Current Year CPAS Goal (% of Eligible 2014-2016 Average Annual Sales)</t>
  </si>
  <si>
    <t>a</t>
  </si>
  <si>
    <t>Tab 5: CPAS Progress</t>
  </si>
  <si>
    <t>Reported items</t>
  </si>
  <si>
    <t>Color Coded Key:</t>
  </si>
  <si>
    <t>Statutory and/or approved plan inputs</t>
  </si>
  <si>
    <t>Calculations</t>
  </si>
  <si>
    <t>verification report for previous year</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</si>
  <si>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</si>
  <si>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</si>
  <si>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t>EPY1- 6/1/08-5/31/09</t>
  </si>
  <si>
    <t>EPY2- 6/1/09-5/31/10</t>
  </si>
  <si>
    <t>EPY3- 6/1/10-5/31/11</t>
  </si>
  <si>
    <t>EPY4/GPY1- 6/1/11-5/31/12</t>
  </si>
  <si>
    <t>EPY5/GPY2- 6/1/12-5/31/13</t>
  </si>
  <si>
    <t>EPY6/GPY3- 6/1/13-5/31/14</t>
  </si>
  <si>
    <t>EPY7/GPY4- 6/1/14-5/31/15</t>
  </si>
  <si>
    <t>EPY8/GPY5- 6/1/15-5/31/16</t>
  </si>
  <si>
    <t>EPY9/
GPY6*</t>
  </si>
  <si>
    <t>*Electric Program Year 9 (EPY9) and Gas Program Year 6 (GPY6) covers energy efficiency programs offered from June 1, 2016 to May 31, 2017.</t>
  </si>
  <si>
    <t>Evaluation Status (Ex Ante, Verified**, or ICC Approved)</t>
  </si>
  <si>
    <t>EPY9/GPY6- 6/1/16-12/31/17</t>
  </si>
  <si>
    <t>Evaluation Status
(Ex Ante, Verified***, or ICC Approved)</t>
  </si>
  <si>
    <t>Source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</si>
  <si>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</si>
  <si>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</si>
  <si>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m / k</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</si>
  <si>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</si>
  <si>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New Annual Savings this YTD (MWh)</t>
  </si>
  <si>
    <t>New Savings Achieved YTD (MWh)</t>
  </si>
  <si>
    <t>ICC approved plan compliance filing</t>
  </si>
  <si>
    <t>New Annual Savings YTD as % Needed to Meet Current Year CPAS Goal</t>
  </si>
  <si>
    <t>Progress towards AAIG (after offsetting expiring savings) - MWh YTD</t>
  </si>
  <si>
    <t>Progress towards AAIG (after offsetting expiring savings) - % YTD</t>
  </si>
  <si>
    <t>Baseline - 2014-2016 Average Annual Sales Less Exempt Customers (MWh)</t>
  </si>
  <si>
    <t>C&amp;I Programs (Private Sector)</t>
  </si>
  <si>
    <t>Marketing Costs (including Education and Outreach)</t>
  </si>
  <si>
    <t>Tab 2: Costs</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</si>
  <si>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</si>
  <si>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Section 8-103B/8-104 (EEPS) Cost Category</t>
  </si>
  <si>
    <t>Program Costs by Sector</t>
  </si>
  <si>
    <t>Portfolio-Level Costs by Portfolio Cost Category (Section 8-103B/8-104 EEPS)</t>
  </si>
  <si>
    <t>Overall Total Costs</t>
  </si>
  <si>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</si>
  <si>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</si>
  <si>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Incentives</t>
  </si>
  <si>
    <t>Small Business</t>
  </si>
  <si>
    <t>Business Instant Discounts</t>
  </si>
  <si>
    <t>Industrial Systems</t>
  </si>
  <si>
    <t>Strategic Energy Management</t>
  </si>
  <si>
    <t>LED Streetlighting</t>
  </si>
  <si>
    <t>Public Housing Retrofits</t>
  </si>
  <si>
    <t>Standard</t>
  </si>
  <si>
    <t>Custom</t>
  </si>
  <si>
    <t>Data Center</t>
  </si>
  <si>
    <t>Operational Savings</t>
  </si>
  <si>
    <t>Retro-commissioning</t>
  </si>
  <si>
    <t>New Construction</t>
  </si>
  <si>
    <t>AirCare Plus</t>
  </si>
  <si>
    <t>Residential Behavior</t>
  </si>
  <si>
    <t>Appliance Rebates</t>
  </si>
  <si>
    <t>Fridge &amp; Freezer Recycling</t>
  </si>
  <si>
    <t>Multi-Family Assessments</t>
  </si>
  <si>
    <t>Residential HVAC &amp; Weatherization</t>
  </si>
  <si>
    <t>Residential New Construction</t>
  </si>
  <si>
    <t>NTC Middle School Kits</t>
  </si>
  <si>
    <t>Affordable Housing New Construction</t>
  </si>
  <si>
    <t>ICC Approved</t>
  </si>
  <si>
    <t>Verified</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</si>
  <si>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</si>
  <si>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</si>
  <si>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</si>
  <si>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</si>
  <si>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</si>
  <si>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</si>
  <si>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</si>
  <si>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N/A</t>
  </si>
  <si>
    <r>
      <t xml:space="preserve">Total </t>
    </r>
    <r>
      <rPr>
        <b/>
        <sz val="10"/>
        <color rgb="FFFF0000"/>
        <rFont val="Century Gothic"/>
        <family val="2"/>
      </rPr>
      <t xml:space="preserve">ComEd </t>
    </r>
    <r>
      <rPr>
        <b/>
        <sz val="10"/>
        <color theme="1"/>
        <rFont val="Century Gothic"/>
        <family val="2"/>
      </rPr>
      <t>Program Costs</t>
    </r>
  </si>
  <si>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</si>
  <si>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</si>
  <si>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 xml:space="preserve">Strategic Energy Management - Private </t>
  </si>
  <si>
    <t>LED Streetlighting - Private</t>
  </si>
  <si>
    <t>Incentives - Private</t>
  </si>
  <si>
    <t>Standard - Private</t>
  </si>
  <si>
    <t>Custom - Private</t>
  </si>
  <si>
    <t>Data Center - Private</t>
  </si>
  <si>
    <t>Small Business - Private</t>
  </si>
  <si>
    <t>Business Instant Discounts - Private</t>
  </si>
  <si>
    <t>New Construction - Private</t>
  </si>
  <si>
    <t>Industrial Systems - Private</t>
  </si>
  <si>
    <t>Retro-commissioning - Private</t>
  </si>
  <si>
    <t>Incentives - Public</t>
  </si>
  <si>
    <t>Standard - Public</t>
  </si>
  <si>
    <t>Business Instant Discounts - Public</t>
  </si>
  <si>
    <t>Small Facilities - Public</t>
  </si>
  <si>
    <t>Data Center - Public</t>
  </si>
  <si>
    <t>Custom - Public</t>
  </si>
  <si>
    <t>Industrial Systems - Public</t>
  </si>
  <si>
    <t>New Construction - Public</t>
  </si>
  <si>
    <t>AirCare Plus - Public</t>
  </si>
  <si>
    <t>Strategic Energy Management - Public</t>
  </si>
  <si>
    <t>Retro-commissioning - Public</t>
  </si>
  <si>
    <t>Operational Savings - Public</t>
  </si>
  <si>
    <t>LED Streetlighting - Public</t>
  </si>
  <si>
    <t>Private Sector Outreach</t>
  </si>
  <si>
    <t>Public Sector Outreach</t>
  </si>
  <si>
    <t>Business Outreach</t>
  </si>
  <si>
    <t>Income Eligible Outreach</t>
  </si>
  <si>
    <t>Voltage Optimization</t>
  </si>
  <si>
    <t>Income Eligible General</t>
  </si>
  <si>
    <t>Residential General</t>
  </si>
  <si>
    <t>Private Sector General</t>
  </si>
  <si>
    <t>Public Sector General</t>
  </si>
  <si>
    <t>Ex Ante</t>
  </si>
  <si>
    <t>Residential Lighting Discounts</t>
  </si>
  <si>
    <t>Home Energy Assessment</t>
  </si>
  <si>
    <t>Elementary Energy Education</t>
  </si>
  <si>
    <t>Food Bank LED Distribution</t>
  </si>
  <si>
    <t>Lighting Carryover</t>
  </si>
  <si>
    <t>Business General</t>
  </si>
  <si>
    <t>Net Energy Savings Achieved
(MWh)</t>
  </si>
  <si>
    <t>Original Plan Savings Goal** (MWh)</t>
  </si>
  <si>
    <t>Net Energy Savings Goal* (MWh)</t>
  </si>
  <si>
    <t>Implementation Plan Savings Goal
(MWh)</t>
  </si>
  <si>
    <t>Net Energy Savings Achieved (MWh)**</t>
  </si>
  <si>
    <t>Number of homes powered for 1 year*****</t>
  </si>
  <si>
    <t>Direct Portfolio Jobs******</t>
  </si>
  <si>
    <t xml:space="preserve">IL Department of Commerce and Economic Opportunity Energy Saved (MWh) </t>
  </si>
  <si>
    <t>*****Number of homes powered for 1 year assumes the average ComEd single-family residential home with no electric space heat consumes 743 kWh monthly or 8,916 kWh annually.</t>
  </si>
  <si>
    <t>******Direct portfolio Jobs reflect actual positions held by ComEd and its contractors that are part of the Rider EEPP and does not attempt to capture indirect jobs in the energy efficiency industry that may result from the ComEd Energy Efficiency Program.</t>
  </si>
  <si>
    <t>Net Savings Achieved (MWh)</t>
  </si>
  <si>
    <t>AirCare Plus - Private</t>
  </si>
  <si>
    <r>
      <t>Overall Total</t>
    </r>
    <r>
      <rPr>
        <b/>
        <sz val="10"/>
        <color rgb="FFFF0000"/>
        <rFont val="Century Gothic"/>
        <family val="2"/>
      </rPr>
      <t xml:space="preserve"> ComEd</t>
    </r>
    <r>
      <rPr>
        <b/>
        <sz val="10"/>
        <rFont val="Century Gothic"/>
        <family val="2"/>
      </rPr>
      <t xml:space="preserve"> Section 8-103B/8-104 (EEPS) Programs</t>
    </r>
  </si>
  <si>
    <r>
      <t xml:space="preserve">Approved Net Energy Savings Goal (MWh) </t>
    </r>
    <r>
      <rPr>
        <b/>
        <vertAlign val="superscript"/>
        <sz val="10"/>
        <color indexed="9"/>
        <rFont val="Century Gothic"/>
        <family val="2"/>
      </rPr>
      <t>3</t>
    </r>
  </si>
  <si>
    <t>Program 
Costs YTD</t>
  </si>
  <si>
    <r>
      <t>Therm Conversion</t>
    </r>
    <r>
      <rPr>
        <b/>
        <vertAlign val="superscript"/>
        <sz val="10"/>
        <rFont val="Century Gothic"/>
        <family val="2"/>
      </rPr>
      <t>5</t>
    </r>
  </si>
  <si>
    <r>
      <rPr>
        <vertAlign val="superscript"/>
        <sz val="10"/>
        <color theme="1"/>
        <rFont val="Century Gothic"/>
        <family val="2"/>
      </rPr>
      <t xml:space="preserve">2 </t>
    </r>
    <r>
      <rPr>
        <sz val="10"/>
        <color theme="1"/>
        <rFont val="Century Gothic"/>
        <family val="2"/>
      </rPr>
      <t>Approved Budget refers to the Program Administrator's current budget for this Program Year, that may have been modified in light of the flexibility policy. This may also be the Implementation Plan Budget.</t>
    </r>
  </si>
  <si>
    <r>
      <rPr>
        <vertAlign val="superscript"/>
        <sz val="10"/>
        <rFont val="Century Gothic"/>
        <family val="2"/>
      </rPr>
      <t xml:space="preserve">1 </t>
    </r>
    <r>
      <rPr>
        <sz val="10"/>
        <rFont val="Century Gothic"/>
        <family val="2"/>
      </rPr>
      <t>Original Plan Budget refers to the budget contained in the approved EE Plan, which could be the original filed EE Plan or a compliance EE Plan.</t>
    </r>
  </si>
  <si>
    <r>
      <rPr>
        <vertAlign val="superscript"/>
        <sz val="10"/>
        <color theme="1"/>
        <rFont val="Century Gothic"/>
        <family val="2"/>
      </rPr>
      <t xml:space="preserve">3 </t>
    </r>
    <r>
      <rPr>
        <sz val="10"/>
        <color theme="1"/>
        <rFont val="Century Gothic"/>
        <family val="2"/>
      </rPr>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r>
  </si>
  <si>
    <r>
      <rPr>
        <vertAlign val="superscript"/>
        <sz val="10"/>
        <color theme="1"/>
        <rFont val="Century Gothic"/>
        <family val="2"/>
      </rPr>
      <t xml:space="preserve">4 </t>
    </r>
    <r>
      <rPr>
        <sz val="10"/>
        <color theme="1"/>
        <rFont val="Century Gothic"/>
        <family val="2"/>
      </rPr>
      <t>Original Plan Savings Goal refers to the original savings goal approved in the Commission's Final Order approving the EE Plan. For Section 8-104 programs, this value should match the Plan Energy Savings Goal set forth in the completed Adjustable Savings Goal Template.</t>
    </r>
  </si>
  <si>
    <t>Operational Savings/Facility Assessment - Private</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</si>
  <si>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</si>
  <si>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</si>
  <si>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Actual DCEO EEPS Costs</t>
  </si>
  <si>
    <t>Actual Section 16-111.5B Costs</t>
  </si>
  <si>
    <t>Total Actual EEPS + Section 16-111.5B Costs</t>
  </si>
  <si>
    <r>
      <t xml:space="preserve">Actual </t>
    </r>
    <r>
      <rPr>
        <b/>
        <sz val="11"/>
        <color rgb="FFFF0000"/>
        <rFont val="Century Gothic"/>
        <family val="2"/>
      </rPr>
      <t xml:space="preserve">ComEd </t>
    </r>
    <r>
      <rPr>
        <b/>
        <sz val="11"/>
        <color theme="0"/>
        <rFont val="Century Gothic"/>
        <family val="2"/>
      </rPr>
      <t>EEPS Costs</t>
    </r>
  </si>
  <si>
    <t>Total Actual EEPS Costs (ComEd + DCEO)</t>
  </si>
  <si>
    <t>Actual ComEd EEPS Costs YTD</t>
  </si>
  <si>
    <t>Approved ComEd EEPS Budget</t>
  </si>
  <si>
    <t>Final Draft</t>
  </si>
  <si>
    <t>Third Party New Manufactured Homes</t>
  </si>
  <si>
    <t>Third Party Existing Manufactured Homes</t>
  </si>
  <si>
    <t>Non Profit Offering NPO</t>
  </si>
  <si>
    <t>Agriculture</t>
  </si>
  <si>
    <t>Telecom</t>
  </si>
  <si>
    <t>Small Business Kits</t>
  </si>
  <si>
    <r>
      <t xml:space="preserve">2019 Original Plan 
Savings Goal
(MWh) </t>
    </r>
    <r>
      <rPr>
        <b/>
        <vertAlign val="superscript"/>
        <sz val="10"/>
        <color indexed="9"/>
        <rFont val="Century Gothic"/>
        <family val="2"/>
      </rPr>
      <t>4</t>
    </r>
  </si>
  <si>
    <t>Third Party Programs</t>
  </si>
  <si>
    <t>Third Party Income Eligible</t>
  </si>
  <si>
    <t>Emerging Technology/R&amp;D</t>
  </si>
  <si>
    <r>
      <rPr>
        <b/>
        <sz val="10"/>
        <color rgb="FFFF0000"/>
        <rFont val="Century Gothic"/>
        <family val="2"/>
      </rPr>
      <t xml:space="preserve"> </t>
    </r>
    <r>
      <rPr>
        <b/>
        <sz val="10"/>
        <color theme="0"/>
        <rFont val="Century Gothic"/>
        <family val="2"/>
      </rPr>
      <t>2019
Actual Costs YTD</t>
    </r>
  </si>
  <si>
    <t>Combined Heat &amp; Power- Private</t>
  </si>
  <si>
    <t>Combined Heat &amp; Power</t>
  </si>
  <si>
    <t>Combined Heat &amp; Power- Public</t>
  </si>
  <si>
    <t>Income Eligible Product Discounts</t>
  </si>
  <si>
    <t>CY2018</t>
  </si>
  <si>
    <t>2019
Actual Costs YTD</t>
  </si>
  <si>
    <t>2019
Approved Budget</t>
  </si>
  <si>
    <r>
      <t xml:space="preserve">2019 Original Plan Budget </t>
    </r>
    <r>
      <rPr>
        <b/>
        <vertAlign val="superscript"/>
        <sz val="10"/>
        <color indexed="9"/>
        <rFont val="Century Gothic"/>
        <family val="2"/>
      </rPr>
      <t>1</t>
    </r>
  </si>
  <si>
    <r>
      <t xml:space="preserve">2019
Approved Budget </t>
    </r>
    <r>
      <rPr>
        <b/>
        <vertAlign val="superscript"/>
        <sz val="10"/>
        <color indexed="9"/>
        <rFont val="Century Gothic"/>
        <family val="2"/>
      </rPr>
      <t>2</t>
    </r>
  </si>
  <si>
    <r>
      <t>Incentive 
Costs YTD</t>
    </r>
    <r>
      <rPr>
        <b/>
        <vertAlign val="superscript"/>
        <sz val="10"/>
        <color rgb="FFFFFFFF"/>
        <rFont val="Century Gothic"/>
        <family val="2"/>
      </rPr>
      <t>5</t>
    </r>
  </si>
  <si>
    <t>Grocery Offering</t>
  </si>
  <si>
    <t>Public Building Safety in Distressed Communities</t>
  </si>
  <si>
    <t>Savings from Measures Installed post-2017 Expiring in Current Year (MWh)*</t>
  </si>
  <si>
    <t>Business Energy Analyzer</t>
  </si>
  <si>
    <t>CPAS Achieved at End of Previous Year (MWh)</t>
  </si>
  <si>
    <t>Docket 19-0684</t>
  </si>
  <si>
    <t>All FTEs</t>
  </si>
  <si>
    <t>Income Eligible Kits/Energy Savings Kits IE/UIC Low Income</t>
  </si>
  <si>
    <t>Total all income eligible measures excuding bulbs</t>
  </si>
  <si>
    <r>
      <rPr>
        <b/>
        <sz val="11"/>
        <color rgb="FFFF0000"/>
        <rFont val="Century Gothic"/>
        <family val="2"/>
      </rPr>
      <t xml:space="preserve">ComEd </t>
    </r>
    <r>
      <rPr>
        <b/>
        <sz val="11"/>
        <color theme="1"/>
        <rFont val="Century Gothic"/>
        <family val="2"/>
      </rPr>
      <t>Ex Ante Results - Section 8-103B/8-104 (EEPS) Programs</t>
    </r>
    <r>
      <rPr>
        <b/>
        <sz val="11"/>
        <color rgb="FFFF0000"/>
        <rFont val="Century Gothic"/>
        <family val="2"/>
      </rPr>
      <t xml:space="preserve"> CY2019 Q4</t>
    </r>
  </si>
  <si>
    <r>
      <rPr>
        <vertAlign val="superscript"/>
        <sz val="10"/>
        <rFont val="Century Gothic"/>
        <family val="2"/>
      </rPr>
      <t xml:space="preserve">5 </t>
    </r>
    <r>
      <rPr>
        <sz val="10"/>
        <rFont val="Century Gothic"/>
        <family val="2"/>
      </rPr>
      <t>Because actual incentive costs are not available until year-end, estimates are provided in the Incentive Costs YTD column for Q4. A blended rate of 67.6% is applied to all programs that typically have incentive costs; this excludes behavioral programs, voltage optimization, emerging technology, market transformation, outreach, general, and portfolio-level costs.</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</si>
  <si>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CY2019 Q4</t>
    </r>
  </si>
  <si>
    <r>
      <rPr>
        <b/>
        <sz val="11"/>
        <color rgb="FFFF0000"/>
        <rFont val="Century Gothic"/>
        <family val="2"/>
      </rPr>
      <t>ComEd</t>
    </r>
    <r>
      <rPr>
        <b/>
        <sz val="11"/>
        <color theme="1"/>
        <rFont val="Century Gothic"/>
        <family val="2"/>
      </rPr>
      <t xml:space="preserve"> Section 8-103B/8-104 (EEPS) Costs  </t>
    </r>
    <r>
      <rPr>
        <b/>
        <sz val="11"/>
        <color rgb="FFFF0000"/>
        <rFont val="Century Gothic"/>
        <family val="2"/>
      </rPr>
      <t>CY2019 Q4</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</si>
  <si>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CY2019 Q4</t>
    </r>
  </si>
  <si>
    <t>CY2019 Q4</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</si>
  <si>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CY2019 Q4</t>
    </r>
  </si>
  <si>
    <r>
      <t xml:space="preserve">Cumulative Persisting Annual Savings (CPAS) Goal Progress </t>
    </r>
    <r>
      <rPr>
        <b/>
        <sz val="11"/>
        <color rgb="FFFF0000"/>
        <rFont val="Century Gothic"/>
        <family val="2"/>
      </rPr>
      <t>CY2019 Q4</t>
    </r>
  </si>
  <si>
    <r>
      <rPr>
        <b/>
        <sz val="11"/>
        <color rgb="FFFF0000"/>
        <rFont val="Century Gothic"/>
        <family val="2"/>
      </rPr>
      <t>ComEd</t>
    </r>
    <r>
      <rPr>
        <b/>
        <sz val="11"/>
        <rFont val="Century Gothic"/>
        <family val="2"/>
      </rPr>
      <t xml:space="preserve"> Service Territory Historical Energy Efficiency Costs as of Q4 2019</t>
    </r>
  </si>
  <si>
    <t>Single-Family Retrofits (IHWAP+IEMS)</t>
  </si>
  <si>
    <t>Multi-Family Retrofits (IHWAP+IEMS)</t>
  </si>
  <si>
    <t>Capital Streetlights</t>
  </si>
  <si>
    <r>
      <rPr>
        <b/>
        <sz val="11"/>
        <color rgb="FFFF0000"/>
        <rFont val="Century Gothic"/>
        <family val="2"/>
      </rPr>
      <t>ComEd</t>
    </r>
    <r>
      <rPr>
        <b/>
        <sz val="11"/>
        <rFont val="Century Gothic"/>
        <family val="2"/>
      </rPr>
      <t xml:space="preserve"> Section 8-103B/8-104 (EEPS) Energy Saved (MWh) as of </t>
    </r>
    <r>
      <rPr>
        <b/>
        <sz val="11"/>
        <color rgb="FFFF0000"/>
        <rFont val="Century Gothic"/>
        <family val="2"/>
      </rPr>
      <t>CY2019 Q4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</si>
</sst>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0.000_);\(#,##0.000\)"/>
  </numFmts>
  <fonts count="37"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sz val="11"/>
      <name val="Calibri"/>
      <family val="2"/>
      <scheme val="minor"/>
    </font>
    <font>
      <b/>
      <vertAlign val="superscript"/>
      <sz val="10"/>
      <color indexed="9"/>
      <name val="Century Gothic"/>
      <family val="2"/>
    </font>
    <font>
      <b/>
      <vertAlign val="superscript"/>
      <sz val="10"/>
      <name val="Century Gothic"/>
      <family val="2"/>
    </font>
    <font>
      <vertAlign val="superscript"/>
      <sz val="10"/>
      <name val="Century Gothic"/>
      <family val="2"/>
    </font>
    <font>
      <vertAlign val="superscript"/>
      <sz val="10"/>
      <color theme="1"/>
      <name val="Century Gothic"/>
      <family val="2"/>
    </font>
    <font>
      <b/>
      <sz val="11"/>
      <color theme="1"/>
      <name val="Calibri"/>
      <family val="2"/>
      <scheme val="minor"/>
    </font>
    <font>
      <b/>
      <vertAlign val="superscript"/>
      <sz val="10"/>
      <color rgb="FFFFFFFF"/>
      <name val="Century Gothic"/>
      <family val="2"/>
    </font>
    <font>
      <b/>
      <i/>
      <sz val="10"/>
      <name val="Century Gothic"/>
      <family val="2"/>
    </font>
    <font>
      <sz val="11"/>
      <color rgb="FFFF0000"/>
      <name val="Calibri"/>
      <family val="2"/>
      <scheme val="minor"/>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rgb="FFCACACA"/>
      </left>
      <right style="thin">
        <color rgb="FFCACACA"/>
      </right>
      <top style="thin">
        <color rgb="FFCACACA"/>
      </top>
      <bottom style="thin">
        <color rgb="FFCACACA"/>
      </bottom>
      <diagonal/>
    </border>
    <border>
      <left style="thin">
        <color rgb="FFCACACA"/>
      </left>
      <right/>
      <top style="thin">
        <color rgb="FFCACACA"/>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02">
    <xf numFmtId="0" fontId="0" fillId="0" borderId="0" xfId="0"/>
    <xf numFmtId="0" fontId="2" fillId="0" borderId="1" xfId="0" applyFont="1" applyBorder="1" applyAlignment="1">
      <alignment horizontal="left" wrapText="1"/>
    </xf>
    <xf numFmtId="0" fontId="3" fillId="4" borderId="1" xfId="0" applyFont="1" applyFill="1" applyBorder="1" applyAlignment="1">
      <alignment horizontal="left"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2" borderId="1" xfId="0" applyFont="1" applyFill="1" applyBorder="1" applyAlignment="1">
      <alignment horizontal="center" vertical="center" wrapText="1"/>
    </xf>
    <xf numFmtId="0" fontId="7" fillId="0" borderId="1" xfId="0" applyFont="1" applyBorder="1"/>
    <xf numFmtId="0" fontId="12" fillId="0" borderId="0" xfId="0" applyFont="1"/>
    <xf numFmtId="0" fontId="13" fillId="0" borderId="0" xfId="0" applyFont="1" applyFill="1" applyBorder="1" applyAlignment="1"/>
    <xf numFmtId="0" fontId="8" fillId="0" borderId="0" xfId="0" applyFont="1" applyAlignment="1">
      <alignment horizontal="justify" vertical="center"/>
    </xf>
    <xf numFmtId="0" fontId="11" fillId="0" borderId="1" xfId="0" applyFont="1" applyFill="1" applyBorder="1" applyAlignment="1">
      <alignment horizontal="center"/>
    </xf>
    <xf numFmtId="3"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1" fillId="0" borderId="0" xfId="0" applyFont="1" applyFill="1" applyBorder="1" applyAlignment="1">
      <alignment horizontal="center"/>
    </xf>
    <xf numFmtId="3" fontId="5" fillId="0" borderId="0" xfId="0" applyNumberFormat="1" applyFont="1" applyFill="1" applyBorder="1" applyAlignment="1">
      <alignment horizontal="center"/>
    </xf>
    <xf numFmtId="0" fontId="9" fillId="2" borderId="1" xfId="0" applyFont="1" applyFill="1" applyBorder="1" applyAlignment="1">
      <alignment horizontal="center" vertical="center"/>
    </xf>
    <xf numFmtId="165" fontId="5" fillId="0" borderId="1" xfId="1" applyNumberFormat="1" applyFont="1" applyBorder="1"/>
    <xf numFmtId="0" fontId="0" fillId="0" borderId="0" xfId="0" applyAlignment="1">
      <alignment vertical="center"/>
    </xf>
    <xf numFmtId="0" fontId="9" fillId="2" borderId="1" xfId="0" applyFont="1" applyFill="1" applyBorder="1" applyAlignment="1">
      <alignment vertical="center"/>
    </xf>
    <xf numFmtId="0" fontId="8" fillId="0" borderId="0" xfId="0" applyFont="1" applyFill="1" applyBorder="1" applyAlignment="1"/>
    <xf numFmtId="0" fontId="4" fillId="0" borderId="0" xfId="0" applyFont="1" applyFill="1" applyBorder="1" applyAlignment="1"/>
    <xf numFmtId="3" fontId="7" fillId="0" borderId="1" xfId="0" applyNumberFormat="1" applyFont="1" applyFill="1" applyBorder="1" applyAlignment="1">
      <alignment horizont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0" xfId="0" applyFont="1" applyBorder="1"/>
    <xf numFmtId="0" fontId="10" fillId="0" borderId="0" xfId="0" applyFont="1" applyBorder="1"/>
    <xf numFmtId="3" fontId="10"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Border="1" applyAlignment="1">
      <alignment horizontal="center"/>
    </xf>
    <xf numFmtId="0" fontId="12" fillId="0" borderId="0" xfId="0" applyFont="1" applyFill="1" applyBorder="1" applyAlignment="1"/>
    <xf numFmtId="0" fontId="9" fillId="2" borderId="1" xfId="0" applyFont="1" applyFill="1" applyBorder="1" applyAlignment="1">
      <alignment vertical="center" wrapText="1"/>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37" fontId="4" fillId="0" borderId="0" xfId="1" applyNumberFormat="1" applyFont="1" applyFill="1" applyBorder="1" applyAlignment="1">
      <alignment horizontal="center"/>
    </xf>
    <xf numFmtId="9" fontId="4" fillId="0" borderId="0" xfId="0" applyNumberFormat="1" applyFont="1" applyFill="1" applyBorder="1" applyAlignment="1">
      <alignment horizontal="center"/>
    </xf>
    <xf numFmtId="164" fontId="4" fillId="0" borderId="0" xfId="0" applyNumberFormat="1" applyFont="1" applyFill="1" applyBorder="1" applyAlignment="1"/>
    <xf numFmtId="0" fontId="0" fillId="0" borderId="0" xfId="0" applyFill="1" applyBorder="1"/>
    <xf numFmtId="0" fontId="7" fillId="0" borderId="0" xfId="0" applyFont="1" applyBorder="1" applyAlignment="1">
      <alignment horizontal="left" vertical="center" wrapText="1"/>
    </xf>
    <xf numFmtId="0" fontId="12" fillId="0" borderId="0" xfId="0" applyFont="1" applyAlignment="1">
      <alignment vertical="center"/>
    </xf>
    <xf numFmtId="0" fontId="16" fillId="2" borderId="1" xfId="0" applyFont="1" applyFill="1" applyBorder="1" applyAlignment="1">
      <alignment horizontal="center" vertical="center" wrapText="1"/>
    </xf>
    <xf numFmtId="0" fontId="17" fillId="0" borderId="0" xfId="0" applyFont="1"/>
    <xf numFmtId="0" fontId="11" fillId="5" borderId="1" xfId="0" applyFont="1" applyFill="1" applyBorder="1" applyAlignment="1">
      <alignment horizontal="center"/>
    </xf>
    <xf numFmtId="3" fontId="5" fillId="5" borderId="1" xfId="0" applyNumberFormat="1" applyFont="1" applyFill="1" applyBorder="1" applyAlignment="1">
      <alignment horizontal="center"/>
    </xf>
    <xf numFmtId="9" fontId="5" fillId="5" borderId="1" xfId="0" applyNumberFormat="1" applyFont="1" applyFill="1" applyBorder="1" applyAlignment="1">
      <alignment horizontal="center"/>
    </xf>
    <xf numFmtId="3" fontId="7" fillId="0" borderId="0" xfId="0" applyNumberFormat="1" applyFont="1" applyFill="1" applyBorder="1" applyAlignment="1">
      <alignment horizontal="center"/>
    </xf>
    <xf numFmtId="1" fontId="7" fillId="0" borderId="0"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Border="1" applyAlignment="1">
      <alignment horizontal="center"/>
    </xf>
    <xf numFmtId="0" fontId="0" fillId="0" borderId="0" xfId="0" applyFill="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7" fillId="0" borderId="1" xfId="2" applyNumberFormat="1" applyFont="1" applyBorder="1"/>
    <xf numFmtId="0" fontId="7" fillId="0" borderId="1" xfId="0" applyFont="1" applyFill="1" applyBorder="1" applyAlignment="1">
      <alignment horizontal="left" vertical="center" wrapText="1"/>
    </xf>
    <xf numFmtId="0" fontId="7" fillId="0" borderId="1" xfId="0" applyFont="1" applyFill="1" applyBorder="1"/>
    <xf numFmtId="164" fontId="7" fillId="0" borderId="1" xfId="2" applyNumberFormat="1" applyFont="1" applyFill="1" applyBorder="1"/>
    <xf numFmtId="0" fontId="7" fillId="0" borderId="0" xfId="0" applyFont="1" applyBorder="1" applyAlignment="1">
      <alignment horizontal="left" vertical="center" wrapText="1"/>
    </xf>
    <xf numFmtId="0" fontId="0" fillId="0" borderId="0" xfId="0" applyFill="1"/>
    <xf numFmtId="0" fontId="10" fillId="0" borderId="0" xfId="0" applyFont="1" applyFill="1" applyBorder="1" applyAlignment="1"/>
    <xf numFmtId="0" fontId="7" fillId="0" borderId="1" xfId="0" applyFont="1" applyBorder="1" applyAlignment="1">
      <alignment wrapText="1"/>
    </xf>
    <xf numFmtId="0" fontId="7" fillId="0" borderId="1" xfId="0" applyFont="1" applyBorder="1" applyAlignment="1">
      <alignment vertical="center"/>
    </xf>
    <xf numFmtId="9" fontId="5" fillId="0" borderId="0" xfId="0" applyNumberFormat="1" applyFont="1" applyFill="1" applyBorder="1" applyAlignment="1">
      <alignment horizontal="center"/>
    </xf>
    <xf numFmtId="0" fontId="5" fillId="0" borderId="1" xfId="0" applyFont="1" applyBorder="1" applyAlignment="1">
      <alignment wrapText="1"/>
    </xf>
    <xf numFmtId="0" fontId="11"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Border="1" applyAlignment="1">
      <alignment vertical="center" wrapText="1"/>
    </xf>
    <xf numFmtId="165" fontId="5" fillId="0" borderId="1" xfId="1" applyNumberFormat="1" applyFont="1" applyBorder="1" applyAlignment="1">
      <alignment vertical="center"/>
    </xf>
    <xf numFmtId="165" fontId="5" fillId="0" borderId="1" xfId="1" applyNumberFormat="1" applyFont="1" applyBorder="1" applyAlignment="1">
      <alignment horizontal="right" vertical="center"/>
    </xf>
    <xf numFmtId="0" fontId="4" fillId="0" borderId="0" xfId="0" applyFont="1" applyFill="1" applyBorder="1" applyAlignment="1">
      <alignment vertical="center" wrapText="1"/>
    </xf>
    <xf numFmtId="0" fontId="6" fillId="0" borderId="0" xfId="0" applyFont="1" applyAlignment="1">
      <alignment vertical="center"/>
    </xf>
    <xf numFmtId="0" fontId="3" fillId="4" borderId="1" xfId="0" applyFont="1" applyFill="1" applyBorder="1" applyAlignment="1">
      <alignment horizontal="left" vertical="center" wrapText="1"/>
    </xf>
    <xf numFmtId="0" fontId="6" fillId="0" borderId="0" xfId="0" applyFont="1" applyAlignment="1">
      <alignment wrapText="1"/>
    </xf>
    <xf numFmtId="0" fontId="4" fillId="0" borderId="0" xfId="0" applyFont="1" applyFill="1" applyBorder="1" applyAlignment="1">
      <alignment horizontal="left" vertical="center" wrapText="1"/>
    </xf>
    <xf numFmtId="3"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xf>
    <xf numFmtId="0" fontId="12" fillId="5"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3" borderId="1" xfId="0" applyFont="1" applyFill="1" applyBorder="1" applyAlignment="1">
      <alignment vertical="center"/>
    </xf>
    <xf numFmtId="164" fontId="10" fillId="3" borderId="1" xfId="2" applyNumberFormat="1" applyFont="1" applyFill="1" applyBorder="1" applyAlignment="1">
      <alignment vertical="center"/>
    </xf>
    <xf numFmtId="0" fontId="3" fillId="0" borderId="1" xfId="0" applyFont="1" applyFill="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20" fillId="3" borderId="1" xfId="0" applyFont="1" applyFill="1" applyBorder="1" applyAlignment="1">
      <alignment horizontal="right" wrapText="1"/>
    </xf>
    <xf numFmtId="0" fontId="0" fillId="0" borderId="0" xfId="0" applyBorder="1"/>
    <xf numFmtId="0" fontId="21" fillId="0" borderId="0" xfId="0" applyFont="1"/>
    <xf numFmtId="0" fontId="23" fillId="0" borderId="0" xfId="0" applyFont="1"/>
    <xf numFmtId="0" fontId="7" fillId="0" borderId="0" xfId="0" applyFont="1" applyBorder="1" applyAlignment="1">
      <alignment vertical="center"/>
    </xf>
    <xf numFmtId="0" fontId="5" fillId="0" borderId="1" xfId="0" applyFont="1" applyBorder="1"/>
    <xf numFmtId="0" fontId="5" fillId="10" borderId="1" xfId="0" applyFont="1" applyFill="1" applyBorder="1"/>
    <xf numFmtId="0" fontId="5" fillId="0" borderId="0" xfId="0" applyFont="1" applyAlignment="1">
      <alignment horizontal="center"/>
    </xf>
    <xf numFmtId="9" fontId="5" fillId="0" borderId="0" xfId="4" applyFont="1"/>
    <xf numFmtId="0" fontId="5" fillId="0" borderId="0" xfId="0" quotePrefix="1" applyFont="1"/>
    <xf numFmtId="0" fontId="24" fillId="0" borderId="0" xfId="0" applyFont="1" applyFill="1" applyBorder="1" applyAlignment="1"/>
    <xf numFmtId="0" fontId="24" fillId="0" borderId="0" xfId="0" applyFont="1" applyFill="1" applyBorder="1" applyAlignment="1">
      <alignment horizontal="center"/>
    </xf>
    <xf numFmtId="0" fontId="22" fillId="0" borderId="0" xfId="0" applyFont="1" applyFill="1" applyBorder="1" applyAlignment="1"/>
    <xf numFmtId="0" fontId="5" fillId="8" borderId="1" xfId="0" quotePrefix="1" applyFont="1" applyFill="1" applyBorder="1" applyAlignment="1">
      <alignment vertical="center"/>
    </xf>
    <xf numFmtId="0" fontId="5" fillId="10" borderId="1" xfId="0" applyFont="1" applyFill="1" applyBorder="1" applyAlignment="1">
      <alignment vertical="center"/>
    </xf>
    <xf numFmtId="0" fontId="5" fillId="9" borderId="1" xfId="0" applyFont="1" applyFill="1" applyBorder="1" applyAlignment="1">
      <alignment vertical="center"/>
    </xf>
    <xf numFmtId="0" fontId="5" fillId="0" borderId="1" xfId="0" applyFont="1" applyBorder="1" applyAlignment="1">
      <alignment horizontal="center" vertical="center"/>
    </xf>
    <xf numFmtId="10" fontId="5" fillId="10" borderId="1" xfId="0" applyNumberFormat="1" applyFont="1" applyFill="1" applyBorder="1" applyAlignment="1">
      <alignment horizontal="center" vertical="center"/>
    </xf>
    <xf numFmtId="165" fontId="5" fillId="8"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166" fontId="5" fillId="8" borderId="1" xfId="4" applyNumberFormat="1" applyFont="1" applyFill="1" applyBorder="1" applyAlignment="1">
      <alignment horizontal="center" vertical="center"/>
    </xf>
    <xf numFmtId="10" fontId="5" fillId="8" borderId="1" xfId="0" applyNumberFormat="1" applyFont="1" applyFill="1" applyBorder="1" applyAlignment="1">
      <alignment horizontal="center" vertical="center"/>
    </xf>
    <xf numFmtId="166" fontId="5" fillId="9" borderId="1" xfId="0" applyNumberFormat="1" applyFont="1" applyFill="1" applyBorder="1" applyAlignment="1">
      <alignment horizontal="center" vertical="center"/>
    </xf>
    <xf numFmtId="166" fontId="5" fillId="8" borderId="1" xfId="0" applyNumberFormat="1" applyFont="1" applyFill="1" applyBorder="1" applyAlignment="1">
      <alignment horizontal="center" vertical="center"/>
    </xf>
    <xf numFmtId="165" fontId="5" fillId="10" borderId="1" xfId="1" applyNumberFormat="1" applyFont="1" applyFill="1" applyBorder="1" applyAlignment="1">
      <alignment horizontal="center" vertical="center"/>
    </xf>
    <xf numFmtId="0" fontId="11" fillId="0" borderId="1" xfId="0" applyFont="1" applyFill="1" applyBorder="1" applyAlignment="1">
      <alignment horizontal="center" vertical="center" wrapText="1"/>
    </xf>
    <xf numFmtId="9" fontId="6" fillId="8" borderId="1" xfId="4"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center"/>
    </xf>
    <xf numFmtId="3" fontId="3" fillId="4" borderId="1" xfId="0" applyNumberFormat="1" applyFont="1" applyFill="1" applyBorder="1" applyAlignment="1">
      <alignment horizontal="right"/>
    </xf>
    <xf numFmtId="165" fontId="15" fillId="0" borderId="1" xfId="3" applyNumberFormat="1" applyFont="1" applyBorder="1" applyAlignment="1" applyProtection="1">
      <alignment horizontal="left" vertical="center"/>
    </xf>
    <xf numFmtId="165" fontId="5" fillId="0" borderId="1" xfId="1" applyNumberFormat="1" applyFont="1" applyBorder="1" applyAlignment="1">
      <alignment horizontal="left" vertical="center"/>
    </xf>
    <xf numFmtId="3" fontId="3" fillId="7" borderId="1" xfId="0" applyNumberFormat="1" applyFont="1" applyFill="1" applyBorder="1" applyAlignment="1">
      <alignment horizontal="right" wrapText="1"/>
    </xf>
    <xf numFmtId="164" fontId="3" fillId="7" borderId="1" xfId="2" applyNumberFormat="1" applyFont="1" applyFill="1" applyBorder="1" applyAlignment="1">
      <alignment horizontal="right" wrapText="1"/>
    </xf>
    <xf numFmtId="3" fontId="2" fillId="0" borderId="1" xfId="0" applyNumberFormat="1" applyFont="1" applyFill="1" applyBorder="1" applyAlignment="1">
      <alignment horizontal="right"/>
    </xf>
    <xf numFmtId="3" fontId="2" fillId="0" borderId="1" xfId="1" applyNumberFormat="1" applyFont="1" applyFill="1" applyBorder="1" applyAlignment="1">
      <alignment horizontal="right"/>
    </xf>
    <xf numFmtId="0" fontId="2" fillId="0" borderId="1" xfId="0" applyFont="1" applyBorder="1" applyAlignment="1">
      <alignment horizontal="right" wrapText="1"/>
    </xf>
    <xf numFmtId="164" fontId="3" fillId="4" borderId="1" xfId="2" applyNumberFormat="1" applyFont="1" applyFill="1" applyBorder="1" applyAlignment="1">
      <alignment horizontal="right"/>
    </xf>
    <xf numFmtId="3" fontId="2" fillId="0" borderId="1" xfId="0" applyNumberFormat="1" applyFont="1" applyFill="1" applyBorder="1" applyAlignment="1">
      <alignment horizontal="center"/>
    </xf>
    <xf numFmtId="164" fontId="2" fillId="0" borderId="1" xfId="2" applyNumberFormat="1" applyFont="1" applyBorder="1" applyAlignment="1">
      <alignment horizontal="right"/>
    </xf>
    <xf numFmtId="37" fontId="19" fillId="0" borderId="0" xfId="1" applyNumberFormat="1" applyFont="1" applyFill="1" applyBorder="1" applyAlignment="1">
      <alignment horizontal="center"/>
    </xf>
    <xf numFmtId="37" fontId="0" fillId="0" borderId="0" xfId="0" applyNumberFormat="1"/>
    <xf numFmtId="164" fontId="7" fillId="0" borderId="1" xfId="2" applyNumberFormat="1" applyFont="1" applyFill="1" applyBorder="1" applyAlignment="1">
      <alignment horizontal="left"/>
    </xf>
    <xf numFmtId="164" fontId="10" fillId="3"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Fill="1" applyBorder="1" applyAlignment="1">
      <alignment vertical="center"/>
    </xf>
    <xf numFmtId="3" fontId="18" fillId="3" borderId="1" xfId="0" applyNumberFormat="1" applyFont="1" applyFill="1" applyBorder="1" applyAlignment="1">
      <alignment vertical="center" wrapText="1"/>
    </xf>
    <xf numFmtId="0" fontId="2" fillId="0" borderId="1" xfId="0" applyFont="1" applyFill="1" applyBorder="1" applyAlignment="1">
      <alignment horizontal="left" wrapText="1" indent="1"/>
    </xf>
    <xf numFmtId="0" fontId="20" fillId="0" borderId="1" xfId="0" applyFont="1" applyBorder="1" applyAlignment="1">
      <alignment horizontal="left" wrapText="1" indent="1"/>
    </xf>
    <xf numFmtId="164" fontId="0" fillId="0" borderId="0" xfId="0" applyNumberFormat="1"/>
    <xf numFmtId="0" fontId="3" fillId="0" borderId="0" xfId="0" applyFont="1" applyFill="1" applyBorder="1" applyAlignment="1"/>
    <xf numFmtId="0" fontId="2" fillId="0" borderId="1" xfId="0" applyFont="1" applyFill="1" applyBorder="1" applyAlignment="1">
      <alignment horizontal="left" wrapText="1"/>
    </xf>
    <xf numFmtId="3" fontId="19" fillId="0" borderId="0" xfId="0" applyNumberFormat="1" applyFont="1" applyFill="1" applyBorder="1" applyAlignment="1"/>
    <xf numFmtId="9" fontId="3" fillId="0" borderId="0" xfId="4" applyFont="1" applyFill="1" applyBorder="1" applyAlignment="1">
      <alignment horizontal="center"/>
    </xf>
    <xf numFmtId="167" fontId="3" fillId="0" borderId="0" xfId="1" applyNumberFormat="1" applyFont="1" applyFill="1" applyBorder="1" applyAlignment="1">
      <alignment horizontal="center"/>
    </xf>
    <xf numFmtId="165" fontId="0" fillId="0" borderId="0" xfId="0" applyNumberFormat="1"/>
    <xf numFmtId="0" fontId="20" fillId="0" borderId="1" xfId="0" applyFont="1" applyFill="1" applyBorder="1" applyAlignment="1">
      <alignment horizontal="left" wrapText="1" indent="2"/>
    </xf>
    <xf numFmtId="164" fontId="0" fillId="0" borderId="13" xfId="2" applyNumberFormat="1" applyFont="1" applyBorder="1"/>
    <xf numFmtId="164" fontId="0" fillId="0" borderId="0" xfId="0" applyNumberFormat="1" applyAlignment="1">
      <alignment vertical="center"/>
    </xf>
    <xf numFmtId="1" fontId="7" fillId="0" borderId="1" xfId="0" applyNumberFormat="1" applyFont="1" applyFill="1" applyBorder="1" applyAlignment="1">
      <alignment horizont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5" fillId="0" borderId="11" xfId="0" applyNumberFormat="1" applyFont="1" applyFill="1" applyBorder="1" applyAlignment="1">
      <alignment horizontal="center"/>
    </xf>
    <xf numFmtId="6" fontId="3" fillId="0" borderId="1" xfId="0" applyNumberFormat="1" applyFont="1" applyFill="1" applyBorder="1" applyAlignment="1">
      <alignment vertical="center"/>
    </xf>
    <xf numFmtId="9" fontId="3" fillId="0" borderId="1" xfId="4" applyFont="1" applyFill="1" applyBorder="1" applyAlignment="1">
      <alignment vertical="center"/>
    </xf>
    <xf numFmtId="44" fontId="5" fillId="0" borderId="1" xfId="2" applyFont="1" applyFill="1" applyBorder="1" applyAlignment="1">
      <alignment horizontal="center"/>
    </xf>
    <xf numFmtId="164" fontId="11" fillId="0" borderId="1" xfId="2" applyNumberFormat="1" applyFont="1" applyFill="1" applyBorder="1" applyAlignment="1">
      <alignment horizontal="center"/>
    </xf>
    <xf numFmtId="164" fontId="5" fillId="0" borderId="1" xfId="2" applyNumberFormat="1" applyFont="1" applyFill="1" applyBorder="1" applyAlignment="1">
      <alignment horizontal="center"/>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164" fontId="11" fillId="5" borderId="1" xfId="2" applyNumberFormat="1" applyFont="1" applyFill="1" applyBorder="1" applyAlignment="1">
      <alignment horizontal="center"/>
    </xf>
    <xf numFmtId="9" fontId="5" fillId="0" borderId="1" xfId="4" applyFont="1" applyFill="1" applyBorder="1" applyAlignment="1">
      <alignment horizontal="center"/>
    </xf>
    <xf numFmtId="44" fontId="5" fillId="0" borderId="1" xfId="4" applyNumberFormat="1" applyFont="1" applyFill="1" applyBorder="1" applyAlignment="1">
      <alignment horizontal="center"/>
    </xf>
    <xf numFmtId="44" fontId="5" fillId="5" borderId="1" xfId="4" applyNumberFormat="1" applyFont="1" applyFill="1" applyBorder="1" applyAlignment="1">
      <alignment horizontal="center"/>
    </xf>
    <xf numFmtId="164" fontId="0" fillId="0" borderId="0" xfId="0" applyNumberFormat="1" applyFill="1"/>
    <xf numFmtId="3" fontId="2" fillId="0" borderId="1" xfId="0" applyNumberFormat="1" applyFont="1" applyBorder="1" applyAlignment="1">
      <alignment horizontal="right" vertical="center" wrapText="1"/>
    </xf>
    <xf numFmtId="9" fontId="2" fillId="0" borderId="1" xfId="4" applyFont="1" applyFill="1" applyBorder="1" applyAlignment="1">
      <alignment horizontal="right" vertical="center" wrapText="1"/>
    </xf>
    <xf numFmtId="164" fontId="2" fillId="0" borderId="1" xfId="2" applyNumberFormat="1" applyFont="1" applyFill="1" applyBorder="1" applyAlignment="1">
      <alignment horizontal="right" vertical="center"/>
    </xf>
    <xf numFmtId="9" fontId="2" fillId="0" borderId="1" xfId="4" applyFont="1" applyBorder="1" applyAlignment="1">
      <alignment horizontal="right" vertical="center"/>
    </xf>
    <xf numFmtId="3" fontId="20" fillId="0" borderId="1" xfId="0" applyNumberFormat="1" applyFont="1" applyBorder="1" applyAlignment="1">
      <alignment horizontal="right" vertical="center" wrapText="1"/>
    </xf>
    <xf numFmtId="164" fontId="20" fillId="0" borderId="1" xfId="2" applyNumberFormat="1" applyFont="1" applyFill="1" applyBorder="1" applyAlignment="1">
      <alignment horizontal="right" vertical="center"/>
    </xf>
    <xf numFmtId="3" fontId="20" fillId="0" borderId="1" xfId="0" applyNumberFormat="1" applyFont="1" applyFill="1" applyBorder="1" applyAlignment="1">
      <alignment horizontal="right" vertical="center" wrapText="1"/>
    </xf>
    <xf numFmtId="9" fontId="20" fillId="0" borderId="1" xfId="4" applyFont="1" applyFill="1" applyBorder="1" applyAlignment="1">
      <alignment horizontal="right" vertical="center" wrapText="1"/>
    </xf>
    <xf numFmtId="9" fontId="20" fillId="0" borderId="1" xfId="4" applyFont="1" applyBorder="1" applyAlignment="1">
      <alignment horizontal="right" vertical="center"/>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164" fontId="2" fillId="0" borderId="1" xfId="2" applyNumberFormat="1" applyFont="1" applyBorder="1" applyAlignment="1">
      <alignment horizontal="right" vertical="center"/>
    </xf>
    <xf numFmtId="3" fontId="3" fillId="4" borderId="1" xfId="0" applyNumberFormat="1" applyFont="1" applyFill="1" applyBorder="1" applyAlignment="1">
      <alignment horizontal="right" vertical="center"/>
    </xf>
    <xf numFmtId="9" fontId="3" fillId="4" borderId="1" xfId="4" applyFont="1" applyFill="1" applyBorder="1" applyAlignment="1">
      <alignment horizontal="right" vertical="center"/>
    </xf>
    <xf numFmtId="164" fontId="3" fillId="4" borderId="1" xfId="2" applyNumberFormat="1" applyFont="1" applyFill="1" applyBorder="1" applyAlignment="1">
      <alignment horizontal="right" vertical="center"/>
    </xf>
    <xf numFmtId="3" fontId="2" fillId="0" borderId="1" xfId="1" applyNumberFormat="1" applyFont="1" applyFill="1" applyBorder="1" applyAlignment="1">
      <alignment horizontal="right" vertical="center"/>
    </xf>
    <xf numFmtId="9" fontId="2" fillId="0" borderId="1" xfId="4" applyFont="1" applyFill="1" applyBorder="1" applyAlignment="1">
      <alignment horizontal="right" vertical="center"/>
    </xf>
    <xf numFmtId="3" fontId="20" fillId="0" borderId="1" xfId="1" applyNumberFormat="1" applyFont="1" applyFill="1" applyBorder="1" applyAlignment="1">
      <alignment horizontal="right" vertical="center"/>
    </xf>
    <xf numFmtId="9" fontId="20" fillId="0" borderId="1" xfId="4" applyFont="1" applyFill="1" applyBorder="1" applyAlignment="1">
      <alignment horizontal="right" vertical="center"/>
    </xf>
    <xf numFmtId="3" fontId="20" fillId="3" borderId="1" xfId="0" applyNumberFormat="1" applyFont="1" applyFill="1" applyBorder="1" applyAlignment="1">
      <alignment horizontal="right" vertical="center" wrapText="1"/>
    </xf>
    <xf numFmtId="9" fontId="20" fillId="3" borderId="1" xfId="4" applyFont="1" applyFill="1" applyBorder="1" applyAlignment="1">
      <alignment horizontal="right" vertical="center"/>
    </xf>
    <xf numFmtId="164" fontId="20" fillId="3" borderId="1" xfId="2" applyNumberFormat="1" applyFont="1" applyFill="1" applyBorder="1" applyAlignment="1">
      <alignment horizontal="right" vertical="center"/>
    </xf>
    <xf numFmtId="0" fontId="3" fillId="5" borderId="9" xfId="0" applyFont="1" applyFill="1" applyBorder="1" applyAlignment="1">
      <alignment horizontal="right" vertical="center" wrapText="1"/>
    </xf>
    <xf numFmtId="0" fontId="3" fillId="5" borderId="10" xfId="0" applyFont="1" applyFill="1" applyBorder="1" applyAlignment="1">
      <alignment horizontal="right" vertical="center" wrapText="1"/>
    </xf>
    <xf numFmtId="9" fontId="2" fillId="0" borderId="1" xfId="4" applyFont="1" applyBorder="1" applyAlignment="1">
      <alignment horizontal="right"/>
    </xf>
    <xf numFmtId="164" fontId="2" fillId="0" borderId="1" xfId="2" applyNumberFormat="1" applyFont="1" applyFill="1" applyBorder="1" applyAlignment="1">
      <alignment horizontal="right"/>
    </xf>
    <xf numFmtId="9" fontId="3" fillId="4" borderId="1" xfId="4" applyFont="1" applyFill="1" applyBorder="1" applyAlignment="1">
      <alignment horizontal="right"/>
    </xf>
    <xf numFmtId="9" fontId="3" fillId="7" borderId="1" xfId="4" applyFont="1" applyFill="1" applyBorder="1" applyAlignment="1">
      <alignment horizontal="right"/>
    </xf>
    <xf numFmtId="164" fontId="33" fillId="0" borderId="14" xfId="2" applyNumberFormat="1" applyFont="1" applyBorder="1"/>
    <xf numFmtId="44" fontId="0" fillId="0" borderId="0" xfId="0" applyNumberFormat="1" applyAlignment="1">
      <alignment vertical="center"/>
    </xf>
    <xf numFmtId="164" fontId="5" fillId="0" borderId="1" xfId="2" applyNumberFormat="1" applyFont="1" applyFill="1" applyBorder="1" applyAlignment="1">
      <alignment horizontal="left"/>
    </xf>
    <xf numFmtId="164" fontId="11" fillId="5" borderId="1" xfId="0" applyNumberFormat="1" applyFont="1" applyFill="1" applyBorder="1" applyAlignment="1">
      <alignment horizontal="center"/>
    </xf>
    <xf numFmtId="164" fontId="5" fillId="0" borderId="1" xfId="2" applyNumberFormat="1" applyFont="1" applyFill="1" applyBorder="1" applyAlignment="1">
      <alignment horizontal="right"/>
    </xf>
    <xf numFmtId="0" fontId="7" fillId="0" borderId="0" xfId="0" applyFont="1" applyBorder="1" applyAlignment="1">
      <alignment vertical="center" wrapText="1"/>
    </xf>
    <xf numFmtId="166" fontId="0" fillId="0" borderId="0" xfId="0" applyNumberFormat="1"/>
    <xf numFmtId="164" fontId="2" fillId="0" borderId="1" xfId="0" applyNumberFormat="1" applyFont="1" applyBorder="1" applyAlignment="1">
      <alignment horizontal="right" wrapText="1"/>
    </xf>
    <xf numFmtId="9" fontId="35" fillId="3" borderId="1" xfId="4" applyFont="1" applyFill="1" applyBorder="1" applyAlignment="1">
      <alignment horizontal="right" vertical="center"/>
    </xf>
    <xf numFmtId="165" fontId="5" fillId="0" borderId="1" xfId="1" applyNumberFormat="1" applyFont="1" applyBorder="1" applyAlignment="1">
      <alignment horizontal="left" vertical="center" wrapText="1"/>
    </xf>
    <xf numFmtId="0" fontId="17" fillId="0" borderId="0" xfId="0" applyFont="1" applyBorder="1"/>
    <xf numFmtId="165" fontId="0" fillId="0" borderId="0" xfId="0" applyNumberFormat="1" applyBorder="1"/>
    <xf numFmtId="164" fontId="0" fillId="0" borderId="0" xfId="0" applyNumberFormat="1" applyBorder="1"/>
    <xf numFmtId="0" fontId="7" fillId="0" borderId="0" xfId="0" applyFont="1" applyFill="1" applyBorder="1" applyAlignment="1">
      <alignment horizontal="left" vertical="center" wrapText="1"/>
    </xf>
    <xf numFmtId="0" fontId="36" fillId="0" borderId="0" xfId="0" applyFont="1"/>
    <xf numFmtId="0" fontId="36" fillId="0" borderId="0" xfId="0" applyFont="1" applyAlignment="1">
      <alignment vertical="center"/>
    </xf>
    <xf numFmtId="0" fontId="6" fillId="0" borderId="0" xfId="0" applyFont="1" applyFill="1"/>
    <xf numFmtId="0" fontId="3" fillId="0" borderId="9" xfId="0" applyFont="1" applyFill="1" applyBorder="1" applyAlignment="1">
      <alignment vertical="center" wrapText="1"/>
    </xf>
    <xf numFmtId="9" fontId="2" fillId="0" borderId="1" xfId="4" applyFont="1" applyFill="1" applyBorder="1" applyAlignment="1">
      <alignment horizontal="right"/>
    </xf>
    <xf numFmtId="0" fontId="28" fillId="0" borderId="0" xfId="0" applyFont="1" applyFill="1"/>
    <xf numFmtId="9" fontId="3" fillId="13" borderId="1" xfId="4" applyFont="1" applyFill="1" applyBorder="1" applyAlignment="1">
      <alignment horizontal="right" vertical="center"/>
    </xf>
    <xf numFmtId="3" fontId="3" fillId="13" borderId="1" xfId="0" applyNumberFormat="1" applyFont="1" applyFill="1" applyBorder="1" applyAlignment="1">
      <alignment horizontal="right" vertical="center"/>
    </xf>
    <xf numFmtId="3" fontId="3" fillId="13" borderId="1" xfId="0" applyNumberFormat="1" applyFont="1" applyFill="1" applyBorder="1" applyAlignment="1">
      <alignment horizontal="right"/>
    </xf>
    <xf numFmtId="9" fontId="3" fillId="13" borderId="1" xfId="4" applyFont="1" applyFill="1" applyBorder="1" applyAlignment="1">
      <alignment horizontal="right"/>
    </xf>
    <xf numFmtId="3" fontId="0" fillId="0" borderId="0" xfId="0" applyNumberFormat="1"/>
    <xf numFmtId="9" fontId="0" fillId="0" borderId="0" xfId="0" applyNumberFormat="1" applyFill="1"/>
    <xf numFmtId="3" fontId="0" fillId="0" borderId="0" xfId="0" applyNumberFormat="1" applyBorder="1"/>
    <xf numFmtId="0" fontId="28" fillId="0" borderId="0" xfId="0" applyFont="1"/>
    <xf numFmtId="0" fontId="2" fillId="0" borderId="1" xfId="0" applyFont="1" applyFill="1" applyBorder="1" applyAlignment="1">
      <alignment horizontal="left" vertical="center" wrapText="1"/>
    </xf>
    <xf numFmtId="44" fontId="0" fillId="0" borderId="0" xfId="0" applyNumberFormat="1"/>
    <xf numFmtId="164" fontId="0" fillId="0" borderId="0" xfId="2" applyNumberFormat="1" applyFont="1" applyBorder="1"/>
    <xf numFmtId="3" fontId="20"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wrapText="1"/>
    </xf>
    <xf numFmtId="165" fontId="5" fillId="0" borderId="0" xfId="0" applyNumberFormat="1" applyFont="1" applyFill="1" applyAlignment="1">
      <alignment horizontal="right"/>
    </xf>
    <xf numFmtId="0" fontId="2" fillId="0" borderId="1" xfId="0" applyFont="1" applyFill="1" applyBorder="1" applyAlignment="1">
      <alignment horizontal="right" wrapText="1"/>
    </xf>
    <xf numFmtId="164" fontId="2" fillId="0" borderId="1" xfId="0" applyNumberFormat="1" applyFont="1" applyFill="1" applyBorder="1" applyAlignment="1">
      <alignment horizontal="right" wrapText="1"/>
    </xf>
    <xf numFmtId="164" fontId="33" fillId="0" borderId="0" xfId="0" applyNumberFormat="1" applyFont="1" applyFill="1" applyAlignment="1">
      <alignment horizontal="center"/>
    </xf>
    <xf numFmtId="3" fontId="0" fillId="0" borderId="0" xfId="0" applyNumberFormat="1" applyFill="1" applyBorder="1"/>
    <xf numFmtId="9" fontId="0" fillId="0" borderId="0" xfId="4" applyFont="1" applyFill="1"/>
    <xf numFmtId="9" fontId="33" fillId="0" borderId="0" xfId="4" applyFont="1" applyFill="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center"/>
    </xf>
    <xf numFmtId="1" fontId="2" fillId="0" borderId="1" xfId="0" applyNumberFormat="1" applyFont="1" applyFill="1" applyBorder="1" applyAlignment="1">
      <alignment horizontal="center"/>
    </xf>
    <xf numFmtId="3" fontId="0" fillId="0" borderId="0" xfId="0" applyNumberFormat="1" applyAlignment="1">
      <alignmen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0" xfId="0" applyFont="1" applyFill="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 xfId="0" applyFont="1" applyFill="1" applyBorder="1" applyAlignment="1">
      <alignment horizontal="left" vertical="center"/>
    </xf>
    <xf numFmtId="0" fontId="10" fillId="5" borderId="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3" applyFont="1" applyBorder="1" applyAlignment="1" applyProtection="1">
      <alignment vertical="center" wrapText="1"/>
    </xf>
    <xf numFmtId="0" fontId="7" fillId="0" borderId="1" xfId="0" applyFont="1" applyBorder="1" applyAlignment="1">
      <alignment horizontal="left" vertical="center"/>
    </xf>
    <xf numFmtId="0" fontId="25" fillId="11" borderId="8" xfId="0" applyFont="1" applyFill="1" applyBorder="1" applyAlignment="1">
      <alignment horizontal="left" vertical="center"/>
    </xf>
    <xf numFmtId="0" fontId="25" fillId="11" borderId="9" xfId="0" applyFont="1" applyFill="1" applyBorder="1" applyAlignment="1">
      <alignment horizontal="left" vertical="center"/>
    </xf>
    <xf numFmtId="0" fontId="25" fillId="11" borderId="10" xfId="0" applyFont="1" applyFill="1" applyBorder="1" applyAlignment="1">
      <alignment horizontal="left" vertical="center"/>
    </xf>
    <xf numFmtId="0" fontId="6" fillId="9"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9" fillId="12"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27" fillId="0" borderId="8" xfId="0" applyFont="1" applyBorder="1" applyAlignment="1">
      <alignment horizontal="right" vertical="center"/>
    </xf>
    <xf numFmtId="0" fontId="27" fillId="0" borderId="10" xfId="0" applyFont="1" applyBorder="1" applyAlignment="1">
      <alignment horizontal="right"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xf>
    <xf numFmtId="0" fontId="5" fillId="0" borderId="10" xfId="0" applyFont="1" applyBorder="1" applyAlignment="1">
      <alignment horizontal="left"/>
    </xf>
    <xf numFmtId="0" fontId="6" fillId="0" borderId="1" xfId="0" applyFont="1" applyFill="1" applyBorder="1" applyAlignment="1">
      <alignment horizontal="left" vertical="center"/>
    </xf>
    <xf numFmtId="0" fontId="9" fillId="12" borderId="1" xfId="0" applyFont="1" applyFill="1" applyBorder="1" applyAlignment="1">
      <alignment horizontal="left"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126"/>
  <sheetViews>
    <sheetView zoomScale="90" zoomScaleNormal="90" zoomScaleSheetLayoutView="50" workbookViewId="0">
      <selection activeCell="E100" sqref="E100"/>
    </sheetView>
  </sheetViews>
  <sheetFormatPr defaultRowHeight="14.5" x14ac:dyDescent="0.35"/>
  <cols>
    <col min="1" max="1" width="2.7265625" customWidth="1"/>
    <col min="2" max="2" width="39.7265625" customWidth="1"/>
    <col min="3" max="3" width="15" style="62" customWidth="1"/>
    <col min="4" max="4" width="17.453125" customWidth="1"/>
    <col min="5" max="6" width="16" customWidth="1"/>
    <col min="7" max="7" width="19.54296875" style="62" customWidth="1"/>
    <col min="8" max="8" width="14.7265625" customWidth="1"/>
    <col min="9" max="9" width="14.453125" customWidth="1"/>
    <col min="10" max="10" width="14" customWidth="1"/>
    <col min="11" max="12" width="14.7265625" customWidth="1"/>
    <col min="13" max="13" width="16.453125" bestFit="1" customWidth="1"/>
    <col min="14" max="14" width="8.81640625" customWidth="1"/>
    <col min="15" max="15" width="15.1796875" customWidth="1"/>
    <col min="16" max="16" width="14.26953125" customWidth="1"/>
    <col min="17" max="17" width="8.81640625" customWidth="1"/>
    <col min="18" max="18" width="18.26953125" customWidth="1"/>
    <col min="19" max="19" width="17.54296875" customWidth="1"/>
    <col min="20" max="20" width="10.7265625" bestFit="1" customWidth="1"/>
    <col min="21" max="21" width="17" bestFit="1" customWidth="1"/>
    <col min="22" max="22" width="13.26953125" bestFit="1" customWidth="1"/>
  </cols>
  <sheetData>
    <row r="1" spans="2:13" x14ac:dyDescent="0.35">
      <c r="B1" s="5" t="s">
        <v>0</v>
      </c>
      <c r="C1" s="208"/>
    </row>
    <row r="2" spans="2:13" x14ac:dyDescent="0.35">
      <c r="B2" s="5" t="s">
        <v>14</v>
      </c>
      <c r="C2" s="208"/>
    </row>
    <row r="3" spans="2:13" x14ac:dyDescent="0.35">
      <c r="B3" s="5" t="s">
        <v>255</v>
      </c>
      <c r="C3" s="208"/>
    </row>
    <row r="4" spans="2:13" x14ac:dyDescent="0.35">
      <c r="B4" s="5"/>
      <c r="C4" s="208"/>
    </row>
    <row r="5" spans="2:13" ht="42" customHeight="1" x14ac:dyDescent="0.35">
      <c r="B5" s="236" t="s">
        <v>114</v>
      </c>
      <c r="C5" s="237"/>
      <c r="D5" s="237"/>
      <c r="E5" s="237"/>
      <c r="F5" s="237"/>
      <c r="G5" s="237"/>
      <c r="H5" s="237"/>
      <c r="I5" s="237"/>
      <c r="J5" s="237"/>
      <c r="K5" s="237"/>
      <c r="L5" s="237"/>
      <c r="M5" s="238"/>
    </row>
    <row r="6" spans="2:13" ht="23.15" customHeight="1" x14ac:dyDescent="0.35">
      <c r="B6" s="239"/>
      <c r="C6" s="240"/>
      <c r="D6" s="240"/>
      <c r="E6" s="240"/>
      <c r="F6" s="240"/>
      <c r="G6" s="240"/>
      <c r="H6" s="240"/>
      <c r="I6" s="240"/>
      <c r="J6" s="240"/>
      <c r="K6" s="240"/>
      <c r="L6" s="240"/>
      <c r="M6" s="241"/>
    </row>
    <row r="7" spans="2:13" x14ac:dyDescent="0.35">
      <c r="B7" s="77"/>
      <c r="C7" s="208"/>
    </row>
    <row r="8" spans="2:13" ht="14.65" customHeight="1" x14ac:dyDescent="0.35">
      <c r="B8" s="242" t="s">
        <v>148</v>
      </c>
      <c r="C8" s="242"/>
      <c r="D8" s="242"/>
      <c r="E8" s="242"/>
      <c r="F8" s="242"/>
      <c r="G8" s="242"/>
      <c r="H8" s="242"/>
      <c r="I8" s="242"/>
      <c r="J8" s="242"/>
      <c r="K8" s="242"/>
      <c r="L8" s="242"/>
      <c r="M8" s="242"/>
    </row>
    <row r="9" spans="2:13" ht="15" customHeight="1" x14ac:dyDescent="0.35">
      <c r="B9" s="242"/>
      <c r="C9" s="242"/>
      <c r="D9" s="242"/>
      <c r="E9" s="242"/>
      <c r="F9" s="242"/>
      <c r="G9" s="242"/>
      <c r="H9" s="242"/>
      <c r="I9" s="242"/>
      <c r="J9" s="242"/>
      <c r="K9" s="242"/>
      <c r="L9" s="242"/>
      <c r="M9" s="242"/>
    </row>
    <row r="10" spans="2:13" ht="15" customHeight="1" x14ac:dyDescent="0.35">
      <c r="B10" s="242"/>
      <c r="C10" s="242"/>
      <c r="D10" s="242"/>
      <c r="E10" s="242"/>
      <c r="F10" s="242"/>
      <c r="G10" s="242"/>
      <c r="H10" s="242"/>
      <c r="I10" s="242"/>
      <c r="J10" s="242"/>
      <c r="K10" s="242"/>
      <c r="L10" s="242"/>
      <c r="M10" s="242"/>
    </row>
    <row r="11" spans="2:13" ht="15" customHeight="1" x14ac:dyDescent="0.35">
      <c r="B11" s="242"/>
      <c r="C11" s="242"/>
      <c r="D11" s="242"/>
      <c r="E11" s="242"/>
      <c r="F11" s="242"/>
      <c r="G11" s="242"/>
      <c r="H11" s="242"/>
      <c r="I11" s="242"/>
      <c r="J11" s="242"/>
      <c r="K11" s="242"/>
      <c r="L11" s="242"/>
      <c r="M11" s="242"/>
    </row>
    <row r="12" spans="2:13" ht="15" customHeight="1" x14ac:dyDescent="0.35">
      <c r="B12" s="242"/>
      <c r="C12" s="242"/>
      <c r="D12" s="242"/>
      <c r="E12" s="242"/>
      <c r="F12" s="242"/>
      <c r="G12" s="242"/>
      <c r="H12" s="242"/>
      <c r="I12" s="242"/>
      <c r="J12" s="242"/>
      <c r="K12" s="242"/>
      <c r="L12" s="242"/>
      <c r="M12" s="242"/>
    </row>
    <row r="13" spans="2:13" ht="15" customHeight="1" x14ac:dyDescent="0.35">
      <c r="B13" s="242"/>
      <c r="C13" s="242"/>
      <c r="D13" s="242"/>
      <c r="E13" s="242"/>
      <c r="F13" s="242"/>
      <c r="G13" s="242"/>
      <c r="H13" s="242"/>
      <c r="I13" s="242"/>
      <c r="J13" s="242"/>
      <c r="K13" s="242"/>
      <c r="L13" s="242"/>
      <c r="M13" s="242"/>
    </row>
    <row r="14" spans="2:13" ht="17.649999999999999" customHeight="1" x14ac:dyDescent="0.35">
      <c r="B14" s="242"/>
      <c r="C14" s="242"/>
      <c r="D14" s="242"/>
      <c r="E14" s="242"/>
      <c r="F14" s="242"/>
      <c r="G14" s="242"/>
      <c r="H14" s="242"/>
      <c r="I14" s="242"/>
      <c r="J14" s="242"/>
      <c r="K14" s="242"/>
      <c r="L14" s="242"/>
      <c r="M14" s="242"/>
    </row>
    <row r="15" spans="2:13" ht="17.649999999999999" customHeight="1" x14ac:dyDescent="0.35">
      <c r="B15" s="242"/>
      <c r="C15" s="242"/>
      <c r="D15" s="242"/>
      <c r="E15" s="242"/>
      <c r="F15" s="242"/>
      <c r="G15" s="242"/>
      <c r="H15" s="242"/>
      <c r="I15" s="242"/>
      <c r="J15" s="242"/>
      <c r="K15" s="242"/>
      <c r="L15" s="242"/>
      <c r="M15" s="242"/>
    </row>
    <row r="16" spans="2:13" ht="55.5" customHeight="1" x14ac:dyDescent="0.35">
      <c r="B16" s="242"/>
      <c r="C16" s="242"/>
      <c r="D16" s="242"/>
      <c r="E16" s="242"/>
      <c r="F16" s="242"/>
      <c r="G16" s="242"/>
      <c r="H16" s="242"/>
      <c r="I16" s="242"/>
      <c r="J16" s="242"/>
      <c r="K16" s="242"/>
      <c r="L16" s="242"/>
      <c r="M16" s="242"/>
    </row>
    <row r="17" spans="2:19" ht="17.649999999999999" customHeight="1" x14ac:dyDescent="0.35">
      <c r="B17" s="61"/>
      <c r="C17" s="205"/>
      <c r="D17" s="61"/>
      <c r="E17" s="61"/>
      <c r="F17" s="61"/>
      <c r="G17" s="205"/>
      <c r="H17" s="61"/>
      <c r="I17" s="61"/>
      <c r="J17" s="61"/>
      <c r="K17" s="61"/>
      <c r="L17" s="61"/>
      <c r="M17" s="61"/>
    </row>
    <row r="18" spans="2:19" ht="17.649999999999999" customHeight="1" x14ac:dyDescent="0.35">
      <c r="B18" s="117" t="s">
        <v>286</v>
      </c>
      <c r="C18" s="205"/>
      <c r="D18" s="61"/>
      <c r="E18" s="61"/>
      <c r="F18" s="61"/>
      <c r="G18" s="205"/>
      <c r="H18" s="61"/>
      <c r="I18" s="61"/>
      <c r="J18" s="61"/>
      <c r="K18" s="61"/>
      <c r="L18" s="61"/>
      <c r="M18" s="61"/>
    </row>
    <row r="19" spans="2:19" ht="16.399999999999999" customHeight="1" x14ac:dyDescent="0.35">
      <c r="B19" s="43"/>
      <c r="C19" s="205"/>
      <c r="D19" s="43"/>
      <c r="E19" s="43"/>
      <c r="F19" s="205"/>
      <c r="G19" s="205"/>
      <c r="H19" s="205"/>
      <c r="I19" s="43"/>
      <c r="J19" s="43"/>
      <c r="K19" s="43"/>
      <c r="L19" s="43"/>
      <c r="M19" s="43"/>
    </row>
    <row r="20" spans="2:19" s="46" customFormat="1" ht="67.400000000000006" customHeight="1" x14ac:dyDescent="0.3">
      <c r="B20" s="45" t="s">
        <v>31</v>
      </c>
      <c r="C20" s="45" t="s">
        <v>225</v>
      </c>
      <c r="D20" s="45" t="s">
        <v>262</v>
      </c>
      <c r="E20" s="45" t="s">
        <v>238</v>
      </c>
      <c r="F20" s="56" t="s">
        <v>228</v>
      </c>
      <c r="G20" s="45" t="s">
        <v>29</v>
      </c>
      <c r="H20" s="56" t="s">
        <v>239</v>
      </c>
      <c r="I20" s="45" t="s">
        <v>276</v>
      </c>
      <c r="J20" s="45" t="s">
        <v>19</v>
      </c>
      <c r="K20" s="45" t="s">
        <v>274</v>
      </c>
      <c r="L20" s="45" t="s">
        <v>275</v>
      </c>
      <c r="M20" s="45" t="s">
        <v>20</v>
      </c>
      <c r="R20" s="202"/>
      <c r="S20" s="202"/>
    </row>
    <row r="21" spans="2:19" ht="15.65" customHeight="1" x14ac:dyDescent="0.35">
      <c r="B21" s="34" t="s">
        <v>17</v>
      </c>
      <c r="C21" s="209"/>
      <c r="D21" s="35"/>
      <c r="E21" s="35"/>
      <c r="F21" s="35"/>
      <c r="G21" s="209"/>
      <c r="H21" s="35"/>
      <c r="I21" s="35"/>
      <c r="J21" s="35"/>
      <c r="K21" s="35"/>
      <c r="L21" s="35"/>
      <c r="M21" s="36"/>
      <c r="R21" s="90"/>
      <c r="S21" s="90"/>
    </row>
    <row r="22" spans="2:19" x14ac:dyDescent="0.35">
      <c r="B22" s="1" t="s">
        <v>150</v>
      </c>
      <c r="C22" s="173">
        <f>C40+C57</f>
        <v>238686.92477081597</v>
      </c>
      <c r="D22" s="164">
        <f>D40+D57</f>
        <v>320000.8517345158</v>
      </c>
      <c r="E22" s="164">
        <f>D22</f>
        <v>320000.8517345158</v>
      </c>
      <c r="F22" s="164">
        <f t="shared" ref="F22:F35" si="0">F40+F57</f>
        <v>238896.13308140985</v>
      </c>
      <c r="G22" s="171">
        <f>IF(F22=0,"N/A",C22/F22)</f>
        <v>0.99912427083730737</v>
      </c>
      <c r="H22" s="166">
        <f>H40+H57</f>
        <v>48412102.160000004</v>
      </c>
      <c r="I22" s="166">
        <f>I40+I57</f>
        <v>32842566.152240001</v>
      </c>
      <c r="J22" s="166">
        <f>J40+J57</f>
        <v>15569536.007759996</v>
      </c>
      <c r="K22" s="166">
        <f>K40+K57</f>
        <v>56897783.021292999</v>
      </c>
      <c r="L22" s="166">
        <f>L40+L57</f>
        <v>46261242.773144782</v>
      </c>
      <c r="M22" s="167">
        <f t="shared" ref="M22:M38" si="1">IF(L22=0,"N/A",H22/L22)</f>
        <v>1.0464937657944595</v>
      </c>
      <c r="R22" s="90"/>
      <c r="S22" s="90"/>
    </row>
    <row r="23" spans="2:19" x14ac:dyDescent="0.35">
      <c r="B23" s="137" t="s">
        <v>157</v>
      </c>
      <c r="C23" s="170">
        <f t="shared" ref="C23:C35" si="2">C41+C58</f>
        <v>213768.11640861596</v>
      </c>
      <c r="D23" s="169" t="s">
        <v>181</v>
      </c>
      <c r="E23" s="170" t="str">
        <f t="shared" ref="E23:E84" si="3">D23</f>
        <v>N/A</v>
      </c>
      <c r="F23" s="168">
        <f t="shared" si="0"/>
        <v>214764.84308140981</v>
      </c>
      <c r="G23" s="171">
        <f t="shared" ref="G23:G24" si="4">IF(F23=0,"N/A",C23/F23)</f>
        <v>0.99535898586336113</v>
      </c>
      <c r="H23" s="169">
        <f t="shared" ref="H23:J35" si="5">H41+H58</f>
        <v>40259896.32</v>
      </c>
      <c r="I23" s="169">
        <f t="shared" si="5"/>
        <v>27215689.912320003</v>
      </c>
      <c r="J23" s="169">
        <f t="shared" si="5"/>
        <v>13044206.407679996</v>
      </c>
      <c r="K23" s="169" t="s">
        <v>181</v>
      </c>
      <c r="L23" s="169">
        <f t="shared" ref="L23:L35" si="6">L41+L58</f>
        <v>35320481.881694786</v>
      </c>
      <c r="M23" s="172">
        <f t="shared" si="1"/>
        <v>1.1398456129463261</v>
      </c>
      <c r="R23" s="90"/>
      <c r="S23" s="90"/>
    </row>
    <row r="24" spans="2:19" x14ac:dyDescent="0.35">
      <c r="B24" s="137" t="s">
        <v>158</v>
      </c>
      <c r="C24" s="170">
        <f t="shared" si="2"/>
        <v>24918.808362199998</v>
      </c>
      <c r="D24" s="169" t="s">
        <v>181</v>
      </c>
      <c r="E24" s="170" t="str">
        <f t="shared" si="3"/>
        <v>N/A</v>
      </c>
      <c r="F24" s="168">
        <f t="shared" si="0"/>
        <v>24131.290000000023</v>
      </c>
      <c r="G24" s="171">
        <f t="shared" si="4"/>
        <v>1.0326347394689623</v>
      </c>
      <c r="H24" s="169">
        <f t="shared" si="5"/>
        <v>7653646.4200000009</v>
      </c>
      <c r="I24" s="169">
        <f t="shared" si="5"/>
        <v>5173864.9799200008</v>
      </c>
      <c r="J24" s="169">
        <f t="shared" si="5"/>
        <v>2479781.4400800001</v>
      </c>
      <c r="K24" s="169" t="s">
        <v>181</v>
      </c>
      <c r="L24" s="169">
        <f t="shared" si="6"/>
        <v>8764856.8436499983</v>
      </c>
      <c r="M24" s="172">
        <f t="shared" si="1"/>
        <v>0.87321978630431918</v>
      </c>
      <c r="R24" s="90"/>
      <c r="S24" s="90"/>
    </row>
    <row r="25" spans="2:19" x14ac:dyDescent="0.35">
      <c r="B25" s="137" t="s">
        <v>159</v>
      </c>
      <c r="C25" s="170">
        <f t="shared" si="2"/>
        <v>0</v>
      </c>
      <c r="D25" s="169" t="s">
        <v>181</v>
      </c>
      <c r="E25" s="170" t="str">
        <f t="shared" si="3"/>
        <v>N/A</v>
      </c>
      <c r="F25" s="168">
        <f t="shared" si="0"/>
        <v>0</v>
      </c>
      <c r="G25" s="171" t="str">
        <f>IF(F25=0,"N/A",C25/F25)</f>
        <v>N/A</v>
      </c>
      <c r="H25" s="169">
        <f t="shared" si="5"/>
        <v>-171575.58000000002</v>
      </c>
      <c r="I25" s="169">
        <f t="shared" si="5"/>
        <v>0</v>
      </c>
      <c r="J25" s="169">
        <f t="shared" si="5"/>
        <v>-171575.58000000002</v>
      </c>
      <c r="K25" s="169" t="s">
        <v>181</v>
      </c>
      <c r="L25" s="169">
        <f t="shared" si="6"/>
        <v>1206721.6478000002</v>
      </c>
      <c r="M25" s="172">
        <f>IF(L25=0,"N/A",H25/L25)</f>
        <v>-0.14218322867813227</v>
      </c>
      <c r="R25" s="90"/>
      <c r="S25" s="90"/>
    </row>
    <row r="26" spans="2:19" s="62" customFormat="1" x14ac:dyDescent="0.35">
      <c r="B26" s="137" t="s">
        <v>268</v>
      </c>
      <c r="C26" s="170">
        <f t="shared" si="2"/>
        <v>0</v>
      </c>
      <c r="D26" s="169" t="s">
        <v>181</v>
      </c>
      <c r="E26" s="170" t="str">
        <f t="shared" ref="E26" si="7">D26</f>
        <v>N/A</v>
      </c>
      <c r="F26" s="170">
        <f t="shared" si="0"/>
        <v>0</v>
      </c>
      <c r="G26" s="171" t="str">
        <f t="shared" ref="G26:G53" si="8">IF(F26=0,"N/A",C26/F26)</f>
        <v>N/A</v>
      </c>
      <c r="H26" s="169">
        <f t="shared" si="5"/>
        <v>670135</v>
      </c>
      <c r="I26" s="169">
        <f t="shared" si="5"/>
        <v>453011.26</v>
      </c>
      <c r="J26" s="169">
        <f t="shared" si="5"/>
        <v>217123.73999999996</v>
      </c>
      <c r="K26" s="169" t="s">
        <v>181</v>
      </c>
      <c r="L26" s="169">
        <f t="shared" si="6"/>
        <v>969182.40000000014</v>
      </c>
      <c r="M26" s="172">
        <f t="shared" si="1"/>
        <v>0.69144363331401804</v>
      </c>
      <c r="R26" s="42"/>
      <c r="S26" s="42"/>
    </row>
    <row r="27" spans="2:19" x14ac:dyDescent="0.35">
      <c r="B27" s="1" t="s">
        <v>151</v>
      </c>
      <c r="C27" s="173">
        <f t="shared" si="2"/>
        <v>176068.17499999999</v>
      </c>
      <c r="D27" s="164">
        <f t="shared" ref="D27:D35" si="9">D45+D62</f>
        <v>158680.06556184776</v>
      </c>
      <c r="E27" s="173">
        <f t="shared" si="3"/>
        <v>158680.06556184776</v>
      </c>
      <c r="F27" s="164">
        <f t="shared" si="0"/>
        <v>174599.94209</v>
      </c>
      <c r="G27" s="171">
        <f t="shared" si="8"/>
        <v>1.0084091259849512</v>
      </c>
      <c r="H27" s="166">
        <f t="shared" si="5"/>
        <v>47046702.350000001</v>
      </c>
      <c r="I27" s="166">
        <f t="shared" si="5"/>
        <v>31803570.788600001</v>
      </c>
      <c r="J27" s="166">
        <f t="shared" si="5"/>
        <v>15243131.5614</v>
      </c>
      <c r="K27" s="166">
        <f t="shared" ref="K27:K35" si="10">K45+K62</f>
        <v>44005709.117680803</v>
      </c>
      <c r="L27" s="166">
        <f t="shared" si="6"/>
        <v>52644559.14599999</v>
      </c>
      <c r="M27" s="167">
        <f t="shared" si="1"/>
        <v>0.89366694513529188</v>
      </c>
      <c r="R27" s="90"/>
      <c r="S27" s="90"/>
    </row>
    <row r="28" spans="2:19" x14ac:dyDescent="0.35">
      <c r="B28" s="1" t="s">
        <v>152</v>
      </c>
      <c r="C28" s="173">
        <f t="shared" si="2"/>
        <v>236866.68584243426</v>
      </c>
      <c r="D28" s="164">
        <f t="shared" si="9"/>
        <v>232418.85140015403</v>
      </c>
      <c r="E28" s="173">
        <f t="shared" si="3"/>
        <v>232418.85140015403</v>
      </c>
      <c r="F28" s="164">
        <f t="shared" si="0"/>
        <v>238945.01</v>
      </c>
      <c r="G28" s="171">
        <f t="shared" si="8"/>
        <v>0.99130208177368617</v>
      </c>
      <c r="H28" s="166">
        <f t="shared" si="5"/>
        <v>17162175.169999998</v>
      </c>
      <c r="I28" s="166">
        <f t="shared" si="5"/>
        <v>11601630.41492</v>
      </c>
      <c r="J28" s="166">
        <f t="shared" si="5"/>
        <v>5560544.7550799986</v>
      </c>
      <c r="K28" s="166">
        <f t="shared" si="10"/>
        <v>15966264.11466676</v>
      </c>
      <c r="L28" s="166">
        <f t="shared" si="6"/>
        <v>15898485.629244411</v>
      </c>
      <c r="M28" s="167">
        <f t="shared" si="1"/>
        <v>1.0794849000228737</v>
      </c>
      <c r="R28" s="90"/>
      <c r="S28" s="90"/>
    </row>
    <row r="29" spans="2:19" x14ac:dyDescent="0.35">
      <c r="B29" s="1" t="s">
        <v>163</v>
      </c>
      <c r="C29" s="173">
        <f t="shared" si="2"/>
        <v>0</v>
      </c>
      <c r="D29" s="164">
        <f t="shared" si="9"/>
        <v>29107.75841999978</v>
      </c>
      <c r="E29" s="173">
        <f t="shared" si="3"/>
        <v>29107.75841999978</v>
      </c>
      <c r="F29" s="164">
        <f t="shared" si="0"/>
        <v>0</v>
      </c>
      <c r="G29" s="171" t="str">
        <f t="shared" si="8"/>
        <v>N/A</v>
      </c>
      <c r="H29" s="166">
        <f t="shared" si="5"/>
        <v>115280.43999999999</v>
      </c>
      <c r="I29" s="166">
        <f t="shared" si="5"/>
        <v>77929.577439999994</v>
      </c>
      <c r="J29" s="166">
        <f t="shared" si="5"/>
        <v>37350.862559999994</v>
      </c>
      <c r="K29" s="166">
        <f t="shared" si="10"/>
        <v>4936407</v>
      </c>
      <c r="L29" s="166">
        <f t="shared" si="6"/>
        <v>0</v>
      </c>
      <c r="M29" s="167" t="str">
        <f>IF(L29=0,"N/A",H29/L29)</f>
        <v>N/A</v>
      </c>
      <c r="R29" s="90"/>
      <c r="S29" s="90"/>
    </row>
    <row r="30" spans="2:19" x14ac:dyDescent="0.35">
      <c r="B30" s="1" t="s">
        <v>162</v>
      </c>
      <c r="C30" s="173">
        <f t="shared" si="2"/>
        <v>16604.201000000001</v>
      </c>
      <c r="D30" s="164">
        <f t="shared" si="9"/>
        <v>29684.928316193549</v>
      </c>
      <c r="E30" s="173">
        <f t="shared" si="3"/>
        <v>29684.928316193549</v>
      </c>
      <c r="F30" s="164">
        <f t="shared" si="0"/>
        <v>15091</v>
      </c>
      <c r="G30" s="171">
        <f t="shared" si="8"/>
        <v>1.1002717513749918</v>
      </c>
      <c r="H30" s="166">
        <f t="shared" si="5"/>
        <v>6142503.8700000001</v>
      </c>
      <c r="I30" s="166">
        <f t="shared" si="5"/>
        <v>4152332.6161200004</v>
      </c>
      <c r="J30" s="166">
        <f t="shared" si="5"/>
        <v>1990171.2538800002</v>
      </c>
      <c r="K30" s="166">
        <f t="shared" si="10"/>
        <v>10059332.005830143</v>
      </c>
      <c r="L30" s="166">
        <f t="shared" si="6"/>
        <v>5616145</v>
      </c>
      <c r="M30" s="167">
        <f t="shared" si="1"/>
        <v>1.0937224501860261</v>
      </c>
      <c r="R30" s="90"/>
      <c r="S30" s="90"/>
    </row>
    <row r="31" spans="2:19" x14ac:dyDescent="0.35">
      <c r="B31" s="1" t="s">
        <v>153</v>
      </c>
      <c r="C31" s="173">
        <f t="shared" si="2"/>
        <v>27849.354273139998</v>
      </c>
      <c r="D31" s="164">
        <f t="shared" si="9"/>
        <v>27275.603199999987</v>
      </c>
      <c r="E31" s="173">
        <f t="shared" si="3"/>
        <v>27275.603199999987</v>
      </c>
      <c r="F31" s="164">
        <f t="shared" si="0"/>
        <v>28026.035</v>
      </c>
      <c r="G31" s="171">
        <f t="shared" si="8"/>
        <v>0.99369583578768805</v>
      </c>
      <c r="H31" s="166">
        <f t="shared" si="5"/>
        <v>7022959.0800000001</v>
      </c>
      <c r="I31" s="166">
        <f t="shared" si="5"/>
        <v>4747520.3380800001</v>
      </c>
      <c r="J31" s="166">
        <f t="shared" si="5"/>
        <v>2275438.7419199999</v>
      </c>
      <c r="K31" s="166">
        <f t="shared" si="10"/>
        <v>5753035.5440000007</v>
      </c>
      <c r="L31" s="166">
        <f t="shared" si="6"/>
        <v>8317620.3738317769</v>
      </c>
      <c r="M31" s="167">
        <f t="shared" si="1"/>
        <v>0.84434715271390182</v>
      </c>
      <c r="R31" s="90"/>
      <c r="S31" s="90"/>
    </row>
    <row r="32" spans="2:19" x14ac:dyDescent="0.35">
      <c r="B32" s="1" t="s">
        <v>161</v>
      </c>
      <c r="C32" s="173">
        <f t="shared" si="2"/>
        <v>50951.445999999996</v>
      </c>
      <c r="D32" s="164">
        <f t="shared" si="9"/>
        <v>30188.436398436883</v>
      </c>
      <c r="E32" s="173">
        <f t="shared" si="3"/>
        <v>30188.436398436883</v>
      </c>
      <c r="F32" s="164">
        <f t="shared" si="0"/>
        <v>51665.000000000015</v>
      </c>
      <c r="G32" s="171">
        <f t="shared" si="8"/>
        <v>0.98618883189780282</v>
      </c>
      <c r="H32" s="166">
        <f t="shared" si="5"/>
        <v>13005234.620000001</v>
      </c>
      <c r="I32" s="166">
        <f t="shared" si="5"/>
        <v>8791538.603120001</v>
      </c>
      <c r="J32" s="166">
        <f t="shared" si="5"/>
        <v>4213696.01688</v>
      </c>
      <c r="K32" s="166">
        <f t="shared" si="10"/>
        <v>8291934.3053347021</v>
      </c>
      <c r="L32" s="166">
        <f t="shared" si="6"/>
        <v>10489780.75</v>
      </c>
      <c r="M32" s="167">
        <f t="shared" si="1"/>
        <v>1.2398004238553795</v>
      </c>
      <c r="R32" s="90"/>
      <c r="S32" s="90"/>
    </row>
    <row r="33" spans="2:21" x14ac:dyDescent="0.35">
      <c r="B33" s="1" t="s">
        <v>154</v>
      </c>
      <c r="C33" s="173">
        <f>C51+C68</f>
        <v>24189</v>
      </c>
      <c r="D33" s="164">
        <f t="shared" si="9"/>
        <v>27977.5</v>
      </c>
      <c r="E33" s="173">
        <f t="shared" si="3"/>
        <v>27977.5</v>
      </c>
      <c r="F33" s="164">
        <f t="shared" si="0"/>
        <v>14633</v>
      </c>
      <c r="G33" s="171">
        <f t="shared" si="8"/>
        <v>1.6530444884849314</v>
      </c>
      <c r="H33" s="166">
        <f t="shared" si="5"/>
        <v>2095274.12</v>
      </c>
      <c r="I33" s="166">
        <f t="shared" si="5"/>
        <v>0</v>
      </c>
      <c r="J33" s="166">
        <f t="shared" si="5"/>
        <v>2095274.12</v>
      </c>
      <c r="K33" s="166">
        <f t="shared" si="10"/>
        <v>2193375</v>
      </c>
      <c r="L33" s="166">
        <f t="shared" si="6"/>
        <v>2784265</v>
      </c>
      <c r="M33" s="167">
        <f t="shared" si="1"/>
        <v>0.75254119848505807</v>
      </c>
      <c r="R33" s="90"/>
      <c r="S33" s="90"/>
    </row>
    <row r="34" spans="2:21" x14ac:dyDescent="0.35">
      <c r="B34" s="1" t="s">
        <v>155</v>
      </c>
      <c r="C34" s="173">
        <f t="shared" si="2"/>
        <v>90527.506460798613</v>
      </c>
      <c r="D34" s="164">
        <f t="shared" si="9"/>
        <v>93001.703553708183</v>
      </c>
      <c r="E34" s="173">
        <f t="shared" si="3"/>
        <v>93001.703553708183</v>
      </c>
      <c r="F34" s="164">
        <f t="shared" si="0"/>
        <v>87293</v>
      </c>
      <c r="G34" s="171">
        <f t="shared" si="8"/>
        <v>1.0370534459899261</v>
      </c>
      <c r="H34" s="166">
        <f t="shared" si="5"/>
        <v>13406701.200000003</v>
      </c>
      <c r="I34" s="166">
        <f t="shared" si="5"/>
        <v>9062930.0112000033</v>
      </c>
      <c r="J34" s="166">
        <f t="shared" si="5"/>
        <v>4343771.1887999997</v>
      </c>
      <c r="K34" s="166">
        <f t="shared" si="10"/>
        <v>22987612.110474475</v>
      </c>
      <c r="L34" s="166">
        <f t="shared" si="6"/>
        <v>15118753.25</v>
      </c>
      <c r="M34" s="167">
        <f t="shared" si="1"/>
        <v>0.88675970685611949</v>
      </c>
      <c r="R34" s="90"/>
      <c r="S34" s="90"/>
    </row>
    <row r="35" spans="2:21" x14ac:dyDescent="0.35">
      <c r="B35" s="1" t="s">
        <v>160</v>
      </c>
      <c r="C35" s="173">
        <f t="shared" si="2"/>
        <v>3517.6253578399997</v>
      </c>
      <c r="D35" s="164">
        <f t="shared" si="9"/>
        <v>1654.1452529411754</v>
      </c>
      <c r="E35" s="173">
        <f t="shared" si="3"/>
        <v>1654.1452529411754</v>
      </c>
      <c r="F35" s="164">
        <f t="shared" si="0"/>
        <v>3428.4140845070424</v>
      </c>
      <c r="G35" s="171">
        <f t="shared" si="8"/>
        <v>1.0260211488851658</v>
      </c>
      <c r="H35" s="166">
        <f t="shared" si="5"/>
        <v>2967891.09</v>
      </c>
      <c r="I35" s="166">
        <f t="shared" si="5"/>
        <v>0</v>
      </c>
      <c r="J35" s="166">
        <f t="shared" si="5"/>
        <v>2967891.09</v>
      </c>
      <c r="K35" s="166">
        <f t="shared" si="10"/>
        <v>1911562.5</v>
      </c>
      <c r="L35" s="166">
        <f t="shared" si="6"/>
        <v>2690000</v>
      </c>
      <c r="M35" s="167">
        <f t="shared" si="1"/>
        <v>1.1033052379182156</v>
      </c>
      <c r="R35" s="90"/>
      <c r="S35" s="90"/>
    </row>
    <row r="36" spans="2:21" x14ac:dyDescent="0.35">
      <c r="B36" s="1" t="s">
        <v>156</v>
      </c>
      <c r="C36" s="173">
        <f>C71</f>
        <v>3185.6000000000004</v>
      </c>
      <c r="D36" s="164">
        <f>D71</f>
        <v>1825.5141767770206</v>
      </c>
      <c r="E36" s="173">
        <f>E71</f>
        <v>1825.5141767770206</v>
      </c>
      <c r="F36" s="164">
        <f t="shared" ref="F36" si="11">F71</f>
        <v>2732.8198254218901</v>
      </c>
      <c r="G36" s="171">
        <f t="shared" si="8"/>
        <v>1.1656824099291692</v>
      </c>
      <c r="H36" s="166">
        <f t="shared" ref="H36:L36" si="12">H71</f>
        <v>2130418.41</v>
      </c>
      <c r="I36" s="166">
        <f t="shared" si="12"/>
        <v>1440162.8451600003</v>
      </c>
      <c r="J36" s="166">
        <f t="shared" si="12"/>
        <v>690255.56483999989</v>
      </c>
      <c r="K36" s="166">
        <f t="shared" si="12"/>
        <v>2194502.0352339754</v>
      </c>
      <c r="L36" s="166">
        <f t="shared" si="12"/>
        <v>2108655.8963957201</v>
      </c>
      <c r="M36" s="167">
        <f t="shared" si="1"/>
        <v>1.0103205618524476</v>
      </c>
      <c r="R36" s="90"/>
      <c r="S36" s="90"/>
    </row>
    <row r="37" spans="2:21" x14ac:dyDescent="0.35">
      <c r="B37" s="1" t="s">
        <v>211</v>
      </c>
      <c r="C37" s="174" t="s">
        <v>181</v>
      </c>
      <c r="D37" s="174" t="s">
        <v>181</v>
      </c>
      <c r="E37" s="174" t="str">
        <f t="shared" si="3"/>
        <v>N/A</v>
      </c>
      <c r="F37" s="174" t="s">
        <v>181</v>
      </c>
      <c r="G37" s="174" t="s">
        <v>181</v>
      </c>
      <c r="H37" s="175">
        <f t="shared" ref="H37:L38" si="13">H54+H72</f>
        <v>5622112.6100000003</v>
      </c>
      <c r="I37" s="175">
        <f t="shared" si="13"/>
        <v>0</v>
      </c>
      <c r="J37" s="175">
        <f t="shared" si="13"/>
        <v>5622112.6100000003</v>
      </c>
      <c r="K37" s="175">
        <f t="shared" si="13"/>
        <v>3150000</v>
      </c>
      <c r="L37" s="175">
        <f t="shared" si="13"/>
        <v>4287988.657866667</v>
      </c>
      <c r="M37" s="167">
        <f t="shared" si="1"/>
        <v>1.3111304759833666</v>
      </c>
      <c r="R37" s="90"/>
      <c r="S37" s="90"/>
    </row>
    <row r="38" spans="2:21" x14ac:dyDescent="0.35">
      <c r="B38" s="1" t="s">
        <v>224</v>
      </c>
      <c r="C38" s="174" t="s">
        <v>181</v>
      </c>
      <c r="D38" s="174" t="s">
        <v>181</v>
      </c>
      <c r="E38" s="174" t="str">
        <f t="shared" ref="E38" si="14">D38</f>
        <v>N/A</v>
      </c>
      <c r="F38" s="174" t="s">
        <v>181</v>
      </c>
      <c r="G38" s="174" t="s">
        <v>181</v>
      </c>
      <c r="H38" s="175">
        <f t="shared" si="13"/>
        <v>644602.14999999991</v>
      </c>
      <c r="I38" s="175">
        <f t="shared" si="13"/>
        <v>0</v>
      </c>
      <c r="J38" s="175">
        <f t="shared" si="13"/>
        <v>644602.14999999991</v>
      </c>
      <c r="K38" s="175">
        <f t="shared" si="13"/>
        <v>0</v>
      </c>
      <c r="L38" s="175">
        <f t="shared" si="13"/>
        <v>2934899</v>
      </c>
      <c r="M38" s="167">
        <f t="shared" si="1"/>
        <v>0.21963350357201386</v>
      </c>
      <c r="R38" s="90"/>
      <c r="S38" s="90"/>
    </row>
    <row r="39" spans="2:21" x14ac:dyDescent="0.35">
      <c r="B39" s="2" t="s">
        <v>32</v>
      </c>
      <c r="C39" s="176">
        <f>SUM(C22,C27:C38)</f>
        <v>868446.51870502869</v>
      </c>
      <c r="D39" s="176">
        <f t="shared" ref="D39:F39" si="15">SUM(D22,D27:D38)</f>
        <v>951815.35801457404</v>
      </c>
      <c r="E39" s="176">
        <f t="shared" si="15"/>
        <v>951815.35801457404</v>
      </c>
      <c r="F39" s="176">
        <f t="shared" si="15"/>
        <v>855310.35408133885</v>
      </c>
      <c r="G39" s="212">
        <f>C39/F39</f>
        <v>1.0153583603437129</v>
      </c>
      <c r="H39" s="178">
        <f>SUM(H22,H27:H38)</f>
        <v>165773957.27000001</v>
      </c>
      <c r="I39" s="178">
        <f>SUM(I22,I27:I38)</f>
        <v>104520181.34688002</v>
      </c>
      <c r="J39" s="178">
        <f>SUM(J22,J27:J38)</f>
        <v>61253775.923119977</v>
      </c>
      <c r="K39" s="178">
        <f>SUM(K22,K27:K38)</f>
        <v>178347516.75451386</v>
      </c>
      <c r="L39" s="178">
        <f>SUM(L22,L27:L38)</f>
        <v>169152395.47648335</v>
      </c>
      <c r="M39" s="177">
        <f t="shared" ref="M39:M89" si="16">H39/L39</f>
        <v>0.98002725177514249</v>
      </c>
      <c r="R39" s="90"/>
      <c r="S39" s="90"/>
    </row>
    <row r="40" spans="2:21" x14ac:dyDescent="0.35">
      <c r="B40" s="136" t="s">
        <v>187</v>
      </c>
      <c r="C40" s="174">
        <f>SUM(C41:C44)</f>
        <v>206338.98869042596</v>
      </c>
      <c r="D40" s="179">
        <v>251527.08698850701</v>
      </c>
      <c r="E40" s="179">
        <f t="shared" si="3"/>
        <v>251527.08698850701</v>
      </c>
      <c r="F40" s="179">
        <f>SUM(F41:F44)</f>
        <v>205606.06999999989</v>
      </c>
      <c r="G40" s="165">
        <f t="shared" si="8"/>
        <v>1.0035646743815787</v>
      </c>
      <c r="H40" s="166">
        <f>SUM(H41:H44)</f>
        <v>39862939.450000003</v>
      </c>
      <c r="I40" s="166">
        <f>SUM(I41:I44)</f>
        <v>27056823.321320001</v>
      </c>
      <c r="J40" s="166">
        <f>SUM(J41:J44)</f>
        <v>12806116.128679996</v>
      </c>
      <c r="K40" s="166">
        <v>45040739.626065098</v>
      </c>
      <c r="L40" s="166">
        <f>SUM(L41:L44)</f>
        <v>37459482.799344786</v>
      </c>
      <c r="M40" s="180">
        <f t="shared" ref="M40:M55" si="17">IF(L40=0,"N/A",H40/L40)</f>
        <v>1.064161501201967</v>
      </c>
      <c r="R40" s="90"/>
      <c r="S40" s="90"/>
    </row>
    <row r="41" spans="2:21" x14ac:dyDescent="0.35">
      <c r="B41" s="145" t="s">
        <v>188</v>
      </c>
      <c r="C41" s="223">
        <v>187658.60869042596</v>
      </c>
      <c r="D41" s="169" t="s">
        <v>181</v>
      </c>
      <c r="E41" s="181" t="str">
        <f t="shared" si="3"/>
        <v>N/A</v>
      </c>
      <c r="F41" s="181">
        <v>187820.99999999988</v>
      </c>
      <c r="G41" s="182">
        <f t="shared" si="8"/>
        <v>0.99913539322240896</v>
      </c>
      <c r="H41" s="169">
        <v>34284065.189999998</v>
      </c>
      <c r="I41" s="169">
        <f>H41*0.676</f>
        <v>23176028.068440001</v>
      </c>
      <c r="J41" s="169">
        <f>H41-I41</f>
        <v>11108037.121559996</v>
      </c>
      <c r="K41" s="169" t="s">
        <v>181</v>
      </c>
      <c r="L41" s="169">
        <v>29610326.881694786</v>
      </c>
      <c r="M41" s="182">
        <f t="shared" si="17"/>
        <v>1.1578414965487778</v>
      </c>
      <c r="R41" s="90"/>
      <c r="S41" s="90"/>
    </row>
    <row r="42" spans="2:21" x14ac:dyDescent="0.35">
      <c r="B42" s="145" t="s">
        <v>189</v>
      </c>
      <c r="C42" s="223">
        <v>18680.379999999997</v>
      </c>
      <c r="D42" s="169" t="s">
        <v>181</v>
      </c>
      <c r="E42" s="181" t="str">
        <f t="shared" si="3"/>
        <v>N/A</v>
      </c>
      <c r="F42" s="181">
        <v>17785.070000000014</v>
      </c>
      <c r="G42" s="182">
        <f t="shared" si="8"/>
        <v>1.0503405384403874</v>
      </c>
      <c r="H42" s="169">
        <v>5310484.3800000008</v>
      </c>
      <c r="I42" s="169">
        <f t="shared" ref="I42:I50" si="18">H42*0.676</f>
        <v>3589887.4408800006</v>
      </c>
      <c r="J42" s="169">
        <f t="shared" ref="J42:J73" si="19">H42-I42</f>
        <v>1720596.9391200002</v>
      </c>
      <c r="K42" s="169" t="s">
        <v>181</v>
      </c>
      <c r="L42" s="169">
        <v>6422816.2698499998</v>
      </c>
      <c r="M42" s="182">
        <f t="shared" si="17"/>
        <v>0.82681555206996815</v>
      </c>
      <c r="R42" s="90"/>
      <c r="S42" s="90"/>
    </row>
    <row r="43" spans="2:21" x14ac:dyDescent="0.35">
      <c r="B43" s="145" t="s">
        <v>190</v>
      </c>
      <c r="C43" s="223">
        <v>0</v>
      </c>
      <c r="D43" s="169" t="s">
        <v>181</v>
      </c>
      <c r="E43" s="181" t="str">
        <f t="shared" si="3"/>
        <v>N/A</v>
      </c>
      <c r="F43" s="181">
        <v>0</v>
      </c>
      <c r="G43" s="182" t="str">
        <f t="shared" si="8"/>
        <v>N/A</v>
      </c>
      <c r="H43" s="169">
        <v>-161947.12000000002</v>
      </c>
      <c r="I43" s="169"/>
      <c r="J43" s="169">
        <f t="shared" si="19"/>
        <v>-161947.12000000002</v>
      </c>
      <c r="K43" s="169" t="s">
        <v>181</v>
      </c>
      <c r="L43" s="169">
        <v>822691.64780000027</v>
      </c>
      <c r="M43" s="182">
        <f t="shared" si="17"/>
        <v>-0.19685032713419504</v>
      </c>
      <c r="R43" s="90"/>
      <c r="S43" s="90"/>
    </row>
    <row r="44" spans="2:21" s="62" customFormat="1" x14ac:dyDescent="0.35">
      <c r="B44" s="145" t="s">
        <v>267</v>
      </c>
      <c r="C44" s="223">
        <v>0</v>
      </c>
      <c r="D44" s="169" t="s">
        <v>181</v>
      </c>
      <c r="E44" s="181" t="str">
        <f t="shared" si="3"/>
        <v>N/A</v>
      </c>
      <c r="F44" s="181">
        <v>0</v>
      </c>
      <c r="G44" s="182" t="str">
        <f t="shared" si="8"/>
        <v>N/A</v>
      </c>
      <c r="H44" s="169">
        <v>430337</v>
      </c>
      <c r="I44" s="169">
        <f t="shared" si="18"/>
        <v>290907.81200000003</v>
      </c>
      <c r="J44" s="169">
        <f t="shared" si="19"/>
        <v>139429.18799999997</v>
      </c>
      <c r="K44" s="169" t="s">
        <v>181</v>
      </c>
      <c r="L44" s="169">
        <v>603648</v>
      </c>
      <c r="M44" s="182">
        <f t="shared" si="17"/>
        <v>0.71289393818914337</v>
      </c>
      <c r="R44" s="42"/>
      <c r="S44" s="42"/>
    </row>
    <row r="45" spans="2:21" x14ac:dyDescent="0.35">
      <c r="B45" s="136" t="s">
        <v>191</v>
      </c>
      <c r="C45" s="174">
        <v>165013.859</v>
      </c>
      <c r="D45" s="173">
        <v>152576.98611716132</v>
      </c>
      <c r="E45" s="179">
        <f t="shared" si="3"/>
        <v>152576.98611716132</v>
      </c>
      <c r="F45" s="181">
        <v>162599.94209</v>
      </c>
      <c r="G45" s="182">
        <f t="shared" si="8"/>
        <v>1.0148457427411868</v>
      </c>
      <c r="H45" s="166">
        <v>43437756.280000001</v>
      </c>
      <c r="I45" s="169">
        <f t="shared" si="18"/>
        <v>29363923.245280001</v>
      </c>
      <c r="J45" s="169">
        <f t="shared" si="19"/>
        <v>14073833.03472</v>
      </c>
      <c r="K45" s="166">
        <v>42313181.843923852</v>
      </c>
      <c r="L45" s="166">
        <v>48294501.845999993</v>
      </c>
      <c r="M45" s="180">
        <f t="shared" si="17"/>
        <v>0.89943481389481905</v>
      </c>
      <c r="R45" s="90"/>
      <c r="S45" s="90"/>
    </row>
    <row r="46" spans="2:21" x14ac:dyDescent="0.35">
      <c r="B46" s="136" t="s">
        <v>192</v>
      </c>
      <c r="C46" s="174">
        <v>211328.36429024726</v>
      </c>
      <c r="D46" s="173">
        <v>219309.67758377042</v>
      </c>
      <c r="E46" s="179">
        <f t="shared" si="3"/>
        <v>219309.67758377042</v>
      </c>
      <c r="F46" s="181">
        <v>214868.01</v>
      </c>
      <c r="G46" s="180">
        <f t="shared" si="8"/>
        <v>0.98352641833582977</v>
      </c>
      <c r="H46" s="166">
        <v>14642843.27</v>
      </c>
      <c r="I46" s="169">
        <f t="shared" si="18"/>
        <v>9898562.050520001</v>
      </c>
      <c r="J46" s="169">
        <f t="shared" si="19"/>
        <v>4744281.2194799986</v>
      </c>
      <c r="K46" s="166">
        <v>15044266.078303143</v>
      </c>
      <c r="L46" s="166">
        <v>14093423.958700001</v>
      </c>
      <c r="M46" s="180">
        <f t="shared" si="17"/>
        <v>1.03898409023315</v>
      </c>
      <c r="R46" s="90"/>
      <c r="S46" s="90"/>
      <c r="U46" s="62"/>
    </row>
    <row r="47" spans="2:21" x14ac:dyDescent="0.35">
      <c r="B47" s="136" t="s">
        <v>236</v>
      </c>
      <c r="C47" s="174">
        <v>0</v>
      </c>
      <c r="D47" s="179">
        <v>27988.229249999789</v>
      </c>
      <c r="E47" s="179">
        <f t="shared" si="3"/>
        <v>27988.229249999789</v>
      </c>
      <c r="F47" s="179">
        <v>0</v>
      </c>
      <c r="G47" s="180" t="str">
        <f t="shared" si="8"/>
        <v>N/A</v>
      </c>
      <c r="H47" s="166">
        <v>116713.48999999999</v>
      </c>
      <c r="I47" s="169">
        <f t="shared" si="18"/>
        <v>78898.319239999997</v>
      </c>
      <c r="J47" s="169">
        <f t="shared" si="19"/>
        <v>37815.170759999994</v>
      </c>
      <c r="K47" s="166">
        <v>4746545.192307692</v>
      </c>
      <c r="L47" s="166">
        <v>0</v>
      </c>
      <c r="M47" s="180" t="str">
        <f t="shared" si="17"/>
        <v>N/A</v>
      </c>
      <c r="R47" s="90"/>
      <c r="S47" s="90"/>
    </row>
    <row r="48" spans="2:21" x14ac:dyDescent="0.35">
      <c r="B48" s="136" t="s">
        <v>193</v>
      </c>
      <c r="C48" s="174">
        <v>15007.692999999999</v>
      </c>
      <c r="D48" s="179">
        <v>28096.029759472884</v>
      </c>
      <c r="E48" s="179">
        <f t="shared" si="3"/>
        <v>28096.029759472884</v>
      </c>
      <c r="F48" s="181">
        <v>13939</v>
      </c>
      <c r="G48" s="180">
        <f t="shared" si="8"/>
        <v>1.0766692732620704</v>
      </c>
      <c r="H48" s="166">
        <v>5437487.5600000005</v>
      </c>
      <c r="I48" s="169">
        <f t="shared" si="18"/>
        <v>3675741.5905600004</v>
      </c>
      <c r="J48" s="169">
        <f t="shared" si="19"/>
        <v>1761745.9694400001</v>
      </c>
      <c r="K48" s="166">
        <v>9357048.5477644354</v>
      </c>
      <c r="L48" s="166">
        <v>5013319</v>
      </c>
      <c r="M48" s="180">
        <f t="shared" si="17"/>
        <v>1.0846083323243545</v>
      </c>
      <c r="R48" s="90"/>
      <c r="S48" s="203"/>
      <c r="T48" s="144"/>
    </row>
    <row r="49" spans="2:22" x14ac:dyDescent="0.35">
      <c r="B49" s="136" t="s">
        <v>194</v>
      </c>
      <c r="C49" s="174">
        <v>27849.354273139998</v>
      </c>
      <c r="D49" s="179">
        <v>26715.603199999987</v>
      </c>
      <c r="E49" s="179">
        <f t="shared" si="3"/>
        <v>26715.603199999987</v>
      </c>
      <c r="F49" s="181">
        <v>27506.035</v>
      </c>
      <c r="G49" s="180">
        <f t="shared" si="8"/>
        <v>1.0124815980616617</v>
      </c>
      <c r="H49" s="166">
        <v>7002986.4500000002</v>
      </c>
      <c r="I49" s="169">
        <f t="shared" si="18"/>
        <v>4734018.8402000004</v>
      </c>
      <c r="J49" s="169">
        <f t="shared" si="19"/>
        <v>2268967.6097999997</v>
      </c>
      <c r="K49" s="166">
        <v>5627281.1952649057</v>
      </c>
      <c r="L49" s="166">
        <v>8093220.3738317769</v>
      </c>
      <c r="M49" s="180">
        <f t="shared" si="17"/>
        <v>0.86529046863015302</v>
      </c>
      <c r="R49" s="90"/>
      <c r="S49" s="90"/>
    </row>
    <row r="50" spans="2:22" x14ac:dyDescent="0.35">
      <c r="B50" s="136" t="s">
        <v>195</v>
      </c>
      <c r="C50" s="174">
        <v>42327.82</v>
      </c>
      <c r="D50" s="179">
        <v>24922.356120033564</v>
      </c>
      <c r="E50" s="179">
        <f t="shared" si="3"/>
        <v>24922.356120033564</v>
      </c>
      <c r="F50" s="181">
        <v>44157.000000000015</v>
      </c>
      <c r="G50" s="180">
        <f t="shared" si="8"/>
        <v>0.95857553728740597</v>
      </c>
      <c r="H50" s="166">
        <v>10209215.970000001</v>
      </c>
      <c r="I50" s="169">
        <f t="shared" si="18"/>
        <v>6901429.9957200009</v>
      </c>
      <c r="J50" s="169">
        <f t="shared" si="19"/>
        <v>3307785.9742799997</v>
      </c>
      <c r="K50" s="166">
        <v>6350682.7489465363</v>
      </c>
      <c r="L50" s="166">
        <v>7983961</v>
      </c>
      <c r="M50" s="180">
        <f t="shared" si="17"/>
        <v>1.2787156613114719</v>
      </c>
      <c r="R50" s="90"/>
      <c r="S50" s="90"/>
      <c r="V50" s="146"/>
    </row>
    <row r="51" spans="2:22" ht="14.5" customHeight="1" x14ac:dyDescent="0.35">
      <c r="B51" s="136" t="s">
        <v>185</v>
      </c>
      <c r="C51" s="174">
        <v>20727</v>
      </c>
      <c r="D51" s="179">
        <v>22382</v>
      </c>
      <c r="E51" s="179">
        <f t="shared" si="3"/>
        <v>22382</v>
      </c>
      <c r="F51" s="181">
        <v>11833</v>
      </c>
      <c r="G51" s="180">
        <f t="shared" si="8"/>
        <v>1.7516268063889124</v>
      </c>
      <c r="H51" s="166">
        <v>1507762.08</v>
      </c>
      <c r="I51" s="166">
        <v>0</v>
      </c>
      <c r="J51" s="169">
        <f t="shared" si="19"/>
        <v>1507762.08</v>
      </c>
      <c r="K51" s="166">
        <v>1754700</v>
      </c>
      <c r="L51" s="166">
        <v>1908265</v>
      </c>
      <c r="M51" s="180">
        <f t="shared" si="17"/>
        <v>0.79012195895224202</v>
      </c>
      <c r="R51" s="90"/>
      <c r="S51" s="90"/>
    </row>
    <row r="52" spans="2:22" x14ac:dyDescent="0.35">
      <c r="B52" s="136" t="s">
        <v>186</v>
      </c>
      <c r="C52" s="174">
        <v>15987.305957999741</v>
      </c>
      <c r="D52" s="179">
        <v>13060.814902671535</v>
      </c>
      <c r="E52" s="179">
        <f t="shared" si="3"/>
        <v>13060.814902671535</v>
      </c>
      <c r="F52" s="181">
        <v>13050</v>
      </c>
      <c r="G52" s="180">
        <f t="shared" si="8"/>
        <v>1.2250809163218193</v>
      </c>
      <c r="H52" s="166">
        <v>0</v>
      </c>
      <c r="I52" s="166">
        <v>0</v>
      </c>
      <c r="J52" s="169">
        <f t="shared" si="19"/>
        <v>0</v>
      </c>
      <c r="K52" s="166">
        <v>8675067.5569980107</v>
      </c>
      <c r="L52" s="166">
        <v>0</v>
      </c>
      <c r="M52" s="180" t="str">
        <f t="shared" si="17"/>
        <v>N/A</v>
      </c>
      <c r="R52" s="90"/>
      <c r="S52" s="90"/>
    </row>
    <row r="53" spans="2:22" ht="26" x14ac:dyDescent="0.35">
      <c r="B53" s="136" t="s">
        <v>245</v>
      </c>
      <c r="C53" s="174">
        <v>2906.6365569999998</v>
      </c>
      <c r="D53" s="179">
        <v>1323.3162023529403</v>
      </c>
      <c r="E53" s="179">
        <f t="shared" si="3"/>
        <v>1323.3162023529403</v>
      </c>
      <c r="F53" s="181">
        <v>2971.4140845070424</v>
      </c>
      <c r="G53" s="180">
        <f t="shared" si="8"/>
        <v>0.97819976426550825</v>
      </c>
      <c r="H53" s="166">
        <v>2274348.73</v>
      </c>
      <c r="I53" s="166">
        <v>0</v>
      </c>
      <c r="J53" s="169">
        <f t="shared" si="19"/>
        <v>2274348.73</v>
      </c>
      <c r="K53" s="166">
        <v>1539250</v>
      </c>
      <c r="L53" s="166">
        <v>1812800</v>
      </c>
      <c r="M53" s="180">
        <f t="shared" si="17"/>
        <v>1.2546054335834069</v>
      </c>
      <c r="R53" s="90"/>
      <c r="S53" s="90"/>
    </row>
    <row r="54" spans="2:22" x14ac:dyDescent="0.35">
      <c r="B54" s="136" t="s">
        <v>209</v>
      </c>
      <c r="C54" s="174" t="s">
        <v>181</v>
      </c>
      <c r="D54" s="174" t="s">
        <v>181</v>
      </c>
      <c r="E54" s="174" t="str">
        <f t="shared" si="3"/>
        <v>N/A</v>
      </c>
      <c r="F54" s="174" t="s">
        <v>181</v>
      </c>
      <c r="G54" s="174" t="s">
        <v>181</v>
      </c>
      <c r="H54" s="166">
        <v>2846278.5399999996</v>
      </c>
      <c r="I54" s="166">
        <v>0</v>
      </c>
      <c r="J54" s="169">
        <f t="shared" si="19"/>
        <v>2846278.5399999996</v>
      </c>
      <c r="K54" s="166">
        <v>1650000</v>
      </c>
      <c r="L54" s="166">
        <v>1650000</v>
      </c>
      <c r="M54" s="180">
        <f t="shared" si="17"/>
        <v>1.7250172969696966</v>
      </c>
      <c r="R54" s="90"/>
      <c r="S54" s="90"/>
    </row>
    <row r="55" spans="2:22" x14ac:dyDescent="0.35">
      <c r="B55" s="136" t="s">
        <v>216</v>
      </c>
      <c r="C55" s="174" t="s">
        <v>181</v>
      </c>
      <c r="D55" s="174" t="s">
        <v>181</v>
      </c>
      <c r="E55" s="174" t="str">
        <f t="shared" si="3"/>
        <v>N/A</v>
      </c>
      <c r="F55" s="174" t="s">
        <v>181</v>
      </c>
      <c r="G55" s="174" t="s">
        <v>181</v>
      </c>
      <c r="H55" s="166">
        <f>95440.16+154452.97+119488.47+275220.55</f>
        <v>644602.14999999991</v>
      </c>
      <c r="I55" s="166">
        <v>0</v>
      </c>
      <c r="J55" s="169">
        <f t="shared" si="19"/>
        <v>644602.14999999991</v>
      </c>
      <c r="K55" s="166">
        <v>0</v>
      </c>
      <c r="L55" s="166">
        <v>2934899</v>
      </c>
      <c r="M55" s="180">
        <f t="shared" si="17"/>
        <v>0.21963350357201386</v>
      </c>
      <c r="R55" s="90"/>
      <c r="S55" s="90"/>
    </row>
    <row r="56" spans="2:22" x14ac:dyDescent="0.35">
      <c r="B56" s="89" t="s">
        <v>49</v>
      </c>
      <c r="C56" s="183">
        <f>SUM(C40,C45:C55)</f>
        <v>707487.02176881291</v>
      </c>
      <c r="D56" s="183">
        <f t="shared" ref="D56:F56" si="20">SUM(D40,D45:D55)</f>
        <v>767902.10012396949</v>
      </c>
      <c r="E56" s="183">
        <f t="shared" si="20"/>
        <v>767902.10012396949</v>
      </c>
      <c r="F56" s="183">
        <f t="shared" si="20"/>
        <v>696530.47117450694</v>
      </c>
      <c r="G56" s="200">
        <f t="shared" ref="G56:G74" si="21">C56/F56</f>
        <v>1.0157301813025219</v>
      </c>
      <c r="H56" s="185">
        <f>SUM(H40,H45:H55)</f>
        <v>127982933.97000001</v>
      </c>
      <c r="I56" s="185">
        <f>SUM(I40,I45:I55)</f>
        <v>81709397.362840012</v>
      </c>
      <c r="J56" s="185">
        <f>H56-I56</f>
        <v>46273536.607160002</v>
      </c>
      <c r="K56" s="185">
        <f>SUM(K40,K45:K55)</f>
        <v>142098762.78957367</v>
      </c>
      <c r="L56" s="185">
        <f>SUM(L40,L45:L55)</f>
        <v>129243872.97787656</v>
      </c>
      <c r="M56" s="184">
        <f t="shared" si="16"/>
        <v>0.99024372313500397</v>
      </c>
      <c r="R56" s="90"/>
      <c r="S56" s="90"/>
    </row>
    <row r="57" spans="2:22" x14ac:dyDescent="0.35">
      <c r="B57" s="136" t="s">
        <v>196</v>
      </c>
      <c r="C57" s="173">
        <f>SUM(C58:C61)</f>
        <v>32347.936080390005</v>
      </c>
      <c r="D57" s="173">
        <v>68473.764746008805</v>
      </c>
      <c r="E57" s="173">
        <f t="shared" si="3"/>
        <v>68473.764746008805</v>
      </c>
      <c r="F57" s="173">
        <f>SUM(F58:F61)</f>
        <v>33290.063081409942</v>
      </c>
      <c r="G57" s="180">
        <f>IF(F57=0,"N/A",C57/F57)</f>
        <v>0.97169945281521419</v>
      </c>
      <c r="H57" s="166">
        <f>SUM(H58:H61)</f>
        <v>8549162.7100000009</v>
      </c>
      <c r="I57" s="166">
        <f>SUM(I58:I61)</f>
        <v>5785742.8309200006</v>
      </c>
      <c r="J57" s="169">
        <f t="shared" si="19"/>
        <v>2763419.8790800003</v>
      </c>
      <c r="K57" s="166">
        <v>11857043.3952279</v>
      </c>
      <c r="L57" s="166">
        <f>SUM(L58:L61)</f>
        <v>8801759.9737999998</v>
      </c>
      <c r="M57" s="180">
        <f t="shared" ref="M57:M73" si="22">IF(L57=0,"N/A",H57/L57)</f>
        <v>0.97130150509081148</v>
      </c>
      <c r="R57" s="90"/>
      <c r="S57" s="90"/>
    </row>
    <row r="58" spans="2:22" x14ac:dyDescent="0.35">
      <c r="B58" s="145" t="s">
        <v>197</v>
      </c>
      <c r="C58" s="170">
        <v>26109.507718190005</v>
      </c>
      <c r="D58" s="169" t="s">
        <v>181</v>
      </c>
      <c r="E58" s="170" t="str">
        <f t="shared" si="3"/>
        <v>N/A</v>
      </c>
      <c r="F58" s="181">
        <v>26943.84308140993</v>
      </c>
      <c r="G58" s="182">
        <f>IF(F58=0,"N/A",C58/F58)</f>
        <v>0.96903428509812028</v>
      </c>
      <c r="H58" s="169">
        <v>5975831.1299999999</v>
      </c>
      <c r="I58" s="169">
        <f>H58*0.676</f>
        <v>4039661.8438800001</v>
      </c>
      <c r="J58" s="169">
        <f t="shared" si="19"/>
        <v>1936169.2861199998</v>
      </c>
      <c r="K58" s="169" t="s">
        <v>181</v>
      </c>
      <c r="L58" s="169">
        <v>5710155</v>
      </c>
      <c r="M58" s="180">
        <f t="shared" si="22"/>
        <v>1.0465269559232631</v>
      </c>
      <c r="R58" s="90"/>
      <c r="S58" s="90"/>
    </row>
    <row r="59" spans="2:22" x14ac:dyDescent="0.35">
      <c r="B59" s="145" t="s">
        <v>201</v>
      </c>
      <c r="C59" s="170">
        <v>6238.4283622000003</v>
      </c>
      <c r="D59" s="169" t="s">
        <v>181</v>
      </c>
      <c r="E59" s="170" t="str">
        <f t="shared" si="3"/>
        <v>N/A</v>
      </c>
      <c r="F59" s="181">
        <v>6346.2200000000084</v>
      </c>
      <c r="G59" s="182">
        <f>IF(F59=0,"N/A",C59/F59)</f>
        <v>0.98301482807088192</v>
      </c>
      <c r="H59" s="169">
        <v>2343162.04</v>
      </c>
      <c r="I59" s="169">
        <f t="shared" ref="I59:I71" si="23">H59*0.676</f>
        <v>1583977.5390400002</v>
      </c>
      <c r="J59" s="169">
        <f t="shared" si="19"/>
        <v>759184.50095999986</v>
      </c>
      <c r="K59" s="169" t="s">
        <v>181</v>
      </c>
      <c r="L59" s="169">
        <v>2342040.5737999994</v>
      </c>
      <c r="M59" s="180">
        <f t="shared" si="22"/>
        <v>1.0004788414908548</v>
      </c>
      <c r="R59" s="90"/>
      <c r="S59" s="90"/>
    </row>
    <row r="60" spans="2:22" x14ac:dyDescent="0.35">
      <c r="B60" s="145" t="s">
        <v>200</v>
      </c>
      <c r="C60" s="170">
        <v>0</v>
      </c>
      <c r="D60" s="169" t="s">
        <v>181</v>
      </c>
      <c r="E60" s="170" t="str">
        <f t="shared" si="3"/>
        <v>N/A</v>
      </c>
      <c r="F60" s="170">
        <v>0</v>
      </c>
      <c r="G60" s="182" t="str">
        <f>IF(F60=0,"N/A",C60/F60)</f>
        <v>N/A</v>
      </c>
      <c r="H60" s="169">
        <v>-9628.4600000000009</v>
      </c>
      <c r="I60" s="169"/>
      <c r="J60" s="169">
        <f t="shared" si="19"/>
        <v>-9628.4600000000009</v>
      </c>
      <c r="K60" s="169" t="s">
        <v>181</v>
      </c>
      <c r="L60" s="169">
        <v>384029.99999999994</v>
      </c>
      <c r="M60" s="180">
        <f t="shared" si="22"/>
        <v>-2.5072155821159813E-2</v>
      </c>
      <c r="O60" s="138"/>
      <c r="R60" s="90"/>
      <c r="S60" s="90"/>
    </row>
    <row r="61" spans="2:22" s="62" customFormat="1" x14ac:dyDescent="0.35">
      <c r="B61" s="145" t="s">
        <v>269</v>
      </c>
      <c r="C61" s="170">
        <v>0</v>
      </c>
      <c r="D61" s="169" t="s">
        <v>181</v>
      </c>
      <c r="E61" s="170" t="str">
        <f t="shared" ref="E61" si="24">D61</f>
        <v>N/A</v>
      </c>
      <c r="F61" s="170">
        <v>0</v>
      </c>
      <c r="G61" s="182" t="str">
        <f t="shared" ref="G61:G71" si="25">IF(F61=0,"N/A",C61/F61)</f>
        <v>N/A</v>
      </c>
      <c r="H61" s="169">
        <v>239798</v>
      </c>
      <c r="I61" s="169">
        <f t="shared" si="23"/>
        <v>162103.448</v>
      </c>
      <c r="J61" s="169">
        <f t="shared" si="19"/>
        <v>77694.551999999996</v>
      </c>
      <c r="K61" s="169" t="s">
        <v>181</v>
      </c>
      <c r="L61" s="169">
        <v>365534.40000000008</v>
      </c>
      <c r="M61" s="180">
        <f t="shared" si="22"/>
        <v>0.65602033625289424</v>
      </c>
      <c r="O61" s="163"/>
      <c r="P61" s="217"/>
      <c r="R61" s="42"/>
      <c r="S61" s="42"/>
    </row>
    <row r="62" spans="2:22" x14ac:dyDescent="0.35">
      <c r="B62" s="136" t="s">
        <v>199</v>
      </c>
      <c r="C62" s="173">
        <v>11054.316000000001</v>
      </c>
      <c r="D62" s="173">
        <v>6103.0794446864529</v>
      </c>
      <c r="E62" s="173">
        <f t="shared" si="3"/>
        <v>6103.0794446864529</v>
      </c>
      <c r="F62" s="181">
        <v>12000</v>
      </c>
      <c r="G62" s="180">
        <f t="shared" si="25"/>
        <v>0.92119300000000004</v>
      </c>
      <c r="H62" s="166">
        <v>3608946.0700000003</v>
      </c>
      <c r="I62" s="169">
        <f t="shared" si="23"/>
        <v>2439647.5433200002</v>
      </c>
      <c r="J62" s="169">
        <f t="shared" si="19"/>
        <v>1169298.5266800001</v>
      </c>
      <c r="K62" s="166">
        <v>1692527.2737569541</v>
      </c>
      <c r="L62" s="166">
        <v>4350057.3</v>
      </c>
      <c r="M62" s="180">
        <f t="shared" si="22"/>
        <v>0.82963184645866628</v>
      </c>
      <c r="R62" s="90"/>
      <c r="S62" s="90"/>
    </row>
    <row r="63" spans="2:22" x14ac:dyDescent="0.35">
      <c r="B63" s="136" t="s">
        <v>198</v>
      </c>
      <c r="C63" s="173">
        <v>25538.321552186993</v>
      </c>
      <c r="D63" s="173">
        <v>13109.173816383603</v>
      </c>
      <c r="E63" s="173">
        <f t="shared" si="3"/>
        <v>13109.173816383603</v>
      </c>
      <c r="F63" s="181">
        <v>24077</v>
      </c>
      <c r="G63" s="180">
        <f t="shared" si="25"/>
        <v>1.0606936724752665</v>
      </c>
      <c r="H63" s="166">
        <v>2519331.9</v>
      </c>
      <c r="I63" s="169">
        <f t="shared" si="23"/>
        <v>1703068.3644000001</v>
      </c>
      <c r="J63" s="169">
        <f t="shared" si="19"/>
        <v>816263.53559999983</v>
      </c>
      <c r="K63" s="166">
        <v>921998.036363616</v>
      </c>
      <c r="L63" s="166">
        <v>1805061.6705444104</v>
      </c>
      <c r="M63" s="180">
        <f t="shared" si="22"/>
        <v>1.3957040588204193</v>
      </c>
      <c r="P63" s="216"/>
      <c r="R63" s="218"/>
      <c r="S63" s="90"/>
    </row>
    <row r="64" spans="2:22" x14ac:dyDescent="0.35">
      <c r="B64" s="136" t="s">
        <v>204</v>
      </c>
      <c r="C64" s="173">
        <v>0</v>
      </c>
      <c r="D64" s="173">
        <v>1119.5291699999916</v>
      </c>
      <c r="E64" s="173">
        <f t="shared" si="3"/>
        <v>1119.5291699999916</v>
      </c>
      <c r="F64" s="173">
        <v>0</v>
      </c>
      <c r="G64" s="180" t="str">
        <f t="shared" si="25"/>
        <v>N/A</v>
      </c>
      <c r="H64" s="166">
        <v>-1433.0500000000029</v>
      </c>
      <c r="I64" s="169">
        <f t="shared" si="23"/>
        <v>-968.74180000000206</v>
      </c>
      <c r="J64" s="169">
        <f t="shared" si="19"/>
        <v>-464.30820000000085</v>
      </c>
      <c r="K64" s="166">
        <v>189861.80769230769</v>
      </c>
      <c r="L64" s="166">
        <v>0</v>
      </c>
      <c r="M64" s="180" t="str">
        <f>IF(L64=0,"N/A",H64/L64)</f>
        <v>N/A</v>
      </c>
      <c r="R64" s="90"/>
      <c r="S64" s="90"/>
    </row>
    <row r="65" spans="2:19" x14ac:dyDescent="0.35">
      <c r="B65" s="136" t="s">
        <v>203</v>
      </c>
      <c r="C65" s="173">
        <v>1596.5079999999998</v>
      </c>
      <c r="D65" s="173">
        <v>1588.898556720666</v>
      </c>
      <c r="E65" s="173">
        <f t="shared" si="3"/>
        <v>1588.898556720666</v>
      </c>
      <c r="F65" s="181">
        <v>1152</v>
      </c>
      <c r="G65" s="180">
        <f t="shared" si="25"/>
        <v>1.3858576388888888</v>
      </c>
      <c r="H65" s="166">
        <v>705016.30999999994</v>
      </c>
      <c r="I65" s="169">
        <f t="shared" si="23"/>
        <v>476591.02555999998</v>
      </c>
      <c r="J65" s="169">
        <f t="shared" si="19"/>
        <v>228425.28443999996</v>
      </c>
      <c r="K65" s="166">
        <v>702283.45806570724</v>
      </c>
      <c r="L65" s="166">
        <v>602826</v>
      </c>
      <c r="M65" s="180">
        <f t="shared" si="22"/>
        <v>1.1695187500207356</v>
      </c>
      <c r="R65" s="90"/>
      <c r="S65" s="90"/>
    </row>
    <row r="66" spans="2:19" x14ac:dyDescent="0.35">
      <c r="B66" s="136" t="s">
        <v>202</v>
      </c>
      <c r="C66" s="173">
        <v>0</v>
      </c>
      <c r="D66" s="173">
        <v>559.99999999999955</v>
      </c>
      <c r="E66" s="173">
        <f t="shared" si="3"/>
        <v>559.99999999999955</v>
      </c>
      <c r="F66" s="181">
        <v>520</v>
      </c>
      <c r="G66" s="180">
        <f t="shared" si="25"/>
        <v>0</v>
      </c>
      <c r="H66" s="166">
        <v>19972.629999999997</v>
      </c>
      <c r="I66" s="169">
        <f t="shared" si="23"/>
        <v>13501.497879999999</v>
      </c>
      <c r="J66" s="169">
        <f t="shared" si="19"/>
        <v>6471.1321199999984</v>
      </c>
      <c r="K66" s="166">
        <v>125754.34873509497</v>
      </c>
      <c r="L66" s="166">
        <v>224400</v>
      </c>
      <c r="M66" s="180">
        <f t="shared" si="22"/>
        <v>8.9004590017825305E-2</v>
      </c>
      <c r="R66" s="90"/>
      <c r="S66" s="90"/>
    </row>
    <row r="67" spans="2:19" x14ac:dyDescent="0.35">
      <c r="B67" s="136" t="s">
        <v>206</v>
      </c>
      <c r="C67" s="173">
        <v>8623.6260000000002</v>
      </c>
      <c r="D67" s="173">
        <v>5266.0802784033185</v>
      </c>
      <c r="E67" s="173">
        <f t="shared" si="3"/>
        <v>5266.0802784033185</v>
      </c>
      <c r="F67" s="181">
        <v>7508</v>
      </c>
      <c r="G67" s="180">
        <f t="shared" si="25"/>
        <v>1.1485916355887054</v>
      </c>
      <c r="H67" s="166">
        <v>2796018.65</v>
      </c>
      <c r="I67" s="169">
        <f t="shared" si="23"/>
        <v>1890108.6074000001</v>
      </c>
      <c r="J67" s="169">
        <f t="shared" si="19"/>
        <v>905910.04259999981</v>
      </c>
      <c r="K67" s="166">
        <v>1941251.5563881653</v>
      </c>
      <c r="L67" s="166">
        <v>2505819.75</v>
      </c>
      <c r="M67" s="180">
        <f t="shared" si="22"/>
        <v>1.1158099659801948</v>
      </c>
      <c r="R67" s="90"/>
      <c r="S67" s="90"/>
    </row>
    <row r="68" spans="2:19" x14ac:dyDescent="0.35">
      <c r="B68" s="136" t="s">
        <v>205</v>
      </c>
      <c r="C68" s="173">
        <v>3462</v>
      </c>
      <c r="D68" s="173">
        <v>5595.5</v>
      </c>
      <c r="E68" s="173">
        <f t="shared" si="3"/>
        <v>5595.5</v>
      </c>
      <c r="F68" s="181">
        <v>2800</v>
      </c>
      <c r="G68" s="180">
        <f t="shared" si="25"/>
        <v>1.2364285714285714</v>
      </c>
      <c r="H68" s="166">
        <v>587512.04</v>
      </c>
      <c r="I68" s="166">
        <v>0</v>
      </c>
      <c r="J68" s="169">
        <f t="shared" si="19"/>
        <v>587512.04</v>
      </c>
      <c r="K68" s="166">
        <v>438675</v>
      </c>
      <c r="L68" s="166">
        <v>876000</v>
      </c>
      <c r="M68" s="180">
        <f t="shared" si="22"/>
        <v>0.67067584474885844</v>
      </c>
      <c r="R68" s="90"/>
      <c r="S68" s="90"/>
    </row>
    <row r="69" spans="2:19" x14ac:dyDescent="0.35">
      <c r="B69" s="136" t="s">
        <v>208</v>
      </c>
      <c r="C69" s="173">
        <v>74540.200502798878</v>
      </c>
      <c r="D69" s="173">
        <v>79940.888651036643</v>
      </c>
      <c r="E69" s="173">
        <f t="shared" si="3"/>
        <v>79940.888651036643</v>
      </c>
      <c r="F69" s="181">
        <v>74243</v>
      </c>
      <c r="G69" s="180">
        <f t="shared" si="25"/>
        <v>1.0040030777689328</v>
      </c>
      <c r="H69" s="166">
        <v>13406701.200000003</v>
      </c>
      <c r="I69" s="166">
        <f t="shared" si="23"/>
        <v>9062930.0112000033</v>
      </c>
      <c r="J69" s="169">
        <f t="shared" si="19"/>
        <v>4343771.1887999997</v>
      </c>
      <c r="K69" s="166">
        <v>14312544.553476464</v>
      </c>
      <c r="L69" s="166">
        <v>15118753.25</v>
      </c>
      <c r="M69" s="180">
        <f t="shared" si="22"/>
        <v>0.88675970685611949</v>
      </c>
      <c r="O69" s="138"/>
      <c r="R69" s="90"/>
      <c r="S69" s="90"/>
    </row>
    <row r="70" spans="2:19" x14ac:dyDescent="0.35">
      <c r="B70" s="136" t="s">
        <v>207</v>
      </c>
      <c r="C70" s="173">
        <v>610.98880083999995</v>
      </c>
      <c r="D70" s="173">
        <v>330.82905058823508</v>
      </c>
      <c r="E70" s="173">
        <f t="shared" si="3"/>
        <v>330.82905058823508</v>
      </c>
      <c r="F70" s="181">
        <v>457</v>
      </c>
      <c r="G70" s="180">
        <f t="shared" si="25"/>
        <v>1.3369558005251641</v>
      </c>
      <c r="H70" s="166">
        <v>693542.36</v>
      </c>
      <c r="I70" s="166">
        <v>0</v>
      </c>
      <c r="J70" s="169">
        <f t="shared" si="19"/>
        <v>693542.36</v>
      </c>
      <c r="K70" s="166">
        <v>372312.5</v>
      </c>
      <c r="L70" s="166">
        <v>877200</v>
      </c>
      <c r="M70" s="180">
        <f t="shared" si="22"/>
        <v>0.79063196534427727</v>
      </c>
      <c r="R70" s="90"/>
      <c r="S70" s="90"/>
    </row>
    <row r="71" spans="2:19" x14ac:dyDescent="0.35">
      <c r="B71" s="136" t="s">
        <v>156</v>
      </c>
      <c r="C71" s="173">
        <v>3185.6000000000004</v>
      </c>
      <c r="D71" s="173">
        <v>1825.5141767770206</v>
      </c>
      <c r="E71" s="173">
        <f t="shared" si="3"/>
        <v>1825.5141767770206</v>
      </c>
      <c r="F71" s="181">
        <v>2732.8198254218901</v>
      </c>
      <c r="G71" s="180">
        <f t="shared" si="25"/>
        <v>1.1656824099291692</v>
      </c>
      <c r="H71" s="166">
        <v>2130418.41</v>
      </c>
      <c r="I71" s="166">
        <f t="shared" si="23"/>
        <v>1440162.8451600003</v>
      </c>
      <c r="J71" s="169">
        <f t="shared" si="19"/>
        <v>690255.56483999989</v>
      </c>
      <c r="K71" s="166">
        <v>2194502.0352339754</v>
      </c>
      <c r="L71" s="166">
        <v>2108655.8963957201</v>
      </c>
      <c r="M71" s="180">
        <f t="shared" si="22"/>
        <v>1.0103205618524476</v>
      </c>
      <c r="R71" s="90"/>
      <c r="S71" s="90"/>
    </row>
    <row r="72" spans="2:19" x14ac:dyDescent="0.35">
      <c r="B72" s="136" t="s">
        <v>210</v>
      </c>
      <c r="C72" s="174" t="s">
        <v>181</v>
      </c>
      <c r="D72" s="174" t="s">
        <v>181</v>
      </c>
      <c r="E72" s="174" t="str">
        <f t="shared" si="3"/>
        <v>N/A</v>
      </c>
      <c r="F72" s="174" t="s">
        <v>181</v>
      </c>
      <c r="G72" s="174" t="s">
        <v>181</v>
      </c>
      <c r="H72" s="166">
        <v>2775834.0700000008</v>
      </c>
      <c r="I72" s="166">
        <v>0</v>
      </c>
      <c r="J72" s="169">
        <f t="shared" si="19"/>
        <v>2775834.0700000008</v>
      </c>
      <c r="K72" s="166">
        <v>1500000</v>
      </c>
      <c r="L72" s="166">
        <v>2637988.657866667</v>
      </c>
      <c r="M72" s="180">
        <f t="shared" si="22"/>
        <v>1.0522539821095398</v>
      </c>
      <c r="R72" s="90"/>
      <c r="S72" s="90"/>
    </row>
    <row r="73" spans="2:19" x14ac:dyDescent="0.35">
      <c r="B73" s="136" t="s">
        <v>217</v>
      </c>
      <c r="C73" s="174" t="s">
        <v>181</v>
      </c>
      <c r="D73" s="174" t="s">
        <v>181</v>
      </c>
      <c r="E73" s="174" t="str">
        <f t="shared" si="3"/>
        <v>N/A</v>
      </c>
      <c r="F73" s="174" t="s">
        <v>181</v>
      </c>
      <c r="G73" s="174" t="s">
        <v>181</v>
      </c>
      <c r="H73" s="166">
        <v>0</v>
      </c>
      <c r="I73" s="166">
        <v>0</v>
      </c>
      <c r="J73" s="169">
        <f t="shared" si="19"/>
        <v>0</v>
      </c>
      <c r="K73" s="166">
        <v>0</v>
      </c>
      <c r="L73" s="166"/>
      <c r="M73" s="180" t="str">
        <f t="shared" si="22"/>
        <v>N/A</v>
      </c>
      <c r="R73" s="90"/>
      <c r="S73" s="90"/>
    </row>
    <row r="74" spans="2:19" x14ac:dyDescent="0.35">
      <c r="B74" s="89" t="s">
        <v>50</v>
      </c>
      <c r="C74" s="183">
        <f>SUM(C57,C62:C73)</f>
        <v>160959.49693621587</v>
      </c>
      <c r="D74" s="183">
        <f t="shared" ref="D74:F74" si="26">SUM(D57,D62:D73)</f>
        <v>183913.25789060476</v>
      </c>
      <c r="E74" s="183">
        <f t="shared" si="26"/>
        <v>183913.25789060476</v>
      </c>
      <c r="F74" s="183">
        <f t="shared" si="26"/>
        <v>158779.88290683186</v>
      </c>
      <c r="G74" s="184">
        <f t="shared" si="21"/>
        <v>1.013727268149347</v>
      </c>
      <c r="H74" s="185">
        <f>SUM(H57,H62:H73)</f>
        <v>37791023.300000004</v>
      </c>
      <c r="I74" s="185">
        <f>SUM(I57,I62:I73)</f>
        <v>22810783.984040003</v>
      </c>
      <c r="J74" s="185">
        <f>SUM(J57,J62:J73)</f>
        <v>14980239.315960001</v>
      </c>
      <c r="K74" s="185">
        <f>SUM(K57,K62:K73)</f>
        <v>36248753.964940183</v>
      </c>
      <c r="L74" s="185">
        <f>SUM(L57,L62:L73)</f>
        <v>39908522.498606794</v>
      </c>
      <c r="M74" s="184">
        <f t="shared" si="16"/>
        <v>0.94694117782283949</v>
      </c>
      <c r="R74" s="90"/>
      <c r="S74" s="90"/>
    </row>
    <row r="75" spans="2:19" ht="15.65" customHeight="1" x14ac:dyDescent="0.35">
      <c r="B75" s="34" t="s">
        <v>1</v>
      </c>
      <c r="C75" s="186"/>
      <c r="D75" s="186"/>
      <c r="E75" s="186"/>
      <c r="F75" s="186"/>
      <c r="G75" s="186"/>
      <c r="H75" s="186"/>
      <c r="I75" s="186"/>
      <c r="J75" s="186"/>
      <c r="K75" s="186"/>
      <c r="L75" s="186"/>
      <c r="M75" s="187"/>
      <c r="R75" s="90"/>
      <c r="S75" s="90"/>
    </row>
    <row r="76" spans="2:19" x14ac:dyDescent="0.35">
      <c r="B76" s="140" t="s">
        <v>164</v>
      </c>
      <c r="C76" s="173">
        <v>59292</v>
      </c>
      <c r="D76" s="179">
        <v>74936.000000000233</v>
      </c>
      <c r="E76" s="179">
        <f t="shared" si="3"/>
        <v>74936.000000000233</v>
      </c>
      <c r="F76" s="181">
        <v>58792</v>
      </c>
      <c r="G76" s="180">
        <f t="shared" ref="G76:G83" si="27">IF(F76=0,"N/A",C76/F76)</f>
        <v>1.0085045584433256</v>
      </c>
      <c r="H76" s="166">
        <f>16973.64+4432879.84</f>
        <v>4449853.4799999995</v>
      </c>
      <c r="I76" s="166">
        <v>0</v>
      </c>
      <c r="J76" s="166">
        <f>H76-I76</f>
        <v>4449853.4799999995</v>
      </c>
      <c r="K76" s="175">
        <v>6683156.25</v>
      </c>
      <c r="L76" s="175">
        <v>250500</v>
      </c>
      <c r="M76" s="180">
        <f>IF(L76=0,"N/A",H76/L76)</f>
        <v>17.763886147704589</v>
      </c>
      <c r="R76" s="90"/>
      <c r="S76" s="90"/>
    </row>
    <row r="77" spans="2:19" x14ac:dyDescent="0.35">
      <c r="B77" s="140" t="s">
        <v>219</v>
      </c>
      <c r="C77" s="173">
        <v>149592</v>
      </c>
      <c r="D77" s="179">
        <v>94658.086007044098</v>
      </c>
      <c r="E77" s="179">
        <f t="shared" si="3"/>
        <v>94658.086007044098</v>
      </c>
      <c r="F77" s="181">
        <v>147293</v>
      </c>
      <c r="G77" s="180">
        <f t="shared" si="27"/>
        <v>1.0156083452709905</v>
      </c>
      <c r="H77" s="166">
        <v>18218191.489999995</v>
      </c>
      <c r="I77" s="166">
        <f>H77*0.676</f>
        <v>12315497.447239997</v>
      </c>
      <c r="J77" s="166">
        <f t="shared" ref="J77:J84" si="28">H77-I77</f>
        <v>5902694.0427599978</v>
      </c>
      <c r="K77" s="175">
        <v>20374889.861583758</v>
      </c>
      <c r="L77" s="175">
        <v>20162493.875</v>
      </c>
      <c r="M77" s="167">
        <f t="shared" ref="M77:M84" si="29">IF(L77=0,"N/A",H77/L77)</f>
        <v>0.90356835830656856</v>
      </c>
      <c r="R77" s="90"/>
      <c r="S77" s="90"/>
    </row>
    <row r="78" spans="2:19" x14ac:dyDescent="0.35">
      <c r="B78" s="140" t="s">
        <v>165</v>
      </c>
      <c r="C78" s="173">
        <v>36754</v>
      </c>
      <c r="D78" s="179">
        <v>31027.959965641996</v>
      </c>
      <c r="E78" s="179">
        <f t="shared" si="3"/>
        <v>31027.959965641996</v>
      </c>
      <c r="F78" s="181">
        <v>37514.799999999996</v>
      </c>
      <c r="G78" s="180">
        <f t="shared" si="27"/>
        <v>0.97972000383848523</v>
      </c>
      <c r="H78" s="166">
        <v>17546110.640000001</v>
      </c>
      <c r="I78" s="166">
        <f t="shared" ref="I78:I83" si="30">H78*0.676</f>
        <v>11861170.792640001</v>
      </c>
      <c r="J78" s="166">
        <f t="shared" si="28"/>
        <v>5684939.84736</v>
      </c>
      <c r="K78" s="175">
        <v>16285075.85</v>
      </c>
      <c r="L78" s="166">
        <v>18287141.73</v>
      </c>
      <c r="M78" s="167">
        <f t="shared" si="29"/>
        <v>0.95947802554707928</v>
      </c>
      <c r="R78" s="90"/>
      <c r="S78" s="90"/>
    </row>
    <row r="79" spans="2:19" x14ac:dyDescent="0.35">
      <c r="B79" s="140" t="s">
        <v>166</v>
      </c>
      <c r="C79" s="173">
        <v>19727.047741243008</v>
      </c>
      <c r="D79" s="179">
        <v>21702.515446331541</v>
      </c>
      <c r="E79" s="179">
        <f t="shared" si="3"/>
        <v>21702.515446331541</v>
      </c>
      <c r="F79" s="181">
        <v>18738.679600000003</v>
      </c>
      <c r="G79" s="180">
        <f t="shared" si="27"/>
        <v>1.0527448124596253</v>
      </c>
      <c r="H79" s="166">
        <v>8223388.1599999992</v>
      </c>
      <c r="I79" s="166">
        <f t="shared" si="30"/>
        <v>5559010.39616</v>
      </c>
      <c r="J79" s="166">
        <f t="shared" si="28"/>
        <v>2664377.7638399992</v>
      </c>
      <c r="K79" s="175">
        <v>8741972.5</v>
      </c>
      <c r="L79" s="175">
        <v>8314844.3999999994</v>
      </c>
      <c r="M79" s="167">
        <f t="shared" si="29"/>
        <v>0.9890008476887433</v>
      </c>
      <c r="R79" s="90"/>
      <c r="S79" s="90"/>
    </row>
    <row r="80" spans="2:19" x14ac:dyDescent="0.35">
      <c r="B80" s="140" t="s">
        <v>220</v>
      </c>
      <c r="C80" s="173">
        <v>27515</v>
      </c>
      <c r="D80" s="179">
        <v>17889.549988365143</v>
      </c>
      <c r="E80" s="179">
        <f t="shared" si="3"/>
        <v>17889.549988365143</v>
      </c>
      <c r="F80" s="181">
        <v>27631.481960416764</v>
      </c>
      <c r="G80" s="180">
        <f t="shared" si="27"/>
        <v>0.99578444758831142</v>
      </c>
      <c r="H80" s="166">
        <v>7251531.6200000001</v>
      </c>
      <c r="I80" s="166">
        <f t="shared" si="30"/>
        <v>4902035.37512</v>
      </c>
      <c r="J80" s="166">
        <f t="shared" si="28"/>
        <v>2349496.2448800001</v>
      </c>
      <c r="K80" s="175">
        <v>9507614.1800000034</v>
      </c>
      <c r="L80" s="175">
        <v>10752806.101061409</v>
      </c>
      <c r="M80" s="167">
        <f t="shared" si="29"/>
        <v>0.6743850444103332</v>
      </c>
      <c r="R80" s="90"/>
      <c r="S80" s="90"/>
    </row>
    <row r="81" spans="2:19" x14ac:dyDescent="0.35">
      <c r="B81" s="140" t="s">
        <v>167</v>
      </c>
      <c r="C81" s="173">
        <v>14679</v>
      </c>
      <c r="D81" s="179">
        <v>9196.8191680638702</v>
      </c>
      <c r="E81" s="179">
        <f t="shared" si="3"/>
        <v>9196.8191680638702</v>
      </c>
      <c r="F81" s="181">
        <v>14084.995999999999</v>
      </c>
      <c r="G81" s="180">
        <f t="shared" si="27"/>
        <v>1.0421728199283835</v>
      </c>
      <c r="H81" s="166">
        <v>10495102.310000001</v>
      </c>
      <c r="I81" s="166">
        <f t="shared" si="30"/>
        <v>7094689.1615600009</v>
      </c>
      <c r="J81" s="166">
        <f t="shared" si="28"/>
        <v>3400413.1484399997</v>
      </c>
      <c r="K81" s="175">
        <v>4056311.3516413076</v>
      </c>
      <c r="L81" s="175">
        <v>6218808.8885677513</v>
      </c>
      <c r="M81" s="167">
        <f t="shared" si="29"/>
        <v>1.6876386616886565</v>
      </c>
      <c r="R81" s="90"/>
      <c r="S81" s="90"/>
    </row>
    <row r="82" spans="2:19" x14ac:dyDescent="0.35">
      <c r="B82" s="140" t="s">
        <v>168</v>
      </c>
      <c r="C82" s="173">
        <v>10194</v>
      </c>
      <c r="D82" s="179">
        <v>9693.7549812620255</v>
      </c>
      <c r="E82" s="179">
        <f t="shared" si="3"/>
        <v>9693.7549812620255</v>
      </c>
      <c r="F82" s="181">
        <v>9309</v>
      </c>
      <c r="G82" s="180">
        <f t="shared" si="27"/>
        <v>1.0950692877860135</v>
      </c>
      <c r="H82" s="166">
        <v>7328050.1799999997</v>
      </c>
      <c r="I82" s="166">
        <f t="shared" si="30"/>
        <v>4953761.9216799997</v>
      </c>
      <c r="J82" s="166">
        <f t="shared" si="28"/>
        <v>2374288.25832</v>
      </c>
      <c r="K82" s="175">
        <v>7904202.5525975497</v>
      </c>
      <c r="L82" s="175">
        <v>6298001.7827848373</v>
      </c>
      <c r="M82" s="167">
        <f t="shared" si="29"/>
        <v>1.1635516204569409</v>
      </c>
      <c r="R82" s="204"/>
      <c r="S82" s="90"/>
    </row>
    <row r="83" spans="2:19" x14ac:dyDescent="0.35">
      <c r="B83" s="140" t="s">
        <v>169</v>
      </c>
      <c r="C83" s="173">
        <v>336.76175000000001</v>
      </c>
      <c r="D83" s="179">
        <v>570.7407967267693</v>
      </c>
      <c r="E83" s="179">
        <f t="shared" si="3"/>
        <v>570.7407967267693</v>
      </c>
      <c r="F83" s="181">
        <v>212</v>
      </c>
      <c r="G83" s="180">
        <f t="shared" si="27"/>
        <v>1.588498820754717</v>
      </c>
      <c r="H83" s="166">
        <v>333416.24</v>
      </c>
      <c r="I83" s="166">
        <f t="shared" si="30"/>
        <v>225389.37824000002</v>
      </c>
      <c r="J83" s="166">
        <f t="shared" si="28"/>
        <v>108026.86175999997</v>
      </c>
      <c r="K83" s="166">
        <v>393159.18333333335</v>
      </c>
      <c r="L83" s="166">
        <v>378096.42000000004</v>
      </c>
      <c r="M83" s="180">
        <f t="shared" si="29"/>
        <v>0.88182860869193092</v>
      </c>
      <c r="R83" s="90"/>
      <c r="S83" s="90"/>
    </row>
    <row r="84" spans="2:19" x14ac:dyDescent="0.35">
      <c r="B84" s="140" t="s">
        <v>215</v>
      </c>
      <c r="C84" s="174" t="s">
        <v>181</v>
      </c>
      <c r="D84" s="174" t="s">
        <v>181</v>
      </c>
      <c r="E84" s="174" t="str">
        <f t="shared" si="3"/>
        <v>N/A</v>
      </c>
      <c r="F84" s="174" t="s">
        <v>181</v>
      </c>
      <c r="G84" s="174" t="s">
        <v>181</v>
      </c>
      <c r="H84" s="166">
        <f>787038.05+182257.9</f>
        <v>969295.95000000007</v>
      </c>
      <c r="I84" s="166">
        <v>0</v>
      </c>
      <c r="J84" s="166">
        <f t="shared" si="28"/>
        <v>969295.95000000007</v>
      </c>
      <c r="K84" s="166">
        <v>0</v>
      </c>
      <c r="L84" s="166">
        <v>300000</v>
      </c>
      <c r="M84" s="180">
        <f t="shared" si="29"/>
        <v>3.2309865000000002</v>
      </c>
      <c r="R84" s="90"/>
      <c r="S84" s="90"/>
    </row>
    <row r="85" spans="2:19" x14ac:dyDescent="0.35">
      <c r="B85" s="2" t="s">
        <v>33</v>
      </c>
      <c r="C85" s="213">
        <f>SUM(C76:C84)</f>
        <v>318089.80949124304</v>
      </c>
      <c r="D85" s="176">
        <f>SUM(D76:D84)</f>
        <v>259675.42635343567</v>
      </c>
      <c r="E85" s="176">
        <f t="shared" ref="E85" si="31">D85</f>
        <v>259675.42635343567</v>
      </c>
      <c r="F85" s="176">
        <f>SUM(F76:F84)</f>
        <v>313575.95756041672</v>
      </c>
      <c r="G85" s="212">
        <f>C85/F85</f>
        <v>1.0143947640818625</v>
      </c>
      <c r="H85" s="178">
        <f>SUM(H76:H84)</f>
        <v>74814940.069999993</v>
      </c>
      <c r="I85" s="178">
        <f>SUM(I76:I84)</f>
        <v>46911554.472639985</v>
      </c>
      <c r="J85" s="178">
        <f>SUM(J76:J84)</f>
        <v>27903385.597359993</v>
      </c>
      <c r="K85" s="178">
        <f>SUM(K76:K84)</f>
        <v>73946381.729155943</v>
      </c>
      <c r="L85" s="178">
        <f>SUM(L76:L84)</f>
        <v>70962693.197414011</v>
      </c>
      <c r="M85" s="177">
        <f t="shared" si="16"/>
        <v>1.0542855224204817</v>
      </c>
      <c r="R85" s="90"/>
      <c r="S85" s="90"/>
    </row>
    <row r="86" spans="2:19" ht="15.65" customHeight="1" x14ac:dyDescent="0.35">
      <c r="B86" s="249" t="s">
        <v>34</v>
      </c>
      <c r="C86" s="250"/>
      <c r="D86" s="250"/>
      <c r="E86" s="250"/>
      <c r="F86" s="250"/>
      <c r="G86" s="250"/>
      <c r="H86" s="250"/>
      <c r="I86" s="250"/>
      <c r="J86" s="250"/>
      <c r="K86" s="250"/>
      <c r="L86" s="250"/>
      <c r="M86" s="251"/>
      <c r="R86" s="90"/>
      <c r="S86" s="90"/>
    </row>
    <row r="87" spans="2:19" x14ac:dyDescent="0.35">
      <c r="B87" s="140" t="s">
        <v>270</v>
      </c>
      <c r="C87" s="224">
        <v>66180</v>
      </c>
      <c r="D87" s="124">
        <v>12771.387504065324</v>
      </c>
      <c r="E87" s="124">
        <f>D87</f>
        <v>12771.387504065324</v>
      </c>
      <c r="F87" s="181">
        <v>62379.9</v>
      </c>
      <c r="G87" s="210">
        <f t="shared" ref="G87:G90" si="32">IF(F87=0,"N/A",C87/F87)</f>
        <v>1.0609186612995531</v>
      </c>
      <c r="H87" s="189">
        <v>5910794.5200000005</v>
      </c>
      <c r="I87" s="189">
        <f t="shared" ref="I87:I90" si="33">H87*0.676</f>
        <v>3995697.0955200004</v>
      </c>
      <c r="J87" s="189">
        <f>H87-I87</f>
        <v>1915097.42448</v>
      </c>
      <c r="K87" s="128">
        <v>3861734.5098683047</v>
      </c>
      <c r="L87" s="128">
        <v>6191362</v>
      </c>
      <c r="M87" s="188">
        <f t="shared" si="16"/>
        <v>0.95468404528761208</v>
      </c>
      <c r="R87" s="90"/>
      <c r="S87" s="90"/>
    </row>
    <row r="88" spans="2:19" x14ac:dyDescent="0.35">
      <c r="B88" s="140" t="s">
        <v>295</v>
      </c>
      <c r="C88" s="224">
        <v>10685.253566540017</v>
      </c>
      <c r="D88" s="124">
        <v>6984.8704552347435</v>
      </c>
      <c r="E88" s="124">
        <f t="shared" ref="E88:E92" si="34">D88</f>
        <v>6984.8704552347435</v>
      </c>
      <c r="F88" s="181">
        <v>4626</v>
      </c>
      <c r="G88" s="210">
        <f t="shared" si="32"/>
        <v>2.3098256737008254</v>
      </c>
      <c r="H88" s="189">
        <v>13838777.35</v>
      </c>
      <c r="I88" s="189">
        <f t="shared" si="33"/>
        <v>9355013.4886000007</v>
      </c>
      <c r="J88" s="189">
        <f t="shared" ref="J88:J92" si="35">H88-I88</f>
        <v>4483763.8613999989</v>
      </c>
      <c r="K88" s="128">
        <v>11643470.457364934</v>
      </c>
      <c r="L88" s="128">
        <v>13736028.659868253</v>
      </c>
      <c r="M88" s="188">
        <f t="shared" si="16"/>
        <v>1.0074802326550134</v>
      </c>
      <c r="R88" s="90"/>
      <c r="S88" s="90"/>
    </row>
    <row r="89" spans="2:19" x14ac:dyDescent="0.35">
      <c r="B89" s="140" t="s">
        <v>296</v>
      </c>
      <c r="C89" s="224">
        <v>4935.62</v>
      </c>
      <c r="D89" s="124">
        <v>4877.4210311681145</v>
      </c>
      <c r="E89" s="124">
        <f t="shared" si="34"/>
        <v>4877.4210311681145</v>
      </c>
      <c r="F89" s="181">
        <v>6852</v>
      </c>
      <c r="G89" s="210">
        <f t="shared" si="32"/>
        <v>0.72031815528312904</v>
      </c>
      <c r="H89" s="189">
        <v>10950814.949999999</v>
      </c>
      <c r="I89" s="189">
        <f t="shared" si="33"/>
        <v>7402750.9062000001</v>
      </c>
      <c r="J89" s="189">
        <f t="shared" si="35"/>
        <v>3548064.0437999992</v>
      </c>
      <c r="K89" s="128">
        <v>8255222.8751472393</v>
      </c>
      <c r="L89" s="128">
        <v>9076769.7439325321</v>
      </c>
      <c r="M89" s="188">
        <f t="shared" si="16"/>
        <v>1.206466095200905</v>
      </c>
      <c r="R89" s="90"/>
      <c r="S89" s="90"/>
    </row>
    <row r="90" spans="2:19" x14ac:dyDescent="0.35">
      <c r="B90" s="140" t="s">
        <v>171</v>
      </c>
      <c r="C90" s="224">
        <v>2028</v>
      </c>
      <c r="D90" s="124">
        <v>1344.710779717755</v>
      </c>
      <c r="E90" s="124">
        <f t="shared" si="34"/>
        <v>1344.710779717755</v>
      </c>
      <c r="F90" s="181">
        <v>2403</v>
      </c>
      <c r="G90" s="210">
        <f t="shared" si="32"/>
        <v>0.84394506866416974</v>
      </c>
      <c r="H90" s="189">
        <v>2006381.6400000001</v>
      </c>
      <c r="I90" s="189">
        <f t="shared" si="33"/>
        <v>1356313.9886400001</v>
      </c>
      <c r="J90" s="189">
        <f t="shared" si="35"/>
        <v>650067.65136000002</v>
      </c>
      <c r="K90" s="128">
        <v>2930444.9122730289</v>
      </c>
      <c r="L90" s="128">
        <v>1769596</v>
      </c>
      <c r="M90" s="188">
        <f t="shared" ref="M90:M114" si="36">H90/L90</f>
        <v>1.133807739167584</v>
      </c>
      <c r="R90" s="90"/>
      <c r="S90" s="90"/>
    </row>
    <row r="91" spans="2:19" x14ac:dyDescent="0.35">
      <c r="B91" s="140" t="s">
        <v>212</v>
      </c>
      <c r="C91" s="123" t="s">
        <v>181</v>
      </c>
      <c r="D91" s="123" t="s">
        <v>181</v>
      </c>
      <c r="E91" s="123" t="str">
        <f t="shared" si="34"/>
        <v>N/A</v>
      </c>
      <c r="F91" s="123" t="s">
        <v>181</v>
      </c>
      <c r="G91" s="123" t="s">
        <v>181</v>
      </c>
      <c r="H91" s="189">
        <v>976847.75</v>
      </c>
      <c r="I91" s="189">
        <v>0</v>
      </c>
      <c r="J91" s="189">
        <f t="shared" si="35"/>
        <v>976847.75</v>
      </c>
      <c r="K91" s="128">
        <v>1500000</v>
      </c>
      <c r="L91" s="128">
        <v>1000000</v>
      </c>
      <c r="M91" s="188">
        <f t="shared" si="36"/>
        <v>0.97684775000000001</v>
      </c>
      <c r="R91" s="90"/>
      <c r="S91" s="90"/>
    </row>
    <row r="92" spans="2:19" x14ac:dyDescent="0.35">
      <c r="B92" s="140" t="s">
        <v>214</v>
      </c>
      <c r="C92" s="123" t="s">
        <v>181</v>
      </c>
      <c r="D92" s="123" t="s">
        <v>181</v>
      </c>
      <c r="E92" s="123" t="str">
        <f t="shared" si="34"/>
        <v>N/A</v>
      </c>
      <c r="F92" s="123" t="s">
        <v>181</v>
      </c>
      <c r="G92" s="123" t="s">
        <v>181</v>
      </c>
      <c r="H92" s="189">
        <v>0</v>
      </c>
      <c r="I92" s="189">
        <v>0</v>
      </c>
      <c r="J92" s="189">
        <f t="shared" si="35"/>
        <v>0</v>
      </c>
      <c r="K92" s="189">
        <v>0</v>
      </c>
      <c r="L92" s="128">
        <v>0</v>
      </c>
      <c r="M92" s="188" t="s">
        <v>181</v>
      </c>
      <c r="P92" s="216"/>
      <c r="R92" s="90"/>
      <c r="S92" s="90"/>
    </row>
    <row r="93" spans="2:19" ht="15.75" customHeight="1" x14ac:dyDescent="0.35">
      <c r="B93" s="2" t="s">
        <v>35</v>
      </c>
      <c r="C93" s="214">
        <f>SUM(C87:C92)</f>
        <v>83828.873566540016</v>
      </c>
      <c r="D93" s="118">
        <f>SUM(D87:D92)</f>
        <v>25978.389770185935</v>
      </c>
      <c r="E93" s="118">
        <f>SUM(E87:E92)</f>
        <v>25978.389770185935</v>
      </c>
      <c r="F93" s="118">
        <f>SUM(F87:F92)</f>
        <v>76260.899999999994</v>
      </c>
      <c r="G93" s="215">
        <f>C93/F93</f>
        <v>1.0992379262051724</v>
      </c>
      <c r="H93" s="178">
        <f>SUM(H87:H92)</f>
        <v>33683616.210000001</v>
      </c>
      <c r="I93" s="126">
        <f>SUM(I87:I92)</f>
        <v>22109775.47896</v>
      </c>
      <c r="J93" s="126">
        <f>SUM(J87:J92)</f>
        <v>11573840.731039999</v>
      </c>
      <c r="K93" s="126">
        <f>SUM(K87:K92)</f>
        <v>28190872.754653506</v>
      </c>
      <c r="L93" s="126">
        <f>SUM(L87:L92)</f>
        <v>31773756.403800786</v>
      </c>
      <c r="M93" s="190">
        <f>H93/L93</f>
        <v>1.0601080898942989</v>
      </c>
      <c r="R93" s="90"/>
      <c r="S93" s="90"/>
    </row>
    <row r="94" spans="2:19" ht="15.65" customHeight="1" x14ac:dyDescent="0.35">
      <c r="B94" s="249" t="s">
        <v>36</v>
      </c>
      <c r="C94" s="250"/>
      <c r="D94" s="250"/>
      <c r="E94" s="250"/>
      <c r="F94" s="250"/>
      <c r="G94" s="250"/>
      <c r="H94" s="250"/>
      <c r="I94" s="250"/>
      <c r="J94" s="250"/>
      <c r="K94" s="250"/>
      <c r="L94" s="250"/>
      <c r="M94" s="251"/>
      <c r="P94" s="216"/>
      <c r="R94" s="90"/>
      <c r="S94" s="90"/>
    </row>
    <row r="95" spans="2:19" ht="15.75" customHeight="1" x14ac:dyDescent="0.35">
      <c r="B95" s="140" t="s">
        <v>256</v>
      </c>
      <c r="C95" s="123">
        <v>0</v>
      </c>
      <c r="D95" s="124" t="s">
        <v>181</v>
      </c>
      <c r="E95" s="124" t="str">
        <f>D95</f>
        <v>N/A</v>
      </c>
      <c r="F95" s="181">
        <v>351</v>
      </c>
      <c r="G95" s="210">
        <f t="shared" ref="G95:G108" si="37">IF(F95=0,"N/A",C95/F95)</f>
        <v>0</v>
      </c>
      <c r="H95" s="189">
        <v>589257.17000000004</v>
      </c>
      <c r="I95" s="189">
        <f>H95*0.676</f>
        <v>398337.84692000004</v>
      </c>
      <c r="J95" s="189">
        <f>H95-I95</f>
        <v>190919.32308</v>
      </c>
      <c r="K95" s="128">
        <v>0</v>
      </c>
      <c r="L95" s="128">
        <v>0</v>
      </c>
      <c r="M95" s="128" t="str">
        <f>IF(L95=0,"N/A",H95/L95)</f>
        <v>N/A</v>
      </c>
      <c r="R95" s="90"/>
      <c r="S95" s="90"/>
    </row>
    <row r="96" spans="2:19" x14ac:dyDescent="0.35">
      <c r="B96" s="140" t="s">
        <v>257</v>
      </c>
      <c r="C96" s="123">
        <v>337.3</v>
      </c>
      <c r="D96" s="124" t="s">
        <v>181</v>
      </c>
      <c r="E96" s="124" t="str">
        <f t="shared" ref="E96:E108" si="38">D96</f>
        <v>N/A</v>
      </c>
      <c r="F96" s="181">
        <v>2158</v>
      </c>
      <c r="G96" s="210">
        <f>IF(F96=0,"N/A",C96/F96)</f>
        <v>0.15630213160333642</v>
      </c>
      <c r="H96" s="189">
        <v>806462.44</v>
      </c>
      <c r="I96" s="189">
        <f t="shared" ref="I96:I105" si="39">H96*0.676</f>
        <v>545168.60944000003</v>
      </c>
      <c r="J96" s="189">
        <f t="shared" ref="J96:J108" si="40">H96-I96</f>
        <v>261293.83055999991</v>
      </c>
      <c r="K96" s="128">
        <v>0</v>
      </c>
      <c r="L96" s="128">
        <v>0</v>
      </c>
      <c r="M96" s="128" t="str">
        <f t="shared" ref="M96:M108" si="41">IF(L96=0,"N/A",H96/L96)</f>
        <v>N/A</v>
      </c>
      <c r="R96" s="90"/>
      <c r="S96" s="90"/>
    </row>
    <row r="97" spans="2:19" x14ac:dyDescent="0.35">
      <c r="B97" s="140" t="s">
        <v>277</v>
      </c>
      <c r="C97" s="123">
        <v>5560.8019999999997</v>
      </c>
      <c r="D97" s="124" t="s">
        <v>181</v>
      </c>
      <c r="E97" s="124" t="str">
        <f t="shared" si="38"/>
        <v>N/A</v>
      </c>
      <c r="F97" s="181">
        <v>4572</v>
      </c>
      <c r="G97" s="210">
        <f t="shared" si="37"/>
        <v>1.2162734033245843</v>
      </c>
      <c r="H97" s="189">
        <v>2170532.2799999998</v>
      </c>
      <c r="I97" s="189">
        <f t="shared" si="39"/>
        <v>1467279.82128</v>
      </c>
      <c r="J97" s="189">
        <f t="shared" si="40"/>
        <v>703252.45871999976</v>
      </c>
      <c r="K97" s="128">
        <v>0</v>
      </c>
      <c r="L97" s="128">
        <v>0</v>
      </c>
      <c r="M97" s="128" t="str">
        <f>IF(L97=0,"N/A",H98/L97)</f>
        <v>N/A</v>
      </c>
      <c r="R97" s="90"/>
      <c r="S97" s="90"/>
    </row>
    <row r="98" spans="2:19" x14ac:dyDescent="0.35">
      <c r="B98" s="140" t="s">
        <v>222</v>
      </c>
      <c r="C98" s="123">
        <v>61523.989831999985</v>
      </c>
      <c r="D98" s="124">
        <v>2981.2292664001043</v>
      </c>
      <c r="E98" s="124">
        <f t="shared" si="38"/>
        <v>2981.2292664001043</v>
      </c>
      <c r="F98" s="181">
        <v>61524</v>
      </c>
      <c r="G98" s="210">
        <f t="shared" si="37"/>
        <v>0.99999983473116161</v>
      </c>
      <c r="H98" s="189">
        <v>4556501.3900000006</v>
      </c>
      <c r="I98" s="189">
        <f t="shared" si="39"/>
        <v>3080194.9396400005</v>
      </c>
      <c r="J98" s="189">
        <f t="shared" si="40"/>
        <v>1476306.4503600001</v>
      </c>
      <c r="K98" s="128">
        <v>0</v>
      </c>
      <c r="L98" s="128">
        <v>0</v>
      </c>
      <c r="M98" s="128" t="str">
        <f>IF(L98=0,"N/A",#REF!/L98)</f>
        <v>N/A</v>
      </c>
      <c r="R98" s="90"/>
      <c r="S98" s="90"/>
    </row>
    <row r="99" spans="2:19" x14ac:dyDescent="0.35">
      <c r="B99" s="140" t="s">
        <v>258</v>
      </c>
      <c r="C99" s="123">
        <v>3182.5750000000003</v>
      </c>
      <c r="D99" s="124" t="s">
        <v>181</v>
      </c>
      <c r="E99" s="124" t="str">
        <f t="shared" si="38"/>
        <v>N/A</v>
      </c>
      <c r="F99" s="181">
        <v>2000</v>
      </c>
      <c r="G99" s="210">
        <f t="shared" si="37"/>
        <v>1.5912875000000002</v>
      </c>
      <c r="H99" s="189">
        <v>2457990.1999999997</v>
      </c>
      <c r="I99" s="189">
        <f t="shared" si="39"/>
        <v>1661601.3751999999</v>
      </c>
      <c r="J99" s="189">
        <f t="shared" si="40"/>
        <v>796388.82479999983</v>
      </c>
      <c r="K99" s="128">
        <v>0</v>
      </c>
      <c r="L99" s="128">
        <v>0</v>
      </c>
      <c r="M99" s="128" t="str">
        <f t="shared" si="41"/>
        <v>N/A</v>
      </c>
      <c r="R99" s="90"/>
      <c r="S99" s="90"/>
    </row>
    <row r="100" spans="2:19" ht="26" x14ac:dyDescent="0.35">
      <c r="B100" s="140" t="s">
        <v>284</v>
      </c>
      <c r="C100" s="123">
        <v>16775.752</v>
      </c>
      <c r="D100" s="124">
        <v>1085.4867806089944</v>
      </c>
      <c r="E100" s="124">
        <f t="shared" si="38"/>
        <v>1085.4867806089944</v>
      </c>
      <c r="F100" s="181">
        <v>16779</v>
      </c>
      <c r="G100" s="210">
        <f>IF(F100=0,"N/A",C100/F100)</f>
        <v>0.99980642469753866</v>
      </c>
      <c r="H100" s="189">
        <f>3934230.05+137360.12</f>
        <v>4071590.17</v>
      </c>
      <c r="I100" s="189">
        <f t="shared" si="39"/>
        <v>2752394.9549199999</v>
      </c>
      <c r="J100" s="189">
        <f t="shared" si="40"/>
        <v>1319195.21508</v>
      </c>
      <c r="K100" s="128">
        <v>0</v>
      </c>
      <c r="L100" s="128">
        <v>0</v>
      </c>
      <c r="M100" s="128" t="str">
        <f t="shared" si="41"/>
        <v>N/A</v>
      </c>
      <c r="R100" s="90"/>
      <c r="S100" s="90"/>
    </row>
    <row r="101" spans="2:19" x14ac:dyDescent="0.35">
      <c r="B101" s="140" t="s">
        <v>259</v>
      </c>
      <c r="C101" s="123">
        <v>410.12513037999992</v>
      </c>
      <c r="D101" s="124" t="s">
        <v>181</v>
      </c>
      <c r="E101" s="124" t="str">
        <f t="shared" si="38"/>
        <v>N/A</v>
      </c>
      <c r="F101" s="181">
        <v>421.52</v>
      </c>
      <c r="G101" s="210">
        <f t="shared" si="37"/>
        <v>0.97296719107041174</v>
      </c>
      <c r="H101" s="189">
        <v>566535.04999999993</v>
      </c>
      <c r="I101" s="189">
        <f t="shared" si="39"/>
        <v>382977.69379999995</v>
      </c>
      <c r="J101" s="189">
        <f t="shared" si="40"/>
        <v>183557.35619999998</v>
      </c>
      <c r="K101" s="128">
        <v>0</v>
      </c>
      <c r="L101" s="128">
        <v>0</v>
      </c>
      <c r="M101" s="128" t="str">
        <f t="shared" si="41"/>
        <v>N/A</v>
      </c>
      <c r="R101" s="90"/>
      <c r="S101" s="90"/>
    </row>
    <row r="102" spans="2:19" x14ac:dyDescent="0.35">
      <c r="B102" s="140" t="s">
        <v>260</v>
      </c>
      <c r="C102" s="123">
        <v>3655.2064084000003</v>
      </c>
      <c r="D102" s="124" t="s">
        <v>181</v>
      </c>
      <c r="E102" s="124" t="str">
        <f t="shared" si="38"/>
        <v>N/A</v>
      </c>
      <c r="F102" s="181">
        <v>3644.2500000000009</v>
      </c>
      <c r="G102" s="210">
        <f t="shared" si="37"/>
        <v>1.0030064919805171</v>
      </c>
      <c r="H102" s="189">
        <v>1470700.6099999999</v>
      </c>
      <c r="I102" s="189">
        <f t="shared" si="39"/>
        <v>994193.61236000003</v>
      </c>
      <c r="J102" s="189">
        <f t="shared" si="40"/>
        <v>476506.99763999984</v>
      </c>
      <c r="K102" s="128">
        <v>0</v>
      </c>
      <c r="L102" s="128">
        <v>0</v>
      </c>
      <c r="M102" s="128" t="str">
        <f t="shared" si="41"/>
        <v>N/A</v>
      </c>
      <c r="R102" s="90"/>
      <c r="S102" s="90"/>
    </row>
    <row r="103" spans="2:19" x14ac:dyDescent="0.35">
      <c r="B103" s="140" t="s">
        <v>261</v>
      </c>
      <c r="C103" s="123">
        <v>4614.3999999999996</v>
      </c>
      <c r="D103" s="124">
        <v>189.04889851623668</v>
      </c>
      <c r="E103" s="124">
        <f t="shared" si="38"/>
        <v>189.04889851623668</v>
      </c>
      <c r="F103" s="181">
        <v>4686</v>
      </c>
      <c r="G103" s="210">
        <f>IF(F103=0,"N/A",C103/F103)</f>
        <v>0.98472044387537339</v>
      </c>
      <c r="H103" s="189">
        <v>922655.10999999987</v>
      </c>
      <c r="I103" s="189">
        <f t="shared" si="39"/>
        <v>623714.85436</v>
      </c>
      <c r="J103" s="189">
        <f t="shared" si="40"/>
        <v>298940.25563999987</v>
      </c>
      <c r="K103" s="128">
        <v>0</v>
      </c>
      <c r="L103" s="128">
        <v>0</v>
      </c>
      <c r="M103" s="128" t="str">
        <f t="shared" si="41"/>
        <v>N/A</v>
      </c>
      <c r="R103" s="90"/>
      <c r="S103" s="90"/>
    </row>
    <row r="104" spans="2:19" ht="26" x14ac:dyDescent="0.35">
      <c r="B104" s="140" t="s">
        <v>278</v>
      </c>
      <c r="C104" s="123">
        <v>0</v>
      </c>
      <c r="D104" s="124" t="s">
        <v>181</v>
      </c>
      <c r="E104" s="124" t="str">
        <f t="shared" si="38"/>
        <v>N/A</v>
      </c>
      <c r="F104" s="181">
        <v>5040</v>
      </c>
      <c r="G104" s="210">
        <f t="shared" si="37"/>
        <v>0</v>
      </c>
      <c r="H104" s="189">
        <v>456836.44999999995</v>
      </c>
      <c r="I104" s="189">
        <f t="shared" si="39"/>
        <v>308821.44020000001</v>
      </c>
      <c r="J104" s="189">
        <f t="shared" si="40"/>
        <v>148015.00979999994</v>
      </c>
      <c r="K104" s="128">
        <v>0</v>
      </c>
      <c r="L104" s="128">
        <v>0</v>
      </c>
      <c r="M104" s="128" t="str">
        <f t="shared" si="41"/>
        <v>N/A</v>
      </c>
      <c r="R104" s="90"/>
      <c r="S104" s="90"/>
    </row>
    <row r="105" spans="2:19" ht="15" customHeight="1" x14ac:dyDescent="0.35">
      <c r="B105" s="140" t="s">
        <v>221</v>
      </c>
      <c r="C105" s="123">
        <v>8431</v>
      </c>
      <c r="D105" s="124">
        <v>2344.9519940445821</v>
      </c>
      <c r="E105" s="124">
        <f t="shared" si="38"/>
        <v>2344.9519940445821</v>
      </c>
      <c r="F105" s="181">
        <v>8798</v>
      </c>
      <c r="G105" s="210">
        <f t="shared" si="37"/>
        <v>0.95828597408501937</v>
      </c>
      <c r="H105" s="189">
        <v>1352326.21</v>
      </c>
      <c r="I105" s="189">
        <f t="shared" si="39"/>
        <v>914172.51796000008</v>
      </c>
      <c r="J105" s="189">
        <f t="shared" si="40"/>
        <v>438153.69203999988</v>
      </c>
      <c r="K105" s="128">
        <v>743077.10599999991</v>
      </c>
      <c r="L105" s="128">
        <v>0</v>
      </c>
      <c r="M105" s="128" t="str">
        <f>IF(L105=0,"N/A",H105/L105)</f>
        <v>N/A</v>
      </c>
      <c r="R105" s="90"/>
      <c r="S105" s="90"/>
    </row>
    <row r="106" spans="2:19" ht="15" customHeight="1" x14ac:dyDescent="0.35">
      <c r="B106" s="140" t="s">
        <v>170</v>
      </c>
      <c r="C106" s="123">
        <v>0</v>
      </c>
      <c r="D106" s="124">
        <v>88</v>
      </c>
      <c r="E106" s="124">
        <f t="shared" si="38"/>
        <v>88</v>
      </c>
      <c r="F106" s="124">
        <v>0</v>
      </c>
      <c r="G106" s="210" t="str">
        <f t="shared" si="37"/>
        <v>N/A</v>
      </c>
      <c r="H106" s="189">
        <v>0</v>
      </c>
      <c r="I106" s="189">
        <v>0</v>
      </c>
      <c r="J106" s="189">
        <f t="shared" si="40"/>
        <v>0</v>
      </c>
      <c r="K106" s="128">
        <v>0</v>
      </c>
      <c r="L106" s="128">
        <v>0</v>
      </c>
      <c r="M106" s="128" t="str">
        <f t="shared" si="41"/>
        <v>N/A</v>
      </c>
      <c r="R106" s="90"/>
      <c r="S106" s="90"/>
    </row>
    <row r="107" spans="2:19" ht="15" customHeight="1" x14ac:dyDescent="0.35">
      <c r="B107" s="140" t="s">
        <v>263</v>
      </c>
      <c r="C107" s="123">
        <v>0</v>
      </c>
      <c r="D107" s="124">
        <v>20000</v>
      </c>
      <c r="E107" s="124">
        <f t="shared" si="38"/>
        <v>20000</v>
      </c>
      <c r="F107" s="124">
        <v>0</v>
      </c>
      <c r="G107" s="210" t="str">
        <f t="shared" si="37"/>
        <v>N/A</v>
      </c>
      <c r="H107" s="189">
        <v>0</v>
      </c>
      <c r="I107" s="189">
        <v>0</v>
      </c>
      <c r="J107" s="189">
        <f t="shared" si="40"/>
        <v>0</v>
      </c>
      <c r="K107" s="128">
        <v>19000000</v>
      </c>
      <c r="L107" s="128">
        <v>14700000</v>
      </c>
      <c r="M107" s="188">
        <f>IF(L107=0,"N/A",H107/L107)</f>
        <v>0</v>
      </c>
      <c r="R107" s="90"/>
      <c r="S107" s="90"/>
    </row>
    <row r="108" spans="2:19" ht="15" customHeight="1" x14ac:dyDescent="0.35">
      <c r="B108" s="140" t="s">
        <v>264</v>
      </c>
      <c r="C108" s="123">
        <v>0</v>
      </c>
      <c r="D108" s="124">
        <v>63333</v>
      </c>
      <c r="E108" s="124">
        <f t="shared" si="38"/>
        <v>63333</v>
      </c>
      <c r="F108" s="124">
        <v>0</v>
      </c>
      <c r="G108" s="210" t="str">
        <f t="shared" si="37"/>
        <v>N/A</v>
      </c>
      <c r="H108" s="189">
        <v>0</v>
      </c>
      <c r="I108" s="189">
        <v>0</v>
      </c>
      <c r="J108" s="189">
        <f t="shared" si="40"/>
        <v>0</v>
      </c>
      <c r="K108" s="128">
        <v>6000000</v>
      </c>
      <c r="L108" s="128">
        <v>10300000</v>
      </c>
      <c r="M108" s="188">
        <f t="shared" si="41"/>
        <v>0</v>
      </c>
      <c r="R108" s="90"/>
      <c r="S108" s="90"/>
    </row>
    <row r="109" spans="2:19" ht="25" x14ac:dyDescent="0.35">
      <c r="B109" s="76" t="s">
        <v>37</v>
      </c>
      <c r="C109" s="214">
        <f>SUM(C95:C108)</f>
        <v>104491.15037077999</v>
      </c>
      <c r="D109" s="118">
        <f t="shared" ref="D109:E109" si="42">SUM(D95:D108)</f>
        <v>90021.716939569917</v>
      </c>
      <c r="E109" s="118">
        <f t="shared" si="42"/>
        <v>90021.716939569917</v>
      </c>
      <c r="F109" s="118">
        <f>SUM(F95:F108)</f>
        <v>109973.77</v>
      </c>
      <c r="G109" s="215">
        <f>C109/F109</f>
        <v>0.95014611548535599</v>
      </c>
      <c r="H109" s="126">
        <f t="shared" ref="H109:J109" si="43">SUM(H95:H108)</f>
        <v>19421387.080000002</v>
      </c>
      <c r="I109" s="126">
        <f t="shared" si="43"/>
        <v>13128857.66608</v>
      </c>
      <c r="J109" s="126">
        <f t="shared" si="43"/>
        <v>6292529.4139199993</v>
      </c>
      <c r="K109" s="126">
        <f>SUM(K95:K108)</f>
        <v>25743077.105999999</v>
      </c>
      <c r="L109" s="126">
        <f>SUM(L95:L108)</f>
        <v>25000000</v>
      </c>
      <c r="M109" s="190">
        <f>H109/L109</f>
        <v>0.77685548320000009</v>
      </c>
      <c r="O109" s="138"/>
      <c r="R109" s="90"/>
      <c r="S109" s="90"/>
    </row>
    <row r="110" spans="2:19" ht="16.149999999999999" customHeight="1" x14ac:dyDescent="0.35">
      <c r="B110" s="261" t="s">
        <v>52</v>
      </c>
      <c r="C110" s="262"/>
      <c r="D110" s="262"/>
      <c r="E110" s="262"/>
      <c r="F110" s="262"/>
      <c r="G110" s="262"/>
      <c r="H110" s="262"/>
      <c r="I110" s="262"/>
      <c r="J110" s="262"/>
      <c r="K110" s="262"/>
      <c r="L110" s="262"/>
      <c r="M110" s="263"/>
      <c r="R110" s="90"/>
      <c r="S110" s="90"/>
    </row>
    <row r="111" spans="2:19" ht="16.149999999999999" customHeight="1" x14ac:dyDescent="0.35">
      <c r="B111" s="220" t="s">
        <v>265</v>
      </c>
      <c r="C111" s="224">
        <v>0</v>
      </c>
      <c r="D111" s="224">
        <v>0</v>
      </c>
      <c r="E111" s="224">
        <f>D111</f>
        <v>0</v>
      </c>
      <c r="F111" s="224">
        <v>0</v>
      </c>
      <c r="G111" s="210" t="s">
        <v>181</v>
      </c>
      <c r="H111" s="225">
        <v>12148505.060000001</v>
      </c>
      <c r="I111" s="189">
        <v>0</v>
      </c>
      <c r="J111" s="189">
        <f>H111-I111</f>
        <v>12148505.060000001</v>
      </c>
      <c r="K111" s="189">
        <v>13300000</v>
      </c>
      <c r="L111" s="189">
        <v>13300000</v>
      </c>
      <c r="M111" s="188">
        <f>H111/L111</f>
        <v>0.91342143308270685</v>
      </c>
      <c r="R111" s="90"/>
      <c r="S111" s="90"/>
    </row>
    <row r="112" spans="2:19" x14ac:dyDescent="0.35">
      <c r="B112" s="220" t="s">
        <v>213</v>
      </c>
      <c r="C112" s="224">
        <v>179906</v>
      </c>
      <c r="D112" s="224">
        <v>200000</v>
      </c>
      <c r="E112" s="224">
        <f>D112</f>
        <v>200000</v>
      </c>
      <c r="F112" s="181">
        <v>193341</v>
      </c>
      <c r="G112" s="210">
        <f>C112/F112</f>
        <v>0.93051137627300984</v>
      </c>
      <c r="H112" s="226" t="s">
        <v>181</v>
      </c>
      <c r="I112" s="226" t="s">
        <v>181</v>
      </c>
      <c r="J112" s="125" t="s">
        <v>181</v>
      </c>
      <c r="K112" s="125" t="s">
        <v>181</v>
      </c>
      <c r="L112" s="125" t="s">
        <v>181</v>
      </c>
      <c r="M112" s="188" t="s">
        <v>181</v>
      </c>
      <c r="R112" s="90"/>
      <c r="S112" s="90"/>
    </row>
    <row r="113" spans="2:19" x14ac:dyDescent="0.35">
      <c r="B113" s="220" t="s">
        <v>280</v>
      </c>
      <c r="C113" s="224">
        <v>0</v>
      </c>
      <c r="D113" s="224">
        <v>0</v>
      </c>
      <c r="E113" s="224">
        <v>0</v>
      </c>
      <c r="F113" s="224">
        <v>0</v>
      </c>
      <c r="G113" s="210" t="s">
        <v>181</v>
      </c>
      <c r="H113" s="227">
        <v>774000</v>
      </c>
      <c r="I113" s="227">
        <v>0</v>
      </c>
      <c r="J113" s="199">
        <v>220075.37000000005</v>
      </c>
      <c r="K113" s="199">
        <v>0</v>
      </c>
      <c r="L113" s="199">
        <v>768000</v>
      </c>
      <c r="M113" s="188">
        <v>0.28655647135416673</v>
      </c>
      <c r="R113" s="90"/>
      <c r="S113" s="90"/>
    </row>
    <row r="114" spans="2:19" ht="25" x14ac:dyDescent="0.35">
      <c r="B114" s="76" t="s">
        <v>53</v>
      </c>
      <c r="C114" s="214">
        <f>SUM(C111:C112)</f>
        <v>179906</v>
      </c>
      <c r="D114" s="118">
        <f t="shared" ref="D114:F114" si="44">SUM(D111:D112)</f>
        <v>200000</v>
      </c>
      <c r="E114" s="118">
        <f t="shared" ref="E114" si="45">D114</f>
        <v>200000</v>
      </c>
      <c r="F114" s="118">
        <f t="shared" si="44"/>
        <v>193341</v>
      </c>
      <c r="G114" s="215">
        <f>C114/F114</f>
        <v>0.93051137627300984</v>
      </c>
      <c r="H114" s="126">
        <f>SUM(H111:H113)</f>
        <v>12922505.060000001</v>
      </c>
      <c r="I114" s="126">
        <f t="shared" ref="I114:L114" si="46">SUM(I111:I113)</f>
        <v>0</v>
      </c>
      <c r="J114" s="126">
        <f t="shared" si="46"/>
        <v>12368580.43</v>
      </c>
      <c r="K114" s="126">
        <f t="shared" si="46"/>
        <v>13300000</v>
      </c>
      <c r="L114" s="126">
        <f t="shared" si="46"/>
        <v>14068000</v>
      </c>
      <c r="M114" s="190">
        <f t="shared" si="36"/>
        <v>0.91857442849019055</v>
      </c>
      <c r="R114" s="90"/>
      <c r="S114" s="90"/>
    </row>
    <row r="115" spans="2:19" x14ac:dyDescent="0.35">
      <c r="B115" s="76" t="s">
        <v>240</v>
      </c>
      <c r="C115" s="214">
        <v>102181</v>
      </c>
      <c r="D115" s="118"/>
      <c r="E115" s="118">
        <v>102292</v>
      </c>
      <c r="F115" s="118">
        <v>102181</v>
      </c>
      <c r="G115" s="215">
        <f>C115/F115</f>
        <v>1</v>
      </c>
      <c r="H115" s="126" t="s">
        <v>181</v>
      </c>
      <c r="I115" s="126" t="s">
        <v>181</v>
      </c>
      <c r="J115" s="126" t="s">
        <v>181</v>
      </c>
      <c r="K115" s="126" t="s">
        <v>181</v>
      </c>
      <c r="L115" s="126" t="s">
        <v>181</v>
      </c>
      <c r="M115" s="190" t="s">
        <v>181</v>
      </c>
      <c r="R115" s="90"/>
      <c r="S115" s="90"/>
    </row>
    <row r="116" spans="2:19" ht="38.65" customHeight="1" x14ac:dyDescent="0.35">
      <c r="B116" s="76" t="s">
        <v>223</v>
      </c>
      <c r="C116" s="214">
        <v>53094.428</v>
      </c>
      <c r="D116" s="118" t="s">
        <v>181</v>
      </c>
      <c r="E116" s="118" t="s">
        <v>181</v>
      </c>
      <c r="F116" s="118">
        <v>53094.428</v>
      </c>
      <c r="G116" s="215">
        <f>C116/F116</f>
        <v>1</v>
      </c>
      <c r="H116" s="126" t="s">
        <v>181</v>
      </c>
      <c r="I116" s="126" t="s">
        <v>181</v>
      </c>
      <c r="J116" s="126" t="s">
        <v>181</v>
      </c>
      <c r="K116" s="126" t="s">
        <v>181</v>
      </c>
      <c r="L116" s="126" t="s">
        <v>181</v>
      </c>
      <c r="M116" s="190" t="s">
        <v>181</v>
      </c>
      <c r="O116" s="138"/>
      <c r="R116" s="90"/>
      <c r="S116" s="90"/>
    </row>
    <row r="117" spans="2:19" s="62" customFormat="1" ht="29.25" customHeight="1" x14ac:dyDescent="0.35">
      <c r="B117" s="88" t="s">
        <v>237</v>
      </c>
      <c r="C117" s="121">
        <f>SUM(C39,C85,C93,C109,C114,C116,C115)</f>
        <v>1710037.7801335917</v>
      </c>
      <c r="D117" s="121">
        <f>SUM(D39,D85,D93,D109,D114,D116,D115)</f>
        <v>1527490.8910777657</v>
      </c>
      <c r="E117" s="121">
        <f>SUM(E39,E85,E93,E109,E114,E116,E115)</f>
        <v>1629782.8910777657</v>
      </c>
      <c r="F117" s="121">
        <f>SUM(F39,F85,F93,F109,F114,F116,F115)</f>
        <v>1703737.4096417555</v>
      </c>
      <c r="G117" s="191">
        <f>C117/F117</f>
        <v>1.0036979703892051</v>
      </c>
      <c r="H117" s="122">
        <f>SUM(H39,H85,H93,H109,H114,H116,H115)</f>
        <v>306616405.69</v>
      </c>
      <c r="I117" s="122">
        <f>SUM(I39,I85,I93,I109,I114,I116,I115)</f>
        <v>186670368.96456</v>
      </c>
      <c r="J117" s="122">
        <f>SUM(J39,J85,J93,J109,J114,J116,J115)</f>
        <v>119392112.09543997</v>
      </c>
      <c r="K117" s="122">
        <f>SUM(K39,K85,K93,K109,K114,K116,K115)</f>
        <v>319527848.34432334</v>
      </c>
      <c r="L117" s="122">
        <f>SUM(L39,L85,L93,L109,L114,L116,L115)</f>
        <v>310956845.07769811</v>
      </c>
      <c r="M117" s="191">
        <f>H117/L117</f>
        <v>0.98604166637137836</v>
      </c>
      <c r="R117" s="42"/>
      <c r="S117" s="42"/>
    </row>
    <row r="118" spans="2:19" s="42" customFormat="1" x14ac:dyDescent="0.35">
      <c r="B118" s="78"/>
      <c r="C118" s="37"/>
      <c r="D118" s="79"/>
      <c r="E118" s="80"/>
      <c r="F118" s="80"/>
      <c r="G118" s="40"/>
      <c r="H118" s="41"/>
      <c r="I118" s="41"/>
      <c r="J118" s="41"/>
      <c r="K118" s="41"/>
      <c r="L118" s="41"/>
      <c r="M118" s="40"/>
      <c r="O118" s="229"/>
    </row>
    <row r="119" spans="2:19" x14ac:dyDescent="0.35">
      <c r="B119" s="37"/>
      <c r="C119" s="37"/>
      <c r="D119" s="129"/>
      <c r="E119" s="143"/>
      <c r="F119" s="39"/>
      <c r="G119" s="142"/>
      <c r="H119" s="41"/>
      <c r="I119" s="41"/>
      <c r="J119" s="41"/>
      <c r="K119" s="41"/>
      <c r="L119" s="41"/>
      <c r="M119" s="40"/>
    </row>
    <row r="120" spans="2:19" ht="14.5" customHeight="1" x14ac:dyDescent="0.35">
      <c r="B120" s="38" t="s">
        <v>18</v>
      </c>
      <c r="C120" s="38"/>
      <c r="D120" s="130"/>
      <c r="G120" s="211"/>
      <c r="L120" s="3"/>
    </row>
    <row r="121" spans="2:19" x14ac:dyDescent="0.35">
      <c r="B121" s="258" t="s">
        <v>242</v>
      </c>
      <c r="C121" s="259"/>
      <c r="D121" s="259"/>
      <c r="E121" s="259"/>
      <c r="F121" s="259"/>
      <c r="G121" s="259"/>
      <c r="H121" s="259"/>
      <c r="I121" s="259"/>
      <c r="J121" s="259"/>
      <c r="K121" s="259"/>
      <c r="L121" s="259"/>
      <c r="M121" s="260"/>
    </row>
    <row r="122" spans="2:19" ht="14.5" customHeight="1" x14ac:dyDescent="0.35">
      <c r="B122" s="246" t="s">
        <v>241</v>
      </c>
      <c r="C122" s="247"/>
      <c r="D122" s="247"/>
      <c r="E122" s="247"/>
      <c r="F122" s="247"/>
      <c r="G122" s="247"/>
      <c r="H122" s="247"/>
      <c r="I122" s="247"/>
      <c r="J122" s="247"/>
      <c r="K122" s="247"/>
      <c r="L122" s="247"/>
      <c r="M122" s="248"/>
    </row>
    <row r="123" spans="2:19" ht="15" customHeight="1" x14ac:dyDescent="0.35">
      <c r="B123" s="252" t="s">
        <v>243</v>
      </c>
      <c r="C123" s="253"/>
      <c r="D123" s="253"/>
      <c r="E123" s="253"/>
      <c r="F123" s="253"/>
      <c r="G123" s="253"/>
      <c r="H123" s="253"/>
      <c r="I123" s="253"/>
      <c r="J123" s="253"/>
      <c r="K123" s="253"/>
      <c r="L123" s="253"/>
      <c r="M123" s="254"/>
    </row>
    <row r="124" spans="2:19" x14ac:dyDescent="0.35">
      <c r="B124" s="255"/>
      <c r="C124" s="256"/>
      <c r="D124" s="256"/>
      <c r="E124" s="256"/>
      <c r="F124" s="256"/>
      <c r="G124" s="256"/>
      <c r="H124" s="256"/>
      <c r="I124" s="256"/>
      <c r="J124" s="256"/>
      <c r="K124" s="256"/>
      <c r="L124" s="256"/>
      <c r="M124" s="257"/>
    </row>
    <row r="125" spans="2:19" ht="34.9" customHeight="1" x14ac:dyDescent="0.35">
      <c r="B125" s="246" t="s">
        <v>244</v>
      </c>
      <c r="C125" s="247"/>
      <c r="D125" s="247"/>
      <c r="E125" s="247"/>
      <c r="F125" s="247"/>
      <c r="G125" s="247"/>
      <c r="H125" s="247"/>
      <c r="I125" s="247"/>
      <c r="J125" s="247"/>
      <c r="K125" s="247"/>
      <c r="L125" s="247"/>
      <c r="M125" s="248"/>
    </row>
    <row r="126" spans="2:19" ht="34.9" customHeight="1" x14ac:dyDescent="0.35">
      <c r="B126" s="243" t="s">
        <v>287</v>
      </c>
      <c r="C126" s="244"/>
      <c r="D126" s="244"/>
      <c r="E126" s="244"/>
      <c r="F126" s="244"/>
      <c r="G126" s="244"/>
      <c r="H126" s="244"/>
      <c r="I126" s="244"/>
      <c r="J126" s="244"/>
      <c r="K126" s="244"/>
      <c r="L126" s="244"/>
      <c r="M126" s="245"/>
    </row>
  </sheetData>
  <autoFilter ref="B20:M117" xr:uid="{F331C285-59A9-4E06-8D2D-66E82F0E291B}"/>
  <mergeCells count="10">
    <mergeCell ref="B5:M6"/>
    <mergeCell ref="B8:M16"/>
    <mergeCell ref="B126:M126"/>
    <mergeCell ref="B125:M125"/>
    <mergeCell ref="B86:M86"/>
    <mergeCell ref="B94:M94"/>
    <mergeCell ref="B123:M124"/>
    <mergeCell ref="B122:M122"/>
    <mergeCell ref="B121:M121"/>
    <mergeCell ref="B110:M110"/>
  </mergeCells>
  <printOptions horizontalCentered="1" headings="1"/>
  <pageMargins left="1" right="1" top="1" bottom="1" header="0.5" footer="0.5"/>
  <pageSetup paperSize="17" scale="87" fitToHeight="0" orientation="landscape" r:id="rId1"/>
  <headerFooter scaleWithDoc="0">
    <oddHeader>&amp;R&amp;"Arial,Bold"ICC Docket No. 17-0312
Statewide Quarterly Report ComEd 2019 Q2 
Tab: &amp;A</oddHeader>
  </headerFooter>
  <ignoredErrors>
    <ignoredError sqref="E22 E27:E36 G22:G36 G39:H39 E39:F39 E56:G56 E57 G57 J56 G74 G40 E40 M39" formula="1"/>
    <ignoredError sqref="C40 C57 H56:H57 L57:M57 L56 L74" formulaRange="1"/>
    <ignoredError sqref="F57 M56 H74 H40 F40"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2"/>
  <sheetViews>
    <sheetView zoomScaleNormal="100" workbookViewId="0">
      <selection activeCell="C19" sqref="C19"/>
    </sheetView>
  </sheetViews>
  <sheetFormatPr defaultRowHeight="14.5" x14ac:dyDescent="0.35"/>
  <cols>
    <col min="1" max="1" width="3.453125" customWidth="1"/>
    <col min="2" max="2" width="62.54296875" style="4" customWidth="1"/>
    <col min="3" max="3" width="21.453125" style="4" customWidth="1"/>
    <col min="4" max="4" width="18.1796875" customWidth="1"/>
    <col min="5" max="5" width="19.1796875" customWidth="1"/>
    <col min="6" max="6" width="14.453125" bestFit="1" customWidth="1"/>
    <col min="7" max="7" width="16.81640625" customWidth="1"/>
    <col min="9" max="9" width="13.26953125" bestFit="1" customWidth="1"/>
  </cols>
  <sheetData>
    <row r="1" spans="2:7" x14ac:dyDescent="0.35">
      <c r="B1" s="5" t="s">
        <v>0</v>
      </c>
    </row>
    <row r="2" spans="2:7" x14ac:dyDescent="0.35">
      <c r="B2" s="5" t="s">
        <v>142</v>
      </c>
    </row>
    <row r="3" spans="2:7" x14ac:dyDescent="0.35">
      <c r="B3" s="5"/>
    </row>
    <row r="4" spans="2:7" x14ac:dyDescent="0.35">
      <c r="B4" s="5"/>
    </row>
    <row r="5" spans="2:7" ht="37.5" customHeight="1" x14ac:dyDescent="0.35">
      <c r="B5" s="267" t="s">
        <v>149</v>
      </c>
      <c r="C5" s="268"/>
      <c r="D5" s="268"/>
      <c r="E5" s="269"/>
    </row>
    <row r="6" spans="2:7" ht="37.5" customHeight="1" x14ac:dyDescent="0.35">
      <c r="B6" s="270"/>
      <c r="C6" s="271"/>
      <c r="D6" s="271"/>
      <c r="E6" s="272"/>
    </row>
    <row r="7" spans="2:7" ht="18.75" customHeight="1" x14ac:dyDescent="0.35">
      <c r="B7" s="273"/>
      <c r="C7" s="274"/>
      <c r="D7" s="274"/>
      <c r="E7" s="275"/>
    </row>
    <row r="9" spans="2:7" x14ac:dyDescent="0.35">
      <c r="B9" s="5" t="s">
        <v>288</v>
      </c>
    </row>
    <row r="10" spans="2:7" x14ac:dyDescent="0.35">
      <c r="B10" s="5"/>
    </row>
    <row r="11" spans="2:7" ht="32.65" customHeight="1" x14ac:dyDescent="0.35">
      <c r="B11" s="55" t="s">
        <v>144</v>
      </c>
      <c r="C11" s="56" t="s">
        <v>266</v>
      </c>
      <c r="G11" s="221"/>
    </row>
    <row r="12" spans="2:7" s="54" customFormat="1" ht="21" customHeight="1" x14ac:dyDescent="0.35">
      <c r="B12" s="264" t="s">
        <v>145</v>
      </c>
      <c r="C12" s="264"/>
    </row>
    <row r="13" spans="2:7" x14ac:dyDescent="0.35">
      <c r="B13" s="8" t="s">
        <v>140</v>
      </c>
      <c r="C13" s="57">
        <f>'1- Ex Ante Results'!H56</f>
        <v>127982933.97000001</v>
      </c>
    </row>
    <row r="14" spans="2:7" x14ac:dyDescent="0.35">
      <c r="B14" s="8" t="s">
        <v>38</v>
      </c>
      <c r="C14" s="60">
        <f>'1- Ex Ante Results'!H74</f>
        <v>37791023.300000004</v>
      </c>
    </row>
    <row r="15" spans="2:7" x14ac:dyDescent="0.35">
      <c r="B15" s="8" t="s">
        <v>1</v>
      </c>
      <c r="C15" s="60">
        <f>'1- Ex Ante Results'!H85</f>
        <v>74814940.069999993</v>
      </c>
    </row>
    <row r="16" spans="2:7" x14ac:dyDescent="0.35">
      <c r="B16" s="8" t="s">
        <v>34</v>
      </c>
      <c r="C16" s="60">
        <f>'1- Ex Ante Results'!H93</f>
        <v>33683616.210000001</v>
      </c>
      <c r="D16" s="62"/>
    </row>
    <row r="17" spans="1:9" x14ac:dyDescent="0.35">
      <c r="B17" s="8" t="s">
        <v>30</v>
      </c>
      <c r="C17" s="60">
        <v>4277454.2600000007</v>
      </c>
      <c r="D17" s="230"/>
    </row>
    <row r="18" spans="1:9" x14ac:dyDescent="0.35">
      <c r="B18" s="8" t="s">
        <v>41</v>
      </c>
      <c r="C18" s="57">
        <f>'1- Ex Ante Results'!H109</f>
        <v>19421387.080000002</v>
      </c>
      <c r="D18" s="62"/>
    </row>
    <row r="19" spans="1:9" s="20" customFormat="1" ht="21" customHeight="1" x14ac:dyDescent="0.35">
      <c r="B19" s="84" t="s">
        <v>182</v>
      </c>
      <c r="C19" s="85">
        <f>SUM(C13:C18)</f>
        <v>297971354.88999999</v>
      </c>
      <c r="D19" s="231"/>
      <c r="F19" s="147"/>
    </row>
    <row r="20" spans="1:9" s="20" customFormat="1" ht="21" customHeight="1" x14ac:dyDescent="0.35">
      <c r="B20" s="265" t="s">
        <v>146</v>
      </c>
      <c r="C20" s="266"/>
      <c r="D20" s="232"/>
      <c r="E20" s="235"/>
    </row>
    <row r="21" spans="1:9" ht="29.65" customHeight="1" x14ac:dyDescent="0.35">
      <c r="B21" s="58" t="s">
        <v>39</v>
      </c>
      <c r="C21" s="131">
        <f>'1- Ex Ante Results'!H114</f>
        <v>12922505.060000001</v>
      </c>
      <c r="D21" s="233"/>
      <c r="E21" s="138"/>
      <c r="F21" s="138"/>
      <c r="G21" s="146"/>
    </row>
    <row r="22" spans="1:9" x14ac:dyDescent="0.35">
      <c r="B22" s="59" t="s">
        <v>25</v>
      </c>
      <c r="C22" s="60">
        <v>10157178.539999999</v>
      </c>
      <c r="D22" s="233"/>
      <c r="G22" s="146"/>
    </row>
    <row r="23" spans="1:9" x14ac:dyDescent="0.35">
      <c r="B23" s="64" t="s">
        <v>141</v>
      </c>
      <c r="C23" s="60">
        <v>4215435.7300000004</v>
      </c>
      <c r="D23" s="233"/>
      <c r="G23" s="146"/>
    </row>
    <row r="24" spans="1:9" x14ac:dyDescent="0.35">
      <c r="B24" s="8" t="s">
        <v>40</v>
      </c>
      <c r="C24" s="60">
        <v>18236337.780000031</v>
      </c>
      <c r="D24" s="228"/>
      <c r="E24" s="221"/>
      <c r="G24" s="146"/>
    </row>
    <row r="25" spans="1:9" x14ac:dyDescent="0.35">
      <c r="B25" s="8" t="s">
        <v>297</v>
      </c>
      <c r="C25" s="60">
        <v>7878984</v>
      </c>
      <c r="D25" s="228"/>
      <c r="E25" s="221"/>
      <c r="F25" s="138"/>
      <c r="G25" s="222"/>
    </row>
    <row r="26" spans="1:9" s="20" customFormat="1" ht="21" customHeight="1" x14ac:dyDescent="0.35">
      <c r="B26" s="84" t="s">
        <v>183</v>
      </c>
      <c r="C26" s="132">
        <f>SUM(C21:C25)</f>
        <v>53410441.110000029</v>
      </c>
      <c r="D26" s="231"/>
      <c r="G26" s="147"/>
    </row>
    <row r="27" spans="1:9" s="20" customFormat="1" ht="32.65" customHeight="1" x14ac:dyDescent="0.35">
      <c r="B27" s="87" t="s">
        <v>184</v>
      </c>
      <c r="C27" s="133">
        <f>C19+C26</f>
        <v>351381796</v>
      </c>
      <c r="D27" s="54"/>
      <c r="E27" s="192"/>
      <c r="F27" s="147"/>
      <c r="G27" s="193"/>
      <c r="I27" s="147"/>
    </row>
    <row r="28" spans="1:9" s="62" customFormat="1" x14ac:dyDescent="0.35">
      <c r="B28" s="63"/>
      <c r="C28" s="63"/>
    </row>
    <row r="29" spans="1:9" s="54" customFormat="1" ht="17.649999999999999" customHeight="1" x14ac:dyDescent="0.35">
      <c r="B29" s="74"/>
      <c r="C29" s="74"/>
    </row>
    <row r="30" spans="1:9" s="54" customFormat="1" ht="20.149999999999999" customHeight="1" x14ac:dyDescent="0.35">
      <c r="B30" s="75" t="s">
        <v>289</v>
      </c>
      <c r="C30" s="74"/>
    </row>
    <row r="31" spans="1:9" s="62" customFormat="1" ht="36" customHeight="1" x14ac:dyDescent="0.35">
      <c r="A31" s="42"/>
      <c r="B31" s="56" t="s">
        <v>147</v>
      </c>
      <c r="C31" s="56" t="s">
        <v>272</v>
      </c>
      <c r="D31" s="56" t="s">
        <v>273</v>
      </c>
      <c r="E31" s="45" t="s">
        <v>20</v>
      </c>
    </row>
    <row r="32" spans="1:9" s="20" customFormat="1" ht="35.65" customHeight="1" x14ac:dyDescent="0.35">
      <c r="B32" s="86" t="s">
        <v>184</v>
      </c>
      <c r="C32" s="134">
        <f>C27</f>
        <v>351381796</v>
      </c>
      <c r="D32" s="152">
        <v>351334190</v>
      </c>
      <c r="E32" s="153">
        <f>C32/D32</f>
        <v>1.0001355006183714</v>
      </c>
    </row>
  </sheetData>
  <mergeCells count="3">
    <mergeCell ref="B12:C12"/>
    <mergeCell ref="B20:C20"/>
    <mergeCell ref="B5:E7"/>
  </mergeCells>
  <printOptions horizontalCentered="1" headings="1"/>
  <pageMargins left="1" right="1" top="1.25" bottom="1" header="0.5" footer="0.5"/>
  <pageSetup scale="54" orientation="portrait" r:id="rId1"/>
  <headerFooter scaleWithDoc="0">
    <oddHeader>&amp;R&amp;"Arial,Bold"ICC Docket No. 17-0312
Statewide Quarterly Report ComEd 2019 Q2 
Tab: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35"/>
  <sheetViews>
    <sheetView topLeftCell="C1" zoomScaleNormal="100" workbookViewId="0">
      <selection activeCell="I11" sqref="I11"/>
    </sheetView>
  </sheetViews>
  <sheetFormatPr defaultRowHeight="14.5" x14ac:dyDescent="0.35"/>
  <cols>
    <col min="1" max="1" width="3.54296875" customWidth="1"/>
    <col min="2" max="2" width="18.7265625" style="20" customWidth="1"/>
    <col min="3" max="3" width="22.26953125" customWidth="1"/>
    <col min="4" max="4" width="24.26953125" customWidth="1"/>
    <col min="5" max="5" width="18.7265625" customWidth="1"/>
    <col min="6" max="6" width="18.54296875" customWidth="1"/>
    <col min="7" max="7" width="19.453125" customWidth="1"/>
    <col min="8" max="8" width="3.453125" customWidth="1"/>
    <col min="9" max="9" width="31.7265625" customWidth="1"/>
    <col min="10" max="10" width="11.54296875" customWidth="1"/>
    <col min="11" max="13" width="12.453125" customWidth="1"/>
    <col min="14" max="14" width="13.453125" customWidth="1"/>
    <col min="15" max="15" width="12.7265625" customWidth="1"/>
    <col min="16" max="17" width="12.453125" customWidth="1"/>
    <col min="18" max="18" width="12.54296875" customWidth="1"/>
    <col min="19" max="19" width="12.453125" customWidth="1"/>
  </cols>
  <sheetData>
    <row r="1" spans="2:18" x14ac:dyDescent="0.35">
      <c r="B1" s="75" t="s">
        <v>0</v>
      </c>
    </row>
    <row r="2" spans="2:18" x14ac:dyDescent="0.35">
      <c r="B2" s="75" t="s">
        <v>15</v>
      </c>
    </row>
    <row r="3" spans="2:18" x14ac:dyDescent="0.35">
      <c r="B3" s="75"/>
    </row>
    <row r="4" spans="2:18" x14ac:dyDescent="0.35">
      <c r="B4" s="75"/>
    </row>
    <row r="5" spans="2:18" ht="14.65" customHeight="1" x14ac:dyDescent="0.35">
      <c r="B5" s="277" t="s">
        <v>143</v>
      </c>
      <c r="C5" s="277"/>
      <c r="D5" s="277"/>
      <c r="E5" s="277"/>
      <c r="F5" s="277"/>
      <c r="G5" s="277"/>
    </row>
    <row r="6" spans="2:18" x14ac:dyDescent="0.35">
      <c r="B6" s="277"/>
      <c r="C6" s="277"/>
      <c r="D6" s="277"/>
      <c r="E6" s="277"/>
      <c r="F6" s="277"/>
      <c r="G6" s="277"/>
    </row>
    <row r="7" spans="2:18" x14ac:dyDescent="0.35">
      <c r="B7" s="277"/>
      <c r="C7" s="277"/>
      <c r="D7" s="277"/>
      <c r="E7" s="277"/>
      <c r="F7" s="277"/>
      <c r="G7" s="277"/>
    </row>
    <row r="8" spans="2:18" x14ac:dyDescent="0.35">
      <c r="B8" s="277"/>
      <c r="C8" s="277"/>
      <c r="D8" s="277"/>
      <c r="E8" s="277"/>
      <c r="F8" s="277"/>
      <c r="G8" s="277"/>
    </row>
    <row r="9" spans="2:18" x14ac:dyDescent="0.35">
      <c r="B9" s="277"/>
      <c r="C9" s="277"/>
      <c r="D9" s="277"/>
      <c r="E9" s="277"/>
      <c r="F9" s="277"/>
      <c r="G9" s="277"/>
    </row>
    <row r="11" spans="2:18" ht="18" x14ac:dyDescent="0.4">
      <c r="B11" s="44" t="s">
        <v>298</v>
      </c>
      <c r="C11" s="44"/>
      <c r="D11" s="10"/>
      <c r="E11" s="10"/>
      <c r="F11" s="10"/>
      <c r="G11" s="10"/>
      <c r="I11" s="9" t="s">
        <v>232</v>
      </c>
    </row>
    <row r="12" spans="2:18" ht="18" x14ac:dyDescent="0.4">
      <c r="C12" s="11"/>
      <c r="D12" s="10"/>
      <c r="E12" s="10"/>
      <c r="F12" s="10"/>
      <c r="G12" s="10"/>
      <c r="I12" s="6"/>
    </row>
    <row r="13" spans="2:18" s="20" customFormat="1" ht="47.15" customHeight="1" x14ac:dyDescent="0.35">
      <c r="B13" s="18" t="s">
        <v>2</v>
      </c>
      <c r="C13" s="7" t="s">
        <v>127</v>
      </c>
      <c r="D13" s="7" t="s">
        <v>225</v>
      </c>
      <c r="E13" s="7" t="s">
        <v>226</v>
      </c>
      <c r="F13" s="7" t="s">
        <v>227</v>
      </c>
      <c r="G13" s="7" t="s">
        <v>24</v>
      </c>
      <c r="I13" s="21" t="s">
        <v>26</v>
      </c>
      <c r="J13" s="7" t="s">
        <v>6</v>
      </c>
      <c r="K13" s="7" t="s">
        <v>7</v>
      </c>
      <c r="L13" s="7" t="s">
        <v>8</v>
      </c>
      <c r="M13" s="7" t="s">
        <v>9</v>
      </c>
      <c r="N13" s="7" t="s">
        <v>10</v>
      </c>
      <c r="O13" s="7" t="s">
        <v>11</v>
      </c>
      <c r="P13" s="7" t="s">
        <v>12</v>
      </c>
      <c r="Q13" s="7" t="s">
        <v>13</v>
      </c>
      <c r="R13" s="7" t="s">
        <v>123</v>
      </c>
    </row>
    <row r="14" spans="2:18" ht="27" x14ac:dyDescent="0.35">
      <c r="B14" s="114" t="s">
        <v>115</v>
      </c>
      <c r="C14" s="12" t="s">
        <v>172</v>
      </c>
      <c r="D14" s="13">
        <v>163717</v>
      </c>
      <c r="E14" s="13">
        <v>148842</v>
      </c>
      <c r="F14" s="13">
        <f>E14</f>
        <v>148842</v>
      </c>
      <c r="G14" s="14">
        <f>D14/F14</f>
        <v>1.0999381894895257</v>
      </c>
      <c r="I14" s="71" t="s">
        <v>235</v>
      </c>
      <c r="J14" s="19">
        <v>18636</v>
      </c>
      <c r="K14" s="19">
        <v>34038</v>
      </c>
      <c r="L14" s="19">
        <v>54130</v>
      </c>
      <c r="M14" s="19">
        <v>107640</v>
      </c>
      <c r="N14" s="19">
        <v>98944</v>
      </c>
      <c r="O14" s="19">
        <v>86439</v>
      </c>
      <c r="P14" s="19">
        <v>85124.305999999997</v>
      </c>
      <c r="Q14" s="19">
        <v>30340.597000000002</v>
      </c>
      <c r="R14" s="19">
        <v>171941.09</v>
      </c>
    </row>
    <row r="15" spans="2:18" s="20" customFormat="1" ht="27" x14ac:dyDescent="0.25">
      <c r="B15" s="114" t="s">
        <v>116</v>
      </c>
      <c r="C15" s="12" t="s">
        <v>172</v>
      </c>
      <c r="D15" s="69">
        <v>472132</v>
      </c>
      <c r="E15" s="69">
        <v>312339</v>
      </c>
      <c r="F15" s="13">
        <f t="shared" ref="F15:F16" si="0">E15</f>
        <v>312339</v>
      </c>
      <c r="G15" s="70">
        <f t="shared" ref="G15:G30" si="1">D15/F15</f>
        <v>1.5116011769263524</v>
      </c>
      <c r="I15" s="67" t="s">
        <v>125</v>
      </c>
      <c r="J15" s="72" t="s">
        <v>172</v>
      </c>
      <c r="K15" s="72" t="s">
        <v>172</v>
      </c>
      <c r="L15" s="72" t="s">
        <v>172</v>
      </c>
      <c r="M15" s="72" t="s">
        <v>172</v>
      </c>
      <c r="N15" s="72" t="s">
        <v>172</v>
      </c>
      <c r="O15" s="72" t="s">
        <v>172</v>
      </c>
      <c r="P15" s="73" t="s">
        <v>173</v>
      </c>
      <c r="Q15" s="73" t="s">
        <v>173</v>
      </c>
      <c r="R15" s="73" t="s">
        <v>173</v>
      </c>
    </row>
    <row r="16" spans="2:18" ht="27" x14ac:dyDescent="0.35">
      <c r="B16" s="114" t="s">
        <v>117</v>
      </c>
      <c r="C16" s="12" t="s">
        <v>172</v>
      </c>
      <c r="D16" s="13">
        <v>626715</v>
      </c>
      <c r="E16" s="13">
        <v>458919</v>
      </c>
      <c r="F16" s="13">
        <f t="shared" si="0"/>
        <v>458919</v>
      </c>
      <c r="G16" s="14">
        <f t="shared" si="1"/>
        <v>1.3656331509482065</v>
      </c>
      <c r="I16" s="67" t="s">
        <v>128</v>
      </c>
      <c r="J16" s="119" t="s">
        <v>174</v>
      </c>
      <c r="K16" s="119" t="s">
        <v>175</v>
      </c>
      <c r="L16" s="120" t="s">
        <v>176</v>
      </c>
      <c r="M16" s="120" t="s">
        <v>177</v>
      </c>
      <c r="N16" s="120" t="s">
        <v>178</v>
      </c>
      <c r="O16" s="120" t="s">
        <v>179</v>
      </c>
      <c r="P16" s="119" t="s">
        <v>180</v>
      </c>
      <c r="Q16" s="120" t="s">
        <v>282</v>
      </c>
      <c r="R16" s="201" t="s">
        <v>282</v>
      </c>
    </row>
    <row r="17" spans="2:18" ht="28" x14ac:dyDescent="0.35">
      <c r="B17" s="81" t="s">
        <v>21</v>
      </c>
      <c r="C17" s="47"/>
      <c r="D17" s="48">
        <f>SUM(D14:D16)</f>
        <v>1262564</v>
      </c>
      <c r="E17" s="48">
        <f t="shared" ref="E17:F17" si="2">SUM(E14:E16)</f>
        <v>920100</v>
      </c>
      <c r="F17" s="48">
        <f t="shared" si="2"/>
        <v>920100</v>
      </c>
      <c r="G17" s="49">
        <f t="shared" si="1"/>
        <v>1.3722030214107162</v>
      </c>
      <c r="I17" s="83"/>
      <c r="J17" s="90"/>
      <c r="K17" s="90"/>
      <c r="L17" s="90"/>
      <c r="M17" s="90"/>
      <c r="N17" s="90"/>
      <c r="O17" s="90"/>
      <c r="P17" s="90"/>
      <c r="Q17" s="90"/>
      <c r="R17" s="90"/>
    </row>
    <row r="18" spans="2:18" ht="33" customHeight="1" x14ac:dyDescent="0.35">
      <c r="B18" s="114" t="s">
        <v>118</v>
      </c>
      <c r="C18" s="12" t="s">
        <v>172</v>
      </c>
      <c r="D18" s="13">
        <v>944111</v>
      </c>
      <c r="E18" s="13">
        <v>610804</v>
      </c>
      <c r="F18" s="13">
        <f>E18</f>
        <v>610804</v>
      </c>
      <c r="G18" s="14">
        <f t="shared" si="1"/>
        <v>1.5456856864067687</v>
      </c>
      <c r="I18" s="83" t="s">
        <v>18</v>
      </c>
      <c r="J18" s="90"/>
      <c r="K18" s="90"/>
      <c r="L18" s="90"/>
      <c r="M18" s="90"/>
      <c r="N18" s="90"/>
      <c r="O18" s="90"/>
      <c r="P18" s="90"/>
      <c r="Q18" s="90"/>
      <c r="R18" s="90"/>
    </row>
    <row r="19" spans="2:18" ht="33" customHeight="1" x14ac:dyDescent="0.35">
      <c r="B19" s="114" t="s">
        <v>119</v>
      </c>
      <c r="C19" s="12" t="s">
        <v>172</v>
      </c>
      <c r="D19" s="13">
        <v>942061</v>
      </c>
      <c r="E19" s="13">
        <v>806353</v>
      </c>
      <c r="F19" s="13">
        <f t="shared" ref="F19" si="3">E19</f>
        <v>806353</v>
      </c>
      <c r="G19" s="14">
        <f t="shared" si="1"/>
        <v>1.1682984995405239</v>
      </c>
      <c r="I19" s="246" t="s">
        <v>124</v>
      </c>
      <c r="J19" s="247"/>
      <c r="K19" s="247"/>
      <c r="L19" s="247"/>
      <c r="M19" s="247"/>
      <c r="N19" s="247"/>
      <c r="O19" s="247"/>
      <c r="P19" s="247"/>
      <c r="Q19" s="247"/>
      <c r="R19" s="248"/>
    </row>
    <row r="20" spans="2:18" ht="40.5" customHeight="1" x14ac:dyDescent="0.35">
      <c r="B20" s="114" t="s">
        <v>120</v>
      </c>
      <c r="C20" s="12" t="s">
        <v>172</v>
      </c>
      <c r="D20" s="13">
        <v>977911</v>
      </c>
      <c r="E20" s="13">
        <v>809556</v>
      </c>
      <c r="F20" s="13">
        <v>791103</v>
      </c>
      <c r="G20" s="14">
        <f t="shared" si="1"/>
        <v>1.2361361289237938</v>
      </c>
      <c r="I20" s="246" t="s">
        <v>130</v>
      </c>
      <c r="J20" s="247"/>
      <c r="K20" s="247"/>
      <c r="L20" s="247"/>
      <c r="M20" s="247"/>
      <c r="N20" s="247"/>
      <c r="O20" s="247"/>
      <c r="P20" s="247"/>
      <c r="Q20" s="247"/>
      <c r="R20" s="248"/>
    </row>
    <row r="21" spans="2:18" ht="43.4" customHeight="1" x14ac:dyDescent="0.35">
      <c r="B21" s="81" t="s">
        <v>22</v>
      </c>
      <c r="C21" s="47"/>
      <c r="D21" s="48">
        <f>SUM(D18:D20)</f>
        <v>2864083</v>
      </c>
      <c r="E21" s="48">
        <f t="shared" ref="E21:F21" si="4">SUM(E18:E20)</f>
        <v>2226713</v>
      </c>
      <c r="F21" s="48">
        <f t="shared" si="4"/>
        <v>2208260</v>
      </c>
      <c r="G21" s="49">
        <f t="shared" si="1"/>
        <v>1.2969863150172534</v>
      </c>
    </row>
    <row r="22" spans="2:18" ht="27" x14ac:dyDescent="0.35">
      <c r="B22" s="114" t="s">
        <v>121</v>
      </c>
      <c r="C22" s="12" t="s">
        <v>173</v>
      </c>
      <c r="D22" s="13">
        <v>809877.65800000005</v>
      </c>
      <c r="E22" s="13">
        <v>648029</v>
      </c>
      <c r="F22" s="13">
        <f>E22</f>
        <v>648029</v>
      </c>
      <c r="G22" s="14">
        <f t="shared" si="1"/>
        <v>1.2497552702116728</v>
      </c>
    </row>
    <row r="23" spans="2:18" ht="27" x14ac:dyDescent="0.35">
      <c r="B23" s="114" t="s">
        <v>122</v>
      </c>
      <c r="C23" s="12" t="s">
        <v>173</v>
      </c>
      <c r="D23" s="13">
        <v>671027.05099999998</v>
      </c>
      <c r="E23" s="13">
        <v>541983</v>
      </c>
      <c r="F23" s="13">
        <f t="shared" ref="F23:F24" si="5">E23</f>
        <v>541983</v>
      </c>
      <c r="G23" s="14">
        <f t="shared" si="1"/>
        <v>1.2380961229411254</v>
      </c>
    </row>
    <row r="24" spans="2:18" ht="27" x14ac:dyDescent="0.35">
      <c r="B24" s="114" t="s">
        <v>126</v>
      </c>
      <c r="C24" s="15" t="s">
        <v>173</v>
      </c>
      <c r="D24" s="13">
        <v>1087076</v>
      </c>
      <c r="E24" s="13">
        <v>787629</v>
      </c>
      <c r="F24" s="13">
        <f t="shared" si="5"/>
        <v>787629</v>
      </c>
      <c r="G24" s="14">
        <f t="shared" si="1"/>
        <v>1.3801878803345229</v>
      </c>
    </row>
    <row r="25" spans="2:18" ht="44.15" customHeight="1" x14ac:dyDescent="0.35">
      <c r="B25" s="81" t="s">
        <v>23</v>
      </c>
      <c r="C25" s="47"/>
      <c r="D25" s="48">
        <f>SUM(D22:D24)</f>
        <v>2567980.7089999998</v>
      </c>
      <c r="E25" s="48">
        <f t="shared" ref="E25" si="6">SUM(E22:E24)</f>
        <v>1977641</v>
      </c>
      <c r="F25" s="48">
        <f>SUM(F22:F24)</f>
        <v>1977641</v>
      </c>
      <c r="G25" s="49">
        <f t="shared" si="1"/>
        <v>1.298507013659203</v>
      </c>
    </row>
    <row r="26" spans="2:18" x14ac:dyDescent="0.35">
      <c r="B26" s="68">
        <v>2018</v>
      </c>
      <c r="C26" s="15" t="s">
        <v>173</v>
      </c>
      <c r="D26" s="13">
        <v>1859773.2879999999</v>
      </c>
      <c r="E26" s="13">
        <v>1713451.1340047012</v>
      </c>
      <c r="F26" s="13">
        <f>E26</f>
        <v>1713451.1340047012</v>
      </c>
      <c r="G26" s="14">
        <f t="shared" si="1"/>
        <v>1.0853961639707301</v>
      </c>
    </row>
    <row r="27" spans="2:18" x14ac:dyDescent="0.35">
      <c r="B27" s="68">
        <v>2019</v>
      </c>
      <c r="C27" s="15" t="s">
        <v>218</v>
      </c>
      <c r="D27" s="13">
        <f>'1- Ex Ante Results'!C117</f>
        <v>1710037.7801335917</v>
      </c>
      <c r="E27" s="13">
        <v>1629782.8910777657</v>
      </c>
      <c r="F27" s="13">
        <f t="shared" ref="F27:F29" si="7">E27</f>
        <v>1629782.8910777657</v>
      </c>
      <c r="G27" s="14">
        <f t="shared" si="1"/>
        <v>1.0492426871672176</v>
      </c>
    </row>
    <row r="28" spans="2:18" x14ac:dyDescent="0.35">
      <c r="B28" s="68">
        <v>2020</v>
      </c>
      <c r="C28" s="15" t="s">
        <v>218</v>
      </c>
      <c r="D28" s="13">
        <v>0</v>
      </c>
      <c r="E28" s="13">
        <v>1637682.4130108685</v>
      </c>
      <c r="F28" s="13">
        <f t="shared" si="7"/>
        <v>1637682.4130108685</v>
      </c>
      <c r="G28" s="14">
        <f t="shared" si="1"/>
        <v>0</v>
      </c>
    </row>
    <row r="29" spans="2:18" x14ac:dyDescent="0.35">
      <c r="B29" s="68">
        <v>2021</v>
      </c>
      <c r="C29" s="15" t="s">
        <v>218</v>
      </c>
      <c r="D29" s="13">
        <v>0</v>
      </c>
      <c r="E29" s="13">
        <v>1659037.2773371474</v>
      </c>
      <c r="F29" s="13">
        <f t="shared" si="7"/>
        <v>1659037.2773371474</v>
      </c>
      <c r="G29" s="14">
        <f t="shared" si="1"/>
        <v>0</v>
      </c>
    </row>
    <row r="30" spans="2:18" ht="42" customHeight="1" x14ac:dyDescent="0.35">
      <c r="B30" s="81" t="s">
        <v>48</v>
      </c>
      <c r="C30" s="47"/>
      <c r="D30" s="48">
        <f>SUM(D26:D29)</f>
        <v>3569811.0681335917</v>
      </c>
      <c r="E30" s="48">
        <f>SUM(E26:E29)</f>
        <v>6639953.7154304832</v>
      </c>
      <c r="F30" s="48">
        <f t="shared" ref="F30" si="8">SUM(F26:F29)</f>
        <v>6639953.7154304832</v>
      </c>
      <c r="G30" s="49">
        <f t="shared" si="1"/>
        <v>0.53762589637300695</v>
      </c>
    </row>
    <row r="31" spans="2:18" s="62" customFormat="1" ht="14.65" customHeight="1" x14ac:dyDescent="0.35">
      <c r="B31" s="82"/>
      <c r="C31" s="16"/>
      <c r="D31" s="17"/>
      <c r="E31" s="17"/>
      <c r="F31" s="17"/>
      <c r="G31" s="66"/>
    </row>
    <row r="32" spans="2:18" x14ac:dyDescent="0.35">
      <c r="B32" s="83" t="s">
        <v>18</v>
      </c>
    </row>
    <row r="33" spans="2:7" ht="46.4" customHeight="1" x14ac:dyDescent="0.35">
      <c r="B33" s="278" t="s">
        <v>42</v>
      </c>
      <c r="C33" s="278"/>
      <c r="D33" s="278"/>
      <c r="E33" s="278"/>
      <c r="F33" s="278"/>
      <c r="G33" s="278"/>
    </row>
    <row r="34" spans="2:7" ht="42.75" customHeight="1" x14ac:dyDescent="0.35">
      <c r="B34" s="278" t="s">
        <v>51</v>
      </c>
      <c r="C34" s="278"/>
      <c r="D34" s="278"/>
      <c r="E34" s="278"/>
      <c r="F34" s="278"/>
      <c r="G34" s="278"/>
    </row>
    <row r="35" spans="2:7" ht="42" customHeight="1" x14ac:dyDescent="0.35">
      <c r="B35" s="276" t="s">
        <v>129</v>
      </c>
      <c r="C35" s="276"/>
      <c r="D35" s="276"/>
      <c r="E35" s="276"/>
      <c r="F35" s="276"/>
      <c r="G35" s="276"/>
    </row>
  </sheetData>
  <mergeCells count="6">
    <mergeCell ref="I20:R20"/>
    <mergeCell ref="I19:R19"/>
    <mergeCell ref="B35:G35"/>
    <mergeCell ref="B5:G9"/>
    <mergeCell ref="B33:G33"/>
    <mergeCell ref="B34:G34"/>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Q2
Tab: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R31"/>
  <sheetViews>
    <sheetView tabSelected="1" zoomScaleNormal="100" workbookViewId="0">
      <selection activeCell="P23" sqref="P23"/>
    </sheetView>
  </sheetViews>
  <sheetFormatPr defaultRowHeight="14.5" x14ac:dyDescent="0.35"/>
  <cols>
    <col min="1" max="1" width="4.453125" customWidth="1"/>
    <col min="2" max="2" width="44.453125" customWidth="1"/>
    <col min="3" max="3" width="11.54296875" customWidth="1"/>
    <col min="4" max="4" width="10.54296875" customWidth="1"/>
    <col min="5" max="5" width="11.453125" customWidth="1"/>
    <col min="6" max="7" width="11.54296875" customWidth="1"/>
    <col min="8" max="8" width="11.7265625" customWidth="1"/>
    <col min="9" max="9" width="12.26953125" customWidth="1"/>
    <col min="10" max="10" width="12.453125" customWidth="1"/>
    <col min="11" max="11" width="12" customWidth="1"/>
    <col min="12" max="12" width="12.453125" customWidth="1"/>
    <col min="13" max="13" width="12" customWidth="1"/>
  </cols>
  <sheetData>
    <row r="1" spans="2:13" x14ac:dyDescent="0.35">
      <c r="B1" s="5" t="s">
        <v>0</v>
      </c>
    </row>
    <row r="2" spans="2:13" x14ac:dyDescent="0.35">
      <c r="B2" s="5" t="s">
        <v>16</v>
      </c>
    </row>
    <row r="3" spans="2:13" x14ac:dyDescent="0.35">
      <c r="B3" s="5"/>
    </row>
    <row r="4" spans="2:13" x14ac:dyDescent="0.35">
      <c r="B4" s="5"/>
    </row>
    <row r="5" spans="2:13" ht="22.4" customHeight="1" x14ac:dyDescent="0.35">
      <c r="B5" s="242" t="s">
        <v>113</v>
      </c>
      <c r="C5" s="242"/>
      <c r="D5" s="242"/>
      <c r="E5" s="242"/>
      <c r="F5" s="242"/>
      <c r="G5" s="242"/>
      <c r="H5" s="242"/>
      <c r="I5" s="242"/>
      <c r="J5" s="242"/>
      <c r="K5" s="242"/>
    </row>
    <row r="6" spans="2:13" ht="21" customHeight="1" x14ac:dyDescent="0.35">
      <c r="B6" s="242"/>
      <c r="C6" s="242"/>
      <c r="D6" s="242"/>
      <c r="E6" s="242"/>
      <c r="F6" s="242"/>
      <c r="G6" s="242"/>
      <c r="H6" s="242"/>
      <c r="I6" s="242"/>
      <c r="J6" s="242"/>
      <c r="K6" s="242"/>
    </row>
    <row r="7" spans="2:13" ht="21" customHeight="1" x14ac:dyDescent="0.35">
      <c r="B7" s="242"/>
      <c r="C7" s="242"/>
      <c r="D7" s="242"/>
      <c r="E7" s="242"/>
      <c r="F7" s="242"/>
      <c r="G7" s="242"/>
      <c r="H7" s="242"/>
      <c r="I7" s="242"/>
      <c r="J7" s="242"/>
      <c r="K7" s="242"/>
    </row>
    <row r="8" spans="2:13" x14ac:dyDescent="0.35">
      <c r="B8" s="4"/>
      <c r="C8" s="4"/>
      <c r="D8" s="4"/>
      <c r="E8" s="4"/>
      <c r="F8" s="4"/>
      <c r="G8" s="4"/>
      <c r="H8" s="4"/>
      <c r="I8" s="4"/>
      <c r="J8" s="4"/>
      <c r="K8" s="4"/>
      <c r="L8" s="4"/>
    </row>
    <row r="9" spans="2:13" x14ac:dyDescent="0.35">
      <c r="B9" s="32" t="s">
        <v>290</v>
      </c>
      <c r="C9" s="32"/>
      <c r="D9" s="22"/>
      <c r="E9" s="22"/>
      <c r="F9" s="23"/>
      <c r="G9" s="139"/>
      <c r="H9" s="23"/>
      <c r="I9" s="23"/>
      <c r="J9" s="23"/>
      <c r="K9" s="23"/>
      <c r="L9" s="23"/>
    </row>
    <row r="10" spans="2:13" x14ac:dyDescent="0.35">
      <c r="B10" s="22"/>
      <c r="C10" s="22"/>
      <c r="D10" s="22"/>
      <c r="E10" s="22"/>
      <c r="F10" s="23"/>
      <c r="G10" s="23"/>
      <c r="H10" s="23"/>
      <c r="I10" s="23"/>
      <c r="J10" s="23"/>
      <c r="K10" s="23"/>
      <c r="L10" s="141"/>
    </row>
    <row r="11" spans="2:13" ht="28" x14ac:dyDescent="0.35">
      <c r="B11" s="33" t="s">
        <v>27</v>
      </c>
      <c r="C11" s="18" t="s">
        <v>6</v>
      </c>
      <c r="D11" s="18" t="s">
        <v>7</v>
      </c>
      <c r="E11" s="7" t="s">
        <v>8</v>
      </c>
      <c r="F11" s="7" t="s">
        <v>9</v>
      </c>
      <c r="G11" s="7" t="s">
        <v>10</v>
      </c>
      <c r="H11" s="7" t="s">
        <v>11</v>
      </c>
      <c r="I11" s="7" t="s">
        <v>12</v>
      </c>
      <c r="J11" s="7" t="s">
        <v>13</v>
      </c>
      <c r="K11" s="7" t="s">
        <v>43</v>
      </c>
      <c r="L11" s="7" t="s">
        <v>271</v>
      </c>
      <c r="M11" s="7" t="s">
        <v>291</v>
      </c>
    </row>
    <row r="12" spans="2:13" x14ac:dyDescent="0.35">
      <c r="B12" s="8" t="s">
        <v>229</v>
      </c>
      <c r="C12" s="24">
        <v>182353</v>
      </c>
      <c r="D12" s="24">
        <v>506170</v>
      </c>
      <c r="E12" s="24">
        <v>680845</v>
      </c>
      <c r="F12" s="24">
        <v>1051751</v>
      </c>
      <c r="G12" s="25">
        <v>1041005</v>
      </c>
      <c r="H12" s="25">
        <v>1205087.922</v>
      </c>
      <c r="I12" s="25">
        <v>1207781.348736</v>
      </c>
      <c r="J12" s="25">
        <v>1382679.5970000001</v>
      </c>
      <c r="K12" s="25">
        <v>2542422.09</v>
      </c>
      <c r="L12" s="25">
        <v>1859773.2879999999</v>
      </c>
      <c r="M12" s="25">
        <f>'1- Ex Ante Results'!C117</f>
        <v>1710037.7801335917</v>
      </c>
    </row>
    <row r="13" spans="2:13" x14ac:dyDescent="0.35">
      <c r="B13" s="8" t="s">
        <v>3</v>
      </c>
      <c r="C13" s="24">
        <f>C12*1000*1.3909/2204.62</f>
        <v>115046.94128693381</v>
      </c>
      <c r="D13" s="24">
        <f t="shared" ref="D13:K13" si="0">D12*1000*1.3909/2204.62</f>
        <v>319343.85653763462</v>
      </c>
      <c r="E13" s="24">
        <f t="shared" si="0"/>
        <v>429546.72936832655</v>
      </c>
      <c r="F13" s="24">
        <f t="shared" si="0"/>
        <v>663552.20668414515</v>
      </c>
      <c r="G13" s="24">
        <f t="shared" si="0"/>
        <v>656772.52973301522</v>
      </c>
      <c r="H13" s="24">
        <f t="shared" si="0"/>
        <v>760292.83536836284</v>
      </c>
      <c r="I13" s="24">
        <f t="shared" si="0"/>
        <v>761992.12470035767</v>
      </c>
      <c r="J13" s="24">
        <f t="shared" si="0"/>
        <v>872335.84539163217</v>
      </c>
      <c r="K13" s="24">
        <f t="shared" si="0"/>
        <v>1604020.1417845252</v>
      </c>
      <c r="L13" s="24">
        <f>L12*1000*1.2515/2204.62</f>
        <v>1055740.3407081494</v>
      </c>
      <c r="M13" s="24">
        <f>M12*1000*1.174/2204.62</f>
        <v>910626.02801246324</v>
      </c>
    </row>
    <row r="14" spans="2:13" x14ac:dyDescent="0.35">
      <c r="B14" s="8" t="s">
        <v>4</v>
      </c>
      <c r="C14" s="24">
        <f>C12*1000*1.3909/(4.67*2204.62)</f>
        <v>24635.31933339054</v>
      </c>
      <c r="D14" s="24">
        <f t="shared" ref="D14:K14" si="1">D12*1000*1.3909/(4.67*2204.62)</f>
        <v>68381.982127973155</v>
      </c>
      <c r="E14" s="24">
        <f t="shared" si="1"/>
        <v>91980.027701997111</v>
      </c>
      <c r="F14" s="24">
        <f t="shared" si="1"/>
        <v>142088.26695591974</v>
      </c>
      <c r="G14" s="24">
        <f t="shared" si="1"/>
        <v>140636.51600278699</v>
      </c>
      <c r="H14" s="24">
        <f t="shared" si="1"/>
        <v>162803.60500393208</v>
      </c>
      <c r="I14" s="24">
        <f t="shared" si="1"/>
        <v>163167.47852256053</v>
      </c>
      <c r="J14" s="24">
        <f t="shared" si="1"/>
        <v>186795.68423803686</v>
      </c>
      <c r="K14" s="24">
        <f t="shared" si="1"/>
        <v>343473.26376542298</v>
      </c>
      <c r="L14" s="24">
        <f>L12*1000*1.2515/(4.67*2204.62)</f>
        <v>226068.59544071721</v>
      </c>
      <c r="M14" s="24">
        <f>M12*1000*1.174/(4.63*2204.62)</f>
        <v>196679.48769167674</v>
      </c>
    </row>
    <row r="15" spans="2:13" x14ac:dyDescent="0.35">
      <c r="B15" s="8" t="s">
        <v>5</v>
      </c>
      <c r="C15" s="24">
        <f>(C12*1000*1.3909)/(0.85*2204.62)</f>
        <v>135349.34269051038</v>
      </c>
      <c r="D15" s="24">
        <f t="shared" ref="D15:K15" si="2">(D12*1000*1.3909)/(0.85*2204.62)</f>
        <v>375698.65475015837</v>
      </c>
      <c r="E15" s="24">
        <f t="shared" si="2"/>
        <v>505349.0933745018</v>
      </c>
      <c r="F15" s="24">
        <f t="shared" si="2"/>
        <v>780649.65492252377</v>
      </c>
      <c r="G15" s="24">
        <f t="shared" si="2"/>
        <v>772673.56439178262</v>
      </c>
      <c r="H15" s="24">
        <f t="shared" si="2"/>
        <v>894462.15925689752</v>
      </c>
      <c r="I15" s="24">
        <f t="shared" si="2"/>
        <v>896461.32317689143</v>
      </c>
      <c r="J15" s="24">
        <f t="shared" si="2"/>
        <v>1026277.465166626</v>
      </c>
      <c r="K15" s="24">
        <f t="shared" si="2"/>
        <v>1887082.5197465003</v>
      </c>
      <c r="L15" s="24">
        <f>(L12*1000*1.2515)/(0.85*2204.62)</f>
        <v>1242047.4596566462</v>
      </c>
      <c r="M15" s="24">
        <f>(M12*1000*1.174)/(0.77*2204.62)</f>
        <v>1182631.2052109912</v>
      </c>
    </row>
    <row r="16" spans="2:13" x14ac:dyDescent="0.35">
      <c r="B16" s="8" t="s">
        <v>230</v>
      </c>
      <c r="C16" s="24">
        <f>C12*1000/8916</f>
        <v>20452.33288470166</v>
      </c>
      <c r="D16" s="24">
        <f t="shared" ref="D16:L16" si="3">D12*1000/8916</f>
        <v>56770.973530731273</v>
      </c>
      <c r="E16" s="24">
        <f t="shared" si="3"/>
        <v>76362.157918349039</v>
      </c>
      <c r="F16" s="24">
        <f t="shared" si="3"/>
        <v>117962.20278151637</v>
      </c>
      <c r="G16" s="24">
        <f t="shared" si="3"/>
        <v>116756.95379093764</v>
      </c>
      <c r="H16" s="24">
        <f t="shared" si="3"/>
        <v>135160.1527590848</v>
      </c>
      <c r="I16" s="24">
        <f t="shared" si="3"/>
        <v>135462.24189502018</v>
      </c>
      <c r="J16" s="24">
        <f t="shared" si="3"/>
        <v>155078.46534320322</v>
      </c>
      <c r="K16" s="24">
        <f t="shared" si="3"/>
        <v>285152.76917900401</v>
      </c>
      <c r="L16" s="24">
        <f t="shared" si="3"/>
        <v>208588.30058322116</v>
      </c>
      <c r="M16" s="24">
        <f>M12*1000/8640</f>
        <v>197921.03936731385</v>
      </c>
    </row>
    <row r="17" spans="2:18" x14ac:dyDescent="0.35">
      <c r="B17" s="8" t="s">
        <v>231</v>
      </c>
      <c r="C17" s="24">
        <v>66</v>
      </c>
      <c r="D17" s="24">
        <v>84</v>
      </c>
      <c r="E17" s="24">
        <v>154</v>
      </c>
      <c r="F17" s="24">
        <v>179</v>
      </c>
      <c r="G17" s="26">
        <v>196</v>
      </c>
      <c r="H17" s="26">
        <v>234</v>
      </c>
      <c r="I17" s="26">
        <v>260</v>
      </c>
      <c r="J17" s="25">
        <v>267</v>
      </c>
      <c r="K17" s="25">
        <v>376</v>
      </c>
      <c r="L17" s="148">
        <v>412.48</v>
      </c>
      <c r="M17" s="234">
        <v>482</v>
      </c>
      <c r="N17" s="219" t="s">
        <v>283</v>
      </c>
      <c r="O17" s="206"/>
      <c r="P17" s="206"/>
      <c r="Q17" s="206"/>
      <c r="R17" s="206"/>
    </row>
    <row r="18" spans="2:18" s="20" customFormat="1" x14ac:dyDescent="0.35">
      <c r="B18" s="65" t="s">
        <v>47</v>
      </c>
      <c r="C18" s="135"/>
      <c r="D18" s="135"/>
      <c r="E18" s="135"/>
      <c r="F18" s="135"/>
      <c r="G18" s="135"/>
      <c r="H18" s="135"/>
      <c r="I18" s="135"/>
      <c r="J18" s="135"/>
      <c r="K18" s="24">
        <f>459+1299+1+318</f>
        <v>2077</v>
      </c>
      <c r="L18" s="127">
        <f>1561+5119+2497+9+34899</f>
        <v>44085</v>
      </c>
      <c r="M18" s="127">
        <v>75450</v>
      </c>
      <c r="N18" s="219" t="s">
        <v>285</v>
      </c>
      <c r="O18" s="207"/>
      <c r="P18" s="207"/>
      <c r="Q18" s="207"/>
      <c r="R18" s="207"/>
    </row>
    <row r="19" spans="2:18" x14ac:dyDescent="0.35">
      <c r="B19" s="27"/>
      <c r="C19" s="50"/>
      <c r="D19" s="50"/>
      <c r="E19" s="50"/>
      <c r="F19" s="50"/>
      <c r="G19" s="51"/>
      <c r="H19" s="51"/>
      <c r="I19" s="51"/>
      <c r="J19" s="52"/>
      <c r="K19" s="52"/>
      <c r="L19" s="53"/>
    </row>
    <row r="20" spans="2:18" x14ac:dyDescent="0.35">
      <c r="B20" s="28" t="s">
        <v>18</v>
      </c>
      <c r="C20" s="27"/>
      <c r="D20" s="28"/>
      <c r="E20" s="28"/>
      <c r="F20" s="29"/>
      <c r="G20" s="30"/>
      <c r="H20" s="30"/>
      <c r="I20" s="30"/>
      <c r="J20" s="29"/>
      <c r="K20" s="29"/>
      <c r="L20" s="31"/>
    </row>
    <row r="21" spans="2:18" ht="29.65" customHeight="1" x14ac:dyDescent="0.35">
      <c r="B21" s="276" t="s">
        <v>28</v>
      </c>
      <c r="C21" s="276"/>
      <c r="D21" s="276"/>
      <c r="E21" s="276"/>
      <c r="F21" s="276"/>
      <c r="G21" s="276"/>
      <c r="H21" s="276"/>
      <c r="I21" s="276"/>
      <c r="J21" s="276"/>
      <c r="K21" s="276"/>
      <c r="L21" s="276"/>
    </row>
    <row r="22" spans="2:18" ht="27.75" customHeight="1" x14ac:dyDescent="0.35">
      <c r="B22" s="246" t="s">
        <v>44</v>
      </c>
      <c r="C22" s="247"/>
      <c r="D22" s="247"/>
      <c r="E22" s="247"/>
      <c r="F22" s="247"/>
      <c r="G22" s="247"/>
      <c r="H22" s="247"/>
      <c r="I22" s="247"/>
      <c r="J22" s="247"/>
      <c r="K22" s="247"/>
      <c r="L22" s="248"/>
    </row>
    <row r="23" spans="2:18" ht="29.5" customHeight="1" x14ac:dyDescent="0.35">
      <c r="B23" s="246" t="s">
        <v>45</v>
      </c>
      <c r="C23" s="247"/>
      <c r="D23" s="247"/>
      <c r="E23" s="247"/>
      <c r="F23" s="247"/>
      <c r="G23" s="247"/>
      <c r="H23" s="247"/>
      <c r="I23" s="247"/>
      <c r="J23" s="247"/>
      <c r="K23" s="247"/>
      <c r="L23" s="248"/>
    </row>
    <row r="24" spans="2:18" ht="20.65" customHeight="1" x14ac:dyDescent="0.35">
      <c r="B24" s="280" t="s">
        <v>46</v>
      </c>
      <c r="C24" s="280"/>
      <c r="D24" s="280"/>
      <c r="E24" s="280"/>
      <c r="F24" s="280"/>
      <c r="G24" s="280"/>
      <c r="H24" s="280"/>
      <c r="I24" s="280"/>
      <c r="J24" s="280"/>
      <c r="K24" s="280"/>
      <c r="L24" s="280"/>
    </row>
    <row r="25" spans="2:18" ht="30" customHeight="1" x14ac:dyDescent="0.35">
      <c r="B25" s="276" t="s">
        <v>233</v>
      </c>
      <c r="C25" s="276"/>
      <c r="D25" s="276"/>
      <c r="E25" s="276"/>
      <c r="F25" s="276"/>
      <c r="G25" s="276"/>
      <c r="H25" s="276"/>
      <c r="I25" s="276"/>
      <c r="J25" s="276"/>
      <c r="K25" s="276"/>
      <c r="L25" s="276"/>
    </row>
    <row r="26" spans="2:18" ht="30" customHeight="1" x14ac:dyDescent="0.35">
      <c r="B26" s="279" t="s">
        <v>234</v>
      </c>
      <c r="C26" s="279"/>
      <c r="D26" s="279"/>
      <c r="E26" s="279"/>
      <c r="F26" s="279"/>
      <c r="G26" s="279"/>
      <c r="H26" s="279"/>
      <c r="I26" s="279"/>
      <c r="J26" s="279"/>
      <c r="K26" s="279"/>
      <c r="L26" s="279"/>
    </row>
    <row r="27" spans="2:18" x14ac:dyDescent="0.35">
      <c r="B27" s="4"/>
      <c r="C27" s="4"/>
      <c r="D27" s="4"/>
      <c r="E27" s="4"/>
      <c r="F27" s="4"/>
      <c r="G27" s="4"/>
      <c r="H27" s="4"/>
      <c r="I27" s="4"/>
      <c r="J27" s="4"/>
      <c r="K27" s="4"/>
      <c r="L27" s="4"/>
    </row>
    <row r="28" spans="2:18" x14ac:dyDescent="0.35">
      <c r="B28" s="4"/>
      <c r="C28" s="4"/>
      <c r="D28" s="4"/>
      <c r="E28" s="4"/>
      <c r="F28" s="4"/>
      <c r="G28" s="4"/>
      <c r="H28" s="4"/>
      <c r="I28" s="4"/>
      <c r="J28" s="4"/>
      <c r="K28" s="4"/>
      <c r="L28" s="4"/>
    </row>
    <row r="29" spans="2:18" x14ac:dyDescent="0.35">
      <c r="B29" s="4"/>
      <c r="C29" s="4"/>
      <c r="D29" s="4"/>
      <c r="E29" s="4"/>
      <c r="F29" s="4"/>
      <c r="G29" s="4"/>
      <c r="H29" s="4"/>
      <c r="I29" s="4"/>
      <c r="J29" s="4"/>
      <c r="K29" s="4"/>
      <c r="L29" s="4"/>
    </row>
    <row r="30" spans="2:18" x14ac:dyDescent="0.35">
      <c r="B30" s="4"/>
      <c r="C30" s="4"/>
      <c r="D30" s="4"/>
      <c r="E30" s="4"/>
      <c r="F30" s="4"/>
      <c r="G30" s="4"/>
      <c r="H30" s="4"/>
      <c r="I30" s="4"/>
      <c r="J30" s="4"/>
      <c r="K30" s="4"/>
      <c r="L30" s="4"/>
    </row>
    <row r="31" spans="2:18" x14ac:dyDescent="0.35">
      <c r="B31" s="4"/>
      <c r="C31" s="4"/>
      <c r="D31" s="4"/>
      <c r="E31" s="4"/>
      <c r="F31" s="4"/>
      <c r="G31" s="4"/>
      <c r="H31" s="4"/>
      <c r="I31" s="4"/>
      <c r="J31" s="4"/>
      <c r="K31" s="4"/>
      <c r="L31" s="4"/>
    </row>
  </sheetData>
  <mergeCells count="7">
    <mergeCell ref="B25:L25"/>
    <mergeCell ref="B26:L26"/>
    <mergeCell ref="B5:K7"/>
    <mergeCell ref="B22:L22"/>
    <mergeCell ref="B21:L21"/>
    <mergeCell ref="B24:L24"/>
    <mergeCell ref="B23:L23"/>
  </mergeCells>
  <printOptions horizontalCentered="1" headings="1"/>
  <pageMargins left="0.5" right="0.5" top="1.25" bottom="1" header="0.5" footer="0.5"/>
  <pageSetup scale="70" fitToHeight="0" orientation="landscape" r:id="rId1"/>
  <headerFooter scaleWithDoc="0">
    <oddHeader>&amp;R&amp;"Arial,Bold"ICC Docket No. 17-0312
Statewide Quarterly Report ComEd 2019 Q2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2"/>
  <sheetViews>
    <sheetView zoomScaleNormal="100" workbookViewId="0">
      <selection activeCell="E39" sqref="E39"/>
    </sheetView>
  </sheetViews>
  <sheetFormatPr defaultRowHeight="14.5" x14ac:dyDescent="0.35"/>
  <cols>
    <col min="1" max="1" width="2.54296875" customWidth="1"/>
    <col min="2" max="2" width="4.7265625" style="3" customWidth="1"/>
    <col min="3" max="3" width="4.54296875" customWidth="1"/>
    <col min="4" max="4" width="76.54296875" customWidth="1"/>
    <col min="5" max="5" width="14" customWidth="1"/>
    <col min="6" max="6" width="44.26953125" customWidth="1"/>
    <col min="7" max="7" width="10.453125" customWidth="1"/>
    <col min="8" max="8" width="10.54296875" bestFit="1" customWidth="1"/>
  </cols>
  <sheetData>
    <row r="1" spans="1:14" ht="16.5" customHeight="1" x14ac:dyDescent="0.45">
      <c r="B1" s="5" t="s">
        <v>0</v>
      </c>
      <c r="D1" s="42"/>
      <c r="E1" s="99"/>
      <c r="F1" s="99"/>
      <c r="G1" s="42"/>
      <c r="H1" s="62"/>
    </row>
    <row r="2" spans="1:14" ht="14.25" customHeight="1" x14ac:dyDescent="0.45">
      <c r="B2" s="5" t="s">
        <v>107</v>
      </c>
      <c r="D2" s="42"/>
      <c r="E2" s="100"/>
      <c r="F2" s="100"/>
      <c r="G2" s="42"/>
      <c r="H2" s="62"/>
    </row>
    <row r="3" spans="1:14" ht="15.5" x14ac:dyDescent="0.35">
      <c r="B3" s="5"/>
      <c r="D3" s="42"/>
      <c r="E3" s="101"/>
      <c r="F3" s="101"/>
      <c r="G3" s="42"/>
      <c r="H3" s="62"/>
    </row>
    <row r="4" spans="1:14" ht="18.5" x14ac:dyDescent="0.45">
      <c r="B4" s="92"/>
      <c r="D4" s="42"/>
      <c r="E4" s="101"/>
      <c r="F4" s="101"/>
      <c r="G4" s="42"/>
      <c r="H4" s="90"/>
      <c r="I4" s="90"/>
      <c r="J4" s="90"/>
      <c r="K4" s="90"/>
      <c r="L4" s="90"/>
      <c r="M4" s="90"/>
      <c r="N4" s="90"/>
    </row>
    <row r="5" spans="1:14" ht="22.4" customHeight="1" x14ac:dyDescent="0.35">
      <c r="B5" s="242" t="s">
        <v>132</v>
      </c>
      <c r="C5" s="242"/>
      <c r="D5" s="242"/>
      <c r="E5" s="93"/>
      <c r="F5" s="93"/>
      <c r="G5" s="93"/>
      <c r="H5" s="93"/>
      <c r="I5" s="93"/>
      <c r="J5" s="93"/>
      <c r="K5" s="93"/>
      <c r="L5" s="90"/>
      <c r="M5" s="90"/>
      <c r="N5" s="90"/>
    </row>
    <row r="6" spans="1:14" ht="27" customHeight="1" x14ac:dyDescent="0.35">
      <c r="B6" s="242"/>
      <c r="C6" s="242"/>
      <c r="D6" s="242"/>
      <c r="E6" s="93"/>
      <c r="F6" s="93"/>
      <c r="G6" s="93"/>
      <c r="H6" s="93"/>
      <c r="I6" s="93"/>
      <c r="J6" s="93"/>
      <c r="K6" s="93"/>
      <c r="L6" s="90"/>
      <c r="M6" s="90"/>
      <c r="N6" s="90"/>
    </row>
    <row r="7" spans="1:14" ht="22.4" customHeight="1" x14ac:dyDescent="0.35">
      <c r="B7" s="61"/>
      <c r="C7" s="61"/>
      <c r="D7" s="61"/>
      <c r="E7" s="93"/>
      <c r="F7" s="93"/>
      <c r="G7" s="93"/>
      <c r="H7" s="93"/>
      <c r="I7" s="93"/>
      <c r="J7" s="93"/>
      <c r="K7" s="93"/>
    </row>
    <row r="8" spans="1:14" ht="22.4" customHeight="1" x14ac:dyDescent="0.35">
      <c r="B8" s="300" t="s">
        <v>109</v>
      </c>
      <c r="C8" s="300"/>
      <c r="D8" s="300"/>
      <c r="E8" s="93"/>
      <c r="F8" s="93"/>
      <c r="G8" s="93"/>
      <c r="H8" s="93"/>
      <c r="I8" s="93"/>
      <c r="J8" s="93"/>
      <c r="K8" s="93"/>
    </row>
    <row r="9" spans="1:14" ht="21" customHeight="1" x14ac:dyDescent="0.35">
      <c r="B9" s="284" t="s">
        <v>108</v>
      </c>
      <c r="C9" s="284"/>
      <c r="D9" s="284"/>
      <c r="E9" s="61"/>
      <c r="F9" s="61"/>
      <c r="G9" s="61"/>
      <c r="H9" s="61"/>
      <c r="I9" s="61"/>
      <c r="J9" s="61"/>
      <c r="K9" s="61"/>
    </row>
    <row r="10" spans="1:14" ht="21" customHeight="1" x14ac:dyDescent="0.35">
      <c r="B10" s="285" t="s">
        <v>110</v>
      </c>
      <c r="C10" s="285"/>
      <c r="D10" s="285"/>
      <c r="E10" s="61"/>
      <c r="F10" s="61"/>
      <c r="G10" s="61"/>
      <c r="H10" s="61"/>
      <c r="I10" s="61"/>
      <c r="J10" s="61"/>
      <c r="K10" s="61"/>
    </row>
    <row r="11" spans="1:14" ht="21" customHeight="1" x14ac:dyDescent="0.35">
      <c r="B11" s="286" t="s">
        <v>111</v>
      </c>
      <c r="C11" s="286"/>
      <c r="D11" s="286"/>
      <c r="E11" s="61"/>
      <c r="F11" s="61"/>
      <c r="G11" s="61"/>
      <c r="H11" s="61"/>
      <c r="I11" s="61"/>
      <c r="J11" s="61"/>
      <c r="K11" s="61"/>
    </row>
    <row r="12" spans="1:14" ht="21" customHeight="1" x14ac:dyDescent="0.35">
      <c r="A12" s="62"/>
      <c r="B12" s="116"/>
      <c r="C12" s="116"/>
      <c r="D12" s="116"/>
      <c r="E12" s="61"/>
      <c r="F12" s="61"/>
      <c r="G12" s="61"/>
      <c r="H12" s="61"/>
      <c r="I12" s="61"/>
      <c r="J12" s="61"/>
      <c r="K12" s="61"/>
    </row>
    <row r="13" spans="1:14" ht="21" customHeight="1" x14ac:dyDescent="0.35">
      <c r="A13" s="62"/>
      <c r="B13" s="117" t="s">
        <v>292</v>
      </c>
      <c r="C13" s="116"/>
      <c r="D13" s="116"/>
      <c r="E13" s="61"/>
      <c r="F13" s="61"/>
      <c r="G13" s="61"/>
      <c r="H13" s="61"/>
      <c r="I13" s="61"/>
      <c r="J13" s="61"/>
      <c r="K13" s="61"/>
    </row>
    <row r="14" spans="1:14" ht="21" customHeight="1" x14ac:dyDescent="0.35">
      <c r="B14" s="61"/>
      <c r="C14" s="61"/>
      <c r="D14" s="61"/>
      <c r="E14" s="61"/>
      <c r="F14" s="61"/>
      <c r="G14" s="61"/>
      <c r="H14" s="61"/>
      <c r="I14" s="61"/>
      <c r="J14" s="61"/>
      <c r="K14" s="61"/>
    </row>
    <row r="15" spans="1:14" ht="18" customHeight="1" x14ac:dyDescent="0.35">
      <c r="B15" s="301" t="s">
        <v>293</v>
      </c>
      <c r="C15" s="301"/>
      <c r="D15" s="301"/>
      <c r="E15" s="301"/>
      <c r="F15" s="301"/>
    </row>
    <row r="16" spans="1:14" x14ac:dyDescent="0.35">
      <c r="B16" s="105" t="s">
        <v>106</v>
      </c>
      <c r="C16" s="296" t="s">
        <v>105</v>
      </c>
      <c r="D16" s="297"/>
      <c r="E16" s="106">
        <v>9.0999999999999998E-2</v>
      </c>
      <c r="F16" s="103" t="s">
        <v>135</v>
      </c>
    </row>
    <row r="17" spans="1:10" x14ac:dyDescent="0.35">
      <c r="B17" s="105" t="s">
        <v>104</v>
      </c>
      <c r="C17" s="296" t="s">
        <v>139</v>
      </c>
      <c r="D17" s="297"/>
      <c r="E17" s="113">
        <v>78600740</v>
      </c>
      <c r="F17" s="103" t="s">
        <v>135</v>
      </c>
    </row>
    <row r="18" spans="1:10" x14ac:dyDescent="0.35">
      <c r="B18" s="105" t="s">
        <v>103</v>
      </c>
      <c r="C18" s="296" t="s">
        <v>102</v>
      </c>
      <c r="D18" s="297"/>
      <c r="E18" s="107">
        <f>E17*E16</f>
        <v>7152667.3399999999</v>
      </c>
      <c r="F18" s="102" t="s">
        <v>101</v>
      </c>
    </row>
    <row r="19" spans="1:10" x14ac:dyDescent="0.35">
      <c r="B19" s="105" t="s">
        <v>100</v>
      </c>
      <c r="C19" s="296" t="s">
        <v>281</v>
      </c>
      <c r="D19" s="297"/>
      <c r="E19" s="111">
        <v>6418616</v>
      </c>
      <c r="F19" s="104" t="s">
        <v>112</v>
      </c>
    </row>
    <row r="20" spans="1:10" ht="16.5" customHeight="1" x14ac:dyDescent="0.35">
      <c r="B20" s="105"/>
      <c r="C20" s="281" t="s">
        <v>99</v>
      </c>
      <c r="D20" s="282"/>
      <c r="E20" s="282"/>
      <c r="F20" s="283"/>
    </row>
    <row r="21" spans="1:10" x14ac:dyDescent="0.35">
      <c r="B21" s="105" t="s">
        <v>98</v>
      </c>
      <c r="C21" s="292" t="s">
        <v>97</v>
      </c>
      <c r="D21" s="293"/>
      <c r="E21" s="106">
        <v>5.1999999999999998E-2</v>
      </c>
      <c r="F21" s="103" t="s">
        <v>94</v>
      </c>
    </row>
    <row r="22" spans="1:10" x14ac:dyDescent="0.35">
      <c r="B22" s="105" t="s">
        <v>96</v>
      </c>
      <c r="C22" s="292" t="s">
        <v>95</v>
      </c>
      <c r="D22" s="293"/>
      <c r="E22" s="106">
        <v>5.8000000000000003E-2</v>
      </c>
      <c r="F22" s="103" t="s">
        <v>94</v>
      </c>
      <c r="H22" s="198"/>
      <c r="J22" s="144"/>
    </row>
    <row r="23" spans="1:10" x14ac:dyDescent="0.35">
      <c r="B23" s="105" t="s">
        <v>93</v>
      </c>
      <c r="C23" s="292" t="s">
        <v>92</v>
      </c>
      <c r="D23" s="293"/>
      <c r="E23" s="110">
        <f>E22-E21</f>
        <v>6.0000000000000053E-3</v>
      </c>
      <c r="F23" s="102" t="s">
        <v>91</v>
      </c>
    </row>
    <row r="24" spans="1:10" x14ac:dyDescent="0.35">
      <c r="A24" s="20"/>
      <c r="B24" s="105" t="s">
        <v>90</v>
      </c>
      <c r="C24" s="292" t="s">
        <v>89</v>
      </c>
      <c r="D24" s="293"/>
      <c r="E24" s="107">
        <f>E23*E17</f>
        <v>471604.44000000041</v>
      </c>
      <c r="F24" s="102" t="s">
        <v>88</v>
      </c>
    </row>
    <row r="25" spans="1:10" x14ac:dyDescent="0.35">
      <c r="B25" s="105" t="s">
        <v>87</v>
      </c>
      <c r="C25" s="292" t="s">
        <v>279</v>
      </c>
      <c r="D25" s="293"/>
      <c r="E25" s="111">
        <v>132768</v>
      </c>
      <c r="F25" s="104" t="s">
        <v>112</v>
      </c>
    </row>
    <row r="26" spans="1:10" x14ac:dyDescent="0.35">
      <c r="B26" s="105" t="s">
        <v>86</v>
      </c>
      <c r="C26" s="294" t="s">
        <v>85</v>
      </c>
      <c r="D26" s="295"/>
      <c r="E26" s="112">
        <f>E24+E25</f>
        <v>604372.44000000041</v>
      </c>
      <c r="F26" s="102" t="s">
        <v>84</v>
      </c>
    </row>
    <row r="27" spans="1:10" x14ac:dyDescent="0.35">
      <c r="B27" s="105" t="s">
        <v>83</v>
      </c>
      <c r="C27" s="296" t="s">
        <v>82</v>
      </c>
      <c r="D27" s="297"/>
      <c r="E27" s="107">
        <f>E18-E19+E26</f>
        <v>1338423.7800000003</v>
      </c>
      <c r="F27" s="102" t="s">
        <v>81</v>
      </c>
    </row>
    <row r="28" spans="1:10" x14ac:dyDescent="0.35">
      <c r="B28" s="105" t="s">
        <v>80</v>
      </c>
      <c r="C28" s="296" t="s">
        <v>79</v>
      </c>
      <c r="D28" s="297"/>
      <c r="E28" s="108">
        <f>'1- Ex Ante Results'!C117</f>
        <v>1710037.7801335917</v>
      </c>
      <c r="F28" s="104" t="s">
        <v>78</v>
      </c>
    </row>
    <row r="29" spans="1:10" x14ac:dyDescent="0.35">
      <c r="B29" s="105" t="s">
        <v>77</v>
      </c>
      <c r="C29" s="296" t="s">
        <v>133</v>
      </c>
      <c r="D29" s="297"/>
      <c r="E29" s="108">
        <f>'1- Ex Ante Results'!C117</f>
        <v>1710037.7801335917</v>
      </c>
      <c r="F29" s="104" t="s">
        <v>76</v>
      </c>
    </row>
    <row r="30" spans="1:10" ht="27" customHeight="1" x14ac:dyDescent="0.35">
      <c r="B30" s="105" t="s">
        <v>75</v>
      </c>
      <c r="C30" s="290" t="s">
        <v>136</v>
      </c>
      <c r="D30" s="291"/>
      <c r="E30" s="115">
        <f>E29/E27</f>
        <v>1.2776504763936511</v>
      </c>
      <c r="F30" s="102" t="s">
        <v>131</v>
      </c>
    </row>
    <row r="31" spans="1:10" ht="18" customHeight="1" x14ac:dyDescent="0.35">
      <c r="B31" s="287" t="s">
        <v>74</v>
      </c>
      <c r="C31" s="287"/>
      <c r="D31" s="287"/>
      <c r="E31" s="287"/>
      <c r="F31" s="287"/>
    </row>
    <row r="32" spans="1:10" x14ac:dyDescent="0.35">
      <c r="B32" s="105" t="s">
        <v>73</v>
      </c>
      <c r="C32" s="298" t="s">
        <v>72</v>
      </c>
      <c r="D32" s="299"/>
      <c r="E32" s="106">
        <v>7.8E-2</v>
      </c>
      <c r="F32" s="95" t="s">
        <v>135</v>
      </c>
      <c r="J32" s="96"/>
    </row>
    <row r="33" spans="2:12" x14ac:dyDescent="0.35">
      <c r="B33" s="105" t="s">
        <v>71</v>
      </c>
      <c r="C33" s="298" t="s">
        <v>70</v>
      </c>
      <c r="D33" s="299"/>
      <c r="E33" s="107">
        <f>E32*E17</f>
        <v>6130857.7199999997</v>
      </c>
      <c r="F33" s="102" t="s">
        <v>69</v>
      </c>
    </row>
    <row r="34" spans="2:12" x14ac:dyDescent="0.35">
      <c r="B34" s="105" t="s">
        <v>68</v>
      </c>
      <c r="C34" s="94" t="s">
        <v>67</v>
      </c>
      <c r="D34" s="94"/>
      <c r="E34" s="107">
        <f>E18-E33</f>
        <v>1021809.6200000001</v>
      </c>
      <c r="F34" s="102" t="s">
        <v>66</v>
      </c>
    </row>
    <row r="35" spans="2:12" x14ac:dyDescent="0.35">
      <c r="B35" s="105" t="s">
        <v>65</v>
      </c>
      <c r="C35" s="94" t="s">
        <v>64</v>
      </c>
      <c r="D35" s="94"/>
      <c r="E35" s="107">
        <f>E34+E26</f>
        <v>1626182.0600000005</v>
      </c>
      <c r="F35" s="102" t="s">
        <v>63</v>
      </c>
      <c r="G35" s="91"/>
    </row>
    <row r="36" spans="2:12" x14ac:dyDescent="0.35">
      <c r="B36" s="105" t="s">
        <v>62</v>
      </c>
      <c r="C36" s="94" t="s">
        <v>134</v>
      </c>
      <c r="D36" s="94"/>
      <c r="E36" s="107">
        <f>E29</f>
        <v>1710037.7801335917</v>
      </c>
      <c r="F36" s="102" t="s">
        <v>61</v>
      </c>
      <c r="H36" s="91"/>
    </row>
    <row r="37" spans="2:12" ht="32.65" customHeight="1" x14ac:dyDescent="0.35">
      <c r="B37" s="105" t="s">
        <v>60</v>
      </c>
      <c r="C37" s="288" t="s">
        <v>59</v>
      </c>
      <c r="D37" s="289"/>
      <c r="E37" s="109">
        <f>E26</f>
        <v>604372.44000000041</v>
      </c>
      <c r="F37" s="102" t="s">
        <v>58</v>
      </c>
    </row>
    <row r="38" spans="2:12" x14ac:dyDescent="0.35">
      <c r="B38" s="105" t="s">
        <v>57</v>
      </c>
      <c r="C38" s="288" t="s">
        <v>137</v>
      </c>
      <c r="D38" s="289"/>
      <c r="E38" s="107">
        <f>E36-E37</f>
        <v>1105665.3401335913</v>
      </c>
      <c r="F38" s="102" t="s">
        <v>56</v>
      </c>
    </row>
    <row r="39" spans="2:12" ht="30" customHeight="1" x14ac:dyDescent="0.35">
      <c r="B39" s="105" t="s">
        <v>55</v>
      </c>
      <c r="C39" s="290" t="s">
        <v>138</v>
      </c>
      <c r="D39" s="291"/>
      <c r="E39" s="115">
        <f>E38/E34</f>
        <v>1.0820658941668519</v>
      </c>
      <c r="F39" s="102" t="s">
        <v>54</v>
      </c>
    </row>
    <row r="40" spans="2:12" x14ac:dyDescent="0.35">
      <c r="B40" s="96"/>
      <c r="C40" s="4"/>
      <c r="D40" s="4"/>
      <c r="E40" s="97"/>
      <c r="F40" s="98"/>
    </row>
    <row r="41" spans="2:12" x14ac:dyDescent="0.35">
      <c r="B41" s="28" t="s">
        <v>18</v>
      </c>
      <c r="C41" s="27"/>
      <c r="D41" s="28"/>
      <c r="E41" s="28"/>
      <c r="F41" s="29"/>
      <c r="G41" s="30"/>
      <c r="H41" s="30"/>
      <c r="I41" s="30"/>
      <c r="J41" s="29"/>
      <c r="K41" s="29"/>
      <c r="L41" s="31"/>
    </row>
    <row r="42" spans="2:12" ht="39" customHeight="1" x14ac:dyDescent="0.35">
      <c r="B42" s="197"/>
      <c r="C42" s="197"/>
      <c r="D42" s="197"/>
      <c r="E42" s="197"/>
      <c r="F42" s="197"/>
      <c r="G42" s="197"/>
      <c r="H42" s="197"/>
      <c r="I42" s="197"/>
      <c r="J42" s="197"/>
      <c r="K42" s="197"/>
      <c r="L42" s="197"/>
    </row>
  </sheetData>
  <mergeCells count="27">
    <mergeCell ref="B5:D6"/>
    <mergeCell ref="B8:D8"/>
    <mergeCell ref="B15:F15"/>
    <mergeCell ref="C19:D19"/>
    <mergeCell ref="C16:D16"/>
    <mergeCell ref="C17:D17"/>
    <mergeCell ref="C18:D18"/>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 ref="C20:F20"/>
    <mergeCell ref="B9:D9"/>
    <mergeCell ref="B10:D10"/>
    <mergeCell ref="B11:D11"/>
    <mergeCell ref="B31:F31"/>
  </mergeCells>
  <printOptions horizontalCentered="1" headings="1"/>
  <pageMargins left="1" right="1" top="1.25" bottom="1" header="0.5" footer="0.5"/>
  <pageSetup scale="55" orientation="portrait" r:id="rId1"/>
  <headerFooter scaleWithDoc="0">
    <oddHeader>&amp;R&amp;"Arial,Bold"ICC Docket No. 17-0312
Statewide Quarterly Report ComEd 2019 Q2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G32"/>
  <sheetViews>
    <sheetView topLeftCell="A19" zoomScaleNormal="100" workbookViewId="0">
      <selection activeCell="E25" sqref="E25"/>
    </sheetView>
  </sheetViews>
  <sheetFormatPr defaultRowHeight="14.5" x14ac:dyDescent="0.35"/>
  <cols>
    <col min="1" max="1" width="3.54296875" customWidth="1"/>
    <col min="2" max="2" width="18.81640625" style="20" customWidth="1"/>
    <col min="3" max="3" width="22.26953125" customWidth="1"/>
    <col min="4" max="4" width="24.1796875" customWidth="1"/>
    <col min="5" max="5" width="18.81640625" customWidth="1"/>
    <col min="6" max="7" width="18.54296875" customWidth="1"/>
    <col min="8" max="8" width="8.81640625" customWidth="1"/>
  </cols>
  <sheetData>
    <row r="1" spans="2:7" x14ac:dyDescent="0.35">
      <c r="B1" s="75" t="s">
        <v>0</v>
      </c>
    </row>
    <row r="2" spans="2:7" x14ac:dyDescent="0.35">
      <c r="B2" s="75" t="s">
        <v>246</v>
      </c>
    </row>
    <row r="3" spans="2:7" x14ac:dyDescent="0.35">
      <c r="B3" s="5"/>
    </row>
    <row r="4" spans="2:7" x14ac:dyDescent="0.35">
      <c r="B4" s="75"/>
    </row>
    <row r="5" spans="2:7" ht="29.25" customHeight="1" x14ac:dyDescent="0.35">
      <c r="B5" s="277" t="s">
        <v>247</v>
      </c>
      <c r="C5" s="277"/>
      <c r="D5" s="277"/>
      <c r="E5" s="277"/>
      <c r="F5" s="277"/>
      <c r="G5" s="277"/>
    </row>
    <row r="6" spans="2:7" x14ac:dyDescent="0.35">
      <c r="B6" s="277"/>
      <c r="C6" s="277"/>
      <c r="D6" s="277"/>
      <c r="E6" s="277"/>
      <c r="F6" s="277"/>
      <c r="G6" s="277"/>
    </row>
    <row r="7" spans="2:7" x14ac:dyDescent="0.35">
      <c r="B7" s="277"/>
      <c r="C7" s="277"/>
      <c r="D7" s="277"/>
      <c r="E7" s="277"/>
      <c r="F7" s="277"/>
      <c r="G7" s="277"/>
    </row>
    <row r="8" spans="2:7" x14ac:dyDescent="0.35">
      <c r="B8" s="277"/>
      <c r="C8" s="277"/>
      <c r="D8" s="277"/>
      <c r="E8" s="277"/>
      <c r="F8" s="277"/>
      <c r="G8" s="277"/>
    </row>
    <row r="9" spans="2:7" ht="42" customHeight="1" x14ac:dyDescent="0.35">
      <c r="B9" s="277"/>
      <c r="C9" s="277"/>
      <c r="D9" s="277"/>
      <c r="E9" s="277"/>
      <c r="F9" s="277"/>
      <c r="G9" s="277"/>
    </row>
    <row r="11" spans="2:7" ht="18" x14ac:dyDescent="0.4">
      <c r="B11" s="44" t="s">
        <v>294</v>
      </c>
      <c r="C11" s="44"/>
      <c r="D11" s="10"/>
      <c r="E11" s="10"/>
      <c r="F11" s="10"/>
      <c r="G11" s="10"/>
    </row>
    <row r="12" spans="2:7" ht="18" x14ac:dyDescent="0.4">
      <c r="C12" s="11"/>
      <c r="D12" s="10"/>
      <c r="E12" s="10"/>
      <c r="F12" s="10"/>
      <c r="G12" s="10"/>
    </row>
    <row r="13" spans="2:7" s="20" customFormat="1" ht="42" x14ac:dyDescent="0.35">
      <c r="B13" s="18" t="s">
        <v>2</v>
      </c>
      <c r="C13" s="7" t="s">
        <v>251</v>
      </c>
      <c r="D13" s="7" t="s">
        <v>248</v>
      </c>
      <c r="E13" s="7" t="s">
        <v>252</v>
      </c>
      <c r="F13" s="7" t="s">
        <v>249</v>
      </c>
      <c r="G13" s="7" t="s">
        <v>250</v>
      </c>
    </row>
    <row r="14" spans="2:7" ht="27" x14ac:dyDescent="0.35">
      <c r="B14" s="114" t="s">
        <v>115</v>
      </c>
      <c r="C14" s="155">
        <v>27356150.450000003</v>
      </c>
      <c r="D14" s="156">
        <v>6949809.1399999997</v>
      </c>
      <c r="E14" s="156">
        <f>C14+D14</f>
        <v>34305959.590000004</v>
      </c>
      <c r="F14" s="156">
        <v>0</v>
      </c>
      <c r="G14" s="156">
        <f>SUM(E14,F14)</f>
        <v>34305959.590000004</v>
      </c>
    </row>
    <row r="15" spans="2:7" s="20" customFormat="1" ht="27" x14ac:dyDescent="0.25">
      <c r="B15" s="114" t="s">
        <v>116</v>
      </c>
      <c r="C15" s="157">
        <v>52071860.044945925</v>
      </c>
      <c r="D15" s="158">
        <v>11471615</v>
      </c>
      <c r="E15" s="156">
        <f t="shared" ref="E15:E25" si="0">C15+D15</f>
        <v>63543475.044945925</v>
      </c>
      <c r="F15" s="158">
        <v>0</v>
      </c>
      <c r="G15" s="156">
        <f t="shared" ref="G15:G25" si="1">SUM(E15,F15)</f>
        <v>63543475.044945925</v>
      </c>
    </row>
    <row r="16" spans="2:7" ht="27" x14ac:dyDescent="0.35">
      <c r="B16" s="114" t="s">
        <v>117</v>
      </c>
      <c r="C16" s="155">
        <v>75691132.849999994</v>
      </c>
      <c r="D16" s="156">
        <v>28659010.5</v>
      </c>
      <c r="E16" s="156">
        <f t="shared" si="0"/>
        <v>104350143.34999999</v>
      </c>
      <c r="F16" s="156">
        <v>0</v>
      </c>
      <c r="G16" s="156">
        <f t="shared" si="1"/>
        <v>104350143.34999999</v>
      </c>
    </row>
    <row r="17" spans="2:7" ht="28" x14ac:dyDescent="0.35">
      <c r="B17" s="81" t="s">
        <v>21</v>
      </c>
      <c r="C17" s="159">
        <f>SUM(C14:C16)</f>
        <v>155119143.34494591</v>
      </c>
      <c r="D17" s="159">
        <f>SUM(D14:D16)</f>
        <v>47080434.640000001</v>
      </c>
      <c r="E17" s="159">
        <f t="shared" si="0"/>
        <v>202199577.98494589</v>
      </c>
      <c r="F17" s="159">
        <f>SUM(F14:F16)</f>
        <v>0</v>
      </c>
      <c r="G17" s="159">
        <f t="shared" si="1"/>
        <v>202199577.98494589</v>
      </c>
    </row>
    <row r="18" spans="2:7" ht="27" x14ac:dyDescent="0.35">
      <c r="B18" s="114" t="s">
        <v>118</v>
      </c>
      <c r="C18" s="155">
        <v>106315194.5</v>
      </c>
      <c r="D18" s="156">
        <v>35049987</v>
      </c>
      <c r="E18" s="156">
        <f t="shared" si="0"/>
        <v>141365181.5</v>
      </c>
      <c r="F18" s="156">
        <v>0</v>
      </c>
      <c r="G18" s="156">
        <f t="shared" si="1"/>
        <v>141365181.5</v>
      </c>
    </row>
    <row r="19" spans="2:7" ht="27" x14ac:dyDescent="0.35">
      <c r="B19" s="114" t="s">
        <v>119</v>
      </c>
      <c r="C19" s="155">
        <v>107354963.67</v>
      </c>
      <c r="D19" s="156">
        <v>33565649.329999998</v>
      </c>
      <c r="E19" s="156">
        <f t="shared" si="0"/>
        <v>140920613</v>
      </c>
      <c r="F19" s="156">
        <v>31329</v>
      </c>
      <c r="G19" s="156">
        <f t="shared" si="1"/>
        <v>140951942</v>
      </c>
    </row>
    <row r="20" spans="2:7" ht="27" x14ac:dyDescent="0.35">
      <c r="B20" s="114" t="s">
        <v>120</v>
      </c>
      <c r="C20" s="155">
        <v>124096016.16999999</v>
      </c>
      <c r="D20" s="156">
        <v>31563417</v>
      </c>
      <c r="E20" s="156">
        <f t="shared" si="0"/>
        <v>155659433.16999999</v>
      </c>
      <c r="F20" s="156">
        <v>29469183.289999999</v>
      </c>
      <c r="G20" s="156">
        <f t="shared" si="1"/>
        <v>185128616.45999998</v>
      </c>
    </row>
    <row r="21" spans="2:7" ht="28" x14ac:dyDescent="0.35">
      <c r="B21" s="81" t="s">
        <v>22</v>
      </c>
      <c r="C21" s="159">
        <f>SUM(C18:C20)</f>
        <v>337766174.34000003</v>
      </c>
      <c r="D21" s="159">
        <f>SUM(D18:D20)</f>
        <v>100179053.33</v>
      </c>
      <c r="E21" s="159">
        <f t="shared" si="0"/>
        <v>437945227.67000002</v>
      </c>
      <c r="F21" s="159">
        <f>SUM(F18:F20)</f>
        <v>29500512.289999999</v>
      </c>
      <c r="G21" s="159">
        <f t="shared" si="1"/>
        <v>467445739.96000004</v>
      </c>
    </row>
    <row r="22" spans="2:7" ht="27" x14ac:dyDescent="0.35">
      <c r="B22" s="114" t="s">
        <v>121</v>
      </c>
      <c r="C22" s="156">
        <v>128288585</v>
      </c>
      <c r="D22" s="156">
        <v>33728435</v>
      </c>
      <c r="E22" s="156">
        <f t="shared" si="0"/>
        <v>162017020</v>
      </c>
      <c r="F22" s="156">
        <v>39150326.559999995</v>
      </c>
      <c r="G22" s="156">
        <f t="shared" si="1"/>
        <v>201167346.56</v>
      </c>
    </row>
    <row r="23" spans="2:7" ht="27" x14ac:dyDescent="0.35">
      <c r="B23" s="114" t="s">
        <v>122</v>
      </c>
      <c r="C23" s="156">
        <v>108343594</v>
      </c>
      <c r="D23" s="156">
        <v>3670970</v>
      </c>
      <c r="E23" s="156">
        <f t="shared" si="0"/>
        <v>112014564</v>
      </c>
      <c r="F23" s="156">
        <v>87103873</v>
      </c>
      <c r="G23" s="156">
        <f t="shared" si="1"/>
        <v>199118437</v>
      </c>
    </row>
    <row r="24" spans="2:7" ht="27" x14ac:dyDescent="0.35">
      <c r="B24" s="114" t="s">
        <v>126</v>
      </c>
      <c r="C24" s="156">
        <v>222451927.53999999</v>
      </c>
      <c r="D24" s="156">
        <v>57854489</v>
      </c>
      <c r="E24" s="156">
        <f t="shared" si="0"/>
        <v>280306416.53999996</v>
      </c>
      <c r="F24" s="156">
        <v>159497825.46000001</v>
      </c>
      <c r="G24" s="156">
        <f t="shared" si="1"/>
        <v>439804242</v>
      </c>
    </row>
    <row r="25" spans="2:7" ht="28" x14ac:dyDescent="0.35">
      <c r="B25" s="81" t="s">
        <v>23</v>
      </c>
      <c r="C25" s="159">
        <f>SUM(C22:C24)</f>
        <v>459084106.53999996</v>
      </c>
      <c r="D25" s="159">
        <f>SUM(D22:D24)</f>
        <v>95253894</v>
      </c>
      <c r="E25" s="159">
        <f t="shared" si="0"/>
        <v>554338000.53999996</v>
      </c>
      <c r="F25" s="159">
        <f>SUM(F22:F24)</f>
        <v>285752025.01999998</v>
      </c>
      <c r="G25" s="159">
        <f t="shared" si="1"/>
        <v>840090025.55999994</v>
      </c>
    </row>
    <row r="26" spans="2:7" s="20" customFormat="1" ht="37.5" x14ac:dyDescent="0.35">
      <c r="B26" s="18" t="s">
        <v>2</v>
      </c>
      <c r="C26" s="7" t="s">
        <v>253</v>
      </c>
      <c r="D26" s="7" t="s">
        <v>254</v>
      </c>
      <c r="E26" s="45" t="s">
        <v>20</v>
      </c>
      <c r="F26" s="149"/>
      <c r="G26" s="150"/>
    </row>
    <row r="27" spans="2:7" x14ac:dyDescent="0.35">
      <c r="B27" s="68">
        <v>2018</v>
      </c>
      <c r="C27" s="196">
        <v>352988359</v>
      </c>
      <c r="D27" s="194">
        <f>'2- Costs'!D32</f>
        <v>351334190</v>
      </c>
      <c r="E27" s="160">
        <f>C27/D27</f>
        <v>1.0047082494305493</v>
      </c>
      <c r="F27" s="151"/>
      <c r="G27" s="17"/>
    </row>
    <row r="28" spans="2:7" x14ac:dyDescent="0.35">
      <c r="B28" s="68">
        <v>2019</v>
      </c>
      <c r="C28" s="196">
        <f>'2- Costs'!C32</f>
        <v>351381796</v>
      </c>
      <c r="D28" s="194">
        <v>351334190</v>
      </c>
      <c r="E28" s="160">
        <f>IF(C28=0,"N/A",C28/D28)</f>
        <v>1.0001355006183714</v>
      </c>
      <c r="F28" s="151"/>
      <c r="G28" s="17"/>
    </row>
    <row r="29" spans="2:7" x14ac:dyDescent="0.35">
      <c r="B29" s="68">
        <v>2020</v>
      </c>
      <c r="C29" s="154">
        <v>0</v>
      </c>
      <c r="D29" s="194">
        <v>351334190</v>
      </c>
      <c r="E29" s="161" t="str">
        <f>IF(C29=0,"N/A",C29/D29)</f>
        <v>N/A</v>
      </c>
      <c r="F29" s="151"/>
      <c r="G29" s="17"/>
    </row>
    <row r="30" spans="2:7" x14ac:dyDescent="0.35">
      <c r="B30" s="68">
        <v>2021</v>
      </c>
      <c r="C30" s="154">
        <v>0</v>
      </c>
      <c r="D30" s="194">
        <v>351334190</v>
      </c>
      <c r="E30" s="161" t="str">
        <f t="shared" ref="E30" si="2">IF(C30=0,"N/A",C30/D30)</f>
        <v>N/A</v>
      </c>
      <c r="F30" s="151"/>
      <c r="G30" s="17"/>
    </row>
    <row r="31" spans="2:7" ht="28" x14ac:dyDescent="0.35">
      <c r="B31" s="81" t="s">
        <v>48</v>
      </c>
      <c r="C31" s="195">
        <f>SUM(C27:C30)</f>
        <v>704370155</v>
      </c>
      <c r="D31" s="195">
        <f>SUM(D27:D30)</f>
        <v>1405336760</v>
      </c>
      <c r="E31" s="162" t="str">
        <f>IF(C30=0,"N/A",C31/D31)</f>
        <v>N/A</v>
      </c>
      <c r="F31" s="151"/>
      <c r="G31" s="17"/>
    </row>
    <row r="32" spans="2:7" s="62" customFormat="1" x14ac:dyDescent="0.35">
      <c r="B32" s="82"/>
      <c r="C32" s="16"/>
      <c r="D32" s="17"/>
      <c r="E32" s="17"/>
      <c r="F32" s="17"/>
      <c r="G32" s="17"/>
    </row>
  </sheetData>
  <mergeCells count="1">
    <mergeCell ref="B5:G9"/>
  </mergeCells>
  <printOptions horizontalCentered="1"/>
  <pageMargins left="1" right="1" top="1.25" bottom="1" header="0.5" footer="0.5"/>
  <pageSetup scale="66" orientation="portrait" r:id="rId1"/>
  <headerFooter scaleWithDoc="0">
    <oddHeader>&amp;R&amp;"Arial,Bold"ICC Docket No. 17-0312
Statewide Quarterly Report ComEd 2019 Q2 
Tab: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Ex Ante Results</vt:lpstr>
      <vt:lpstr>2- Costs</vt:lpstr>
      <vt:lpstr>3- Energy</vt:lpstr>
      <vt:lpstr>4- Other</vt:lpstr>
      <vt:lpstr>5- CPAS</vt:lpstr>
      <vt:lpstr>6- Historical Costs</vt:lpstr>
      <vt:lpstr>'1- Ex Ante Results'!Print_Area</vt:lpstr>
      <vt:lpstr>'6- Historical 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Kapoor, Shikha:(ComEd)</dc:creator>
  <cp:lastModifiedBy>CJ Consulting</cp:lastModifiedBy>
  <cp:lastPrinted>2019-11-07T18:54:19Z</cp:lastPrinted>
  <dcterms:created xsi:type="dcterms:W3CDTF">2019-04-15T19:05:22Z</dcterms:created>
  <dcterms:modified xsi:type="dcterms:W3CDTF">2020-02-22T11:58:56Z</dcterms:modified>
</cp:coreProperties>
</file>