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exeloncorp.sharepoint.com/sites/CY2020Q3SavingsandHighlights/Shared Documents/General/Quarterly Reporting/Q2 2025/"/>
    </mc:Choice>
  </mc:AlternateContent>
  <xr:revisionPtr revIDLastSave="29" documentId="8_{5FD836B7-21EB-47B6-A92E-284E8B297927}" xr6:coauthVersionLast="47" xr6:coauthVersionMax="47" xr10:uidLastSave="{71950D24-69B4-4901-9F89-C40690F8BA35}"/>
  <bookViews>
    <workbookView xWindow="-120" yWindow="-120" windowWidth="29040" windowHeight="15720" xr2:uid="{915B6A94-9CE5-4C64-8314-1EF725A4D61F}"/>
  </bookViews>
  <sheets>
    <sheet name="1- Ex Ante Results" sheetId="14" r:id="rId1"/>
    <sheet name="6+6 Savings LE" sheetId="12" state="hidden" r:id="rId2"/>
    <sheet name="6+6 Spend LE" sheetId="11" state="hidden" r:id="rId3"/>
    <sheet name="Sheet1" sheetId="15" state="hidden" r:id="rId4"/>
    <sheet name="HIDE - For Working Draft" sheetId="16" state="hidden" r:id="rId5"/>
    <sheet name="2- Costs" sheetId="2" r:id="rId6"/>
    <sheet name="3- Energy" sheetId="3" r:id="rId7"/>
    <sheet name="4- Other" sheetId="4" r:id="rId8"/>
    <sheet name="5- CPAS" sheetId="17" r:id="rId9"/>
    <sheet name="6- Historical Costs" sheetId="8" r:id="rId10"/>
  </sheets>
  <definedNames>
    <definedName name="_xlnm._FilterDatabase" localSheetId="0" hidden="1">'1- Ex Ante Results'!$C$20:$N$117</definedName>
    <definedName name="_xlnm._FilterDatabase" localSheetId="6" hidden="1">'3- Energy'!$E$31:$E$32</definedName>
    <definedName name="_xlnm._FilterDatabase" localSheetId="3" hidden="1">Sheet1!$B$2:$U$129</definedName>
    <definedName name="_xlnm.Print_Area" localSheetId="0">'1- Ex Ante Results'!$B$1:$N$126</definedName>
    <definedName name="_xlnm.Print_Area" localSheetId="9">'6- Historical Costs'!$A$1:$G$31</definedName>
    <definedName name="q3LEcheck">Sheet1!$B$197:$D$243</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5" i="11" l="1"/>
  <c r="G155" i="11"/>
  <c r="H154" i="11"/>
  <c r="G154" i="11"/>
  <c r="F155" i="11"/>
  <c r="F151" i="11"/>
  <c r="F150" i="11"/>
  <c r="C7" i="12"/>
  <c r="V4" i="12" l="1"/>
  <c r="V5" i="12"/>
  <c r="V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3" i="12"/>
  <c r="V82" i="12"/>
  <c r="V83" i="12"/>
  <c r="V84" i="12"/>
  <c r="V85" i="12"/>
  <c r="V86" i="12"/>
  <c r="V87" i="12"/>
  <c r="V88" i="12"/>
  <c r="V89" i="12"/>
  <c r="V90" i="12"/>
  <c r="V91" i="12"/>
  <c r="V92" i="12"/>
  <c r="V93" i="12"/>
  <c r="V94" i="12"/>
  <c r="V95" i="12"/>
  <c r="V96" i="12"/>
  <c r="V97" i="12"/>
  <c r="V98" i="12"/>
  <c r="V99" i="12"/>
  <c r="V81" i="12"/>
  <c r="F66" i="12" l="1"/>
  <c r="X14" i="12"/>
  <c r="X13" i="12"/>
  <c r="F35" i="12"/>
  <c r="X3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7" i="12"/>
  <c r="F68" i="12"/>
  <c r="F69" i="12"/>
  <c r="F70" i="12"/>
  <c r="F71" i="12"/>
  <c r="F72" i="12"/>
  <c r="F73" i="12"/>
  <c r="F74" i="12"/>
  <c r="F75" i="12"/>
  <c r="F76" i="12"/>
  <c r="F77" i="12"/>
  <c r="E32" i="8"/>
  <c r="D33" i="3" l="1"/>
  <c r="H141" i="11" l="1"/>
  <c r="G141" i="11"/>
  <c r="F141" i="11"/>
  <c r="J68" i="14"/>
  <c r="J52" i="14"/>
  <c r="E33" i="17"/>
  <c r="F153" i="11"/>
  <c r="F142" i="11"/>
  <c r="B14" i="17"/>
  <c r="B15" i="17" s="1"/>
  <c r="E36" i="17"/>
  <c r="E23" i="17"/>
  <c r="E24" i="17" s="1"/>
  <c r="E26" i="17" s="1"/>
  <c r="E37" i="17" s="1"/>
  <c r="E18" i="17"/>
  <c r="E34" i="17" s="1"/>
  <c r="E35" i="17" s="1"/>
  <c r="J34" i="14" l="1"/>
  <c r="M34" i="14"/>
  <c r="L34" i="14"/>
  <c r="I34" i="14"/>
  <c r="K68" i="14"/>
  <c r="N68" i="14"/>
  <c r="N52" i="14"/>
  <c r="K52" i="14"/>
  <c r="N104" i="14"/>
  <c r="J104" i="14"/>
  <c r="K104" i="14" s="1"/>
  <c r="E39" i="17"/>
  <c r="E38" i="17"/>
  <c r="E27" i="17"/>
  <c r="E30" i="17" s="1"/>
  <c r="D35" i="8"/>
  <c r="K34" i="14" l="1"/>
  <c r="N34" i="14"/>
  <c r="G153" i="11"/>
  <c r="H153" i="11"/>
  <c r="G137" i="11"/>
  <c r="H137" i="11"/>
  <c r="G150" i="11"/>
  <c r="H150" i="11"/>
  <c r="G151" i="11"/>
  <c r="H151" i="11"/>
  <c r="G136" i="11"/>
  <c r="H136" i="11"/>
  <c r="G139" i="11"/>
  <c r="H139" i="11"/>
  <c r="G140" i="11"/>
  <c r="H140" i="11"/>
  <c r="G145" i="11"/>
  <c r="H145" i="11"/>
  <c r="F145" i="11"/>
  <c r="J111" i="14"/>
  <c r="J110" i="14"/>
  <c r="K110" i="14" s="1"/>
  <c r="J98" i="14"/>
  <c r="K98" i="14" s="1"/>
  <c r="J101" i="14"/>
  <c r="K101" i="14" s="1"/>
  <c r="J102" i="14"/>
  <c r="K102" i="14" s="1"/>
  <c r="J103" i="14"/>
  <c r="K103" i="14" s="1"/>
  <c r="J106" i="14"/>
  <c r="K106" i="14" s="1"/>
  <c r="J107" i="14"/>
  <c r="K107" i="14" s="1"/>
  <c r="J97" i="14"/>
  <c r="K97" i="14" s="1"/>
  <c r="J86" i="14"/>
  <c r="J88" i="14"/>
  <c r="J89" i="14"/>
  <c r="J90" i="14"/>
  <c r="J91" i="14"/>
  <c r="K91" i="14" s="1"/>
  <c r="J92" i="14"/>
  <c r="K92" i="14" s="1"/>
  <c r="J93" i="14"/>
  <c r="K93" i="14" s="1"/>
  <c r="J94" i="14"/>
  <c r="J59" i="14"/>
  <c r="J60" i="14"/>
  <c r="J62" i="14"/>
  <c r="J63" i="14"/>
  <c r="J64" i="14"/>
  <c r="J65" i="14"/>
  <c r="J66" i="14"/>
  <c r="J67" i="14"/>
  <c r="J58" i="14"/>
  <c r="J44" i="14"/>
  <c r="K44" i="14" s="1"/>
  <c r="J45" i="14"/>
  <c r="K45" i="14" s="1"/>
  <c r="J50" i="14"/>
  <c r="J51" i="14"/>
  <c r="K51" i="14" s="1"/>
  <c r="G142" i="11"/>
  <c r="H142" i="11"/>
  <c r="F140" i="11"/>
  <c r="BG158" i="11"/>
  <c r="BF158" i="11"/>
  <c r="BE158" i="11"/>
  <c r="BD158" i="11"/>
  <c r="BC158" i="11"/>
  <c r="BB158" i="11"/>
  <c r="BA158" i="11"/>
  <c r="AZ158" i="11"/>
  <c r="AY158" i="11"/>
  <c r="AX158" i="11"/>
  <c r="AW158" i="11"/>
  <c r="AV158" i="11"/>
  <c r="AI158" i="11"/>
  <c r="AH158" i="11"/>
  <c r="AF158" i="11"/>
  <c r="R158" i="11"/>
  <c r="G138" i="11" l="1"/>
  <c r="G143" i="11"/>
  <c r="N85" i="14"/>
  <c r="N106" i="14"/>
  <c r="H138" i="11"/>
  <c r="H143" i="11" s="1"/>
  <c r="N69" i="14"/>
  <c r="N94" i="14"/>
  <c r="N58" i="14"/>
  <c r="N101" i="14"/>
  <c r="N65" i="14"/>
  <c r="N89" i="14"/>
  <c r="N88" i="14"/>
  <c r="N90" i="14"/>
  <c r="M57" i="14"/>
  <c r="M70" i="14" s="1"/>
  <c r="N107" i="14"/>
  <c r="N61" i="14"/>
  <c r="N93" i="14"/>
  <c r="N67" i="14"/>
  <c r="N92" i="14"/>
  <c r="N103" i="14"/>
  <c r="N66" i="14"/>
  <c r="N91" i="14"/>
  <c r="N102" i="14"/>
  <c r="N64" i="14"/>
  <c r="N63" i="14"/>
  <c r="N62" i="14"/>
  <c r="N98" i="14"/>
  <c r="N86" i="14"/>
  <c r="N110" i="14"/>
  <c r="N60" i="14"/>
  <c r="N59" i="14"/>
  <c r="N97" i="14"/>
  <c r="N111" i="14"/>
  <c r="K111" i="14"/>
  <c r="K94" i="14"/>
  <c r="K58" i="14"/>
  <c r="K64" i="14"/>
  <c r="K62" i="14"/>
  <c r="K90" i="14"/>
  <c r="J85" i="14"/>
  <c r="K85" i="14" s="1"/>
  <c r="K63" i="14"/>
  <c r="K88" i="14"/>
  <c r="K67" i="14"/>
  <c r="K66" i="14"/>
  <c r="K65" i="14"/>
  <c r="K89" i="14"/>
  <c r="K86" i="14"/>
  <c r="K60" i="14"/>
  <c r="K59" i="14"/>
  <c r="J57" i="14"/>
  <c r="J61" i="14"/>
  <c r="K61" i="14" s="1"/>
  <c r="J69" i="14"/>
  <c r="K69" i="14" s="1"/>
  <c r="J53" i="14"/>
  <c r="K53" i="14" s="1"/>
  <c r="J46" i="14"/>
  <c r="K46" i="14" s="1"/>
  <c r="J49" i="14"/>
  <c r="K49" i="14" s="1"/>
  <c r="K50" i="14"/>
  <c r="J48" i="14"/>
  <c r="K48" i="14" s="1"/>
  <c r="J47" i="14"/>
  <c r="K47" i="14" s="1"/>
  <c r="J43" i="14"/>
  <c r="K43" i="14" s="1"/>
  <c r="J41" i="14"/>
  <c r="K41" i="14" s="1"/>
  <c r="J42" i="14"/>
  <c r="K42" i="14" s="1"/>
  <c r="J54" i="14"/>
  <c r="K54" i="14" s="1"/>
  <c r="AT158" i="11"/>
  <c r="BH158" i="11"/>
  <c r="F154" i="11" l="1"/>
  <c r="F138" i="11" s="1"/>
  <c r="F137" i="11"/>
  <c r="F36" i="14"/>
  <c r="F37" i="14"/>
  <c r="E25" i="14"/>
  <c r="F25" i="14" s="1"/>
  <c r="F62" i="14"/>
  <c r="F66" i="14"/>
  <c r="F69" i="14"/>
  <c r="N100" i="14" l="1"/>
  <c r="N112" i="14"/>
  <c r="N87" i="14"/>
  <c r="J112" i="14"/>
  <c r="K112" i="14" s="1"/>
  <c r="J100" i="14"/>
  <c r="K100" i="14" s="1"/>
  <c r="J87" i="14"/>
  <c r="K87" i="14" s="1"/>
  <c r="F107" i="14" l="1"/>
  <c r="F91" i="14"/>
  <c r="F53" i="14"/>
  <c r="F54" i="14"/>
  <c r="X100" i="12"/>
  <c r="X99" i="12"/>
  <c r="X98" i="12"/>
  <c r="X97" i="12"/>
  <c r="X96" i="12"/>
  <c r="X95" i="12"/>
  <c r="X94" i="12"/>
  <c r="X93" i="12"/>
  <c r="X92" i="12"/>
  <c r="X91" i="12"/>
  <c r="X90" i="12"/>
  <c r="X89" i="12"/>
  <c r="X88" i="12"/>
  <c r="X87" i="12"/>
  <c r="X86" i="12"/>
  <c r="X85" i="12"/>
  <c r="X84" i="12"/>
  <c r="X83" i="12"/>
  <c r="X82" i="12"/>
  <c r="X71" i="12"/>
  <c r="X78" i="12"/>
  <c r="X77" i="12"/>
  <c r="X76" i="12"/>
  <c r="X75" i="12"/>
  <c r="X74" i="12"/>
  <c r="X73" i="12"/>
  <c r="X72" i="12"/>
  <c r="X70" i="12"/>
  <c r="X69" i="12"/>
  <c r="X68" i="12"/>
  <c r="X67" i="12"/>
  <c r="X65" i="12"/>
  <c r="X64" i="12"/>
  <c r="X63" i="12"/>
  <c r="X62" i="12"/>
  <c r="X61" i="12"/>
  <c r="X60" i="12"/>
  <c r="X59" i="12"/>
  <c r="X58" i="12"/>
  <c r="X57" i="12"/>
  <c r="X56" i="12"/>
  <c r="X55" i="12"/>
  <c r="X54" i="12"/>
  <c r="X53" i="12"/>
  <c r="X52" i="12"/>
  <c r="X51" i="12"/>
  <c r="X50" i="12"/>
  <c r="X49" i="12"/>
  <c r="X48" i="12"/>
  <c r="X47" i="12"/>
  <c r="X46" i="12"/>
  <c r="X45" i="12"/>
  <c r="X44" i="12"/>
  <c r="X43" i="12"/>
  <c r="X42" i="12"/>
  <c r="X41" i="12"/>
  <c r="X40" i="12"/>
  <c r="X39" i="12"/>
  <c r="X38" i="12"/>
  <c r="X37" i="12"/>
  <c r="X36" i="12"/>
  <c r="X34" i="12"/>
  <c r="X33" i="12"/>
  <c r="X32" i="12"/>
  <c r="X31" i="12"/>
  <c r="X30" i="12"/>
  <c r="X29" i="12"/>
  <c r="X28" i="12"/>
  <c r="X27" i="12"/>
  <c r="X26" i="12"/>
  <c r="X25" i="12"/>
  <c r="X24" i="12"/>
  <c r="X23" i="12"/>
  <c r="X22" i="12"/>
  <c r="X21" i="12"/>
  <c r="X20" i="12"/>
  <c r="X19" i="12"/>
  <c r="X18" i="12"/>
  <c r="X17" i="12"/>
  <c r="X16" i="12"/>
  <c r="X15" i="12"/>
  <c r="X12" i="12"/>
  <c r="D7" i="12" s="1"/>
  <c r="X11" i="12"/>
  <c r="X10" i="12"/>
  <c r="X9" i="12"/>
  <c r="X8" i="12"/>
  <c r="X7" i="12"/>
  <c r="X6" i="12"/>
  <c r="D48" i="12" l="1"/>
  <c r="F45" i="14" s="1"/>
  <c r="D49" i="12"/>
  <c r="F50" i="14"/>
  <c r="E32" i="14"/>
  <c r="F32" i="14" s="1"/>
  <c r="D54" i="12"/>
  <c r="D23" i="12"/>
  <c r="D53" i="12"/>
  <c r="F92" i="14" s="1"/>
  <c r="D52" i="12"/>
  <c r="F104" i="14" s="1"/>
  <c r="D51" i="12"/>
  <c r="F93" i="14" s="1"/>
  <c r="D55" i="12"/>
  <c r="D50" i="12"/>
  <c r="F106" i="14" s="1"/>
  <c r="D14" i="12"/>
  <c r="D31" i="12"/>
  <c r="D13" i="12"/>
  <c r="F59" i="14" s="1"/>
  <c r="D24" i="12"/>
  <c r="D35" i="12"/>
  <c r="D22" i="12"/>
  <c r="E116" i="14" s="1"/>
  <c r="D10" i="12"/>
  <c r="D2" i="12"/>
  <c r="D34" i="12"/>
  <c r="D21" i="12"/>
  <c r="E114" i="14" s="1"/>
  <c r="F114" i="14" s="1"/>
  <c r="D9" i="12"/>
  <c r="F64" i="14" s="1"/>
  <c r="D25" i="12"/>
  <c r="D36" i="12"/>
  <c r="D33" i="12"/>
  <c r="D20" i="12"/>
  <c r="F63" i="14" s="1"/>
  <c r="D8" i="12"/>
  <c r="D44" i="12"/>
  <c r="D32" i="12"/>
  <c r="D19" i="12"/>
  <c r="F68" i="14"/>
  <c r="D26" i="12"/>
  <c r="D6" i="12"/>
  <c r="D38" i="12"/>
  <c r="D42" i="12"/>
  <c r="D30" i="12"/>
  <c r="D17" i="12"/>
  <c r="F65" i="14" s="1"/>
  <c r="D5" i="12"/>
  <c r="F60" i="14" s="1"/>
  <c r="D37" i="12"/>
  <c r="D11" i="12"/>
  <c r="F67" i="14" s="1"/>
  <c r="D43" i="12"/>
  <c r="D41" i="12"/>
  <c r="D29" i="12"/>
  <c r="D16" i="12"/>
  <c r="D4" i="12"/>
  <c r="D18" i="12"/>
  <c r="D40" i="12"/>
  <c r="F98" i="14" s="1"/>
  <c r="D28" i="12"/>
  <c r="D15" i="12"/>
  <c r="F61" i="14" s="1"/>
  <c r="D3" i="12"/>
  <c r="D12" i="12"/>
  <c r="D45" i="12"/>
  <c r="E72" i="14" s="1"/>
  <c r="D39" i="12"/>
  <c r="D27" i="12"/>
  <c r="F136" i="11"/>
  <c r="F84" i="12"/>
  <c r="F85" i="12"/>
  <c r="F86" i="12"/>
  <c r="F87" i="12"/>
  <c r="F88" i="12"/>
  <c r="F89" i="12"/>
  <c r="F90" i="12"/>
  <c r="F91" i="12"/>
  <c r="F92" i="12"/>
  <c r="F93" i="12"/>
  <c r="F94" i="12"/>
  <c r="F95" i="12"/>
  <c r="F96" i="12"/>
  <c r="F97" i="12"/>
  <c r="F98" i="12"/>
  <c r="F83" i="12"/>
  <c r="F81" i="12"/>
  <c r="F82" i="12"/>
  <c r="F99" i="12"/>
  <c r="F139" i="11"/>
  <c r="F143" i="11" l="1"/>
  <c r="D60" i="12"/>
  <c r="E73" i="14" s="1"/>
  <c r="F73" i="14" s="1"/>
  <c r="C2" i="12"/>
  <c r="E34" i="14"/>
  <c r="F34" i="14" s="1"/>
  <c r="F52" i="14"/>
  <c r="F94" i="14"/>
  <c r="D65" i="12"/>
  <c r="F112" i="14" s="1"/>
  <c r="N99" i="14"/>
  <c r="J84" i="14"/>
  <c r="K84" i="14" s="1"/>
  <c r="N84" i="14"/>
  <c r="J105" i="14"/>
  <c r="K105" i="14" s="1"/>
  <c r="N105" i="14"/>
  <c r="J99" i="14"/>
  <c r="K99" i="14" s="1"/>
  <c r="H147" i="11"/>
  <c r="E35" i="14"/>
  <c r="F35" i="14" s="1"/>
  <c r="D59" i="12"/>
  <c r="F58" i="14"/>
  <c r="E57" i="14"/>
  <c r="F86" i="14"/>
  <c r="F43" i="14"/>
  <c r="E26" i="14"/>
  <c r="F26" i="14" s="1"/>
  <c r="E79" i="14"/>
  <c r="F79" i="14" s="1"/>
  <c r="F90" i="14"/>
  <c r="F46" i="14"/>
  <c r="E29" i="14"/>
  <c r="F29" i="14" s="1"/>
  <c r="E28" i="14"/>
  <c r="F28" i="14" s="1"/>
  <c r="F49" i="14"/>
  <c r="F88" i="14"/>
  <c r="F51" i="14"/>
  <c r="E33" i="14"/>
  <c r="F33" i="14" s="1"/>
  <c r="E27" i="14"/>
  <c r="F27" i="14" s="1"/>
  <c r="F44" i="14"/>
  <c r="F85" i="14"/>
  <c r="F47" i="14"/>
  <c r="E30" i="14"/>
  <c r="F30" i="14" s="1"/>
  <c r="E77" i="14"/>
  <c r="F77" i="14" s="1"/>
  <c r="F103" i="14"/>
  <c r="F42" i="14"/>
  <c r="E24" i="14"/>
  <c r="F24" i="14" s="1"/>
  <c r="F48" i="14"/>
  <c r="E31" i="14"/>
  <c r="F31" i="14" s="1"/>
  <c r="E78" i="14"/>
  <c r="F78" i="14" s="1"/>
  <c r="F89" i="14"/>
  <c r="D63" i="12"/>
  <c r="D46" i="12"/>
  <c r="F101" i="14"/>
  <c r="D64" i="12"/>
  <c r="E80" i="14" s="1"/>
  <c r="D62" i="12"/>
  <c r="F100" i="14" s="1"/>
  <c r="D61" i="12"/>
  <c r="F99" i="14" s="1"/>
  <c r="D56" i="12"/>
  <c r="B23" i="12"/>
  <c r="C54" i="12"/>
  <c r="B50" i="12"/>
  <c r="B53" i="12"/>
  <c r="C52" i="12"/>
  <c r="B2" i="12"/>
  <c r="C51" i="12"/>
  <c r="C49" i="12"/>
  <c r="B49" i="12"/>
  <c r="C29" i="12"/>
  <c r="C15" i="12"/>
  <c r="C3" i="12"/>
  <c r="B51" i="12"/>
  <c r="C17" i="12"/>
  <c r="B52" i="12"/>
  <c r="C14" i="12"/>
  <c r="B48" i="12"/>
  <c r="C50" i="12"/>
  <c r="C48" i="12"/>
  <c r="C55" i="12"/>
  <c r="B55" i="12"/>
  <c r="C6" i="12"/>
  <c r="B54" i="12"/>
  <c r="C53" i="12"/>
  <c r="B35" i="12"/>
  <c r="B22" i="12"/>
  <c r="G116" i="14" s="1"/>
  <c r="B10" i="12"/>
  <c r="C42" i="12"/>
  <c r="C5" i="12"/>
  <c r="B34" i="12"/>
  <c r="B21" i="12"/>
  <c r="G114" i="14" s="1"/>
  <c r="B9" i="12"/>
  <c r="C41" i="12"/>
  <c r="C16" i="12"/>
  <c r="C4" i="12"/>
  <c r="B45" i="12"/>
  <c r="B33" i="12"/>
  <c r="B44" i="12"/>
  <c r="B32" i="12"/>
  <c r="B19" i="12"/>
  <c r="B7" i="12"/>
  <c r="C39" i="12"/>
  <c r="B43" i="12"/>
  <c r="B31" i="12"/>
  <c r="B18" i="12"/>
  <c r="B6" i="12"/>
  <c r="C38" i="12"/>
  <c r="C26" i="12"/>
  <c r="C13" i="12"/>
  <c r="B42" i="12"/>
  <c r="B30" i="12"/>
  <c r="B17" i="12"/>
  <c r="B5" i="12"/>
  <c r="C37" i="12"/>
  <c r="C25" i="12"/>
  <c r="C12" i="12"/>
  <c r="B41" i="12"/>
  <c r="B29" i="12"/>
  <c r="B16" i="12"/>
  <c r="B4" i="12"/>
  <c r="C36" i="12"/>
  <c r="C24" i="12"/>
  <c r="C11" i="12"/>
  <c r="B40" i="12"/>
  <c r="B28" i="12"/>
  <c r="B15" i="12"/>
  <c r="B3" i="12"/>
  <c r="C35" i="12"/>
  <c r="C22" i="12"/>
  <c r="C10" i="12"/>
  <c r="C30" i="12"/>
  <c r="B8" i="12"/>
  <c r="C28" i="12"/>
  <c r="C27" i="12"/>
  <c r="B27" i="12"/>
  <c r="C9" i="12"/>
  <c r="B38" i="12"/>
  <c r="C45" i="12"/>
  <c r="C8" i="12"/>
  <c r="B37" i="12"/>
  <c r="B25" i="12"/>
  <c r="G79" i="14" s="1"/>
  <c r="B12" i="12"/>
  <c r="C44" i="12"/>
  <c r="C32" i="12"/>
  <c r="C19" i="12"/>
  <c r="B46" i="16"/>
  <c r="B20" i="12"/>
  <c r="C40" i="12"/>
  <c r="B39" i="12"/>
  <c r="B14" i="12"/>
  <c r="C34" i="12"/>
  <c r="C21" i="12"/>
  <c r="B26" i="12"/>
  <c r="B13" i="12"/>
  <c r="C33" i="12"/>
  <c r="C20" i="12"/>
  <c r="B36" i="12"/>
  <c r="B24" i="12"/>
  <c r="B11" i="12"/>
  <c r="C43" i="12"/>
  <c r="C31" i="12"/>
  <c r="C18" i="12"/>
  <c r="D34" i="14" l="1"/>
  <c r="B60" i="12"/>
  <c r="H68" i="14"/>
  <c r="C46" i="16" s="1"/>
  <c r="H104" i="14"/>
  <c r="F102" i="14"/>
  <c r="D68" i="12"/>
  <c r="E113" i="14"/>
  <c r="F113" i="14" s="1"/>
  <c r="B35" i="16"/>
  <c r="B30" i="16"/>
  <c r="B34" i="16"/>
  <c r="D114" i="14"/>
  <c r="H114" i="14" s="1"/>
  <c r="B36" i="16"/>
  <c r="B24" i="16"/>
  <c r="B26" i="16"/>
  <c r="B23" i="16"/>
  <c r="B40" i="16"/>
  <c r="D116" i="14"/>
  <c r="B37" i="16"/>
  <c r="B13" i="16"/>
  <c r="B33" i="16"/>
  <c r="B3" i="16"/>
  <c r="B31" i="16"/>
  <c r="B2" i="16"/>
  <c r="B20" i="16"/>
  <c r="B15" i="16"/>
  <c r="C15" i="16" s="1"/>
  <c r="B42" i="16"/>
  <c r="B17" i="16"/>
  <c r="C17" i="16" s="1"/>
  <c r="B7" i="16"/>
  <c r="B16" i="16"/>
  <c r="C16" i="16" s="1"/>
  <c r="B32" i="16"/>
  <c r="B41" i="16"/>
  <c r="B48" i="16"/>
  <c r="B38" i="16"/>
  <c r="G147" i="11"/>
  <c r="B12" i="16"/>
  <c r="B65" i="12"/>
  <c r="D67" i="12"/>
  <c r="C64" i="12"/>
  <c r="D80" i="14" s="1"/>
  <c r="C59" i="12"/>
  <c r="B11" i="16" s="1"/>
  <c r="C65" i="12"/>
  <c r="F105" i="14"/>
  <c r="F80" i="14"/>
  <c r="E40" i="14"/>
  <c r="E22" i="14" s="1"/>
  <c r="E23" i="14"/>
  <c r="F23" i="14" s="1"/>
  <c r="E75" i="14"/>
  <c r="F75" i="14" s="1"/>
  <c r="F87" i="14"/>
  <c r="E74" i="14"/>
  <c r="F74" i="14" s="1"/>
  <c r="C23" i="12"/>
  <c r="C63" i="12"/>
  <c r="B61" i="12"/>
  <c r="C61" i="12"/>
  <c r="B5" i="16" s="1"/>
  <c r="C62" i="12"/>
  <c r="B6" i="16" s="1"/>
  <c r="B46" i="12"/>
  <c r="B56" i="12"/>
  <c r="C56" i="12"/>
  <c r="B25" i="16"/>
  <c r="C60" i="12"/>
  <c r="B4" i="16" s="1"/>
  <c r="B64" i="12"/>
  <c r="G80" i="14" s="1"/>
  <c r="B62" i="12"/>
  <c r="B59" i="12"/>
  <c r="B45" i="16" l="1"/>
  <c r="H52" i="14"/>
  <c r="C45" i="16" s="1"/>
  <c r="G34" i="14"/>
  <c r="H34" i="14" s="1"/>
  <c r="E76" i="14"/>
  <c r="F76" i="14" s="1"/>
  <c r="C12" i="16"/>
  <c r="B14" i="16"/>
  <c r="C68" i="12"/>
  <c r="B39" i="16"/>
  <c r="C39" i="16" s="1"/>
  <c r="C11" i="16"/>
  <c r="B8" i="16"/>
  <c r="D70" i="12"/>
  <c r="H112" i="14"/>
  <c r="C46" i="12"/>
  <c r="C67" i="12" s="1"/>
  <c r="B67" i="12"/>
  <c r="C70" i="12" l="1"/>
  <c r="B12" i="8"/>
  <c r="B10" i="2"/>
  <c r="B28" i="2" s="1"/>
  <c r="B12" i="3"/>
  <c r="B10" i="4"/>
  <c r="F116" i="14" l="1"/>
  <c r="H115" i="14"/>
  <c r="F115" i="14"/>
  <c r="J113" i="14"/>
  <c r="F111" i="14"/>
  <c r="H107" i="14"/>
  <c r="L77" i="14"/>
  <c r="L79" i="14"/>
  <c r="L78" i="14"/>
  <c r="I78" i="14"/>
  <c r="M72" i="14"/>
  <c r="L72" i="14"/>
  <c r="F84" i="14"/>
  <c r="F72" i="14"/>
  <c r="H69" i="14"/>
  <c r="F57" i="14"/>
  <c r="L37" i="14"/>
  <c r="J37" i="14"/>
  <c r="H54" i="14"/>
  <c r="H53" i="14"/>
  <c r="H50" i="14"/>
  <c r="L29" i="14"/>
  <c r="N45" i="14"/>
  <c r="K35" i="14"/>
  <c r="L25" i="14"/>
  <c r="J25" i="14"/>
  <c r="F41" i="14"/>
  <c r="F40" i="14"/>
  <c r="H37" i="14"/>
  <c r="H36" i="14"/>
  <c r="L35" i="14"/>
  <c r="J35" i="14"/>
  <c r="I35" i="14"/>
  <c r="M25" i="14"/>
  <c r="K25" i="14"/>
  <c r="H91" i="14" l="1"/>
  <c r="G32" i="14"/>
  <c r="H66" i="14"/>
  <c r="H32" i="14" s="1"/>
  <c r="J36" i="14"/>
  <c r="J31" i="14"/>
  <c r="J33" i="14"/>
  <c r="F110" i="14"/>
  <c r="F22" i="14"/>
  <c r="M35" i="14"/>
  <c r="N35" i="14" s="1"/>
  <c r="I32" i="14"/>
  <c r="L30" i="14"/>
  <c r="L36" i="14"/>
  <c r="L31" i="14"/>
  <c r="L33" i="14"/>
  <c r="F95" i="14"/>
  <c r="L32" i="14"/>
  <c r="L28" i="14"/>
  <c r="M81" i="14"/>
  <c r="L113" i="14"/>
  <c r="M77" i="14"/>
  <c r="L73" i="14"/>
  <c r="M26" i="14"/>
  <c r="M28" i="14"/>
  <c r="I37" i="14"/>
  <c r="I28" i="14"/>
  <c r="I36" i="14"/>
  <c r="I57" i="14"/>
  <c r="N57" i="14" s="1"/>
  <c r="M79" i="14"/>
  <c r="L57" i="14"/>
  <c r="L70" i="14" s="1"/>
  <c r="M32" i="14"/>
  <c r="M37" i="14"/>
  <c r="L40" i="14"/>
  <c r="L55" i="14" s="1"/>
  <c r="M30" i="14"/>
  <c r="L27" i="14"/>
  <c r="I79" i="14"/>
  <c r="N53" i="14"/>
  <c r="N54" i="14"/>
  <c r="L81" i="14"/>
  <c r="I29" i="14"/>
  <c r="M31" i="14"/>
  <c r="I31" i="14"/>
  <c r="K37" i="14"/>
  <c r="N44" i="14"/>
  <c r="I24" i="14"/>
  <c r="L23" i="14"/>
  <c r="L76" i="14"/>
  <c r="M23" i="14"/>
  <c r="L26" i="14"/>
  <c r="N46" i="14"/>
  <c r="N51" i="14"/>
  <c r="M76" i="14"/>
  <c r="J77" i="14"/>
  <c r="I113" i="14"/>
  <c r="C19" i="2" s="1"/>
  <c r="N41" i="14"/>
  <c r="I25" i="14"/>
  <c r="N25" i="14" s="1"/>
  <c r="M27" i="14"/>
  <c r="N47" i="14"/>
  <c r="K78" i="14"/>
  <c r="M113" i="14"/>
  <c r="I72" i="14"/>
  <c r="N72" i="14" s="1"/>
  <c r="N43" i="14"/>
  <c r="N49" i="14"/>
  <c r="I23" i="14"/>
  <c r="I40" i="14"/>
  <c r="F97" i="14"/>
  <c r="I95" i="14"/>
  <c r="C15" i="2" s="1"/>
  <c r="I76" i="14"/>
  <c r="M78" i="14"/>
  <c r="N78" i="14" s="1"/>
  <c r="I81" i="14"/>
  <c r="I33" i="14"/>
  <c r="F55" i="14"/>
  <c r="E95" i="14"/>
  <c r="I77" i="14"/>
  <c r="M40" i="14"/>
  <c r="N42" i="14"/>
  <c r="N48" i="14"/>
  <c r="L24" i="14"/>
  <c r="M24" i="14"/>
  <c r="M29" i="14"/>
  <c r="F70" i="14"/>
  <c r="M33" i="14"/>
  <c r="M73" i="14"/>
  <c r="E108" i="14"/>
  <c r="I30" i="14"/>
  <c r="M36" i="14"/>
  <c r="I27" i="14"/>
  <c r="E55" i="14"/>
  <c r="I80" i="14"/>
  <c r="K113" i="14"/>
  <c r="E70" i="14"/>
  <c r="I75" i="14"/>
  <c r="J29" i="14"/>
  <c r="I73" i="14"/>
  <c r="I26" i="14"/>
  <c r="N81" i="14" l="1"/>
  <c r="N77" i="14"/>
  <c r="N73" i="14"/>
  <c r="N76" i="14"/>
  <c r="N79" i="14"/>
  <c r="I55" i="14"/>
  <c r="C13" i="2" s="1"/>
  <c r="I70" i="14"/>
  <c r="C14" i="2" s="1"/>
  <c r="K57" i="14"/>
  <c r="E81" i="14"/>
  <c r="F81" i="14" s="1"/>
  <c r="G81" i="14" s="1"/>
  <c r="H81" i="14" s="1"/>
  <c r="K36" i="14"/>
  <c r="K31" i="14"/>
  <c r="K33" i="14"/>
  <c r="E38" i="14"/>
  <c r="F38" i="14"/>
  <c r="E82" i="14"/>
  <c r="N32" i="14"/>
  <c r="F108" i="14"/>
  <c r="L22" i="14"/>
  <c r="L38" i="14" s="1"/>
  <c r="N28" i="14"/>
  <c r="J78" i="14"/>
  <c r="N24" i="14"/>
  <c r="N37" i="14"/>
  <c r="J76" i="14"/>
  <c r="N36" i="14"/>
  <c r="N29" i="14"/>
  <c r="N23" i="14"/>
  <c r="I22" i="14"/>
  <c r="I38" i="14" s="1"/>
  <c r="K77" i="14"/>
  <c r="N26" i="14"/>
  <c r="J30" i="14"/>
  <c r="N40" i="14"/>
  <c r="J70" i="14"/>
  <c r="N27" i="14"/>
  <c r="N30" i="14"/>
  <c r="N31" i="14"/>
  <c r="N33" i="14"/>
  <c r="J32" i="14"/>
  <c r="J26" i="14"/>
  <c r="N113" i="14"/>
  <c r="K79" i="14"/>
  <c r="J79" i="14"/>
  <c r="K29" i="14"/>
  <c r="F82" i="14"/>
  <c r="K30" i="14"/>
  <c r="J80" i="14"/>
  <c r="J28" i="14"/>
  <c r="J27" i="14"/>
  <c r="K26" i="14"/>
  <c r="K73" i="14"/>
  <c r="J95" i="14"/>
  <c r="J81" i="14" s="1"/>
  <c r="J72" i="14"/>
  <c r="J23" i="14"/>
  <c r="J40" i="14"/>
  <c r="J55" i="14" s="1"/>
  <c r="K32" i="14"/>
  <c r="K80" i="14"/>
  <c r="M22" i="14"/>
  <c r="M38" i="14" s="1"/>
  <c r="M55" i="14"/>
  <c r="K27" i="14"/>
  <c r="K28" i="14"/>
  <c r="J75" i="14"/>
  <c r="K76" i="14"/>
  <c r="K75" i="14"/>
  <c r="J24" i="14"/>
  <c r="J73" i="14"/>
  <c r="K40" i="14" l="1"/>
  <c r="K55" i="14" s="1"/>
  <c r="N70" i="14"/>
  <c r="N55" i="14"/>
  <c r="E117" i="14"/>
  <c r="K70" i="14"/>
  <c r="K95" i="14"/>
  <c r="K81" i="14" s="1"/>
  <c r="K72" i="14"/>
  <c r="K23" i="14"/>
  <c r="N22" i="14"/>
  <c r="J22" i="14"/>
  <c r="J38" i="14" s="1"/>
  <c r="N38" i="14"/>
  <c r="K24" i="14"/>
  <c r="D71" i="12" l="1"/>
  <c r="F117" i="14"/>
  <c r="K22" i="14"/>
  <c r="K38" i="14" s="1"/>
  <c r="M95" i="14" l="1"/>
  <c r="N95" i="14" l="1"/>
  <c r="M80" i="14"/>
  <c r="N80" i="14" s="1"/>
  <c r="M75" i="14"/>
  <c r="N75" i="14" s="1"/>
  <c r="L80" i="14"/>
  <c r="L75" i="14" l="1"/>
  <c r="L95" i="14"/>
  <c r="L74" i="14"/>
  <c r="L108" i="14"/>
  <c r="L82" i="14" l="1"/>
  <c r="L117" i="14"/>
  <c r="F148" i="11" s="1"/>
  <c r="D32" i="3" l="1"/>
  <c r="I74" i="14" l="1"/>
  <c r="I108" i="14"/>
  <c r="M74" i="14"/>
  <c r="M82" i="14" s="1"/>
  <c r="M108" i="14"/>
  <c r="M117" i="14" s="1"/>
  <c r="G148" i="11" l="1"/>
  <c r="I82" i="14"/>
  <c r="N82" i="14" s="1"/>
  <c r="N74" i="14"/>
  <c r="C16" i="2"/>
  <c r="N108" i="14"/>
  <c r="K74" i="14"/>
  <c r="K82" i="14" s="1"/>
  <c r="K108" i="14"/>
  <c r="K117" i="14" s="1"/>
  <c r="J74" i="14"/>
  <c r="J82" i="14" s="1"/>
  <c r="J108" i="14"/>
  <c r="J117" i="14" s="1"/>
  <c r="G32" i="3"/>
  <c r="I117" i="14" l="1"/>
  <c r="H148" i="11" s="1"/>
  <c r="N117" i="14" l="1"/>
  <c r="F32" i="3"/>
  <c r="Q14" i="4"/>
  <c r="Q13" i="4"/>
  <c r="Q15" i="4"/>
  <c r="Q16" i="4"/>
  <c r="D21" i="3" l="1"/>
  <c r="P12" i="4" l="1"/>
  <c r="F34" i="3"/>
  <c r="F33" i="3"/>
  <c r="F31" i="3"/>
  <c r="F35" i="3" l="1"/>
  <c r="G26" i="3" l="1"/>
  <c r="E35" i="3"/>
  <c r="E27" i="8"/>
  <c r="E30" i="8"/>
  <c r="E29" i="8"/>
  <c r="E28" i="8"/>
  <c r="D36" i="8" l="1"/>
  <c r="L21" i="4" l="1"/>
  <c r="O16" i="4" l="1"/>
  <c r="F28" i="3"/>
  <c r="N16" i="4" l="1"/>
  <c r="N15" i="4"/>
  <c r="N14" i="4"/>
  <c r="N13" i="4"/>
  <c r="M13" i="4" l="1"/>
  <c r="M15" i="4" l="1"/>
  <c r="D31" i="8" l="1"/>
  <c r="F25" i="8"/>
  <c r="D25" i="8"/>
  <c r="C25" i="8"/>
  <c r="E24" i="8"/>
  <c r="G24" i="8" s="1"/>
  <c r="E23" i="8"/>
  <c r="G23" i="8" s="1"/>
  <c r="E22" i="8"/>
  <c r="G22" i="8" s="1"/>
  <c r="F21" i="8"/>
  <c r="D21" i="8"/>
  <c r="C21" i="8"/>
  <c r="E21" i="8" s="1"/>
  <c r="G21" i="8" s="1"/>
  <c r="E20" i="8"/>
  <c r="G20" i="8" s="1"/>
  <c r="E19" i="8"/>
  <c r="G19" i="8" s="1"/>
  <c r="E18" i="8"/>
  <c r="G18" i="8" s="1"/>
  <c r="F17" i="8"/>
  <c r="D17" i="8"/>
  <c r="C17" i="8"/>
  <c r="E16" i="8"/>
  <c r="G16" i="8" s="1"/>
  <c r="E15" i="8"/>
  <c r="G15" i="8" s="1"/>
  <c r="E14" i="8"/>
  <c r="G14" i="8" s="1"/>
  <c r="M18" i="4"/>
  <c r="L18" i="4"/>
  <c r="M16" i="4"/>
  <c r="L16" i="4"/>
  <c r="K16" i="4"/>
  <c r="J16" i="4"/>
  <c r="I16" i="4"/>
  <c r="H16" i="4"/>
  <c r="G16" i="4"/>
  <c r="F16" i="4"/>
  <c r="E16" i="4"/>
  <c r="D16" i="4"/>
  <c r="L15" i="4"/>
  <c r="K15" i="4"/>
  <c r="J15" i="4"/>
  <c r="I15" i="4"/>
  <c r="H15" i="4"/>
  <c r="G15" i="4"/>
  <c r="F15" i="4"/>
  <c r="E15" i="4"/>
  <c r="D15" i="4"/>
  <c r="M14" i="4"/>
  <c r="L14" i="4"/>
  <c r="K14" i="4"/>
  <c r="J14" i="4"/>
  <c r="I14" i="4"/>
  <c r="H14" i="4"/>
  <c r="G14" i="4"/>
  <c r="F14" i="4"/>
  <c r="E14" i="4"/>
  <c r="D14" i="4"/>
  <c r="L13" i="4"/>
  <c r="K13" i="4"/>
  <c r="J13" i="4"/>
  <c r="I13" i="4"/>
  <c r="H13" i="4"/>
  <c r="G13" i="4"/>
  <c r="F13" i="4"/>
  <c r="E13" i="4"/>
  <c r="D13" i="4"/>
  <c r="E30" i="3"/>
  <c r="F29" i="3"/>
  <c r="F27" i="3"/>
  <c r="F26" i="3"/>
  <c r="E25" i="3"/>
  <c r="D25" i="3"/>
  <c r="F24" i="3"/>
  <c r="G24" i="3" s="1"/>
  <c r="F23" i="3"/>
  <c r="G23" i="3" s="1"/>
  <c r="F22" i="3"/>
  <c r="G22" i="3" s="1"/>
  <c r="E21" i="3"/>
  <c r="G20" i="3"/>
  <c r="G19" i="3"/>
  <c r="F19" i="3"/>
  <c r="F18" i="3"/>
  <c r="G18" i="3" s="1"/>
  <c r="E17" i="3"/>
  <c r="D17" i="3"/>
  <c r="F16" i="3"/>
  <c r="G16" i="3" s="1"/>
  <c r="F15" i="3"/>
  <c r="G15" i="3" s="1"/>
  <c r="G14" i="3"/>
  <c r="F14" i="3"/>
  <c r="G21" i="3" l="1"/>
  <c r="E17" i="8"/>
  <c r="G17" i="8" s="1"/>
  <c r="E25" i="8"/>
  <c r="G25" i="8" s="1"/>
  <c r="G17" i="3"/>
  <c r="F21" i="3"/>
  <c r="F17" i="3"/>
  <c r="F30" i="3"/>
  <c r="F25" i="3"/>
  <c r="G25" i="3" s="1"/>
  <c r="P13" i="4" l="1"/>
  <c r="G29" i="3"/>
  <c r="G28" i="3"/>
  <c r="O15" i="4"/>
  <c r="O14" i="4"/>
  <c r="O13" i="4"/>
  <c r="P15" i="4" l="1"/>
  <c r="P14" i="4"/>
  <c r="P16" i="4"/>
  <c r="G27" i="3"/>
  <c r="D30" i="3"/>
  <c r="G30" i="3" s="1"/>
  <c r="C31" i="8" l="1"/>
  <c r="E31" i="8" s="1"/>
  <c r="C17" i="2" l="1"/>
  <c r="G31" i="3" l="1"/>
  <c r="E33" i="8" l="1"/>
  <c r="C24" i="2" l="1"/>
  <c r="C25" i="2" s="1"/>
  <c r="D23" i="2" l="1"/>
  <c r="C30" i="2"/>
  <c r="C35" i="8" s="1"/>
  <c r="E35" i="8" s="1"/>
  <c r="E30" i="2" l="1"/>
  <c r="C36" i="8"/>
  <c r="E36" i="8" s="1"/>
  <c r="E34" i="8"/>
  <c r="D29" i="14"/>
  <c r="H111" i="14" l="1"/>
  <c r="C48" i="16" s="1"/>
  <c r="H61" i="14"/>
  <c r="C40" i="16" s="1"/>
  <c r="H116" i="14"/>
  <c r="D24" i="14"/>
  <c r="G31" i="14"/>
  <c r="H63" i="14"/>
  <c r="C33" i="16" s="1"/>
  <c r="H47" i="14"/>
  <c r="C32" i="16" s="1"/>
  <c r="H65" i="14"/>
  <c r="C38" i="16" s="1"/>
  <c r="D57" i="14"/>
  <c r="H67" i="14"/>
  <c r="C42" i="16" s="1"/>
  <c r="D33" i="14"/>
  <c r="D27" i="14"/>
  <c r="G27" i="14"/>
  <c r="D30" i="14"/>
  <c r="H59" i="14"/>
  <c r="C31" i="16" s="1"/>
  <c r="H51" i="14"/>
  <c r="C41" i="16" s="1"/>
  <c r="H64" i="14"/>
  <c r="C36" i="16" s="1"/>
  <c r="G28" i="14"/>
  <c r="H46" i="14"/>
  <c r="C34" i="16" s="1"/>
  <c r="G30" i="14"/>
  <c r="D28" i="14"/>
  <c r="G24" i="14"/>
  <c r="D31" i="14"/>
  <c r="H58" i="14"/>
  <c r="C26" i="16" s="1"/>
  <c r="G57" i="14"/>
  <c r="H60" i="14"/>
  <c r="C24" i="16" s="1"/>
  <c r="G26" i="14"/>
  <c r="H43" i="14"/>
  <c r="C23" i="16" s="1"/>
  <c r="D26" i="14"/>
  <c r="D23" i="14"/>
  <c r="H41" i="14"/>
  <c r="C25" i="16" s="1"/>
  <c r="G23" i="14"/>
  <c r="G40" i="14"/>
  <c r="H48" i="14"/>
  <c r="C35" i="16" s="1"/>
  <c r="G33" i="14"/>
  <c r="H42" i="14"/>
  <c r="C30" i="16" s="1"/>
  <c r="H49" i="14"/>
  <c r="C37" i="16" s="1"/>
  <c r="H44" i="14"/>
  <c r="G29" i="14"/>
  <c r="H29" i="14" s="1"/>
  <c r="H27" i="14" l="1"/>
  <c r="H24" i="14"/>
  <c r="H28" i="14"/>
  <c r="H31" i="14"/>
  <c r="H33" i="14"/>
  <c r="H26" i="14"/>
  <c r="H30" i="14"/>
  <c r="H23" i="14"/>
  <c r="G22" i="14"/>
  <c r="H57" i="14"/>
  <c r="H110" i="14" l="1"/>
  <c r="G113" i="14" l="1"/>
  <c r="B63" i="12" l="1"/>
  <c r="B68" i="12" s="1"/>
  <c r="D35" i="14"/>
  <c r="G25" i="14"/>
  <c r="H25" i="14" s="1"/>
  <c r="D77" i="14"/>
  <c r="G77" i="14"/>
  <c r="D79" i="14"/>
  <c r="G75" i="14"/>
  <c r="G70" i="14"/>
  <c r="D72" i="14"/>
  <c r="G55" i="14"/>
  <c r="D78" i="14"/>
  <c r="G78" i="14"/>
  <c r="D40" i="14"/>
  <c r="H40" i="14" s="1"/>
  <c r="H87" i="14"/>
  <c r="G72" i="14"/>
  <c r="G76" i="14" l="1"/>
  <c r="B70" i="12"/>
  <c r="H86" i="14"/>
  <c r="C7" i="16" s="1"/>
  <c r="D76" i="14"/>
  <c r="H103" i="14"/>
  <c r="D25" i="14"/>
  <c r="H106" i="14"/>
  <c r="H45" i="14"/>
  <c r="H35" i="14" s="1"/>
  <c r="H85" i="14"/>
  <c r="C2" i="16" s="1"/>
  <c r="H101" i="14"/>
  <c r="D55" i="14"/>
  <c r="H55" i="14" s="1"/>
  <c r="D70" i="14"/>
  <c r="H70" i="14" s="1"/>
  <c r="G74" i="14"/>
  <c r="H79" i="14"/>
  <c r="H100" i="14"/>
  <c r="C6" i="16" s="1"/>
  <c r="D108" i="14"/>
  <c r="H93" i="14"/>
  <c r="H90" i="14"/>
  <c r="H84" i="14"/>
  <c r="C20" i="16" s="1"/>
  <c r="D22" i="14"/>
  <c r="D32" i="14"/>
  <c r="H77" i="14"/>
  <c r="H97" i="14"/>
  <c r="C4" i="16" s="1"/>
  <c r="D95" i="14"/>
  <c r="D81" i="14" s="1"/>
  <c r="H94" i="14"/>
  <c r="D113" i="14"/>
  <c r="H105" i="14"/>
  <c r="H92" i="14"/>
  <c r="D75" i="14"/>
  <c r="H75" i="14" s="1"/>
  <c r="H99" i="14"/>
  <c r="C5" i="16" s="1"/>
  <c r="H89" i="14"/>
  <c r="H98" i="14"/>
  <c r="C3" i="16" s="1"/>
  <c r="D74" i="14"/>
  <c r="H72" i="14"/>
  <c r="H78" i="14"/>
  <c r="H62" i="14"/>
  <c r="G73" i="14"/>
  <c r="G35" i="14"/>
  <c r="G38" i="14" s="1"/>
  <c r="H88" i="14"/>
  <c r="C13" i="16" s="1"/>
  <c r="D73" i="14"/>
  <c r="G95" i="14"/>
  <c r="H80" i="14" l="1"/>
  <c r="C8" i="16"/>
  <c r="H113" i="14"/>
  <c r="H76" i="14"/>
  <c r="H102" i="14"/>
  <c r="C14" i="16" s="1"/>
  <c r="G108" i="14"/>
  <c r="H108" i="14" s="1"/>
  <c r="H74" i="14"/>
  <c r="D38" i="14"/>
  <c r="H38" i="14" s="1"/>
  <c r="H22" i="14"/>
  <c r="H95" i="14"/>
  <c r="D82" i="14"/>
  <c r="H73" i="14"/>
  <c r="G82" i="14"/>
  <c r="G117" i="14" s="1"/>
  <c r="D117" i="14" l="1"/>
  <c r="H82" i="14"/>
  <c r="B71" i="12" l="1"/>
  <c r="C71" i="12"/>
  <c r="D34" i="3"/>
  <c r="T12" i="4" s="1"/>
  <c r="G33" i="3"/>
  <c r="H117" i="14"/>
  <c r="D35" i="3" l="1"/>
  <c r="G35" i="3" s="1"/>
  <c r="G34" i="3"/>
  <c r="F14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tc={8A233EE7-7EB8-4FDF-97BC-E3CD7C730792}</author>
    <author>tc={50CFE6DA-CEEC-4866-90BA-4BC6739A6344}</author>
    <author>tc={E7884501-BDEE-4C32-878F-12C3C95D9F39}</author>
  </authors>
  <commentList>
    <comment ref="C62" authorId="0" shapeId="0" xr:uid="{8A233EE7-7EB8-4FDF-97BC-E3CD7C730792}">
      <text>
        <t>[Threaded comment]
Your version of Excel allows you to read this threaded comment; however, any edits to it will get removed if the file is opened in a newer version of Excel. Learn more: https://go.microsoft.com/fwlink/?linkid=870924
Comment:
    Can hide</t>
      </text>
    </comment>
    <comment ref="B99" authorId="1" shapeId="0" xr:uid="{50CFE6DA-CEEC-4866-90BA-4BC6739A6344}">
      <text>
        <t>[Threaded comment]
Your version of Excel allows you to read this threaded comment; however, any edits to it will get removed if the file is opened in a newer version of Excel. Learn more: https://go.microsoft.com/fwlink/?linkid=870924
Comment:
    Need to subtract Public Housing Heat Pump</t>
      </text>
    </comment>
    <comment ref="B100" authorId="2" shapeId="0" xr:uid="{E7884501-BDEE-4C32-878F-12C3C95D9F39}">
      <text>
        <t>[Threaded comment]
Your version of Excel allows you to read this threaded comment; however, any edits to it will get removed if the file is opened in a newer version of Excel. Learn more: https://go.microsoft.com/fwlink/?linkid=870924
Comment:
    Need to add Public Housing Heat Pump</t>
      </text>
    </comment>
  </commentList>
</comments>
</file>

<file path=xl/sharedStrings.xml><?xml version="1.0" encoding="utf-8"?>
<sst xmlns="http://schemas.openxmlformats.org/spreadsheetml/2006/main" count="1975" uniqueCount="766">
  <si>
    <t>Statewide Quarterly Report Template</t>
  </si>
  <si>
    <t>Tab 1: Ex Ante Results</t>
  </si>
  <si>
    <t>Final (updated 8-05-2023)</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</si>
  <si>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</si>
  <si>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</si>
  <si>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2"/>
        <color rgb="FFFF0000"/>
        <rFont val="Century Gothic"/>
        <family val="2"/>
      </rPr>
      <t>ComEd</t>
    </r>
    <r>
      <rPr>
        <b/>
        <sz val="12"/>
        <color theme="1"/>
        <rFont val="Century Gothic"/>
        <family val="2"/>
      </rPr>
      <t xml:space="preserve"> Ex Ante Results - Section 8-103B/8-104 (EEPS) Programs</t>
    </r>
  </si>
  <si>
    <t>CY2025 Q2</t>
  </si>
  <si>
    <t>2025 LRP</t>
  </si>
  <si>
    <t>LE Forecast</t>
  </si>
  <si>
    <t>Reg Asset (Labor/NonLabor)</t>
  </si>
  <si>
    <t>Budget</t>
  </si>
  <si>
    <t>Savings LE Name</t>
  </si>
  <si>
    <t>Spend LE Name</t>
  </si>
  <si>
    <t xml:space="preserve"> Section 8-103B/8-104
(EEPS) Program</t>
  </si>
  <si>
    <t>Net Energy Savings Achieved YTD
(MWh)</t>
  </si>
  <si>
    <t>2025 Original Plan 
Savings Goal
(MWh)*</t>
  </si>
  <si>
    <t>Approved Net Energy Savings Goal (MWh)**</t>
  </si>
  <si>
    <t>Implementation Plan Savings Goal
(MWh)</t>
  </si>
  <si>
    <t>% Savings Achieved Compared to Implementation Plan Savings Goal</t>
  </si>
  <si>
    <t>Program Costs YTD</t>
  </si>
  <si>
    <t>Incentive Costs YTD***</t>
  </si>
  <si>
    <t>Non-Incentive Costs YTD***</t>
  </si>
  <si>
    <t>2025 Original Plan 
Budget****</t>
  </si>
  <si>
    <t>2025
Approved Budget*****</t>
  </si>
  <si>
    <t>% of Costs YTD Compared to Approved Budget</t>
  </si>
  <si>
    <t>Commercial &amp; Industrial Programs</t>
  </si>
  <si>
    <t>Incentives</t>
  </si>
  <si>
    <t>Standard</t>
  </si>
  <si>
    <t>Custom</t>
  </si>
  <si>
    <t>ComEd Streetlightings</t>
  </si>
  <si>
    <t>Small Business</t>
  </si>
  <si>
    <t>Midstream/Upstream</t>
  </si>
  <si>
    <t>New Construction Bus/Pub</t>
  </si>
  <si>
    <t>Industrial Systems</t>
  </si>
  <si>
    <t>Retro-commissioning</t>
  </si>
  <si>
    <t>Behavior - Bus/Pub</t>
  </si>
  <si>
    <t>Facility Assessments</t>
  </si>
  <si>
    <t>Commercial Foodservice</t>
  </si>
  <si>
    <t>Business Energy Analyzer</t>
  </si>
  <si>
    <t>Electrification</t>
  </si>
  <si>
    <t>Business Outreach</t>
  </si>
  <si>
    <t>N/A</t>
  </si>
  <si>
    <t>Business General</t>
  </si>
  <si>
    <t>C&amp;I Programs Subtotal</t>
  </si>
  <si>
    <t>C&amp;I Private Sector Programs</t>
  </si>
  <si>
    <t>Incentives - Private</t>
  </si>
  <si>
    <t>Incentives-Standard - Private</t>
  </si>
  <si>
    <t>Incentives- Standard</t>
  </si>
  <si>
    <t>Standard - Private</t>
  </si>
  <si>
    <t>Incentives-Custom - Private</t>
  </si>
  <si>
    <t>Incentives - Custom</t>
  </si>
  <si>
    <t>Custom - Private</t>
  </si>
  <si>
    <t>Small Business-Small Business - Private</t>
  </si>
  <si>
    <t>Small Business - Private</t>
  </si>
  <si>
    <t>Midstream/Upstream-Private</t>
  </si>
  <si>
    <t>Business Instant Discounts</t>
  </si>
  <si>
    <t>Midstream Upstream - Private</t>
  </si>
  <si>
    <t>Midstream/Upstream-Private-Electrification</t>
  </si>
  <si>
    <t>Midstream/Upstream Private - Electrification</t>
  </si>
  <si>
    <t>Targeted Systems-Industrial Systems</t>
  </si>
  <si>
    <t>EE-Industrial Systems</t>
  </si>
  <si>
    <t>Industrial Systems - Private</t>
  </si>
  <si>
    <t>Targeted Systems-Retro-Commissioning - Private</t>
  </si>
  <si>
    <t>RetroCommissioning</t>
  </si>
  <si>
    <t>Retro-commissioning - Private</t>
  </si>
  <si>
    <t>Behavior - Bus/Pub-Strategic Energy Management - Private</t>
  </si>
  <si>
    <t>Strategic Energy Management</t>
  </si>
  <si>
    <t xml:space="preserve">Strategic Energy Management - Private </t>
  </si>
  <si>
    <t>New Construction - Bus/Pub-Private</t>
  </si>
  <si>
    <t>Non- Res New Construction</t>
  </si>
  <si>
    <t>New Construction - Private</t>
  </si>
  <si>
    <t>Facility Assessment</t>
  </si>
  <si>
    <t>Facility Assessment - Private</t>
  </si>
  <si>
    <t>Commercial Foodservice-Private</t>
  </si>
  <si>
    <t>EE - Commercial Food Private</t>
  </si>
  <si>
    <t>Commercial Foodservice - Private</t>
  </si>
  <si>
    <t>Business Energy Analyzer-Business Energy Analyzer - Private</t>
  </si>
  <si>
    <t>EE - C&amp;I Optimization - Private</t>
  </si>
  <si>
    <t>Business Energy Analyzer - Private</t>
  </si>
  <si>
    <t>EE- C&amp;I Outreach  Private Sect</t>
  </si>
  <si>
    <t>Private Sector Outreach</t>
  </si>
  <si>
    <t>Private Sector General</t>
  </si>
  <si>
    <t>C&amp;I Programs - Private Sector Total</t>
  </si>
  <si>
    <t>C&amp;I Public Sector Programs</t>
  </si>
  <si>
    <t>Incentives - Public</t>
  </si>
  <si>
    <t>Incentives-Standard - Public</t>
  </si>
  <si>
    <t>Incentives- Standard - Public Sector</t>
  </si>
  <si>
    <t>Standard - Public</t>
  </si>
  <si>
    <t>Incentives-Custom - Public Sector</t>
  </si>
  <si>
    <t>Incentives - Custom - Public Sector</t>
  </si>
  <si>
    <t>Custom - Public</t>
  </si>
  <si>
    <t>Small Business-Small Business - Public</t>
  </si>
  <si>
    <t>Small Business Public Sector</t>
  </si>
  <si>
    <t>Small Business - Public</t>
  </si>
  <si>
    <t>Midstream/Upstream-Public</t>
  </si>
  <si>
    <t>Business Instant Discounts Public Sector</t>
  </si>
  <si>
    <t>Midstream/Upstream - Public</t>
  </si>
  <si>
    <t>Midstream/Upstream Public - Electrification</t>
  </si>
  <si>
    <t>Targeted Systems-Retro-Commissioning - Public</t>
  </si>
  <si>
    <t>RetroCommissioning Public Sector</t>
  </si>
  <si>
    <t>Retro-commissioning - Public</t>
  </si>
  <si>
    <t>Behavior - Bus/Pub-Strategic Energy Management - Public</t>
  </si>
  <si>
    <t>Strategic Energy Management Public Sector</t>
  </si>
  <si>
    <t>Strategic Energy Management - Public</t>
  </si>
  <si>
    <t>New Construction - Bus/Pub-Public</t>
  </si>
  <si>
    <t>Non- Res New Construction Public Sector</t>
  </si>
  <si>
    <t>New Construction - Public</t>
  </si>
  <si>
    <t>Facility Assessment Public Sector</t>
  </si>
  <si>
    <t>Facility Assessments - Public</t>
  </si>
  <si>
    <t>Commercial Foodservice-Public</t>
  </si>
  <si>
    <t>EE - Commercial Food Public</t>
  </si>
  <si>
    <t>Commercial Foodservice - Public</t>
  </si>
  <si>
    <t>Business Energy Analyzer-Business Energy Analyzer - Public</t>
  </si>
  <si>
    <t>EE - C&amp;I Optimization - Public</t>
  </si>
  <si>
    <t>Business Energy Analyzer - Public</t>
  </si>
  <si>
    <t>EE- C&amp;I Outreach Public Sector</t>
  </si>
  <si>
    <t>Public Sector Outreach</t>
  </si>
  <si>
    <t>C&amp;I Programs - Public Sector Total</t>
  </si>
  <si>
    <t>Residential and Income Eligible Programs</t>
  </si>
  <si>
    <t>Behavior -Res/IE</t>
  </si>
  <si>
    <t>Single-Family Upgrades</t>
  </si>
  <si>
    <t>Multi-Family Upgrades</t>
  </si>
  <si>
    <t>Retail/Online</t>
  </si>
  <si>
    <t>Product Distribution</t>
  </si>
  <si>
    <t>New Construction - Income Eligible</t>
  </si>
  <si>
    <t>New Contruction - Electric</t>
  </si>
  <si>
    <t>Heating and Cooling - Contractor/Midstream Rebates</t>
  </si>
  <si>
    <t>Residential and IE General</t>
  </si>
  <si>
    <t>Residential and Income Eligible Programs Subtotal</t>
  </si>
  <si>
    <t>Residential Market Rate Programs</t>
  </si>
  <si>
    <t>Behavior - Res/IE-Home Energy Report</t>
  </si>
  <si>
    <t>Home Energy Report/ Residential Behavior Combined</t>
  </si>
  <si>
    <t>Residential Behavior - Home Energy Report</t>
  </si>
  <si>
    <t>Single-Family Upgrades-Home Energy Assessment - MR</t>
  </si>
  <si>
    <t>EE - Home Energy Assessment</t>
  </si>
  <si>
    <t>Single-Family Upgrades – Home Energy Assessments - Market Rate</t>
  </si>
  <si>
    <t>Multi-Family Upgrades-Market Rate</t>
  </si>
  <si>
    <t>EE - Multi-Family Energy Assessment</t>
  </si>
  <si>
    <t>Multi-Family Upgrades - Market Rate</t>
  </si>
  <si>
    <t xml:space="preserve">Retail/Online-Retail - Market Rate +  Retail/Online-Retail Products Platform </t>
  </si>
  <si>
    <t>Market Rate Retail + EE Marketplace Residential Products + Retial Product Platform</t>
  </si>
  <si>
    <t>Retail - Market Rate (includes Marketplace 2.0 Non-Lighting and Retail Products Platform)</t>
  </si>
  <si>
    <t>Product Distribution-Product Distribution - Market Rate</t>
  </si>
  <si>
    <t>Market Rate Product Distribution</t>
  </si>
  <si>
    <t>Product Distribution - Market Rate</t>
  </si>
  <si>
    <t>Residential New Construction-All-Electric New Construction</t>
  </si>
  <si>
    <t>Electric Homes New Construction</t>
  </si>
  <si>
    <t>All-Electric New Construction</t>
  </si>
  <si>
    <t>Contractor/Midstream Rebates-Contractor/Midstream Rebates</t>
  </si>
  <si>
    <t>EE Res Heating and Cooling</t>
  </si>
  <si>
    <t>Residential General</t>
  </si>
  <si>
    <t>Retail/Online-Retail - Market Rate-Electrification</t>
  </si>
  <si>
    <t>Retail - Market Rate - Electrification</t>
  </si>
  <si>
    <t>Residential New Construction-All-Electric New Construction-Electrification</t>
  </si>
  <si>
    <t>Electric Homes-Elec. Measures</t>
  </si>
  <si>
    <t>All-Electric New Construction - Electrification</t>
  </si>
  <si>
    <t>Contractor/Midstream Rebates-Contractor/Midstream Rebates-Electrification</t>
  </si>
  <si>
    <t>Res. Electrification</t>
  </si>
  <si>
    <t>Contractor/Midstream Rebates Electrification</t>
  </si>
  <si>
    <t>Residential Market Rate Subtotal</t>
  </si>
  <si>
    <t>Income Qualified Programs</t>
  </si>
  <si>
    <t>Single-Family Upgrades-Income Eligible Retrofits + Whole Home Electric-Single-Family IE (non-fuel switch)</t>
  </si>
  <si>
    <t>Single- Family IE Retrofits</t>
  </si>
  <si>
    <t>Single-Family Upgrades – Income Eligible Retrofits</t>
  </si>
  <si>
    <t>Single-Family Upgrades-Home Energy Assessment - IE</t>
  </si>
  <si>
    <t>(IE) Home Energy Assessment - Income Eligible</t>
  </si>
  <si>
    <t>Single-Family Upgrades – Home Energy Assessments - IE</t>
  </si>
  <si>
    <t>Multi-Family Upgrades-Income Eligible + Whole Home Electric-Multi-Family IE (non-fuel switch) + Multi-Family Upgrades-Heat Pump - IE</t>
  </si>
  <si>
    <t>Multi-Family IE Retrofits + Multi-Family Retrofits -HP with Public Housing Heat Pump Removed</t>
  </si>
  <si>
    <t>Multi-Family Upgrades - Income Eligible</t>
  </si>
  <si>
    <t>Multi-Family Upgrades-Public Housing + Multi-Family Upgrades-Heat Pump - PH</t>
  </si>
  <si>
    <t>Public Housing Retrofits with Public Housing HP Added</t>
  </si>
  <si>
    <t>Multi-Family Upgrades - Public Housing</t>
  </si>
  <si>
    <t>Retail/Online-Retail - Income Eligible</t>
  </si>
  <si>
    <t>IE Retail</t>
  </si>
  <si>
    <t>Retail - Income Eligible</t>
  </si>
  <si>
    <t>Product Distribution-IE Kits + Product Distribution-Food Bank +  Product Distribution-Elementary Education - IE</t>
  </si>
  <si>
    <t>Product Distribution - Income Eligible</t>
  </si>
  <si>
    <t>Residential New Construction-Affordable Housing New Construction</t>
  </si>
  <si>
    <t>Affordable Housing New Construction</t>
  </si>
  <si>
    <t>Retail/Online-Retail - Income Eligible-Electrification</t>
  </si>
  <si>
    <t>Retail - Income Eligible Electrification</t>
  </si>
  <si>
    <t>Whole Home Electric-Multi-Family Electrification IE (fuel-switch)-Electrification + Whole Home Electric-Single-Family Electrification IE (fuel switch)-Electrification</t>
  </si>
  <si>
    <t>IE Multi Family Electrification + IE Single Family Electrification</t>
  </si>
  <si>
    <t>Whole Home Electrific (Single and Multi Family Upgrades Electrification - IE)</t>
  </si>
  <si>
    <t>Residential New Construction-Affordable Housing New Construction-Electrification</t>
  </si>
  <si>
    <t>Affordable Housing NC-Elect.</t>
  </si>
  <si>
    <t>Affordable Housing New Construction Electrification</t>
  </si>
  <si>
    <t>Income Eligible General</t>
  </si>
  <si>
    <t>IE General</t>
  </si>
  <si>
    <t>Income Qualified Programs Subtotal</t>
  </si>
  <si>
    <t>Demonstration of Breakthrough Equipment and Devices</t>
  </si>
  <si>
    <t>Portfolio Administration-R&amp;D</t>
  </si>
  <si>
    <t>Emerging Tech (ET) and Market Transformation (MT)</t>
  </si>
  <si>
    <t>Emerging Technology/R&amp;D</t>
  </si>
  <si>
    <t>Voltage Optimization-Voltage Optimization</t>
  </si>
  <si>
    <t>Voltage Optimization</t>
  </si>
  <si>
    <t>Cust Journey Optimization - Public/Private</t>
  </si>
  <si>
    <t>Customer Journey Optimization</t>
  </si>
  <si>
    <t>Demonstration of Breakthrough Equipment and Devices Subtotal</t>
  </si>
  <si>
    <t>Additional/Other Savings-Weatherization Purchase Agreement - Nicor</t>
  </si>
  <si>
    <t>Additional/Other Claimable Savings******</t>
  </si>
  <si>
    <t>Other Fuel (Therm) Conversion</t>
  </si>
  <si>
    <t>Portfolio Administration-Lighting Carryover</t>
  </si>
  <si>
    <t>Lighting Carryover</t>
  </si>
  <si>
    <r>
      <t>Overall Total</t>
    </r>
    <r>
      <rPr>
        <b/>
        <sz val="10"/>
        <color rgb="FFFF0000"/>
        <rFont val="Century Gothic"/>
        <family val="2"/>
      </rPr>
      <t xml:space="preserve"> ComEd</t>
    </r>
    <r>
      <rPr>
        <b/>
        <sz val="10"/>
        <rFont val="Century Gothic"/>
        <family val="2"/>
      </rPr>
      <t xml:space="preserve"> Section 8-103B/8-104 (EEPS) Programs</t>
    </r>
  </si>
  <si>
    <t>Footnotes:</t>
  </si>
  <si>
    <t>*Original Plan Savings Goal refers to the original savings goal approved in the Commission's Final Order approving the EE Plan. For Section 8-104 programs, this value should match the Plan Energy Savings Goal set forth in the completed Adjustable Savings Goal Template. Subject to change.</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</si>
  <si>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</si>
  <si>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***Because actual incentive costs are not available until year-end, estimates are provided in the Incentive Costs YTD column for Q1. A blended rate of 64% is applied to all programs that typically have incentive costs; this excludes behavioral programs, voltage optimization, emerging technology, market transformation, outreach, general, and portfolio-level costs.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</si>
  <si>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</si>
  <si>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</si>
  <si>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LE MWh YE</t>
  </si>
  <si>
    <t>Actual YTD</t>
  </si>
  <si>
    <t>LRP YE</t>
  </si>
  <si>
    <t>January</t>
  </si>
  <si>
    <t>February</t>
  </si>
  <si>
    <t>March</t>
  </si>
  <si>
    <t>April</t>
  </si>
  <si>
    <t>May</t>
  </si>
  <si>
    <t>June</t>
  </si>
  <si>
    <t>July</t>
  </si>
  <si>
    <t>August</t>
  </si>
  <si>
    <t>September</t>
  </si>
  <si>
    <t>October</t>
  </si>
  <si>
    <t>November</t>
  </si>
  <si>
    <t>December</t>
  </si>
  <si>
    <t>Total</t>
  </si>
  <si>
    <t>Program Name</t>
  </si>
  <si>
    <t>EffectiveName</t>
  </si>
  <si>
    <t>LE Monthly Total Electric Only (MWh)</t>
  </si>
  <si>
    <t>YTD</t>
  </si>
  <si>
    <t>LRP Electric Only (MWh)</t>
  </si>
  <si>
    <t>Strategic Energy Management - Private</t>
  </si>
  <si>
    <t>Private</t>
  </si>
  <si>
    <t>Public</t>
  </si>
  <si>
    <t>Custom - Public Sector</t>
  </si>
  <si>
    <t>Product Distribution-Elementary Education - IE</t>
  </si>
  <si>
    <t>Product Distribution-Food Bank</t>
  </si>
  <si>
    <t>Product Distribution-IE Kits</t>
  </si>
  <si>
    <t>New Construction - Bus/Pub</t>
  </si>
  <si>
    <t>Targeted Systems</t>
  </si>
  <si>
    <t>Retail/Online-Retail - Market Rate</t>
  </si>
  <si>
    <t>Retro-Commissioning - Private</t>
  </si>
  <si>
    <t>Retail/Online-Retail Products Platform</t>
  </si>
  <si>
    <t>Retro-Commissioning - Public</t>
  </si>
  <si>
    <t>Multi-Family Upgrades-Heat Pump - IE</t>
  </si>
  <si>
    <t>Multi-Family Upgrades-Heat Pump - PH</t>
  </si>
  <si>
    <t>Multi-Family Upgrades-Income Eligible</t>
  </si>
  <si>
    <t>Additional/Other Savings</t>
  </si>
  <si>
    <t>Weatherization Purchase Agreement - Nicor</t>
  </si>
  <si>
    <t>Multi-Family Upgrades-Public Housing</t>
  </si>
  <si>
    <t>Portfolio Administration</t>
  </si>
  <si>
    <t>R&amp;D</t>
  </si>
  <si>
    <t>Single-Family Upgrades-Income Eligible Retrofits</t>
  </si>
  <si>
    <t>Whole Home Electric-Multi-Family IE (non-fuel switch)</t>
  </si>
  <si>
    <t>Whole Home Electric-Single-Family IE (non-fuel switch)</t>
  </si>
  <si>
    <t>TRADITIONAL TOTAL</t>
  </si>
  <si>
    <t>Contractor/Midstream Rebates</t>
  </si>
  <si>
    <t>LE EEE YE</t>
  </si>
  <si>
    <t>Net EEE YTD</t>
  </si>
  <si>
    <t>Elementary Education - IE</t>
  </si>
  <si>
    <t>Food Bank</t>
  </si>
  <si>
    <t>IE Kits</t>
  </si>
  <si>
    <t>Residential New Construction</t>
  </si>
  <si>
    <t>Whole Home Electric-Multi-Family Electrification IE (fuel-switch)-Electrification</t>
  </si>
  <si>
    <t>Whole Home Electric-Single-Family Electrification IE (fuel switch)-Electrification</t>
  </si>
  <si>
    <t>ELECTRIFICATION TOTAL</t>
  </si>
  <si>
    <t>GROUPS</t>
  </si>
  <si>
    <t>Retail - Market Rate</t>
  </si>
  <si>
    <t>Retail Products Platform</t>
  </si>
  <si>
    <t>Heat Pump - IE</t>
  </si>
  <si>
    <t>Heat Pump - PH</t>
  </si>
  <si>
    <t>Income Eligible</t>
  </si>
  <si>
    <t>Business Energy Analyzer-Business Energy Analyzer - Private + Business Energy Analyzer-Business Energy Analyzer - Public</t>
  </si>
  <si>
    <t>Market Rate</t>
  </si>
  <si>
    <t>Public Housing</t>
  </si>
  <si>
    <t>RAW TOTAL</t>
  </si>
  <si>
    <t>GROUPED TOTAL</t>
  </si>
  <si>
    <t>Home Energy Assessment - IE</t>
  </si>
  <si>
    <t>Home Energy Assessment - MR</t>
  </si>
  <si>
    <t>Check between Raw and Grouped Totals</t>
  </si>
  <si>
    <t>Income Eligible Retrofits</t>
  </si>
  <si>
    <t>Check on Tab 1</t>
  </si>
  <si>
    <t>Whole Home Electric</t>
  </si>
  <si>
    <t>Multi-Family IE (non-fuel switch)</t>
  </si>
  <si>
    <t>Single-Family IE (non-fuel switch)</t>
  </si>
  <si>
    <t>Behavior - Res/IE</t>
  </si>
  <si>
    <t>Home Energy Report</t>
  </si>
  <si>
    <t>LE Monthly Total Net EEE (MWh)</t>
  </si>
  <si>
    <t>LRP Net EEE (MWh)</t>
  </si>
  <si>
    <t>Multi-Family Electrification IE (fuel-switch)</t>
  </si>
  <si>
    <t>Single-Family Electrification IE (fuel switch)</t>
  </si>
  <si>
    <t>2025 Budget / LRP</t>
  </si>
  <si>
    <t>Final LE Submission</t>
  </si>
  <si>
    <t>Dept</t>
  </si>
  <si>
    <t>ITN</t>
  </si>
  <si>
    <t>ITN Name</t>
  </si>
  <si>
    <t>Project ID</t>
  </si>
  <si>
    <t>Project Description</t>
  </si>
  <si>
    <t>2025</t>
  </si>
  <si>
    <t>Actuals</t>
  </si>
  <si>
    <t>Residential Direct to Consumer</t>
  </si>
  <si>
    <t>EERSSFHP</t>
  </si>
  <si>
    <t>ON TAB 1</t>
  </si>
  <si>
    <t>EERSMFSP</t>
  </si>
  <si>
    <t>17EEPSPUB</t>
  </si>
  <si>
    <t>Public Housing Retrofits</t>
  </si>
  <si>
    <t>GROUPED</t>
  </si>
  <si>
    <t>17EELIMFR</t>
  </si>
  <si>
    <t>Multi-Family IE Retrofits</t>
  </si>
  <si>
    <t>22EEMFNEH</t>
  </si>
  <si>
    <t>Multi-Family Retrofits -HP</t>
  </si>
  <si>
    <t>17EELISFR</t>
  </si>
  <si>
    <t>22EEIEHEA</t>
  </si>
  <si>
    <t>16CSBIDA6 (moved)</t>
  </si>
  <si>
    <t>Home Energy Report/ Residential Behavior</t>
  </si>
  <si>
    <t>22EEIEMFE</t>
  </si>
  <si>
    <t>IE Multi Family Electrification</t>
  </si>
  <si>
    <t>22EEIESFE</t>
  </si>
  <si>
    <t>IE Single Family Electrification</t>
  </si>
  <si>
    <t>Various PIDs</t>
  </si>
  <si>
    <t>Residential Channels</t>
  </si>
  <si>
    <t>22EEMRPRD</t>
  </si>
  <si>
    <t>22EEMRRTL</t>
  </si>
  <si>
    <t>Market Rate Retail</t>
  </si>
  <si>
    <t>17EELINEW</t>
  </si>
  <si>
    <t>EERSTUNE</t>
  </si>
  <si>
    <t>22EEIEPRD</t>
  </si>
  <si>
    <t>22EEEHNCP</t>
  </si>
  <si>
    <t>21EEMPPRD</t>
  </si>
  <si>
    <t>EE Marketplace Residential Products</t>
  </si>
  <si>
    <t>21EEMPLIT</t>
  </si>
  <si>
    <t>EE - Marketplace Lighting Products</t>
  </si>
  <si>
    <t>22EEIERTL</t>
  </si>
  <si>
    <t>22EEERHVC</t>
  </si>
  <si>
    <t>17EETFBAN</t>
  </si>
  <si>
    <t>Food Bank-LED Distribution</t>
  </si>
  <si>
    <t>23EEEHNCM</t>
  </si>
  <si>
    <t>17EELILIT</t>
  </si>
  <si>
    <t>Lighting Discounts - Income Eligible</t>
  </si>
  <si>
    <t>22EEAHNCE</t>
  </si>
  <si>
    <t>14EERSPRD</t>
  </si>
  <si>
    <t>Product Rebates</t>
  </si>
  <si>
    <t>23EERPP</t>
  </si>
  <si>
    <t>EERSAPPL</t>
  </si>
  <si>
    <t>Appliance Recycling Program</t>
  </si>
  <si>
    <t>Residential Journey Coordination</t>
  </si>
  <si>
    <t>20EEIEGEN</t>
  </si>
  <si>
    <t>11EERSGEN</t>
  </si>
  <si>
    <t>22EERSEDU</t>
  </si>
  <si>
    <t>Education &amp; Awareness - Residential (EEDEDUCA)</t>
  </si>
  <si>
    <t>ON TAB 2</t>
  </si>
  <si>
    <t>16CSBIDA6</t>
  </si>
  <si>
    <t>Various PID's</t>
  </si>
  <si>
    <t>Ledger Corrections</t>
  </si>
  <si>
    <t>EE Reg Asset Labor - Residential</t>
  </si>
  <si>
    <t>Various</t>
  </si>
  <si>
    <t>Residential Implementation</t>
  </si>
  <si>
    <t>EE Business Programs</t>
  </si>
  <si>
    <t>11EECIGEN</t>
  </si>
  <si>
    <t>EECIPRES</t>
  </si>
  <si>
    <t>17EEPSINC</t>
  </si>
  <si>
    <t>EECISBDI</t>
  </si>
  <si>
    <t>17EEPSBIZ</t>
  </si>
  <si>
    <t>17EETRURL</t>
  </si>
  <si>
    <t>Rural Small Business Kits</t>
  </si>
  <si>
    <t>20EETPSBK</t>
  </si>
  <si>
    <t>Small Business Kits - Public</t>
  </si>
  <si>
    <t>EE C&amp;I Outreach</t>
  </si>
  <si>
    <t>17EECIOUT</t>
  </si>
  <si>
    <t>17EEPSOUT</t>
  </si>
  <si>
    <t>22EECIEDU</t>
  </si>
  <si>
    <t>Education &amp; Awareness - C&amp;I (EEDEDUCA)-Private</t>
  </si>
  <si>
    <t>25EEPSEDU</t>
  </si>
  <si>
    <t>Education &amp; Awareness - C&amp;I (EEDEDUCA)-Public</t>
  </si>
  <si>
    <t>25EECIBEA</t>
  </si>
  <si>
    <t>25EEPSBEA</t>
  </si>
  <si>
    <t>14EECIOPT</t>
  </si>
  <si>
    <t>Cust Journey Optimization-2024 roll over</t>
  </si>
  <si>
    <t>25EECIOPT</t>
  </si>
  <si>
    <t>Cust Journey Optimization-Private</t>
  </si>
  <si>
    <t>25EEPSOPT</t>
  </si>
  <si>
    <t>Cust Journey Optimization-Public</t>
  </si>
  <si>
    <t>EE Technical Programs</t>
  </si>
  <si>
    <t>11EECMAIR</t>
  </si>
  <si>
    <t>16EECISEM</t>
  </si>
  <si>
    <t>17EEPSSEM</t>
  </si>
  <si>
    <t>EECICUST</t>
  </si>
  <si>
    <t>17EEPSCUS</t>
  </si>
  <si>
    <t>EECIRETR</t>
  </si>
  <si>
    <t>17EEPSRET</t>
  </si>
  <si>
    <t>18EECITCH</t>
  </si>
  <si>
    <t>EE-C&amp;I Tech Support General E</t>
  </si>
  <si>
    <t>NOT INCLUDED ON TAB 2</t>
  </si>
  <si>
    <t>11EEMIDIN</t>
  </si>
  <si>
    <t>17EEPSMID</t>
  </si>
  <si>
    <t>EECINCON</t>
  </si>
  <si>
    <t>17EEPSNEW</t>
  </si>
  <si>
    <t>23EECICFS</t>
  </si>
  <si>
    <t>23EEPSCFS</t>
  </si>
  <si>
    <t>19EETPAGR</t>
  </si>
  <si>
    <t>Third Party C&amp;I Agricultural</t>
  </si>
  <si>
    <t>19EETPESG</t>
  </si>
  <si>
    <t>Third Party C&amp;I Energy Smart Grocer</t>
  </si>
  <si>
    <t>19EETPSFT</t>
  </si>
  <si>
    <t>Public Buildings in Distressed Communities</t>
  </si>
  <si>
    <t>19EETPNPR</t>
  </si>
  <si>
    <t>Third Party C&amp;I Non Profit Retrofits</t>
  </si>
  <si>
    <t>EE Engineering Programs</t>
  </si>
  <si>
    <t>17EECIFAS</t>
  </si>
  <si>
    <t>17EEPSFAS</t>
  </si>
  <si>
    <t>23EESCPRI</t>
  </si>
  <si>
    <t>Outreach Private Schools</t>
  </si>
  <si>
    <t>23EESCPUB</t>
  </si>
  <si>
    <t>Outreach Public Schools</t>
  </si>
  <si>
    <t>23EEPSTA</t>
  </si>
  <si>
    <t>Outreach Public Schools Tech Assistance</t>
  </si>
  <si>
    <t>EE500EUDS (moved)</t>
  </si>
  <si>
    <t>EE EUDS (Energy Usage Data System)</t>
  </si>
  <si>
    <t>EE Reg Asset Labor - C&amp;I</t>
  </si>
  <si>
    <t>C&amp;I Implementation</t>
  </si>
  <si>
    <t>Implementation Programs</t>
  </si>
  <si>
    <t>Evaluation</t>
  </si>
  <si>
    <t>24EEGNEVL</t>
  </si>
  <si>
    <t>2024 Evaluation Expense</t>
  </si>
  <si>
    <t>25EEGNEVL</t>
  </si>
  <si>
    <t>2025 Evaluation Expense</t>
  </si>
  <si>
    <t>26EEGNEVL</t>
  </si>
  <si>
    <t>2023 Evaluation Expense</t>
  </si>
  <si>
    <t>25EEMDEVL</t>
  </si>
  <si>
    <t>2025 MDI Evaluation Expense</t>
  </si>
  <si>
    <t>Planning</t>
  </si>
  <si>
    <t>EEGNPLAN6</t>
  </si>
  <si>
    <t>AEG - 2021 Plan 6</t>
  </si>
  <si>
    <t>Stakeholder Facilitation</t>
  </si>
  <si>
    <t>EEGNSTKHD</t>
  </si>
  <si>
    <t>EE Portfolio Admin Stakeholders</t>
  </si>
  <si>
    <t>EEGNEMTC</t>
  </si>
  <si>
    <t>Research &amp; Development</t>
  </si>
  <si>
    <t>Emerging Tech</t>
  </si>
  <si>
    <t>22EERDIE</t>
  </si>
  <si>
    <t>Research &amp; Development - Income Eligible</t>
  </si>
  <si>
    <t>22EEMMCSL</t>
  </si>
  <si>
    <t>EE500EUDS</t>
  </si>
  <si>
    <t>Legal Support</t>
  </si>
  <si>
    <t>EEGNLEGAL</t>
  </si>
  <si>
    <t>Internal Legal and Outside Counsel</t>
  </si>
  <si>
    <t>EEGNDCSPT</t>
  </si>
  <si>
    <t>Non-EE Labor Charges re: PCI Timekeeping Rpt</t>
  </si>
  <si>
    <t>Portfolio Analytics</t>
  </si>
  <si>
    <t>18EEGNITS</t>
  </si>
  <si>
    <t>EE- Portfolio Analytics Services &amp; Su</t>
  </si>
  <si>
    <t>EE-Mrkt Research</t>
  </si>
  <si>
    <t>11EEMKRES</t>
  </si>
  <si>
    <t>Other General - SP&amp;I</t>
  </si>
  <si>
    <t>Legal and IT Support</t>
  </si>
  <si>
    <t>EE Reg Asset Labor - SP&amp;I</t>
  </si>
  <si>
    <t>Portfolio SP&amp;I Subtotal</t>
  </si>
  <si>
    <t>Reporting</t>
  </si>
  <si>
    <t>EEGNETRK</t>
  </si>
  <si>
    <t>EE Portfolio Admin eTrack</t>
  </si>
  <si>
    <t>EEGNSLSFR</t>
  </si>
  <si>
    <t>EE Portfolio Admin Salesforce</t>
  </si>
  <si>
    <t>EEGNSRE</t>
  </si>
  <si>
    <t>EE Scorecard Automation</t>
  </si>
  <si>
    <t>BusOps</t>
  </si>
  <si>
    <t>18EEPFEXP</t>
  </si>
  <si>
    <t>EE-Gen Portfolio Support</t>
  </si>
  <si>
    <t>22EEMKDEV</t>
  </si>
  <si>
    <t>Market Development Initiative</t>
  </si>
  <si>
    <t>OBFINEDA</t>
  </si>
  <si>
    <t>Cost of EDA on bill financing</t>
  </si>
  <si>
    <t>Finance</t>
  </si>
  <si>
    <t>Forecast File Enhancement</t>
  </si>
  <si>
    <t>Finance - B&amp;CS</t>
  </si>
  <si>
    <t>Other General</t>
  </si>
  <si>
    <t>EEGNADMN</t>
  </si>
  <si>
    <t>General Program Costs</t>
  </si>
  <si>
    <t>EEGNTRVL</t>
  </si>
  <si>
    <t>EE - Conference Travel Costs</t>
  </si>
  <si>
    <t>Other General - B&amp;CS</t>
  </si>
  <si>
    <t>General Admin and EE Travel</t>
  </si>
  <si>
    <t>Customer Solutions</t>
  </si>
  <si>
    <t>11EECLCNT</t>
  </si>
  <si>
    <t>Call Center Budget</t>
  </si>
  <si>
    <t>Customer Solutions- Call Center</t>
  </si>
  <si>
    <t>EE Reg Asset Labor - B&amp;CS</t>
  </si>
  <si>
    <t>Portfolio B&amp;CS Subtotal</t>
  </si>
  <si>
    <t>EE Reg Asset Labor - CS VP</t>
  </si>
  <si>
    <t>Portfolio Programs</t>
  </si>
  <si>
    <t>Total EE Regulatory Asset (GL 182890)</t>
  </si>
  <si>
    <t>Streetlight - Capital*</t>
  </si>
  <si>
    <t>EE Incentives for replacement of ComEd-owned streetlights</t>
  </si>
  <si>
    <t>TOTAL RIDER EEPP (with Capital Incentives)</t>
  </si>
  <si>
    <t>Tab 1 Total</t>
  </si>
  <si>
    <t>Check on Tab 2</t>
  </si>
  <si>
    <t>Evaluation Costs</t>
  </si>
  <si>
    <t>Marketing Costs (including Education and Outreach)</t>
  </si>
  <si>
    <t>*NEED TO BACK OUT Heat Pump PH</t>
  </si>
  <si>
    <t>Multi-Family IE Retrofits + Multi-Family Retrofits -HP</t>
  </si>
  <si>
    <t>*NEED TO ADD IN Heat Pump PH</t>
  </si>
  <si>
    <t>Public Housing Heat Pump</t>
  </si>
  <si>
    <t>Contract Description</t>
  </si>
  <si>
    <t>Total 2025 Budget</t>
  </si>
  <si>
    <t>*Heat Pump PH Copied from Connolly tab in LE --&gt;</t>
  </si>
  <si>
    <t>EE 2025- FRANKLIN MULTIFAMILY PH HEAT PUMP INCENTIVES</t>
  </si>
  <si>
    <t>Reporting Program</t>
  </si>
  <si>
    <t>Q3 YTD</t>
  </si>
  <si>
    <t>2024</t>
  </si>
  <si>
    <t>IE</t>
  </si>
  <si>
    <t>TOTAL</t>
  </si>
  <si>
    <t>Retial Products Platform</t>
  </si>
  <si>
    <t>Marketing</t>
  </si>
  <si>
    <t>Portfolio</t>
  </si>
  <si>
    <t>C&amp;I Private</t>
  </si>
  <si>
    <t>C&amp;I Public</t>
  </si>
  <si>
    <t xml:space="preserve">Education &amp; Awareness - C&amp;I </t>
  </si>
  <si>
    <t>C&amp;I Key Accounts</t>
  </si>
  <si>
    <t>Business Energy Analyzer/Optimization</t>
  </si>
  <si>
    <t>EE - C&amp;I Optimization</t>
  </si>
  <si>
    <t xml:space="preserve"> Portfolio Admin Support</t>
  </si>
  <si>
    <t>Row Labels</t>
  </si>
  <si>
    <t>Sum of Q3 YTD</t>
  </si>
  <si>
    <t>Sum of 2024</t>
  </si>
  <si>
    <t>Grand Total</t>
  </si>
  <si>
    <t>Program</t>
  </si>
  <si>
    <t>Net MWh YTD</t>
  </si>
  <si>
    <t>% Savings Achieved of YE Forecast</t>
  </si>
  <si>
    <t>Home Energy Savings – Market Rate Assessment</t>
  </si>
  <si>
    <t>Home Energy Savings – Income Eligible Assessment</t>
  </si>
  <si>
    <t>Home Energy Savings – Income Eligible Retrofits</t>
  </si>
  <si>
    <t>Multi-Family Energy Savings – Income Eligible</t>
  </si>
  <si>
    <t>Multi-Family Energy Savings – Public Housing</t>
  </si>
  <si>
    <t>Multi-Family Energy Savings – Market Rate</t>
  </si>
  <si>
    <t>Whole-Home Electric</t>
  </si>
  <si>
    <t>Retail – Market Rate</t>
  </si>
  <si>
    <t>Retail – Income Eligible</t>
  </si>
  <si>
    <t>Product Distribution – Market Rate</t>
  </si>
  <si>
    <t>Product Distribution – Income Eligible</t>
  </si>
  <si>
    <t>Residential New Construction – Affordable Housing</t>
  </si>
  <si>
    <t>Residential New Construction – All Electric</t>
  </si>
  <si>
    <t>Heating and Cooling – Midstream Heat Pump Rebates</t>
  </si>
  <si>
    <t>Small Business – Private</t>
  </si>
  <si>
    <t>Small Business – Public</t>
  </si>
  <si>
    <t>Incentives – Standard – Private</t>
  </si>
  <si>
    <t>Incentives – Standard – Public</t>
  </si>
  <si>
    <t>Incentives – Custom – Private</t>
  </si>
  <si>
    <t>Incentives – Custom – Public</t>
  </si>
  <si>
    <t>Retro-commissioning – Private</t>
  </si>
  <si>
    <t>Retro-commissioning – Public</t>
  </si>
  <si>
    <t>Strategic Energy Management – Private</t>
  </si>
  <si>
    <t>Strategic Energy Management – Public</t>
  </si>
  <si>
    <t>C&amp;I New Construction – Private</t>
  </si>
  <si>
    <t>C&amp;I New Construction – Public</t>
  </si>
  <si>
    <t>Midstream/Upstream – Private</t>
  </si>
  <si>
    <t>Midstream/Upstream – Public</t>
  </si>
  <si>
    <t>Commercial Food Services - Private</t>
  </si>
  <si>
    <t>Commercial Food Services - Public</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</si>
  <si>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</si>
  <si>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</si>
  <si>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FF0000"/>
        <rFont val="Century Gothic"/>
        <family val="2"/>
      </rPr>
      <t>ComEd</t>
    </r>
    <r>
      <rPr>
        <b/>
        <sz val="11"/>
        <color theme="1"/>
        <rFont val="Century Gothic"/>
        <family val="2"/>
      </rPr>
      <t xml:space="preserve"> Section 8-103B/8-104 (EEPS) Costs as of</t>
    </r>
  </si>
  <si>
    <t>Section 8-103B/8-104 (EEPS) Cost Category</t>
  </si>
  <si>
    <t xml:space="preserve"> 2025
Actual Costs YTD</t>
  </si>
  <si>
    <t>Program Costs by Sector</t>
  </si>
  <si>
    <t>C&amp;I Programs Private Sector</t>
  </si>
  <si>
    <t xml:space="preserve">C&amp;I Programs Public Sector </t>
  </si>
  <si>
    <t>Residential (Market Rate) Programs</t>
  </si>
  <si>
    <r>
      <t xml:space="preserve">Total </t>
    </r>
    <r>
      <rPr>
        <b/>
        <sz val="10"/>
        <color rgb="FFFF0000"/>
        <rFont val="Century Gothic"/>
        <family val="2"/>
      </rPr>
      <t xml:space="preserve">ComEd </t>
    </r>
    <r>
      <rPr>
        <b/>
        <sz val="10"/>
        <color theme="1"/>
        <rFont val="Century Gothic"/>
        <family val="2"/>
      </rPr>
      <t>Program Costs</t>
    </r>
  </si>
  <si>
    <t>Portfolio-Level Costs by Portfolio Cost Category (Section 8-103B/8-104 EEPS)</t>
  </si>
  <si>
    <t xml:space="preserve">Demonstration of Breakthrough
Equipment and Devices Costs </t>
  </si>
  <si>
    <t xml:space="preserve">Portfolio Administrative Costs </t>
  </si>
  <si>
    <t>Capital Streetlights</t>
  </si>
  <si>
    <r>
      <t xml:space="preserve">Total </t>
    </r>
    <r>
      <rPr>
        <b/>
        <sz val="10"/>
        <color rgb="FFFF0000"/>
        <rFont val="Century Gothic"/>
        <family val="2"/>
      </rPr>
      <t>ComEd</t>
    </r>
    <r>
      <rPr>
        <b/>
        <sz val="10"/>
        <color theme="1"/>
        <rFont val="Century Gothic"/>
        <family val="2"/>
      </rPr>
      <t xml:space="preserve"> Portfolio-Level Costs</t>
    </r>
  </si>
  <si>
    <r>
      <t xml:space="preserve">Total </t>
    </r>
    <r>
      <rPr>
        <b/>
        <sz val="10"/>
        <color rgb="FFFF0000"/>
        <rFont val="Century Gothic"/>
        <family val="2"/>
      </rPr>
      <t>ComEd</t>
    </r>
    <r>
      <rPr>
        <b/>
        <sz val="10"/>
        <rFont val="Century Gothic"/>
        <family val="2"/>
      </rPr>
      <t xml:space="preserve"> Program and Portfolio-Level Section 8-103B/8-104 (EEPS) Costs</t>
    </r>
  </si>
  <si>
    <t>Overall Total Costs</t>
  </si>
  <si>
    <t>2025
Actual Costs YTD</t>
  </si>
  <si>
    <t>2025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</si>
  <si>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</si>
  <si>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</si>
  <si>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FF0000"/>
        <rFont val="Century Gothic"/>
        <family val="2"/>
      </rPr>
      <t>ComEd</t>
    </r>
    <r>
      <rPr>
        <b/>
        <sz val="11"/>
        <rFont val="Century Gothic"/>
        <family val="2"/>
      </rPr>
      <t xml:space="preserve"> Section 8-103B/8-104 (EEPS) Energy Saved (MWh) as of</t>
    </r>
  </si>
  <si>
    <t xml:space="preserve">IL Department of Commerce and Economic Opportunity Energy Saved (MWh) </t>
  </si>
  <si>
    <t>Program Year</t>
  </si>
  <si>
    <t>Evaluation Status
(Ex Ante, Verified***, or ICC Approved)</t>
  </si>
  <si>
    <t>Net Energy Savings Achieved
(MWh)</t>
  </si>
  <si>
    <t>Original Plan Savings Goal** (MWh)</t>
  </si>
  <si>
    <t>Net Energy Savings Goal* (MWh)</t>
  </si>
  <si>
    <t>% of Net Energy Savings Goal Achieved</t>
  </si>
  <si>
    <t>Department</t>
  </si>
  <si>
    <t>EPY1</t>
  </si>
  <si>
    <t>EPY2</t>
  </si>
  <si>
    <t>EPY3</t>
  </si>
  <si>
    <t>EPY4/
GPY1</t>
  </si>
  <si>
    <t>EPY5/
GPY2</t>
  </si>
  <si>
    <t>EPY6/
GPY3</t>
  </si>
  <si>
    <t>EPY7/
GPY4</t>
  </si>
  <si>
    <t>EPY8/
GPY5</t>
  </si>
  <si>
    <t>EPY9/
GPY6*</t>
  </si>
  <si>
    <t>EPY1- 6/1/08-5/31/09</t>
  </si>
  <si>
    <t>ICC Approved</t>
  </si>
  <si>
    <t>Net Savings Achieved (MWh)</t>
  </si>
  <si>
    <t>EPY2- 6/1/09-5/31/10</t>
  </si>
  <si>
    <t>Evaluation Status (Ex Ante, Verified**, or ICC Approved)</t>
  </si>
  <si>
    <t>Verified</t>
  </si>
  <si>
    <t>EPY3- 6/1/10-5/31/11</t>
  </si>
  <si>
    <t>Source</t>
  </si>
  <si>
    <t>Docket 10-0520, ComEd PY1 Evaluation Summary Report (2009-12-23), p. 17.</t>
  </si>
  <si>
    <t>Docket 10-0520, Staff Ex. 1.1, p. 12 (Navigant Memo, DCEO PY2 Energy Impact Summary (2011-09-21)).</t>
  </si>
  <si>
    <t>Docket 11-0593.</t>
  </si>
  <si>
    <t>Docket 13-0078.</t>
  </si>
  <si>
    <t>Docket 14-0075.</t>
  </si>
  <si>
    <t>Docket 15-0274.</t>
  </si>
  <si>
    <t>EPY7/GPY4 DCEO Cost Effectiveness Summary Report, p. 7.</t>
  </si>
  <si>
    <t>Docket 19-0684</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</si>
  <si>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</si>
  <si>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</si>
  <si>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</si>
  <si>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</si>
  <si>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</si>
  <si>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</si>
  <si>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</si>
  <si>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</si>
  <si>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</si>
  <si>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</si>
  <si>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</si>
  <si>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Plan 5</t>
  </si>
  <si>
    <t>2018-2021 Plan Total</t>
  </si>
  <si>
    <t>Plan 6</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</si>
  <si>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</si>
  <si>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</si>
  <si>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</si>
  <si>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</si>
  <si>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</si>
  <si>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</si>
  <si>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</si>
  <si>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t>Environmental and Economic Impacts for the</t>
    </r>
    <r>
      <rPr>
        <b/>
        <sz val="11"/>
        <color rgb="FFFF0000"/>
        <rFont val="Century Gothic"/>
        <family val="2"/>
      </rPr>
      <t xml:space="preserve"> ComEd</t>
    </r>
    <r>
      <rPr>
        <b/>
        <sz val="11"/>
        <rFont val="Century Gothic"/>
        <family val="2"/>
      </rPr>
      <t xml:space="preserve"> Service Territory as of</t>
    </r>
    <r>
      <rPr>
        <b/>
        <sz val="11"/>
        <color rgb="FFFF0000"/>
        <rFont val="Century Gothic"/>
        <family val="2"/>
      </rPr>
      <t xml:space="preserve"> </t>
    </r>
  </si>
  <si>
    <t>Performance Metrics (Equivalents)*</t>
  </si>
  <si>
    <t>EPY9/
GPY6****</t>
  </si>
  <si>
    <t>CY2018</t>
  </si>
  <si>
    <t>CY2019</t>
  </si>
  <si>
    <t>CY2020</t>
  </si>
  <si>
    <t>CY2021</t>
  </si>
  <si>
    <t>CY2022</t>
  </si>
  <si>
    <t>CY2023</t>
  </si>
  <si>
    <t>CY2024</t>
  </si>
  <si>
    <t>CY2025</t>
  </si>
  <si>
    <t>Net Energy Savings Achieved (MWh)**</t>
  </si>
  <si>
    <t>Carbon reduction (tons)</t>
  </si>
  <si>
    <t>Cars removed from the road</t>
  </si>
  <si>
    <t>Acres of trees planted</t>
  </si>
  <si>
    <t>Number of homes powered for 1 year*****</t>
  </si>
  <si>
    <t>Direct Portfolio Jobs******</t>
  </si>
  <si>
    <t>Income qualified homes served***</t>
  </si>
  <si>
    <t>Performance Metrics (Equivalents) Since inception*******</t>
  </si>
  <si>
    <t>CY2008</t>
  </si>
  <si>
    <t>CY2009</t>
  </si>
  <si>
    <t>CY2010</t>
  </si>
  <si>
    <t>CY2011</t>
  </si>
  <si>
    <t>CY2012</t>
  </si>
  <si>
    <t>CY2013</t>
  </si>
  <si>
    <t>CY2014</t>
  </si>
  <si>
    <t>CY2015</t>
  </si>
  <si>
    <t>CY2016</t>
  </si>
  <si>
    <t>CY2017</t>
  </si>
  <si>
    <t>Electric Bill Savings ($)</t>
  </si>
  <si>
    <t>Net Energy Savings Achieved (MWh)********</t>
  </si>
  <si>
    <t>Carbon reduction (metric tons)</t>
  </si>
  <si>
    <t xml:space="preserve">Cars removed from the road </t>
  </si>
  <si>
    <t xml:space="preserve">Acres of trees planted </t>
  </si>
  <si>
    <t>Number of homes powered for one year</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</si>
  <si>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</si>
  <si>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</si>
  <si>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Includes Single Family Retrofits (CBA+IHWAP), Multi Family Retrofits (IEMS+IHWAP), Affordable Housing, Public Housing Retrofits, IE Kits, Elementary Education Kits.  Excludes Lighting Discounts and Food Bank.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</si>
  <si>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</si>
  <si>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</si>
  <si>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******Direct portfolio Jobs reflect actual positions held by ComEd and its contractors that are part of the Rider EEPP and does not attempt to capture indirect jobs in the energy efficiency industry that may result from the ComEd Energy Efficiency Program.</t>
  </si>
  <si>
    <t>*******This includes performance metrics for $ saved by customers, net energy savings, carbon reduction, cars removed from the road, acres of trees planted and number of homes powered since inception of the program. Data presented is cumulative.</t>
  </si>
  <si>
    <t>********Legacy and persisting savings from prior year's measures are partially claimed each quarter to avoid a substantial increase in estimated customer bill savings at the start of each year.</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</si>
  <si>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</si>
  <si>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</si>
  <si>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</si>
  <si>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</si>
  <si>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</si>
  <si>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</si>
  <si>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FF0000"/>
        <rFont val="Century Gothic"/>
        <family val="2"/>
      </rPr>
      <t>ComEd</t>
    </r>
    <r>
      <rPr>
        <b/>
        <sz val="11"/>
        <color theme="1"/>
        <rFont val="Century Gothic"/>
        <family val="2"/>
      </rPr>
      <t xml:space="preserve"> CPAS and AAIG Progress Ex Ante Results - Section 8-103B Portfolio</t>
    </r>
    <r>
      <rPr>
        <b/>
        <sz val="11"/>
        <color rgb="FFFF0000"/>
        <rFont val="Century Gothic"/>
        <family val="2"/>
      </rPr>
      <t xml:space="preserve"> </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</si>
  <si>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</si>
  <si>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</si>
  <si>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</si>
  <si>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</si>
  <si>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</si>
  <si>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</si>
  <si>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</si>
  <si>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</si>
  <si>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</si>
  <si>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</si>
  <si>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</si>
  <si>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</si>
  <si>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</si>
  <si>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</si>
  <si>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</si>
  <si>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</si>
  <si>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</si>
  <si>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</si>
  <si>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</si>
  <si>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</si>
  <si>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</si>
  <si>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</si>
  <si>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</si>
  <si>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</si>
  <si>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</si>
  <si>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</si>
  <si>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</si>
  <si>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</si>
  <si>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</si>
  <si>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</si>
  <si>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</si>
  <si>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</si>
  <si>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</si>
  <si>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</si>
  <si>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</si>
  <si>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</si>
  <si>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</si>
  <si>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</si>
  <si>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</si>
  <si>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</si>
  <si>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</si>
  <si>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</si>
  <si>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</si>
  <si>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</si>
  <si>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</si>
  <si>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r>
      <t xml:space="preserve">= o * b    </t>
    </r>
    <r>
      <rPr>
        <i/>
        <sz val="8"/>
        <color theme="1"/>
        <rFont val="Century Gothic"/>
        <family val="2"/>
      </rPr>
      <t>**See footnote</t>
    </r>
  </si>
  <si>
    <t>q</t>
  </si>
  <si>
    <t>Current Year Applicable Annual Incremental Goal (MWh)</t>
  </si>
  <si>
    <t xml:space="preserve">= c - p </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</si>
  <si>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</si>
  <si>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</si>
  <si>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</si>
  <si>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</si>
  <si>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</si>
  <si>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</si>
  <si>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</si>
  <si>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</si>
  <si>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</si>
  <si>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</si>
  <si>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</si>
  <si>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</si>
  <si>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</si>
  <si>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</si>
  <si>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</si>
  <si>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*Savings from Measures Installed post-2017 Expiring in Current Year per Guidehouse's April 2025 first draft of evaluation report.</t>
  </si>
  <si>
    <t>**Calculations overwritten due to baseline variances between Revised Plan 6's CY2022 and CY2023 from different opt-out customers</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</si>
  <si>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</si>
  <si>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</si>
  <si>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FF0000"/>
        <rFont val="Century Gothic"/>
        <family val="2"/>
      </rPr>
      <t>ComEd</t>
    </r>
    <r>
      <rPr>
        <b/>
        <sz val="11"/>
        <rFont val="Century Gothic"/>
        <family val="2"/>
      </rPr>
      <t xml:space="preserve"> Service Territory Historical Energy Efficiency Costs as of</t>
    </r>
  </si>
  <si>
    <r>
      <t xml:space="preserve">Actual </t>
    </r>
    <r>
      <rPr>
        <b/>
        <sz val="11"/>
        <color rgb="FFFF0000"/>
        <rFont val="Century Gothic"/>
        <family val="2"/>
      </rPr>
      <t xml:space="preserve">ComEd </t>
    </r>
    <r>
      <rPr>
        <b/>
        <sz val="11"/>
        <color theme="0"/>
        <rFont val="Century Gothic"/>
        <family val="2"/>
      </rPr>
      <t>EEPS Costs</t>
    </r>
  </si>
  <si>
    <t>Actual DCEO EEPS Costs</t>
  </si>
  <si>
    <t>Total Actual EEPS Costs (ComEd + DCEO)</t>
  </si>
  <si>
    <t>Actual Section 16-111.5B Costs</t>
  </si>
  <si>
    <t>Total Actual EEPS + Section 16-111.5B Costs</t>
  </si>
  <si>
    <t>Actual ComEd EEPS Costs YTD</t>
  </si>
  <si>
    <t>Approved ComEd EEPS Budget</t>
  </si>
  <si>
    <t>LRP LINKS</t>
  </si>
  <si>
    <t>https://exeloncorp.sharepoint.com/:x:/r/sites/EEFinance/Shared%20Documents/Month%20End%20Close/2022/12%20December/December%202022%2012+0%20EE%20Regulatory%20Asset%20FINAL.xlsx?d=w50c13a2d56dc4c9f8cb5f95fc5f4582b&amp;csf=1&amp;web=1&amp;e=XDwoKQ</t>
  </si>
  <si>
    <t>FINAL December 2023 12+0 EE Regulatory Asset _12.28.2023.xlsx</t>
  </si>
  <si>
    <t>FINAL December 2024 12+0 LE EE Regulatory Asset 1-2.25.xlsx</t>
  </si>
  <si>
    <t>Copy of Copy of FINAL March 2025 3+9 LE EE Regulatory Asset_03.31.25 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</si>
</sst>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_);[Red]_(* \(#,##0\);_(* &quot;-&quot;??_);_(@_)"/>
    <numFmt numFmtId="168" formatCode="#,##0.0"/>
    <numFmt numFmtId="169" formatCode="0.000000"/>
    <numFmt numFmtId="170" formatCode="&quot;$&quot;#,##0"/>
    <numFmt numFmtId="171" formatCode="_(* #,###,##0_);[Red]_(* \(#,###,##0\);_(* &quot;-&quot;??_);_(@_)"/>
  </numFmts>
  <fonts count="94">
    <font>
      <sz val="11"/>
      <color theme="1"/>
      <name val="Calibri"/>
      <family val="2"/>
      <scheme val="minor"/>
    </font>
    <font>
      <sz val="10"/>
      <name val="Arial"/>
      <family val="2"/>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sz val="11"/>
      <color rgb="FFFF0000"/>
      <name val="Century Gothic"/>
      <family val="2"/>
    </font>
    <font>
      <sz val="11"/>
      <name val="Calibri"/>
      <family val="2"/>
      <scheme val="minor"/>
    </font>
    <font>
      <b/>
      <sz val="11"/>
      <color theme="1"/>
      <name val="Calibri"/>
      <family val="2"/>
      <scheme val="minor"/>
    </font>
    <font>
      <b/>
      <i/>
      <sz val="10"/>
      <name val="Century Gothic"/>
      <family val="2"/>
    </font>
    <font>
      <sz val="11"/>
      <color theme="1"/>
      <name val="Calibri"/>
      <family val="2"/>
      <scheme val="minor"/>
    </font>
    <font>
      <sz val="8"/>
      <name val="Calibri"/>
      <family val="2"/>
      <scheme val="minor"/>
    </font>
    <font>
      <b/>
      <i/>
      <sz val="11"/>
      <name val="Century Gothic"/>
      <family val="2"/>
    </font>
    <font>
      <i/>
      <sz val="11"/>
      <name val="Century Gothic"/>
      <family val="2"/>
    </font>
    <font>
      <b/>
      <sz val="11"/>
      <color rgb="FFFF0000"/>
      <name val="Calibri"/>
      <family val="2"/>
      <scheme val="minor"/>
    </font>
    <font>
      <i/>
      <sz val="11"/>
      <color theme="1"/>
      <name val="Calibri"/>
      <family val="2"/>
      <scheme val="minor"/>
    </font>
    <font>
      <b/>
      <sz val="14"/>
      <color theme="1"/>
      <name val="Calibri"/>
      <family val="2"/>
      <scheme val="minor"/>
    </font>
    <font>
      <i/>
      <sz val="11"/>
      <color rgb="FFFF0000"/>
      <name val="Century Gothic"/>
      <family val="2"/>
    </font>
    <font>
      <b/>
      <sz val="12"/>
      <color theme="1"/>
      <name val="Century Gothic"/>
      <family val="2"/>
    </font>
    <font>
      <b/>
      <sz val="12"/>
      <color rgb="FFFF0000"/>
      <name val="Century Gothic"/>
      <family val="2"/>
    </font>
    <font>
      <i/>
      <sz val="8"/>
      <color theme="1"/>
      <name val="Century Gothic"/>
      <family val="2"/>
    </font>
    <font>
      <u/>
      <sz val="9"/>
      <color theme="10"/>
      <name val="Century Gothic"/>
      <family val="2"/>
    </font>
    <font>
      <b/>
      <sz val="11"/>
      <name val="Arial"/>
      <family val="2"/>
    </font>
    <font>
      <sz val="10"/>
      <color rgb="FFFF0000"/>
      <name val="Arial"/>
      <family val="2"/>
    </font>
    <font>
      <strike/>
      <sz val="10"/>
      <color rgb="FFFF0000"/>
      <name val="Arial"/>
      <family val="2"/>
    </font>
    <font>
      <b/>
      <sz val="10"/>
      <name val="Arial"/>
      <family val="2"/>
    </font>
    <font>
      <b/>
      <sz val="10"/>
      <color rgb="FFFF0000"/>
      <name val="Arial"/>
      <family val="2"/>
    </font>
    <font>
      <b/>
      <sz val="10"/>
      <color rgb="FF008000"/>
      <name val="Arial"/>
      <family val="2"/>
    </font>
    <font>
      <strike/>
      <sz val="10"/>
      <name val="Arial"/>
      <family val="2"/>
    </font>
    <font>
      <b/>
      <sz val="12"/>
      <color rgb="FF000000"/>
      <name val="Arial"/>
      <family val="2"/>
    </font>
    <font>
      <b/>
      <sz val="11"/>
      <color rgb="FF008000"/>
      <name val="Arial"/>
      <family val="2"/>
    </font>
    <font>
      <sz val="11"/>
      <name val="Arial"/>
      <family val="2"/>
    </font>
    <font>
      <sz val="11"/>
      <color rgb="FF000000"/>
      <name val="Arial"/>
      <family val="2"/>
    </font>
    <font>
      <sz val="10"/>
      <color rgb="FF008000"/>
      <name val="Arial"/>
      <family val="2"/>
    </font>
    <font>
      <sz val="12"/>
      <color rgb="FFFF0000"/>
      <name val="Arial"/>
      <family val="2"/>
    </font>
    <font>
      <sz val="11"/>
      <color rgb="FF008000"/>
      <name val="Arial"/>
      <family val="2"/>
    </font>
    <font>
      <sz val="11"/>
      <color rgb="FFFF0000"/>
      <name val="Arial"/>
      <family val="2"/>
    </font>
    <font>
      <b/>
      <i/>
      <sz val="10"/>
      <name val="Arial"/>
      <family val="2"/>
    </font>
    <font>
      <sz val="11"/>
      <color theme="0"/>
      <name val="Calibri"/>
      <family val="2"/>
      <scheme val="minor"/>
    </font>
    <font>
      <b/>
      <sz val="10"/>
      <color rgb="FF00B050"/>
      <name val="Century Gothic"/>
      <family val="2"/>
    </font>
    <font>
      <b/>
      <i/>
      <sz val="10"/>
      <color rgb="FF00B050"/>
      <name val="Diodrum"/>
      <family val="3"/>
    </font>
    <font>
      <sz val="10"/>
      <name val="Century Gothic"/>
    </font>
    <font>
      <i/>
      <sz val="10"/>
      <name val="Century Gothic"/>
    </font>
    <font>
      <b/>
      <sz val="11"/>
      <name val="Arial"/>
    </font>
    <font>
      <sz val="10"/>
      <name val="Arial"/>
    </font>
    <font>
      <sz val="11"/>
      <color theme="1"/>
      <name val="Arial"/>
    </font>
    <font>
      <sz val="10"/>
      <color theme="1"/>
      <name val="Arial"/>
    </font>
    <font>
      <sz val="10"/>
      <color theme="1"/>
      <name val="Century Gothic"/>
    </font>
    <font>
      <sz val="10"/>
      <color rgb="FFFF0000"/>
      <name val="Arial"/>
    </font>
    <font>
      <sz val="10"/>
      <color rgb="FF008000"/>
      <name val="Arial"/>
    </font>
    <font>
      <b/>
      <sz val="11"/>
      <color theme="1"/>
      <name val="Arial"/>
    </font>
    <font>
      <sz val="11"/>
      <name val="Arial"/>
    </font>
    <font>
      <sz val="10"/>
      <color rgb="FFFF0000"/>
      <name val="Calibri"/>
      <family val="2"/>
      <scheme val="minor"/>
    </font>
    <font>
      <sz val="10"/>
      <color rgb="FF00800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11"/>
      <name val="Aptos Narrow"/>
    </font>
    <font>
      <sz val="11"/>
      <color rgb="FFFF0000"/>
      <name val="Calibri"/>
      <family val="2"/>
      <scheme val="minor"/>
    </font>
    <font>
      <sz val="8"/>
      <name val="Arial"/>
      <family val="2"/>
    </font>
    <font>
      <b/>
      <sz val="12"/>
      <name val="Arial"/>
      <family val="2"/>
    </font>
    <font>
      <u/>
      <sz val="11"/>
      <color theme="1"/>
      <name val="Calibri"/>
      <family val="2"/>
      <scheme val="minor"/>
    </font>
    <font>
      <b/>
      <sz val="10"/>
      <color rgb="FFFFFFFF"/>
      <name val="Arial"/>
      <family val="2"/>
    </font>
    <font>
      <b/>
      <sz val="9"/>
      <color rgb="FF000000"/>
      <name val="Arial"/>
      <family val="2"/>
    </font>
    <font>
      <b/>
      <sz val="9"/>
      <color theme="1"/>
      <name val="Arial"/>
      <family val="2"/>
    </font>
    <font>
      <sz val="9"/>
      <color rgb="FF000000"/>
      <name val="Arial"/>
      <family val="2"/>
    </font>
    <font>
      <sz val="9"/>
      <color theme="1"/>
      <name val="Arial"/>
      <family val="2"/>
    </font>
    <font>
      <sz val="9"/>
      <color rgb="FF0D0D0D"/>
      <name val="Arial"/>
      <family val="2"/>
    </font>
    <font>
      <b/>
      <sz val="11"/>
      <color theme="0"/>
      <name val="Calibri"/>
      <family val="2"/>
      <scheme val="minor"/>
    </font>
    <font>
      <sz val="11"/>
      <name val="Aptos Narrow"/>
      <family val="2"/>
    </font>
    <font>
      <b/>
      <sz val="11"/>
      <name val="Aptos Narrow"/>
      <family val="2"/>
    </font>
  </fonts>
  <fills count="40">
    <fill>
      <patternFill patternType="none"/>
    </fill>
    <fill>
      <patternFill patternType="gray125"/>
    </fill>
    <fill>
      <patternFill patternType="solid">
        <fgColor rgb="FFCACACA"/>
        <bgColor indexed="64"/>
      </patternFill>
    </fill>
    <fill>
      <patternFill patternType="solid">
        <fgColor rgb="FF656565"/>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0" tint="-0.34995574816125979"/>
        <bgColor indexed="64"/>
      </patternFill>
    </fill>
    <fill>
      <patternFill patternType="solid">
        <fgColor theme="0" tint="-0.49995422223578601"/>
        <bgColor indexed="64"/>
      </patternFill>
    </fill>
    <fill>
      <patternFill patternType="solid">
        <fgColor rgb="FFFFC000"/>
        <bgColor indexed="64"/>
      </patternFill>
    </fill>
    <fill>
      <patternFill patternType="solid">
        <fgColor theme="8" tint="0.59996337778862885"/>
        <bgColor indexed="64"/>
      </patternFill>
    </fill>
    <fill>
      <patternFill patternType="solid">
        <fgColor rgb="FFFFFF00"/>
        <bgColor indexed="64"/>
      </patternFill>
    </fill>
    <fill>
      <patternFill patternType="solid">
        <fgColor theme="0" tint="-0.24994659260841701"/>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EBF1DE"/>
        <bgColor rgb="FF000000"/>
      </patternFill>
    </fill>
    <fill>
      <patternFill patternType="solid">
        <fgColor rgb="FFFFFFCC"/>
        <bgColor rgb="FF000000"/>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170D67"/>
        <bgColor indexed="64"/>
      </patternFill>
    </fill>
    <fill>
      <patternFill patternType="solid">
        <fgColor rgb="FFE8E7F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BFBFBF"/>
      </left>
      <right style="thin">
        <color rgb="FFBFBFBF"/>
      </right>
      <top style="thin">
        <color rgb="FFBFBFBF"/>
      </top>
      <bottom style="thin">
        <color rgb="FFBFBFBF"/>
      </bottom>
      <diagonal/>
    </border>
  </borders>
  <cellStyleXfs count="11">
    <xf numFmtId="0" fontId="0" fillId="0" borderId="0"/>
    <xf numFmtId="9" fontId="28" fillId="0" borderId="0" applyFont="0" applyFill="0" applyBorder="0" applyAlignment="0" applyProtection="0"/>
    <xf numFmtId="44" fontId="28" fillId="0" borderId="0" applyFont="0" applyFill="0" applyBorder="0" applyAlignment="0" applyProtection="0"/>
    <xf numFmtId="42" fontId="1" fillId="0" borderId="0" applyFont="0" applyFill="0" applyBorder="0" applyAlignment="0" applyProtection="0"/>
    <xf numFmtId="43" fontId="28" fillId="0" borderId="0" applyFont="0" applyFill="0" applyBorder="0" applyAlignment="0" applyProtection="0"/>
    <xf numFmtId="41" fontId="1" fillId="0" borderId="0" applyFont="0" applyFill="0" applyBorder="0" applyAlignment="0" applyProtection="0"/>
    <xf numFmtId="0" fontId="14" fillId="0" borderId="0" applyNumberFormat="0" applyFill="0" applyBorder="0">
      <protection locked="0"/>
    </xf>
    <xf numFmtId="0" fontId="1" fillId="0" borderId="0"/>
    <xf numFmtId="0" fontId="28" fillId="0" borderId="0"/>
    <xf numFmtId="0" fontId="28" fillId="0" borderId="0"/>
    <xf numFmtId="43" fontId="1" fillId="0" borderId="0" applyFont="0" applyFill="0" applyBorder="0" applyAlignment="0" applyProtection="0"/>
  </cellStyleXfs>
  <cellXfs count="593">
    <xf numFmtId="0" fontId="0" fillId="0" borderId="0" xfId="0"/>
    <xf numFmtId="0" fontId="2" fillId="0" borderId="1" xfId="0" applyFont="1" applyBorder="1" applyAlignment="1">
      <alignment horizontal="left" wrapText="1"/>
    </xf>
    <xf numFmtId="0" fontId="3" fillId="2" borderId="1" xfId="0" applyFont="1" applyFill="1" applyBorder="1" applyAlignment="1">
      <alignment horizontal="left" wrapText="1"/>
    </xf>
    <xf numFmtId="0" fontId="0" fillId="0" borderId="0" xfId="0" applyAlignment="1">
      <alignment horizontal="center"/>
    </xf>
    <xf numFmtId="0" fontId="5" fillId="0" borderId="0" xfId="0" applyFont="1"/>
    <xf numFmtId="0" fontId="9" fillId="3" borderId="1" xfId="0" applyFont="1" applyFill="1" applyBorder="1" applyAlignment="1">
      <alignment horizontal="center" vertical="center" wrapText="1"/>
    </xf>
    <xf numFmtId="0" fontId="7" fillId="0" borderId="1" xfId="0" applyFont="1" applyBorder="1"/>
    <xf numFmtId="0" fontId="11" fillId="0" borderId="1" xfId="0" applyFont="1" applyBorder="1" applyAlignment="1">
      <alignment horizontal="center"/>
    </xf>
    <xf numFmtId="3" fontId="5" fillId="0" borderId="1" xfId="0" applyNumberFormat="1" applyFont="1" applyBorder="1" applyAlignment="1">
      <alignment horizont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9" fillId="3" borderId="1" xfId="0" applyFont="1" applyFill="1" applyBorder="1" applyAlignment="1">
      <alignment horizontal="center" vertical="center"/>
    </xf>
    <xf numFmtId="0" fontId="0" fillId="0" borderId="0" xfId="0" applyAlignment="1">
      <alignment vertical="center"/>
    </xf>
    <xf numFmtId="3" fontId="7" fillId="0" borderId="1" xfId="0" applyNumberFormat="1" applyFont="1" applyBorder="1" applyAlignment="1">
      <alignment horizontal="center"/>
    </xf>
    <xf numFmtId="1" fontId="7" fillId="0" borderId="1" xfId="0" applyNumberFormat="1" applyFont="1" applyBorder="1" applyAlignment="1">
      <alignment horizontal="center"/>
    </xf>
    <xf numFmtId="0" fontId="9" fillId="3"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5" fillId="3" borderId="1" xfId="0" applyFont="1" applyFill="1" applyBorder="1" applyAlignment="1">
      <alignment horizontal="center" vertical="center" wrapText="1"/>
    </xf>
    <xf numFmtId="0" fontId="16" fillId="0" borderId="0" xfId="0" applyFont="1"/>
    <xf numFmtId="0" fontId="11" fillId="4" borderId="1" xfId="0" applyFont="1" applyFill="1" applyBorder="1" applyAlignment="1">
      <alignment horizontal="center"/>
    </xf>
    <xf numFmtId="3" fontId="5" fillId="4" borderId="1" xfId="0" applyNumberFormat="1" applyFont="1" applyFill="1" applyBorder="1" applyAlignment="1">
      <alignment horizontal="center"/>
    </xf>
    <xf numFmtId="9" fontId="5" fillId="4" borderId="1" xfId="0" applyNumberFormat="1" applyFont="1" applyFill="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vertical="center"/>
    </xf>
    <xf numFmtId="0" fontId="5" fillId="0" borderId="1" xfId="0" applyFont="1" applyBorder="1" applyAlignment="1">
      <alignment wrapText="1"/>
    </xf>
    <xf numFmtId="0" fontId="11" fillId="0" borderId="1" xfId="0" applyFont="1" applyBorder="1" applyAlignment="1">
      <alignment horizontal="center" vertical="center"/>
    </xf>
    <xf numFmtId="3"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vertical="center"/>
    </xf>
    <xf numFmtId="164" fontId="10" fillId="5" borderId="1" xfId="2" applyNumberFormat="1" applyFont="1" applyFill="1" applyBorder="1" applyAlignment="1">
      <alignment vertical="center"/>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19" fillId="5" borderId="1" xfId="0" applyFont="1" applyFill="1" applyBorder="1" applyAlignment="1">
      <alignment horizontal="right" wrapText="1"/>
    </xf>
    <xf numFmtId="0" fontId="5" fillId="0" borderId="1" xfId="0" applyFont="1" applyBorder="1"/>
    <xf numFmtId="0" fontId="5" fillId="8" borderId="1" xfId="0" applyFont="1" applyFill="1" applyBorder="1"/>
    <xf numFmtId="0" fontId="5" fillId="9" borderId="1" xfId="0" quotePrefix="1" applyFont="1" applyFill="1" applyBorder="1" applyAlignment="1">
      <alignment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3" fontId="2" fillId="0" borderId="1" xfId="0" applyNumberFormat="1" applyFont="1" applyBorder="1" applyAlignment="1">
      <alignment horizontal="center"/>
    </xf>
    <xf numFmtId="164" fontId="10" fillId="5" borderId="1" xfId="0" applyNumberFormat="1" applyFont="1" applyFill="1" applyBorder="1" applyAlignment="1">
      <alignment vertical="center"/>
    </xf>
    <xf numFmtId="164" fontId="4" fillId="6" borderId="1" xfId="0" applyNumberFormat="1" applyFont="1" applyFill="1" applyBorder="1" applyAlignment="1">
      <alignment vertical="center"/>
    </xf>
    <xf numFmtId="164" fontId="3" fillId="0" borderId="1" xfId="0" applyNumberFormat="1" applyFont="1" applyBorder="1" applyAlignment="1">
      <alignment vertical="center"/>
    </xf>
    <xf numFmtId="3" fontId="17" fillId="5" borderId="1" xfId="0" applyNumberFormat="1" applyFont="1" applyFill="1" applyBorder="1" applyAlignment="1">
      <alignment vertical="center" wrapText="1"/>
    </xf>
    <xf numFmtId="164" fontId="11"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0" fontId="15" fillId="3" borderId="13" xfId="0" applyFont="1" applyFill="1" applyBorder="1" applyAlignment="1">
      <alignment horizontal="center" vertical="center" wrapText="1"/>
    </xf>
    <xf numFmtId="9" fontId="5" fillId="0" borderId="14" xfId="0" applyNumberFormat="1" applyFont="1" applyBorder="1" applyAlignment="1">
      <alignment horizontal="center"/>
    </xf>
    <xf numFmtId="3" fontId="5" fillId="0" borderId="2" xfId="0" applyNumberFormat="1" applyFont="1" applyBorder="1" applyAlignment="1">
      <alignment horizontal="center"/>
    </xf>
    <xf numFmtId="3" fontId="5" fillId="4" borderId="2" xfId="0" applyNumberFormat="1" applyFont="1" applyFill="1" applyBorder="1" applyAlignment="1">
      <alignment horizontal="center"/>
    </xf>
    <xf numFmtId="0" fontId="7" fillId="0" borderId="2" xfId="0" applyFont="1" applyBorder="1"/>
    <xf numFmtId="0" fontId="11" fillId="8" borderId="1" xfId="0" applyFont="1" applyFill="1" applyBorder="1" applyAlignment="1">
      <alignment vertical="center"/>
    </xf>
    <xf numFmtId="0" fontId="11" fillId="9" borderId="1" xfId="0" quotePrefix="1" applyFont="1" applyFill="1" applyBorder="1" applyAlignment="1">
      <alignment vertical="center"/>
    </xf>
    <xf numFmtId="0" fontId="11" fillId="10" borderId="1" xfId="0" applyFont="1" applyFill="1" applyBorder="1" applyAlignment="1">
      <alignment vertical="center"/>
    </xf>
    <xf numFmtId="1" fontId="2" fillId="15" borderId="1" xfId="0" applyNumberFormat="1" applyFont="1" applyFill="1" applyBorder="1" applyAlignment="1">
      <alignment horizontal="center"/>
    </xf>
    <xf numFmtId="3" fontId="2" fillId="15" borderId="1" xfId="0" applyNumberFormat="1" applyFont="1" applyFill="1" applyBorder="1" applyAlignment="1">
      <alignment horizontal="center"/>
    </xf>
    <xf numFmtId="0" fontId="2" fillId="0" borderId="1" xfId="0" applyFont="1" applyBorder="1" applyAlignment="1">
      <alignment horizontal="left" vertical="center" wrapText="1"/>
    </xf>
    <xf numFmtId="0" fontId="0" fillId="13" borderId="0" xfId="0" applyFill="1"/>
    <xf numFmtId="0" fontId="20" fillId="13" borderId="0" xfId="0" applyFont="1" applyFill="1"/>
    <xf numFmtId="0" fontId="33" fillId="13" borderId="0" xfId="0" applyFont="1" applyFill="1"/>
    <xf numFmtId="166" fontId="0" fillId="13" borderId="0" xfId="0" applyNumberFormat="1" applyFill="1"/>
    <xf numFmtId="0" fontId="0" fillId="13" borderId="0" xfId="0" quotePrefix="1" applyFill="1"/>
    <xf numFmtId="0" fontId="0" fillId="13" borderId="0" xfId="0" applyFill="1" applyAlignment="1">
      <alignment vertical="center"/>
    </xf>
    <xf numFmtId="0" fontId="6" fillId="13" borderId="0" xfId="0" applyFont="1" applyFill="1" applyAlignment="1">
      <alignment vertical="center"/>
    </xf>
    <xf numFmtId="0" fontId="6" fillId="13" borderId="0" xfId="0" applyFont="1" applyFill="1"/>
    <xf numFmtId="0" fontId="12" fillId="13" borderId="0" xfId="0" applyFont="1" applyFill="1" applyAlignment="1">
      <alignment vertical="center"/>
    </xf>
    <xf numFmtId="0" fontId="13" fillId="13" borderId="0" xfId="0" applyFont="1" applyFill="1"/>
    <xf numFmtId="0" fontId="8" fillId="13" borderId="0" xfId="0" applyFont="1" applyFill="1" applyAlignment="1">
      <alignment horizontal="justify" vertical="center"/>
    </xf>
    <xf numFmtId="0" fontId="9" fillId="13" borderId="5" xfId="0" applyFont="1" applyFill="1" applyBorder="1" applyAlignment="1">
      <alignment horizontal="center" vertical="center" wrapText="1"/>
    </xf>
    <xf numFmtId="0" fontId="9" fillId="13" borderId="0" xfId="0" applyFont="1" applyFill="1" applyAlignment="1">
      <alignment horizontal="center" vertical="center" wrapText="1"/>
    </xf>
    <xf numFmtId="3" fontId="5" fillId="13" borderId="6" xfId="0" applyNumberFormat="1" applyFont="1" applyFill="1" applyBorder="1" applyAlignment="1">
      <alignment horizontal="center"/>
    </xf>
    <xf numFmtId="3" fontId="5" fillId="13" borderId="0" xfId="0" applyNumberFormat="1" applyFont="1" applyFill="1" applyAlignment="1">
      <alignment horizontal="center"/>
    </xf>
    <xf numFmtId="0" fontId="0" fillId="0" borderId="0" xfId="0" applyAlignment="1">
      <alignment vertical="top"/>
    </xf>
    <xf numFmtId="3" fontId="11" fillId="0" borderId="1" xfId="0" applyNumberFormat="1" applyFont="1" applyBorder="1" applyAlignment="1">
      <alignment horizontal="center"/>
    </xf>
    <xf numFmtId="0" fontId="2" fillId="0" borderId="16" xfId="0" applyFont="1" applyBorder="1" applyAlignment="1">
      <alignment horizontal="left" wrapText="1"/>
    </xf>
    <xf numFmtId="3" fontId="2" fillId="14" borderId="1" xfId="0" applyNumberFormat="1" applyFont="1" applyFill="1" applyBorder="1" applyAlignment="1">
      <alignment horizontal="center" vertical="center"/>
    </xf>
    <xf numFmtId="9" fontId="3" fillId="11" borderId="1" xfId="1" applyFont="1" applyFill="1" applyBorder="1" applyAlignment="1">
      <alignment horizontal="center" vertical="center"/>
    </xf>
    <xf numFmtId="9" fontId="2" fillId="14" borderId="1" xfId="1" applyFont="1" applyFill="1" applyBorder="1" applyAlignment="1">
      <alignment horizontal="center" vertical="center" wrapText="1"/>
    </xf>
    <xf numFmtId="9" fontId="2" fillId="14" borderId="1" xfId="1" applyFont="1" applyFill="1" applyBorder="1" applyAlignment="1">
      <alignment horizontal="center" vertical="center"/>
    </xf>
    <xf numFmtId="9" fontId="27" fillId="5" borderId="1" xfId="1" applyFont="1" applyFill="1" applyBorder="1" applyAlignment="1">
      <alignment horizontal="center" vertical="center"/>
    </xf>
    <xf numFmtId="9" fontId="2" fillId="14" borderId="1" xfId="1" applyFont="1" applyFill="1" applyBorder="1" applyAlignment="1">
      <alignment horizontal="center"/>
    </xf>
    <xf numFmtId="9" fontId="3" fillId="11" borderId="1" xfId="1" applyFont="1" applyFill="1" applyBorder="1" applyAlignment="1">
      <alignment horizontal="center"/>
    </xf>
    <xf numFmtId="0" fontId="23" fillId="13" borderId="0" xfId="0" applyFont="1" applyFill="1"/>
    <xf numFmtId="0" fontId="23" fillId="13" borderId="0" xfId="0" applyFont="1" applyFill="1" applyAlignment="1">
      <alignment horizontal="center"/>
    </xf>
    <xf numFmtId="0" fontId="21" fillId="13" borderId="0" xfId="0" applyFont="1" applyFill="1"/>
    <xf numFmtId="0" fontId="22" fillId="13" borderId="0" xfId="0" applyFont="1" applyFill="1"/>
    <xf numFmtId="0" fontId="7" fillId="13" borderId="0" xfId="0" applyFont="1" applyFill="1" applyAlignment="1">
      <alignment vertical="center"/>
    </xf>
    <xf numFmtId="0" fontId="7" fillId="13" borderId="0" xfId="0" applyFont="1" applyFill="1" applyAlignment="1">
      <alignment horizontal="left" vertical="center" wrapText="1"/>
    </xf>
    <xf numFmtId="0" fontId="5" fillId="13" borderId="0" xfId="0" applyFont="1" applyFill="1" applyAlignment="1">
      <alignment horizontal="center"/>
    </xf>
    <xf numFmtId="0" fontId="5" fillId="13" borderId="0" xfId="0" applyFont="1" applyFill="1"/>
    <xf numFmtId="9" fontId="5" fillId="13" borderId="0" xfId="1" applyFont="1" applyFill="1"/>
    <xf numFmtId="0" fontId="5" fillId="13" borderId="0" xfId="0" quotePrefix="1" applyFont="1" applyFill="1"/>
    <xf numFmtId="0" fontId="10" fillId="13" borderId="0" xfId="0" applyFont="1" applyFill="1"/>
    <xf numFmtId="0" fontId="7" fillId="13" borderId="0" xfId="0" applyFont="1" applyFill="1"/>
    <xf numFmtId="3" fontId="10" fillId="13" borderId="0" xfId="0" applyNumberFormat="1" applyFont="1" applyFill="1" applyAlignment="1">
      <alignment horizontal="center"/>
    </xf>
    <xf numFmtId="0" fontId="0" fillId="13" borderId="0" xfId="0" applyFill="1" applyAlignment="1">
      <alignment horizontal="center"/>
    </xf>
    <xf numFmtId="165" fontId="0" fillId="13" borderId="0" xfId="0" applyNumberFormat="1" applyFill="1"/>
    <xf numFmtId="1" fontId="10" fillId="13" borderId="0" xfId="0" applyNumberFormat="1" applyFont="1" applyFill="1" applyAlignment="1">
      <alignment horizontal="center"/>
    </xf>
    <xf numFmtId="0" fontId="10" fillId="13" borderId="0" xfId="0" applyFont="1" applyFill="1" applyAlignment="1">
      <alignment horizontal="center"/>
    </xf>
    <xf numFmtId="0" fontId="7" fillId="13" borderId="0" xfId="0" applyFont="1" applyFill="1" applyAlignment="1">
      <alignment vertical="center" wrapText="1"/>
    </xf>
    <xf numFmtId="165" fontId="0" fillId="13" borderId="0" xfId="4" applyNumberFormat="1" applyFont="1" applyFill="1"/>
    <xf numFmtId="0" fontId="6" fillId="13" borderId="0" xfId="0" applyFont="1" applyFill="1" applyAlignment="1">
      <alignment horizontal="left" vertical="center" wrapText="1"/>
    </xf>
    <xf numFmtId="0" fontId="6" fillId="13" borderId="0" xfId="0" applyFont="1" applyFill="1" applyAlignment="1">
      <alignment horizontal="left" vertical="center"/>
    </xf>
    <xf numFmtId="164" fontId="0" fillId="13" borderId="0" xfId="0" applyNumberFormat="1" applyFill="1"/>
    <xf numFmtId="0" fontId="4" fillId="13" borderId="0" xfId="0" applyFont="1" applyFill="1" applyAlignment="1">
      <alignment vertical="center" wrapText="1"/>
    </xf>
    <xf numFmtId="164" fontId="0" fillId="13" borderId="0" xfId="0" applyNumberFormat="1" applyFill="1" applyAlignment="1">
      <alignment vertical="center"/>
    </xf>
    <xf numFmtId="44" fontId="0" fillId="13" borderId="0" xfId="0" applyNumberFormat="1" applyFill="1"/>
    <xf numFmtId="9" fontId="26" fillId="13" borderId="0" xfId="1" applyFont="1" applyFill="1" applyAlignment="1">
      <alignment horizontal="center" vertical="center"/>
    </xf>
    <xf numFmtId="0" fontId="26" fillId="13" borderId="0" xfId="0" applyFont="1" applyFill="1" applyAlignment="1">
      <alignment horizontal="center" vertical="center"/>
    </xf>
    <xf numFmtId="3" fontId="0" fillId="13" borderId="0" xfId="0" applyNumberFormat="1" applyFill="1" applyAlignment="1">
      <alignment vertical="center"/>
    </xf>
    <xf numFmtId="164" fontId="32" fillId="13" borderId="0" xfId="0" applyNumberFormat="1" applyFont="1" applyFill="1"/>
    <xf numFmtId="164" fontId="0" fillId="13" borderId="0" xfId="2" applyNumberFormat="1" applyFont="1" applyFill="1" applyBorder="1"/>
    <xf numFmtId="44" fontId="0" fillId="13" borderId="0" xfId="0" applyNumberFormat="1" applyFill="1" applyAlignment="1">
      <alignment vertical="center"/>
    </xf>
    <xf numFmtId="0" fontId="4" fillId="13" borderId="0" xfId="0" applyFont="1" applyFill="1" applyAlignment="1">
      <alignment horizontal="center" vertical="center" wrapText="1"/>
    </xf>
    <xf numFmtId="0" fontId="35" fillId="13" borderId="0" xfId="0" applyFont="1" applyFill="1" applyAlignment="1">
      <alignment horizontal="center"/>
    </xf>
    <xf numFmtId="164" fontId="11" fillId="4" borderId="1" xfId="2" applyNumberFormat="1" applyFont="1" applyFill="1" applyBorder="1" applyAlignment="1">
      <alignment horizontal="center" vertical="center"/>
    </xf>
    <xf numFmtId="164" fontId="5" fillId="0" borderId="13" xfId="2" applyNumberFormat="1" applyFont="1" applyFill="1" applyBorder="1" applyAlignment="1">
      <alignment horizontal="center" vertical="center"/>
    </xf>
    <xf numFmtId="164" fontId="11" fillId="4" borderId="13" xfId="2" applyNumberFormat="1" applyFont="1" applyFill="1" applyBorder="1" applyAlignment="1">
      <alignment horizontal="center" vertical="center"/>
    </xf>
    <xf numFmtId="164" fontId="5" fillId="0" borderId="2" xfId="2" applyNumberFormat="1" applyFont="1" applyFill="1" applyBorder="1" applyAlignment="1">
      <alignment horizontal="center" vertical="center"/>
    </xf>
    <xf numFmtId="164" fontId="11" fillId="4" borderId="2" xfId="2" applyNumberFormat="1" applyFont="1" applyFill="1" applyBorder="1" applyAlignment="1">
      <alignment horizontal="center" vertical="center"/>
    </xf>
    <xf numFmtId="164" fontId="5" fillId="0" borderId="1" xfId="2" applyNumberFormat="1" applyFont="1" applyFill="1" applyBorder="1" applyAlignment="1">
      <alignment horizontal="right" vertical="center"/>
    </xf>
    <xf numFmtId="164" fontId="5" fillId="0" borderId="1" xfId="2" applyNumberFormat="1" applyFont="1" applyFill="1" applyBorder="1" applyAlignment="1">
      <alignment horizontal="left" vertical="center"/>
    </xf>
    <xf numFmtId="9" fontId="5" fillId="0" borderId="1" xfId="1" applyFont="1" applyFill="1" applyBorder="1" applyAlignment="1">
      <alignment horizontal="center" vertical="center"/>
    </xf>
    <xf numFmtId="164" fontId="11" fillId="4" borderId="1" xfId="0" applyNumberFormat="1" applyFont="1" applyFill="1" applyBorder="1" applyAlignment="1">
      <alignment horizontal="center" vertical="center"/>
    </xf>
    <xf numFmtId="9" fontId="5" fillId="16" borderId="1" xfId="1" applyFont="1" applyFill="1" applyBorder="1" applyAlignment="1">
      <alignment horizontal="center" vertical="center"/>
    </xf>
    <xf numFmtId="3" fontId="7" fillId="13" borderId="0" xfId="0" applyNumberFormat="1" applyFont="1" applyFill="1" applyAlignment="1">
      <alignment horizontal="center"/>
    </xf>
    <xf numFmtId="1" fontId="7" fillId="13" borderId="0" xfId="0" applyNumberFormat="1" applyFont="1" applyFill="1" applyAlignment="1">
      <alignment horizontal="center"/>
    </xf>
    <xf numFmtId="0" fontId="7" fillId="13" borderId="0" xfId="0" applyFont="1" applyFill="1" applyAlignment="1">
      <alignment horizontal="center"/>
    </xf>
    <xf numFmtId="0" fontId="25" fillId="13" borderId="0" xfId="0" applyFont="1" applyFill="1"/>
    <xf numFmtId="0" fontId="12" fillId="13" borderId="0" xfId="0" applyFont="1" applyFill="1"/>
    <xf numFmtId="0" fontId="8" fillId="13" borderId="0" xfId="0" applyFont="1" applyFill="1"/>
    <xf numFmtId="0" fontId="4" fillId="13" borderId="0" xfId="0" applyFont="1" applyFill="1"/>
    <xf numFmtId="0" fontId="3" fillId="13" borderId="0" xfId="0" applyFont="1" applyFill="1"/>
    <xf numFmtId="3" fontId="18" fillId="13" borderId="0" xfId="0" applyNumberFormat="1" applyFont="1" applyFill="1"/>
    <xf numFmtId="0" fontId="25" fillId="13" borderId="0" xfId="0" applyFont="1" applyFill="1" applyAlignment="1">
      <alignment vertical="center"/>
    </xf>
    <xf numFmtId="0" fontId="6" fillId="13" borderId="0" xfId="0" applyFont="1" applyFill="1" applyAlignment="1">
      <alignment wrapText="1"/>
    </xf>
    <xf numFmtId="0" fontId="16" fillId="13" borderId="0" xfId="0" applyFont="1" applyFill="1"/>
    <xf numFmtId="0" fontId="4" fillId="13" borderId="0" xfId="0" applyFont="1" applyFill="1" applyAlignment="1">
      <alignment horizontal="left" vertical="center" wrapText="1"/>
    </xf>
    <xf numFmtId="0" fontId="3" fillId="13" borderId="0" xfId="0" applyFont="1" applyFill="1" applyAlignment="1">
      <alignment horizontal="left" wrapText="1"/>
    </xf>
    <xf numFmtId="0" fontId="4" fillId="13" borderId="0" xfId="0" applyFont="1" applyFill="1" applyAlignment="1">
      <alignment horizontal="center" wrapText="1"/>
    </xf>
    <xf numFmtId="9" fontId="18" fillId="13" borderId="0" xfId="0" applyNumberFormat="1" applyFont="1" applyFill="1" applyAlignment="1">
      <alignment horizontal="center"/>
    </xf>
    <xf numFmtId="164" fontId="3" fillId="13" borderId="0" xfId="0" applyNumberFormat="1" applyFont="1" applyFill="1"/>
    <xf numFmtId="164" fontId="4" fillId="13" borderId="0" xfId="0" applyNumberFormat="1" applyFont="1" applyFill="1"/>
    <xf numFmtId="9" fontId="4" fillId="13" borderId="0" xfId="0" applyNumberFormat="1" applyFont="1" applyFill="1" applyAlignment="1">
      <alignment horizontal="center"/>
    </xf>
    <xf numFmtId="9" fontId="3" fillId="13" borderId="0" xfId="1" applyFont="1" applyFill="1" applyBorder="1" applyAlignment="1">
      <alignment horizontal="center"/>
    </xf>
    <xf numFmtId="0" fontId="25" fillId="13" borderId="0" xfId="0" applyFont="1" applyFill="1" applyAlignment="1">
      <alignment horizontal="center"/>
    </xf>
    <xf numFmtId="0" fontId="3" fillId="13" borderId="0" xfId="0" applyFont="1" applyFill="1" applyAlignment="1">
      <alignment horizontal="left" vertical="center"/>
    </xf>
    <xf numFmtId="0" fontId="0" fillId="13" borderId="0" xfId="0" applyFill="1" applyAlignment="1">
      <alignment vertical="top"/>
    </xf>
    <xf numFmtId="10" fontId="11" fillId="8" borderId="1" xfId="0" applyNumberFormat="1" applyFont="1" applyFill="1" applyBorder="1" applyAlignment="1">
      <alignment horizontal="right" vertical="center"/>
    </xf>
    <xf numFmtId="165" fontId="11" fillId="8" borderId="1" xfId="4" applyNumberFormat="1" applyFont="1" applyFill="1" applyBorder="1" applyAlignment="1">
      <alignment horizontal="right" vertical="center"/>
    </xf>
    <xf numFmtId="165" fontId="11" fillId="9" borderId="1" xfId="0" applyNumberFormat="1" applyFont="1" applyFill="1" applyBorder="1" applyAlignment="1">
      <alignment horizontal="right" vertical="center"/>
    </xf>
    <xf numFmtId="166" fontId="11" fillId="10" borderId="1" xfId="0" applyNumberFormat="1" applyFont="1" applyFill="1" applyBorder="1" applyAlignment="1">
      <alignment horizontal="right" vertical="center"/>
    </xf>
    <xf numFmtId="10" fontId="11" fillId="9" borderId="1" xfId="0" applyNumberFormat="1" applyFont="1" applyFill="1" applyBorder="1" applyAlignment="1">
      <alignment horizontal="right" vertical="center"/>
    </xf>
    <xf numFmtId="166" fontId="11" fillId="9" borderId="1" xfId="0" applyNumberFormat="1" applyFont="1" applyFill="1" applyBorder="1" applyAlignment="1">
      <alignment horizontal="right" vertical="center"/>
    </xf>
    <xf numFmtId="165" fontId="11" fillId="10" borderId="1" xfId="0" applyNumberFormat="1" applyFont="1" applyFill="1" applyBorder="1" applyAlignment="1">
      <alignment horizontal="right" vertical="center"/>
    </xf>
    <xf numFmtId="9" fontId="12" fillId="9" borderId="1" xfId="1" applyFont="1" applyFill="1" applyBorder="1" applyAlignment="1">
      <alignment horizontal="right" vertical="center"/>
    </xf>
    <xf numFmtId="165" fontId="5" fillId="9" borderId="1" xfId="0" applyNumberFormat="1" applyFont="1" applyFill="1" applyBorder="1" applyAlignment="1">
      <alignment horizontal="right" vertical="center"/>
    </xf>
    <xf numFmtId="166" fontId="5" fillId="9" borderId="1" xfId="1" applyNumberFormat="1" applyFont="1" applyFill="1" applyBorder="1" applyAlignment="1">
      <alignment horizontal="right" vertical="center"/>
    </xf>
    <xf numFmtId="9" fontId="6" fillId="9" borderId="1" xfId="1" applyFont="1" applyFill="1" applyBorder="1" applyAlignment="1">
      <alignment horizontal="right" vertical="center"/>
    </xf>
    <xf numFmtId="43" fontId="0" fillId="13" borderId="0" xfId="0" applyNumberFormat="1" applyFill="1" applyAlignment="1">
      <alignment vertical="center"/>
    </xf>
    <xf numFmtId="9" fontId="3" fillId="7" borderId="1" xfId="1" applyFont="1" applyFill="1" applyBorder="1" applyAlignment="1">
      <alignment horizontal="center" vertical="center"/>
    </xf>
    <xf numFmtId="0" fontId="0" fillId="13" borderId="0" xfId="0" applyFill="1" applyAlignment="1">
      <alignment horizontal="right" vertical="center"/>
    </xf>
    <xf numFmtId="0" fontId="3" fillId="7" borderId="1" xfId="0" applyFont="1" applyFill="1" applyBorder="1" applyAlignment="1">
      <alignment horizontal="right" vertical="center" wrapText="1"/>
    </xf>
    <xf numFmtId="0" fontId="0" fillId="0" borderId="0" xfId="0" applyAlignment="1">
      <alignment horizontal="right" vertical="center"/>
    </xf>
    <xf numFmtId="9" fontId="3" fillId="2" borderId="1" xfId="1" applyFont="1" applyFill="1" applyBorder="1" applyAlignment="1">
      <alignment horizontal="center" vertical="center"/>
    </xf>
    <xf numFmtId="0" fontId="19" fillId="0" borderId="1" xfId="0" applyFont="1" applyBorder="1" applyAlignment="1">
      <alignment horizontal="left" wrapText="1" indent="4"/>
    </xf>
    <xf numFmtId="3" fontId="3" fillId="13" borderId="0" xfId="0" applyNumberFormat="1" applyFont="1" applyFill="1" applyAlignment="1">
      <alignment horizontal="left" wrapText="1"/>
    </xf>
    <xf numFmtId="3" fontId="3" fillId="13" borderId="0" xfId="0" applyNumberFormat="1" applyFont="1" applyFill="1" applyAlignment="1">
      <alignment horizontal="center" wrapText="1"/>
    </xf>
    <xf numFmtId="0" fontId="3" fillId="4" borderId="2" xfId="0" applyFont="1" applyFill="1" applyBorder="1" applyAlignment="1">
      <alignment vertical="center"/>
    </xf>
    <xf numFmtId="0" fontId="3" fillId="4" borderId="3" xfId="0" applyFont="1" applyFill="1" applyBorder="1" applyAlignment="1">
      <alignment vertical="center"/>
    </xf>
    <xf numFmtId="0" fontId="3" fillId="0" borderId="0" xfId="0" applyFont="1" applyAlignment="1">
      <alignment horizontal="center" vertical="center" wrapText="1"/>
    </xf>
    <xf numFmtId="3" fontId="2" fillId="14" borderId="1" xfId="0" applyNumberFormat="1" applyFont="1" applyFill="1" applyBorder="1" applyAlignment="1">
      <alignment horizontal="center" vertical="center" wrapText="1"/>
    </xf>
    <xf numFmtId="3" fontId="2" fillId="14"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3" fontId="2" fillId="14" borderId="1" xfId="4" applyNumberFormat="1" applyFont="1" applyFill="1" applyBorder="1" applyAlignment="1">
      <alignment horizontal="center" vertical="center"/>
    </xf>
    <xf numFmtId="0" fontId="3" fillId="0" borderId="3" xfId="0" applyFont="1" applyBorder="1" applyAlignment="1">
      <alignment horizontal="center" vertical="center" wrapText="1"/>
    </xf>
    <xf numFmtId="3" fontId="3" fillId="11" borderId="1" xfId="0" applyNumberFormat="1" applyFont="1" applyFill="1" applyBorder="1" applyAlignment="1">
      <alignment horizontal="center" vertical="center"/>
    </xf>
    <xf numFmtId="0" fontId="3" fillId="4" borderId="3" xfId="0" applyFont="1" applyFill="1" applyBorder="1" applyAlignment="1">
      <alignment horizontal="center" vertical="center"/>
    </xf>
    <xf numFmtId="3" fontId="3" fillId="2" borderId="1" xfId="0" applyNumberFormat="1" applyFont="1" applyFill="1" applyBorder="1" applyAlignment="1">
      <alignment horizontal="center"/>
    </xf>
    <xf numFmtId="0" fontId="3" fillId="4" borderId="3" xfId="0" applyFont="1" applyFill="1" applyBorder="1" applyAlignment="1">
      <alignment horizontal="center" vertical="center" wrapText="1"/>
    </xf>
    <xf numFmtId="3" fontId="2" fillId="14" borderId="1" xfId="0" applyNumberFormat="1" applyFont="1" applyFill="1" applyBorder="1" applyAlignment="1">
      <alignment horizontal="center" wrapText="1"/>
    </xf>
    <xf numFmtId="3" fontId="3" fillId="5" borderId="1" xfId="0" applyNumberFormat="1" applyFont="1" applyFill="1" applyBorder="1" applyAlignment="1">
      <alignment horizontal="center" vertical="center" wrapText="1"/>
    </xf>
    <xf numFmtId="9" fontId="3" fillId="5" borderId="1" xfId="1" applyFont="1" applyFill="1" applyBorder="1" applyAlignment="1">
      <alignment horizontal="center" vertical="center"/>
    </xf>
    <xf numFmtId="0" fontId="3" fillId="4" borderId="4" xfId="0"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164" fontId="3" fillId="2" borderId="1" xfId="2" applyNumberFormat="1" applyFont="1" applyFill="1" applyBorder="1" applyAlignment="1">
      <alignment horizontal="center"/>
    </xf>
    <xf numFmtId="164" fontId="3" fillId="7" borderId="1" xfId="2" applyNumberFormat="1" applyFont="1" applyFill="1" applyBorder="1" applyAlignment="1">
      <alignment horizontal="center" vertical="center" wrapText="1"/>
    </xf>
    <xf numFmtId="9" fontId="3" fillId="0" borderId="1" xfId="1" applyFont="1" applyFill="1" applyBorder="1" applyAlignment="1">
      <alignment horizontal="center" vertical="center"/>
    </xf>
    <xf numFmtId="0" fontId="24" fillId="13" borderId="0" xfId="0" applyFont="1" applyFill="1" applyAlignment="1">
      <alignment horizontal="left" vertical="center"/>
    </xf>
    <xf numFmtId="0" fontId="24" fillId="13" borderId="0" xfId="0" applyFont="1" applyFill="1" applyAlignment="1">
      <alignment horizontal="left" vertical="top"/>
    </xf>
    <xf numFmtId="0" fontId="36" fillId="13" borderId="0" xfId="0" applyFont="1" applyFill="1" applyAlignment="1">
      <alignment horizontal="left" vertical="center"/>
    </xf>
    <xf numFmtId="0" fontId="37" fillId="13" borderId="0" xfId="0" applyFont="1" applyFill="1" applyAlignment="1">
      <alignment horizontal="left" vertical="top"/>
    </xf>
    <xf numFmtId="0" fontId="24" fillId="13" borderId="0" xfId="0" applyFont="1" applyFill="1" applyAlignment="1">
      <alignment vertical="top"/>
    </xf>
    <xf numFmtId="164" fontId="7" fillId="0" borderId="13" xfId="2" applyNumberFormat="1" applyFont="1" applyFill="1" applyBorder="1"/>
    <xf numFmtId="164" fontId="7" fillId="0" borderId="15" xfId="2" applyNumberFormat="1" applyFont="1" applyFill="1" applyBorder="1"/>
    <xf numFmtId="164" fontId="7" fillId="0" borderId="14" xfId="2" applyNumberFormat="1" applyFont="1" applyFill="1" applyBorder="1"/>
    <xf numFmtId="164" fontId="7" fillId="0" borderId="1" xfId="2" applyNumberFormat="1" applyFont="1" applyFill="1" applyBorder="1"/>
    <xf numFmtId="164" fontId="7" fillId="0" borderId="1" xfId="2" applyNumberFormat="1" applyFont="1" applyFill="1" applyBorder="1" applyAlignment="1">
      <alignment horizontal="left"/>
    </xf>
    <xf numFmtId="165"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wrapText="1"/>
    </xf>
    <xf numFmtId="0" fontId="0" fillId="13" borderId="0" xfId="0" applyFill="1" applyAlignment="1">
      <alignment horizontal="center" vertical="center" wrapText="1"/>
    </xf>
    <xf numFmtId="0" fontId="0" fillId="0" borderId="0" xfId="0" applyAlignment="1">
      <alignment horizontal="center" vertical="center" wrapText="1"/>
    </xf>
    <xf numFmtId="165" fontId="39" fillId="0" borderId="1" xfId="6" applyNumberFormat="1" applyFont="1" applyBorder="1" applyAlignment="1" applyProtection="1">
      <alignment horizontal="center" vertical="center" wrapText="1"/>
    </xf>
    <xf numFmtId="3" fontId="5" fillId="0" borderId="1" xfId="4" applyNumberFormat="1" applyFont="1" applyBorder="1" applyAlignment="1">
      <alignment horizontal="center" vertical="center" wrapText="1"/>
    </xf>
    <xf numFmtId="3" fontId="5" fillId="0" borderId="1" xfId="4"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0" fillId="0" borderId="0" xfId="0" applyNumberFormat="1"/>
    <xf numFmtId="0" fontId="50" fillId="0" borderId="0" xfId="0" applyFont="1" applyAlignment="1">
      <alignment vertical="center"/>
    </xf>
    <xf numFmtId="165" fontId="28" fillId="13" borderId="1" xfId="4" applyNumberFormat="1" applyFont="1" applyFill="1" applyBorder="1" applyAlignment="1"/>
    <xf numFmtId="0" fontId="0" fillId="13" borderId="1" xfId="0" applyFill="1" applyBorder="1" applyAlignment="1">
      <alignment horizontal="right" vertical="center"/>
    </xf>
    <xf numFmtId="0" fontId="19" fillId="5" borderId="4" xfId="0" applyFont="1" applyFill="1" applyBorder="1" applyAlignment="1">
      <alignment horizontal="right" wrapText="1"/>
    </xf>
    <xf numFmtId="165" fontId="28" fillId="13" borderId="13" xfId="4" applyNumberFormat="1" applyFont="1" applyFill="1" applyBorder="1" applyAlignment="1"/>
    <xf numFmtId="165" fontId="28" fillId="13" borderId="14" xfId="4" applyNumberFormat="1" applyFont="1" applyFill="1" applyBorder="1" applyAlignment="1"/>
    <xf numFmtId="3" fontId="2" fillId="14" borderId="4" xfId="0" applyNumberFormat="1" applyFont="1" applyFill="1" applyBorder="1" applyAlignment="1">
      <alignment horizontal="center" vertical="center" wrapText="1"/>
    </xf>
    <xf numFmtId="0" fontId="3" fillId="4" borderId="1" xfId="0" applyFont="1" applyFill="1" applyBorder="1" applyAlignment="1">
      <alignment vertical="center" wrapText="1"/>
    </xf>
    <xf numFmtId="3" fontId="3" fillId="5"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4" borderId="1" xfId="0" applyFont="1" applyFill="1" applyBorder="1" applyAlignment="1">
      <alignment vertical="center"/>
    </xf>
    <xf numFmtId="3" fontId="2" fillId="13" borderId="1" xfId="0" applyNumberFormat="1" applyFont="1" applyFill="1" applyBorder="1" applyAlignment="1">
      <alignment horizontal="center" vertical="center"/>
    </xf>
    <xf numFmtId="3" fontId="2" fillId="13" borderId="1" xfId="4" applyNumberFormat="1" applyFont="1" applyFill="1" applyBorder="1" applyAlignment="1">
      <alignment horizontal="center" vertical="center"/>
    </xf>
    <xf numFmtId="0" fontId="0" fillId="13" borderId="1" xfId="0" applyFill="1" applyBorder="1" applyAlignment="1">
      <alignment horizontal="left" vertical="center"/>
    </xf>
    <xf numFmtId="43" fontId="0" fillId="13" borderId="0" xfId="4" applyFont="1" applyFill="1"/>
    <xf numFmtId="0" fontId="2" fillId="10" borderId="1" xfId="0" applyFont="1" applyFill="1" applyBorder="1" applyAlignment="1">
      <alignment horizontal="left" wrapText="1"/>
    </xf>
    <xf numFmtId="0" fontId="7" fillId="13" borderId="0" xfId="0" applyFont="1" applyFill="1" applyAlignment="1">
      <alignment horizontal="center" vertical="center" wrapText="1"/>
    </xf>
    <xf numFmtId="0" fontId="24" fillId="13" borderId="0" xfId="0" applyFont="1" applyFill="1" applyAlignment="1">
      <alignment horizontal="center" vertical="center"/>
    </xf>
    <xf numFmtId="0" fontId="9" fillId="13" borderId="0" xfId="0" applyFont="1" applyFill="1" applyAlignment="1">
      <alignment horizontal="center" vertical="center"/>
    </xf>
    <xf numFmtId="164" fontId="2" fillId="14" borderId="4" xfId="2" applyNumberFormat="1" applyFont="1" applyFill="1" applyBorder="1" applyAlignment="1">
      <alignment horizontal="center" vertical="center"/>
    </xf>
    <xf numFmtId="164" fontId="2" fillId="14" borderId="1" xfId="2" applyNumberFormat="1" applyFont="1" applyFill="1" applyBorder="1" applyAlignment="1">
      <alignment horizontal="center" vertical="center"/>
    </xf>
    <xf numFmtId="164" fontId="3" fillId="2" borderId="1" xfId="2" applyNumberFormat="1" applyFont="1" applyFill="1" applyBorder="1" applyAlignment="1">
      <alignment horizontal="center" vertical="center"/>
    </xf>
    <xf numFmtId="164" fontId="2" fillId="13" borderId="1" xfId="2" applyNumberFormat="1" applyFont="1" applyFill="1" applyBorder="1" applyAlignment="1">
      <alignment horizontal="center" vertical="center"/>
    </xf>
    <xf numFmtId="164" fontId="3" fillId="5" borderId="1" xfId="2" applyNumberFormat="1" applyFont="1" applyFill="1" applyBorder="1" applyAlignment="1">
      <alignment horizontal="center" vertical="center"/>
    </xf>
    <xf numFmtId="164" fontId="3" fillId="13" borderId="0" xfId="0" applyNumberFormat="1" applyFont="1" applyFill="1" applyAlignment="1">
      <alignment horizontal="center"/>
    </xf>
    <xf numFmtId="164" fontId="18" fillId="13" borderId="0" xfId="0" applyNumberFormat="1" applyFont="1" applyFill="1" applyAlignment="1">
      <alignment horizontal="center"/>
    </xf>
    <xf numFmtId="0" fontId="50" fillId="0" borderId="0" xfId="0" applyFont="1" applyAlignment="1">
      <alignment horizontal="center" vertical="center"/>
    </xf>
    <xf numFmtId="0" fontId="55" fillId="18" borderId="18" xfId="0" applyFont="1" applyFill="1" applyBorder="1" applyAlignment="1">
      <alignment vertical="center"/>
    </xf>
    <xf numFmtId="0" fontId="40" fillId="19" borderId="18" xfId="0" applyFont="1" applyFill="1" applyBorder="1" applyAlignment="1">
      <alignment vertical="center"/>
    </xf>
    <xf numFmtId="0" fontId="40" fillId="17" borderId="17" xfId="0" applyFont="1" applyFill="1" applyBorder="1" applyAlignment="1">
      <alignment vertical="center" wrapText="1"/>
    </xf>
    <xf numFmtId="0" fontId="43" fillId="0" borderId="18" xfId="0" applyFont="1" applyBorder="1" applyAlignment="1">
      <alignment horizontal="center" vertical="center" wrapText="1"/>
    </xf>
    <xf numFmtId="165" fontId="28" fillId="0" borderId="1" xfId="4" applyNumberFormat="1" applyFont="1" applyFill="1" applyBorder="1" applyAlignment="1"/>
    <xf numFmtId="165" fontId="28" fillId="8" borderId="1" xfId="4" applyNumberFormat="1" applyFont="1" applyFill="1" applyBorder="1" applyAlignment="1">
      <alignment wrapText="1"/>
    </xf>
    <xf numFmtId="0" fontId="0" fillId="0" borderId="12" xfId="0" applyBorder="1"/>
    <xf numFmtId="0" fontId="0" fillId="14" borderId="10" xfId="0" applyFill="1" applyBorder="1"/>
    <xf numFmtId="0" fontId="0" fillId="20" borderId="10" xfId="0" applyFill="1" applyBorder="1"/>
    <xf numFmtId="0" fontId="0" fillId="21" borderId="10" xfId="0" applyFill="1" applyBorder="1"/>
    <xf numFmtId="0" fontId="0" fillId="22" borderId="10" xfId="0" applyFill="1" applyBorder="1"/>
    <xf numFmtId="165" fontId="0" fillId="0" borderId="0" xfId="4" applyNumberFormat="1" applyFont="1"/>
    <xf numFmtId="0" fontId="0" fillId="23" borderId="0" xfId="0" applyFill="1" applyAlignment="1">
      <alignment horizontal="center" vertical="center"/>
    </xf>
    <xf numFmtId="0" fontId="0" fillId="23" borderId="13" xfId="0" applyFill="1" applyBorder="1" applyAlignment="1">
      <alignment horizontal="right" vertical="center"/>
    </xf>
    <xf numFmtId="0" fontId="0" fillId="23" borderId="7" xfId="0" applyFill="1" applyBorder="1" applyAlignment="1">
      <alignment horizontal="right" vertical="center"/>
    </xf>
    <xf numFmtId="0" fontId="0" fillId="23" borderId="16" xfId="0" applyFill="1" applyBorder="1" applyAlignment="1">
      <alignment horizontal="right" vertical="center"/>
    </xf>
    <xf numFmtId="0" fontId="0" fillId="23" borderId="0" xfId="0" applyFill="1" applyAlignment="1">
      <alignment horizontal="right" vertical="center"/>
    </xf>
    <xf numFmtId="165" fontId="28" fillId="23" borderId="16" xfId="4" applyNumberFormat="1" applyFont="1" applyFill="1" applyBorder="1" applyAlignment="1"/>
    <xf numFmtId="165" fontId="28" fillId="23" borderId="0" xfId="4" applyNumberFormat="1" applyFont="1" applyFill="1" applyBorder="1" applyAlignment="1"/>
    <xf numFmtId="0" fontId="0" fillId="23" borderId="14" xfId="0" applyFill="1" applyBorder="1" applyAlignment="1">
      <alignment horizontal="right" vertical="center"/>
    </xf>
    <xf numFmtId="0" fontId="0" fillId="23" borderId="10" xfId="0" applyFill="1" applyBorder="1" applyAlignment="1">
      <alignment horizontal="right" vertical="center"/>
    </xf>
    <xf numFmtId="165" fontId="28" fillId="23" borderId="0" xfId="4" applyNumberFormat="1" applyFont="1" applyFill="1" applyAlignment="1"/>
    <xf numFmtId="0" fontId="0" fillId="23" borderId="8" xfId="0" applyFill="1" applyBorder="1" applyAlignment="1">
      <alignment horizontal="right" vertical="center"/>
    </xf>
    <xf numFmtId="0" fontId="0" fillId="23" borderId="11" xfId="0" applyFill="1" applyBorder="1" applyAlignment="1">
      <alignment horizontal="right" vertical="center"/>
    </xf>
    <xf numFmtId="0" fontId="0" fillId="23" borderId="1" xfId="0" applyFill="1" applyBorder="1" applyAlignment="1">
      <alignment horizontal="right" vertical="center"/>
    </xf>
    <xf numFmtId="0" fontId="0" fillId="13" borderId="0" xfId="0" applyFill="1" applyAlignment="1">
      <alignment horizontal="left" vertical="center"/>
    </xf>
    <xf numFmtId="165" fontId="28" fillId="23" borderId="1" xfId="4" applyNumberFormat="1" applyFont="1" applyFill="1" applyBorder="1" applyAlignment="1"/>
    <xf numFmtId="165" fontId="28" fillId="13" borderId="4" xfId="4" applyNumberFormat="1" applyFont="1" applyFill="1" applyBorder="1" applyAlignment="1"/>
    <xf numFmtId="165" fontId="28" fillId="23" borderId="13" xfId="4" applyNumberFormat="1" applyFont="1" applyFill="1" applyBorder="1" applyAlignment="1"/>
    <xf numFmtId="165" fontId="28" fillId="8" borderId="1" xfId="4" applyNumberFormat="1" applyFont="1" applyFill="1" applyBorder="1" applyAlignment="1"/>
    <xf numFmtId="0" fontId="0" fillId="23" borderId="1" xfId="0" applyFill="1" applyBorder="1"/>
    <xf numFmtId="17" fontId="40" fillId="23" borderId="19" xfId="0" quotePrefix="1" applyNumberFormat="1" applyFont="1" applyFill="1" applyBorder="1" applyAlignment="1">
      <alignment horizontal="center" vertical="center" wrapText="1"/>
    </xf>
    <xf numFmtId="167" fontId="0" fillId="23" borderId="0" xfId="0" applyNumberFormat="1" applyFill="1" applyAlignment="1">
      <alignment vertical="center"/>
    </xf>
    <xf numFmtId="167" fontId="0" fillId="0" borderId="0" xfId="0" applyNumberFormat="1" applyAlignment="1">
      <alignment vertical="center"/>
    </xf>
    <xf numFmtId="0" fontId="0" fillId="8" borderId="0" xfId="0" applyFill="1"/>
    <xf numFmtId="0" fontId="0" fillId="23" borderId="0" xfId="0" applyFill="1"/>
    <xf numFmtId="0" fontId="57" fillId="13" borderId="0" xfId="0" applyFont="1" applyFill="1" applyAlignment="1">
      <alignment horizontal="left" wrapText="1"/>
    </xf>
    <xf numFmtId="3" fontId="57" fillId="13" borderId="0" xfId="0" applyNumberFormat="1" applyFont="1" applyFill="1" applyAlignment="1">
      <alignment horizontal="left" wrapText="1"/>
    </xf>
    <xf numFmtId="37" fontId="57" fillId="13" borderId="0" xfId="4" applyNumberFormat="1" applyFont="1" applyFill="1" applyBorder="1" applyAlignment="1">
      <alignment horizontal="center"/>
    </xf>
    <xf numFmtId="1" fontId="57" fillId="13" borderId="0" xfId="0" applyNumberFormat="1" applyFont="1" applyFill="1" applyAlignment="1">
      <alignment horizontal="center" wrapText="1"/>
    </xf>
    <xf numFmtId="168" fontId="58" fillId="13" borderId="0" xfId="0" applyNumberFormat="1" applyFont="1" applyFill="1" applyAlignment="1">
      <alignment horizontal="center" vertical="center" wrapText="1"/>
    </xf>
    <xf numFmtId="9" fontId="2" fillId="14" borderId="4" xfId="1" applyFont="1" applyFill="1" applyBorder="1" applyAlignment="1">
      <alignment horizontal="center" vertical="center" wrapText="1"/>
    </xf>
    <xf numFmtId="0" fontId="59" fillId="0" borderId="1" xfId="0" applyFont="1" applyBorder="1" applyAlignment="1">
      <alignment horizontal="left" wrapText="1"/>
    </xf>
    <xf numFmtId="0" fontId="60" fillId="0" borderId="1" xfId="0" applyFont="1" applyBorder="1" applyAlignment="1">
      <alignment horizontal="left" wrapText="1" indent="4"/>
    </xf>
    <xf numFmtId="0" fontId="26" fillId="0" borderId="0" xfId="0" applyFont="1"/>
    <xf numFmtId="17" fontId="61" fillId="20" borderId="20" xfId="0" applyNumberFormat="1" applyFont="1" applyFill="1" applyBorder="1" applyAlignment="1">
      <alignment horizontal="center" vertical="center" wrapText="1"/>
    </xf>
    <xf numFmtId="167" fontId="62" fillId="0" borderId="0" xfId="0" applyNumberFormat="1" applyFont="1" applyAlignment="1">
      <alignment vertical="center"/>
    </xf>
    <xf numFmtId="167" fontId="63" fillId="0" borderId="0" xfId="8" applyNumberFormat="1" applyFont="1" applyAlignment="1">
      <alignment vertical="center"/>
    </xf>
    <xf numFmtId="167" fontId="64" fillId="0" borderId="0" xfId="8" applyNumberFormat="1" applyFont="1" applyAlignment="1">
      <alignment vertical="center"/>
    </xf>
    <xf numFmtId="0" fontId="59" fillId="0" borderId="16" xfId="0" applyFont="1" applyBorder="1" applyAlignment="1">
      <alignment horizontal="left" wrapText="1"/>
    </xf>
    <xf numFmtId="167" fontId="62" fillId="23" borderId="0" xfId="0" applyNumberFormat="1" applyFont="1" applyFill="1" applyAlignment="1">
      <alignment vertical="center"/>
    </xf>
    <xf numFmtId="0" fontId="65" fillId="0" borderId="1" xfId="0" applyFont="1" applyBorder="1" applyAlignment="1">
      <alignment wrapText="1"/>
    </xf>
    <xf numFmtId="167" fontId="66" fillId="23" borderId="0" xfId="0" applyNumberFormat="1" applyFont="1" applyFill="1" applyAlignment="1">
      <alignment vertical="center"/>
    </xf>
    <xf numFmtId="167" fontId="67" fillId="23" borderId="0" xfId="0" applyNumberFormat="1" applyFont="1" applyFill="1" applyAlignment="1">
      <alignment vertical="center"/>
    </xf>
    <xf numFmtId="165" fontId="63" fillId="24" borderId="0" xfId="4" applyNumberFormat="1" applyFont="1" applyFill="1" applyAlignment="1">
      <alignment vertical="center"/>
    </xf>
    <xf numFmtId="167" fontId="63" fillId="24" borderId="0" xfId="4" applyNumberFormat="1" applyFont="1" applyFill="1" applyAlignment="1">
      <alignment vertical="center"/>
    </xf>
    <xf numFmtId="0" fontId="59" fillId="0" borderId="1" xfId="0" applyFont="1" applyBorder="1" applyAlignment="1">
      <alignment horizontal="left" vertical="center" wrapText="1"/>
    </xf>
    <xf numFmtId="167" fontId="63" fillId="24" borderId="0" xfId="8" applyNumberFormat="1" applyFont="1" applyFill="1" applyAlignment="1">
      <alignment vertical="center"/>
    </xf>
    <xf numFmtId="167" fontId="63" fillId="25" borderId="0" xfId="8" applyNumberFormat="1" applyFont="1" applyFill="1" applyAlignment="1">
      <alignment vertical="center"/>
    </xf>
    <xf numFmtId="0" fontId="65" fillId="0" borderId="1" xfId="0" applyFont="1" applyBorder="1"/>
    <xf numFmtId="41" fontId="62" fillId="0" borderId="0" xfId="8" applyNumberFormat="1" applyFont="1" applyAlignment="1">
      <alignment vertical="center"/>
    </xf>
    <xf numFmtId="0" fontId="67" fillId="0" borderId="0" xfId="8" applyFont="1" applyAlignment="1">
      <alignment vertical="center"/>
    </xf>
    <xf numFmtId="41" fontId="67" fillId="0" borderId="0" xfId="8" applyNumberFormat="1" applyFont="1" applyAlignment="1">
      <alignment vertical="center"/>
    </xf>
    <xf numFmtId="167" fontId="68" fillId="25" borderId="3" xfId="8" applyNumberFormat="1" applyFont="1" applyFill="1" applyBorder="1" applyAlignment="1">
      <alignment vertical="center"/>
    </xf>
    <xf numFmtId="41" fontId="63" fillId="0" borderId="0" xfId="8" applyNumberFormat="1" applyFont="1" applyAlignment="1">
      <alignment vertical="center"/>
    </xf>
    <xf numFmtId="167" fontId="69" fillId="26" borderId="0" xfId="10" applyNumberFormat="1" applyFont="1" applyFill="1" applyAlignment="1">
      <alignment vertical="center"/>
    </xf>
    <xf numFmtId="167" fontId="61" fillId="25" borderId="3" xfId="10" applyNumberFormat="1" applyFont="1" applyFill="1" applyBorder="1" applyAlignment="1">
      <alignment vertical="center"/>
    </xf>
    <xf numFmtId="17" fontId="61" fillId="27" borderId="21" xfId="0" quotePrefix="1" applyNumberFormat="1" applyFont="1" applyFill="1" applyBorder="1" applyAlignment="1">
      <alignment horizontal="center" vertical="center" wrapText="1"/>
    </xf>
    <xf numFmtId="0" fontId="0" fillId="28" borderId="0" xfId="0" applyFill="1"/>
    <xf numFmtId="167" fontId="0" fillId="28" borderId="0" xfId="0" applyNumberFormat="1" applyFill="1" applyAlignment="1">
      <alignment vertical="center"/>
    </xf>
    <xf numFmtId="167" fontId="63" fillId="28" borderId="0" xfId="8" applyNumberFormat="1" applyFont="1" applyFill="1" applyAlignment="1">
      <alignment vertical="center"/>
    </xf>
    <xf numFmtId="0" fontId="0" fillId="24" borderId="0" xfId="0" applyFill="1"/>
    <xf numFmtId="167" fontId="16" fillId="0" borderId="0" xfId="8" applyNumberFormat="1" applyFont="1" applyAlignment="1">
      <alignment vertical="center"/>
    </xf>
    <xf numFmtId="167" fontId="70" fillId="23" borderId="0" xfId="0" applyNumberFormat="1" applyFont="1" applyFill="1" applyAlignment="1">
      <alignment vertical="center"/>
    </xf>
    <xf numFmtId="167" fontId="71" fillId="23" borderId="0" xfId="0" applyNumberFormat="1" applyFont="1" applyFill="1" applyAlignment="1">
      <alignment vertical="center"/>
    </xf>
    <xf numFmtId="167" fontId="72" fillId="0" borderId="0" xfId="0" applyNumberFormat="1" applyFont="1" applyAlignment="1">
      <alignment vertical="center"/>
    </xf>
    <xf numFmtId="167" fontId="72" fillId="23" borderId="0" xfId="0" applyNumberFormat="1" applyFont="1" applyFill="1" applyAlignment="1">
      <alignment vertical="center"/>
    </xf>
    <xf numFmtId="41" fontId="72" fillId="0" borderId="0" xfId="8" applyNumberFormat="1" applyFont="1" applyAlignment="1">
      <alignment vertical="center"/>
    </xf>
    <xf numFmtId="41" fontId="71" fillId="0" borderId="0" xfId="8" applyNumberFormat="1" applyFont="1" applyAlignment="1">
      <alignment vertical="center"/>
    </xf>
    <xf numFmtId="167" fontId="16" fillId="28" borderId="0" xfId="0" applyNumberFormat="1" applyFont="1" applyFill="1" applyAlignment="1">
      <alignment vertical="center"/>
    </xf>
    <xf numFmtId="167" fontId="16" fillId="23" borderId="0" xfId="0" applyNumberFormat="1" applyFont="1" applyFill="1" applyAlignment="1">
      <alignment vertical="center"/>
    </xf>
    <xf numFmtId="167" fontId="16" fillId="24" borderId="0" xfId="8" applyNumberFormat="1" applyFont="1" applyFill="1" applyAlignment="1">
      <alignment vertical="center"/>
    </xf>
    <xf numFmtId="167" fontId="16" fillId="25" borderId="0" xfId="8" applyNumberFormat="1" applyFont="1" applyFill="1" applyAlignment="1">
      <alignment vertical="center"/>
    </xf>
    <xf numFmtId="167" fontId="16" fillId="0" borderId="0" xfId="0" applyNumberFormat="1" applyFont="1" applyAlignment="1">
      <alignment vertical="center"/>
    </xf>
    <xf numFmtId="167" fontId="74" fillId="25" borderId="3" xfId="8" applyNumberFormat="1" applyFont="1" applyFill="1" applyBorder="1" applyAlignment="1">
      <alignment vertical="center"/>
    </xf>
    <xf numFmtId="167" fontId="72" fillId="26" borderId="0" xfId="10" applyNumberFormat="1" applyFont="1" applyFill="1" applyAlignment="1">
      <alignment vertical="center"/>
    </xf>
    <xf numFmtId="167" fontId="73" fillId="25" borderId="3" xfId="10" applyNumberFormat="1" applyFont="1" applyFill="1" applyBorder="1" applyAlignment="1">
      <alignment vertical="center"/>
    </xf>
    <xf numFmtId="17" fontId="73" fillId="27" borderId="21" xfId="0" quotePrefix="1" applyNumberFormat="1" applyFont="1" applyFill="1" applyBorder="1" applyAlignment="1">
      <alignment horizontal="center" vertical="center"/>
    </xf>
    <xf numFmtId="0" fontId="0" fillId="0" borderId="0" xfId="0" pivotButton="1"/>
    <xf numFmtId="0" fontId="0" fillId="0" borderId="0" xfId="0" applyAlignment="1">
      <alignment horizontal="left"/>
    </xf>
    <xf numFmtId="165" fontId="0" fillId="0" borderId="0" xfId="0" applyNumberFormat="1"/>
    <xf numFmtId="0" fontId="7" fillId="0" borderId="0" xfId="0" applyFont="1"/>
    <xf numFmtId="0" fontId="65" fillId="0" borderId="0" xfId="0" applyFont="1"/>
    <xf numFmtId="0" fontId="0" fillId="0" borderId="0" xfId="0" applyAlignment="1">
      <alignment horizontal="left" indent="1"/>
    </xf>
    <xf numFmtId="167" fontId="0" fillId="0" borderId="0" xfId="0" applyNumberFormat="1"/>
    <xf numFmtId="169" fontId="40" fillId="26" borderId="1" xfId="8" applyNumberFormat="1" applyFont="1" applyFill="1" applyBorder="1" applyAlignment="1">
      <alignment horizontal="center" vertical="center" wrapText="1"/>
    </xf>
    <xf numFmtId="0" fontId="40" fillId="26" borderId="1" xfId="8" applyFont="1" applyFill="1" applyBorder="1" applyAlignment="1">
      <alignment horizontal="center" vertical="center" wrapText="1"/>
    </xf>
    <xf numFmtId="0" fontId="1" fillId="0" borderId="0" xfId="8" applyFont="1" applyAlignment="1">
      <alignment horizontal="center" vertical="center" wrapText="1"/>
    </xf>
    <xf numFmtId="0" fontId="1" fillId="0" borderId="0" xfId="8" applyFont="1" applyAlignment="1">
      <alignment horizontal="left" vertical="center" wrapText="1"/>
    </xf>
    <xf numFmtId="0" fontId="1" fillId="0" borderId="0" xfId="8" applyFont="1" applyAlignment="1">
      <alignment vertical="center"/>
    </xf>
    <xf numFmtId="0" fontId="75" fillId="0" borderId="0" xfId="8" applyFont="1" applyAlignment="1">
      <alignment vertical="center"/>
    </xf>
    <xf numFmtId="1" fontId="43" fillId="23" borderId="0" xfId="8" applyNumberFormat="1" applyFont="1" applyFill="1" applyAlignment="1">
      <alignment horizontal="center" vertical="center"/>
    </xf>
    <xf numFmtId="0" fontId="43" fillId="23" borderId="0" xfId="8" applyFont="1" applyFill="1" applyAlignment="1">
      <alignment horizontal="left" vertical="center"/>
    </xf>
    <xf numFmtId="0" fontId="0" fillId="23" borderId="0" xfId="8" applyFont="1" applyFill="1" applyAlignment="1">
      <alignment horizontal="left" vertical="center"/>
    </xf>
    <xf numFmtId="0" fontId="0" fillId="23" borderId="0" xfId="8" applyFont="1" applyFill="1" applyAlignment="1">
      <alignment horizontal="center" vertical="center"/>
    </xf>
    <xf numFmtId="0" fontId="0" fillId="0" borderId="0" xfId="8" applyFont="1" applyAlignment="1">
      <alignment vertical="center"/>
    </xf>
    <xf numFmtId="0" fontId="0" fillId="0" borderId="0" xfId="8" applyFont="1" applyAlignment="1">
      <alignment horizontal="left" vertical="center" wrapText="1"/>
    </xf>
    <xf numFmtId="0" fontId="0" fillId="0" borderId="0" xfId="8" applyFont="1" applyAlignment="1">
      <alignment horizontal="center" vertical="center" wrapText="1"/>
    </xf>
    <xf numFmtId="0" fontId="42" fillId="0" borderId="0" xfId="8" applyFont="1" applyAlignment="1">
      <alignment horizontal="center" vertical="center" wrapText="1"/>
    </xf>
    <xf numFmtId="0" fontId="42" fillId="0" borderId="0" xfId="8" applyFont="1" applyAlignment="1">
      <alignment horizontal="left" vertical="center" wrapText="1"/>
    </xf>
    <xf numFmtId="0" fontId="42" fillId="0" borderId="0" xfId="8" applyFont="1" applyAlignment="1">
      <alignment vertical="center"/>
    </xf>
    <xf numFmtId="1" fontId="1" fillId="23" borderId="0" xfId="8" applyNumberFormat="1" applyFont="1" applyFill="1" applyAlignment="1">
      <alignment horizontal="center" vertical="center"/>
    </xf>
    <xf numFmtId="0" fontId="43" fillId="23" borderId="0" xfId="8" applyFont="1" applyFill="1" applyAlignment="1">
      <alignment vertical="center" wrapText="1"/>
    </xf>
    <xf numFmtId="0" fontId="1" fillId="23" borderId="0" xfId="8" applyFont="1" applyFill="1" applyAlignment="1">
      <alignment vertical="center" wrapText="1"/>
    </xf>
    <xf numFmtId="1" fontId="41" fillId="23" borderId="0" xfId="8" applyNumberFormat="1" applyFont="1" applyFill="1" applyAlignment="1">
      <alignment horizontal="center" vertical="center"/>
    </xf>
    <xf numFmtId="1" fontId="44" fillId="23" borderId="0" xfId="8" applyNumberFormat="1" applyFont="1" applyFill="1" applyAlignment="1">
      <alignment horizontal="center" vertical="center"/>
    </xf>
    <xf numFmtId="0" fontId="44" fillId="23" borderId="0" xfId="8" applyFont="1" applyFill="1" applyAlignment="1">
      <alignment vertical="center" wrapText="1"/>
    </xf>
    <xf numFmtId="0" fontId="41" fillId="23" borderId="0" xfId="8" applyFont="1" applyFill="1" applyAlignment="1">
      <alignment vertical="center" wrapText="1"/>
    </xf>
    <xf numFmtId="1" fontId="51" fillId="23" borderId="0" xfId="8" applyNumberFormat="1" applyFont="1" applyFill="1" applyAlignment="1">
      <alignment horizontal="center" vertical="center"/>
    </xf>
    <xf numFmtId="1" fontId="45" fillId="23" borderId="0" xfId="8" applyNumberFormat="1" applyFont="1" applyFill="1" applyAlignment="1">
      <alignment horizontal="center" vertical="center"/>
    </xf>
    <xf numFmtId="0" fontId="45" fillId="23" borderId="0" xfId="8" applyFont="1" applyFill="1" applyAlignment="1">
      <alignment vertical="center" wrapText="1"/>
    </xf>
    <xf numFmtId="0" fontId="51" fillId="23" borderId="0" xfId="8" applyFont="1" applyFill="1" applyAlignment="1">
      <alignment vertical="center" wrapText="1"/>
    </xf>
    <xf numFmtId="1" fontId="40" fillId="24" borderId="0" xfId="8" applyNumberFormat="1" applyFont="1" applyFill="1" applyAlignment="1">
      <alignment horizontal="center" vertical="center"/>
    </xf>
    <xf numFmtId="1" fontId="49" fillId="24" borderId="0" xfId="8" applyNumberFormat="1" applyFont="1" applyFill="1" applyAlignment="1">
      <alignment horizontal="center" vertical="center"/>
    </xf>
    <xf numFmtId="0" fontId="40" fillId="24" borderId="0" xfId="8" applyFont="1" applyFill="1" applyAlignment="1">
      <alignment horizontal="left" vertical="center" wrapText="1"/>
    </xf>
    <xf numFmtId="0" fontId="1" fillId="24" borderId="0" xfId="8" applyFont="1" applyFill="1" applyAlignment="1">
      <alignment vertical="center"/>
    </xf>
    <xf numFmtId="0" fontId="43" fillId="24" borderId="0" xfId="8" applyFont="1" applyFill="1" applyAlignment="1">
      <alignment horizontal="left" vertical="center" wrapText="1"/>
    </xf>
    <xf numFmtId="0" fontId="46" fillId="0" borderId="0" xfId="8" applyFont="1" applyAlignment="1">
      <alignment vertical="center"/>
    </xf>
    <xf numFmtId="0" fontId="46" fillId="0" borderId="0" xfId="8" applyFont="1" applyAlignment="1">
      <alignment horizontal="left" vertical="center" wrapText="1"/>
    </xf>
    <xf numFmtId="170" fontId="76" fillId="25" borderId="0" xfId="8" applyNumberFormat="1" applyFont="1" applyFill="1" applyAlignment="1">
      <alignment vertical="center"/>
    </xf>
    <xf numFmtId="0" fontId="76" fillId="25" borderId="0" xfId="8" applyFont="1" applyFill="1" applyAlignment="1">
      <alignment horizontal="center" vertical="center"/>
    </xf>
    <xf numFmtId="0" fontId="76" fillId="25" borderId="0" xfId="8" applyFont="1" applyFill="1" applyAlignment="1">
      <alignment vertical="center"/>
    </xf>
    <xf numFmtId="0" fontId="1" fillId="23" borderId="0" xfId="8" applyFont="1" applyFill="1" applyAlignment="1">
      <alignment vertical="center"/>
    </xf>
    <xf numFmtId="38" fontId="25" fillId="0" borderId="0" xfId="10" applyNumberFormat="1" applyFont="1" applyAlignment="1">
      <alignment vertical="top"/>
    </xf>
    <xf numFmtId="1" fontId="48" fillId="24" borderId="0" xfId="8" applyNumberFormat="1" applyFont="1" applyFill="1" applyAlignment="1">
      <alignment horizontal="center" vertical="center"/>
    </xf>
    <xf numFmtId="1" fontId="53" fillId="24" borderId="0" xfId="8" applyNumberFormat="1" applyFont="1" applyFill="1" applyAlignment="1">
      <alignment horizontal="center" vertical="center"/>
    </xf>
    <xf numFmtId="0" fontId="48" fillId="24" borderId="0" xfId="8" applyFont="1" applyFill="1" applyAlignment="1">
      <alignment horizontal="left" vertical="center" wrapText="1"/>
    </xf>
    <xf numFmtId="0" fontId="51" fillId="24" borderId="0" xfId="8" applyFont="1" applyFill="1" applyAlignment="1">
      <alignment vertical="center"/>
    </xf>
    <xf numFmtId="0" fontId="45" fillId="24" borderId="0" xfId="8" applyFont="1" applyFill="1" applyAlignment="1">
      <alignment horizontal="left" vertical="center" wrapText="1"/>
    </xf>
    <xf numFmtId="170" fontId="77" fillId="25" borderId="0" xfId="8" applyNumberFormat="1" applyFont="1" applyFill="1" applyAlignment="1">
      <alignment vertical="center"/>
    </xf>
    <xf numFmtId="0" fontId="49" fillId="0" borderId="0" xfId="8" applyFont="1" applyAlignment="1">
      <alignment horizontal="left" vertical="center"/>
    </xf>
    <xf numFmtId="0" fontId="49" fillId="0" borderId="0" xfId="8" applyFont="1" applyAlignment="1">
      <alignment horizontal="left" vertical="center" wrapText="1"/>
    </xf>
    <xf numFmtId="0" fontId="49" fillId="0" borderId="0" xfId="8" applyFont="1" applyAlignment="1">
      <alignment vertical="center"/>
    </xf>
    <xf numFmtId="1" fontId="54" fillId="26" borderId="0" xfId="8" applyNumberFormat="1" applyFont="1" applyFill="1" applyAlignment="1">
      <alignment horizontal="center" vertical="center"/>
    </xf>
    <xf numFmtId="0" fontId="52" fillId="26" borderId="0" xfId="8" applyFont="1" applyFill="1" applyAlignment="1">
      <alignment horizontal="center" vertical="center"/>
    </xf>
    <xf numFmtId="0" fontId="52" fillId="26" borderId="0" xfId="8" applyFont="1" applyFill="1" applyAlignment="1">
      <alignment vertical="center" wrapText="1"/>
    </xf>
    <xf numFmtId="0" fontId="75" fillId="26" borderId="0" xfId="8" applyFont="1" applyFill="1" applyAlignment="1">
      <alignment vertical="center"/>
    </xf>
    <xf numFmtId="0" fontId="75" fillId="26" borderId="0" xfId="8" applyFont="1" applyFill="1" applyAlignment="1">
      <alignment vertical="center" wrapText="1"/>
    </xf>
    <xf numFmtId="0" fontId="47" fillId="0" borderId="0" xfId="0" applyFont="1" applyAlignment="1">
      <alignment vertical="center"/>
    </xf>
    <xf numFmtId="3" fontId="40" fillId="0" borderId="0" xfId="0" applyNumberFormat="1" applyFont="1" applyAlignment="1">
      <alignment vertical="center"/>
    </xf>
    <xf numFmtId="167" fontId="78" fillId="0" borderId="0" xfId="8" applyNumberFormat="1" applyFont="1" applyAlignment="1">
      <alignment vertical="center"/>
    </xf>
    <xf numFmtId="167" fontId="75" fillId="0" borderId="0" xfId="8" applyNumberFormat="1" applyFont="1" applyAlignment="1">
      <alignment vertical="center"/>
    </xf>
    <xf numFmtId="167" fontId="75" fillId="29" borderId="0" xfId="8" applyNumberFormat="1" applyFont="1" applyFill="1" applyAlignment="1">
      <alignment vertical="center"/>
    </xf>
    <xf numFmtId="167" fontId="1" fillId="23" borderId="0" xfId="0" applyNumberFormat="1" applyFont="1" applyFill="1" applyAlignment="1">
      <alignment vertical="center"/>
    </xf>
    <xf numFmtId="167" fontId="41" fillId="23" borderId="0" xfId="0" applyNumberFormat="1" applyFont="1" applyFill="1" applyAlignment="1">
      <alignment vertical="center"/>
    </xf>
    <xf numFmtId="167" fontId="51" fillId="23" borderId="0" xfId="0" applyNumberFormat="1" applyFont="1" applyFill="1" applyAlignment="1">
      <alignment vertical="center"/>
    </xf>
    <xf numFmtId="167" fontId="78" fillId="24" borderId="0" xfId="10" applyNumberFormat="1" applyFont="1" applyFill="1" applyAlignment="1" applyProtection="1">
      <alignment vertical="center"/>
    </xf>
    <xf numFmtId="167" fontId="1" fillId="0" borderId="0" xfId="0" applyNumberFormat="1" applyFont="1" applyAlignment="1">
      <alignment vertical="center"/>
    </xf>
    <xf numFmtId="167" fontId="78" fillId="24" borderId="0" xfId="8" applyNumberFormat="1" applyFont="1" applyFill="1" applyAlignment="1">
      <alignment vertical="center"/>
    </xf>
    <xf numFmtId="167" fontId="78" fillId="25" borderId="0" xfId="8" applyNumberFormat="1" applyFont="1" applyFill="1" applyAlignment="1">
      <alignment vertical="center"/>
    </xf>
    <xf numFmtId="167" fontId="53" fillId="24" borderId="0" xfId="8" applyNumberFormat="1" applyFont="1" applyFill="1" applyAlignment="1">
      <alignment vertical="center"/>
    </xf>
    <xf numFmtId="167" fontId="79" fillId="25" borderId="3" xfId="8" applyNumberFormat="1" applyFont="1" applyFill="1" applyBorder="1" applyAlignment="1">
      <alignment vertical="center"/>
    </xf>
    <xf numFmtId="167" fontId="49" fillId="26" borderId="0" xfId="10" applyNumberFormat="1" applyFont="1" applyFill="1" applyBorder="1" applyAlignment="1" applyProtection="1">
      <alignment vertical="center"/>
    </xf>
    <xf numFmtId="167" fontId="40" fillId="25" borderId="3" xfId="10" applyNumberFormat="1" applyFont="1" applyFill="1" applyBorder="1" applyAlignment="1" applyProtection="1">
      <alignment vertical="center"/>
    </xf>
    <xf numFmtId="17" fontId="40" fillId="20" borderId="21" xfId="0" quotePrefix="1" applyNumberFormat="1" applyFont="1" applyFill="1" applyBorder="1" applyAlignment="1">
      <alignment horizontal="center" vertical="center" wrapText="1"/>
    </xf>
    <xf numFmtId="171" fontId="78" fillId="0" borderId="0" xfId="8" applyNumberFormat="1" applyFont="1" applyAlignment="1">
      <alignment vertical="center"/>
    </xf>
    <xf numFmtId="171" fontId="75" fillId="23" borderId="0" xfId="8" applyNumberFormat="1" applyFont="1" applyFill="1" applyAlignment="1">
      <alignment vertical="center"/>
    </xf>
    <xf numFmtId="171" fontId="75" fillId="0" borderId="0" xfId="8" applyNumberFormat="1" applyFont="1" applyAlignment="1">
      <alignment vertical="center"/>
    </xf>
    <xf numFmtId="171" fontId="41" fillId="23" borderId="0" xfId="8" applyNumberFormat="1" applyFont="1" applyFill="1" applyAlignment="1">
      <alignment vertical="center"/>
    </xf>
    <xf numFmtId="171" fontId="51" fillId="23" borderId="0" xfId="8" applyNumberFormat="1" applyFont="1" applyFill="1" applyAlignment="1">
      <alignment vertical="center"/>
    </xf>
    <xf numFmtId="171" fontId="78" fillId="24" borderId="0" xfId="8" applyNumberFormat="1" applyFont="1" applyFill="1" applyAlignment="1">
      <alignment vertical="center"/>
    </xf>
    <xf numFmtId="171" fontId="78" fillId="25" borderId="0" xfId="8" applyNumberFormat="1" applyFont="1" applyFill="1" applyAlignment="1">
      <alignment vertical="center"/>
    </xf>
    <xf numFmtId="171" fontId="53" fillId="24" borderId="0" xfId="8" applyNumberFormat="1" applyFont="1" applyFill="1" applyAlignment="1">
      <alignment vertical="center"/>
    </xf>
    <xf numFmtId="171" fontId="79" fillId="25" borderId="3" xfId="8" applyNumberFormat="1" applyFont="1" applyFill="1" applyBorder="1" applyAlignment="1">
      <alignment vertical="center"/>
    </xf>
    <xf numFmtId="171" fontId="49" fillId="26" borderId="0" xfId="10" applyNumberFormat="1" applyFont="1" applyFill="1" applyBorder="1" applyAlignment="1" applyProtection="1">
      <alignment vertical="center"/>
    </xf>
    <xf numFmtId="171" fontId="40" fillId="25" borderId="0" xfId="10" applyNumberFormat="1" applyFont="1" applyFill="1" applyAlignment="1">
      <alignment vertical="center"/>
    </xf>
    <xf numFmtId="0" fontId="0" fillId="10" borderId="0" xfId="0" applyFill="1"/>
    <xf numFmtId="0" fontId="80" fillId="0" borderId="0" xfId="0" applyFont="1" applyAlignment="1">
      <alignment vertical="top"/>
    </xf>
    <xf numFmtId="0" fontId="80" fillId="0" borderId="0" xfId="0" applyFont="1"/>
    <xf numFmtId="0" fontId="80" fillId="0" borderId="12" xfId="0" applyFont="1" applyBorder="1"/>
    <xf numFmtId="0" fontId="0" fillId="29" borderId="0" xfId="0" applyFill="1"/>
    <xf numFmtId="0" fontId="0" fillId="29" borderId="0" xfId="0" applyFill="1" applyAlignment="1">
      <alignment vertical="top"/>
    </xf>
    <xf numFmtId="0" fontId="80" fillId="29" borderId="0" xfId="0" applyFont="1" applyFill="1" applyAlignment="1">
      <alignment vertical="top"/>
    </xf>
    <xf numFmtId="0" fontId="0" fillId="29" borderId="10" xfId="0" applyFill="1" applyBorder="1"/>
    <xf numFmtId="0" fontId="80" fillId="29" borderId="10" xfId="0" applyFont="1" applyFill="1" applyBorder="1"/>
    <xf numFmtId="0" fontId="0" fillId="30" borderId="0" xfId="0" applyFill="1" applyAlignment="1">
      <alignment vertical="top"/>
    </xf>
    <xf numFmtId="0" fontId="80" fillId="30" borderId="0" xfId="0" applyFont="1" applyFill="1" applyAlignment="1">
      <alignment vertical="top"/>
    </xf>
    <xf numFmtId="0" fontId="0" fillId="30" borderId="10" xfId="0" applyFill="1" applyBorder="1"/>
    <xf numFmtId="0" fontId="80" fillId="30" borderId="10" xfId="0" applyFont="1" applyFill="1" applyBorder="1"/>
    <xf numFmtId="0" fontId="0" fillId="30" borderId="0" xfId="0" applyFill="1"/>
    <xf numFmtId="9" fontId="0" fillId="0" borderId="0" xfId="0" applyNumberFormat="1" applyAlignment="1">
      <alignment horizontal="left"/>
    </xf>
    <xf numFmtId="0" fontId="0" fillId="31" borderId="0" xfId="0" applyFill="1"/>
    <xf numFmtId="0" fontId="0" fillId="32" borderId="0" xfId="0" applyFill="1"/>
    <xf numFmtId="0" fontId="0" fillId="33" borderId="0" xfId="0" applyFill="1"/>
    <xf numFmtId="0" fontId="0" fillId="22" borderId="0" xfId="0" applyFill="1"/>
    <xf numFmtId="0" fontId="0" fillId="35" borderId="0" xfId="0" applyFill="1" applyAlignment="1">
      <alignment vertical="top"/>
    </xf>
    <xf numFmtId="0" fontId="80" fillId="35" borderId="0" xfId="0" applyFont="1" applyFill="1" applyAlignment="1">
      <alignment vertical="top"/>
    </xf>
    <xf numFmtId="0" fontId="0" fillId="35" borderId="10" xfId="0" applyFill="1" applyBorder="1"/>
    <xf numFmtId="0" fontId="80" fillId="35" borderId="10" xfId="0" applyFont="1" applyFill="1" applyBorder="1"/>
    <xf numFmtId="0" fontId="0" fillId="35" borderId="0" xfId="0" applyFill="1"/>
    <xf numFmtId="0" fontId="0" fillId="24" borderId="0" xfId="0" applyFill="1" applyAlignment="1">
      <alignment vertical="top"/>
    </xf>
    <xf numFmtId="0" fontId="80" fillId="24" borderId="0" xfId="0" applyFont="1" applyFill="1" applyAlignment="1">
      <alignment vertical="top"/>
    </xf>
    <xf numFmtId="0" fontId="0" fillId="24" borderId="10" xfId="0" applyFill="1" applyBorder="1"/>
    <xf numFmtId="0" fontId="80" fillId="24" borderId="10" xfId="0" applyFont="1" applyFill="1" applyBorder="1"/>
    <xf numFmtId="3" fontId="26" fillId="0" borderId="0" xfId="0" applyNumberFormat="1" applyFont="1"/>
    <xf numFmtId="0" fontId="0" fillId="0" borderId="1" xfId="0" applyBorder="1"/>
    <xf numFmtId="0" fontId="0" fillId="23" borderId="13" xfId="0" applyFill="1" applyBorder="1"/>
    <xf numFmtId="0" fontId="0" fillId="23" borderId="14" xfId="0" applyFill="1" applyBorder="1"/>
    <xf numFmtId="0" fontId="0" fillId="23" borderId="16" xfId="0" applyFill="1" applyBorder="1"/>
    <xf numFmtId="0" fontId="56" fillId="23" borderId="13" xfId="0" applyFont="1" applyFill="1" applyBorder="1"/>
    <xf numFmtId="0" fontId="56" fillId="23" borderId="14" xfId="0" applyFont="1" applyFill="1" applyBorder="1"/>
    <xf numFmtId="0" fontId="0" fillId="36" borderId="0" xfId="0" applyFill="1"/>
    <xf numFmtId="0" fontId="3" fillId="4" borderId="4" xfId="0" applyFont="1" applyFill="1" applyBorder="1" applyAlignment="1">
      <alignment horizontal="center" vertical="center"/>
    </xf>
    <xf numFmtId="44" fontId="3" fillId="5" borderId="1" xfId="2" applyFont="1" applyFill="1" applyBorder="1" applyAlignment="1">
      <alignment horizontal="center" vertical="center"/>
    </xf>
    <xf numFmtId="165" fontId="28" fillId="0" borderId="1" xfId="4" applyNumberFormat="1" applyFont="1" applyFill="1" applyBorder="1" applyAlignment="1">
      <alignment wrapText="1"/>
    </xf>
    <xf numFmtId="165" fontId="28" fillId="10" borderId="1" xfId="4" applyNumberFormat="1" applyFont="1" applyFill="1" applyBorder="1" applyAlignment="1">
      <alignment wrapText="1"/>
    </xf>
    <xf numFmtId="0" fontId="0" fillId="10" borderId="1" xfId="0" applyFill="1" applyBorder="1"/>
    <xf numFmtId="0" fontId="0" fillId="31" borderId="1" xfId="0" applyFill="1" applyBorder="1" applyAlignment="1">
      <alignment wrapText="1"/>
    </xf>
    <xf numFmtId="0" fontId="0" fillId="30" borderId="1" xfId="0" applyFill="1" applyBorder="1" applyAlignment="1">
      <alignment wrapText="1"/>
    </xf>
    <xf numFmtId="0" fontId="0" fillId="8" borderId="1" xfId="0" applyFill="1" applyBorder="1" applyAlignment="1">
      <alignment wrapText="1"/>
    </xf>
    <xf numFmtId="0" fontId="0" fillId="33" borderId="1" xfId="0" applyFill="1" applyBorder="1" applyAlignment="1">
      <alignment wrapText="1"/>
    </xf>
    <xf numFmtId="0" fontId="0" fillId="32" borderId="1" xfId="0" applyFill="1" applyBorder="1" applyAlignment="1">
      <alignment wrapText="1"/>
    </xf>
    <xf numFmtId="0" fontId="0" fillId="10" borderId="1" xfId="0" applyFill="1" applyBorder="1" applyAlignment="1">
      <alignment wrapText="1"/>
    </xf>
    <xf numFmtId="49" fontId="82" fillId="0" borderId="22" xfId="0" applyNumberFormat="1" applyFont="1" applyBorder="1" applyAlignment="1" applyProtection="1">
      <alignment vertical="center" wrapText="1"/>
      <protection locked="0"/>
    </xf>
    <xf numFmtId="37" fontId="1" fillId="0" borderId="22" xfId="10" applyNumberFormat="1" applyFont="1" applyFill="1" applyBorder="1" applyAlignment="1" applyProtection="1">
      <alignment wrapText="1"/>
      <protection locked="0"/>
    </xf>
    <xf numFmtId="37" fontId="43" fillId="0" borderId="22" xfId="10" applyNumberFormat="1" applyFont="1" applyFill="1" applyBorder="1" applyAlignment="1" applyProtection="1">
      <alignment wrapText="1"/>
    </xf>
    <xf numFmtId="167" fontId="1" fillId="0" borderId="0" xfId="0" applyNumberFormat="1" applyFont="1" applyAlignment="1">
      <alignment wrapText="1"/>
    </xf>
    <xf numFmtId="39" fontId="0" fillId="23" borderId="22" xfId="10" applyNumberFormat="1" applyFont="1" applyFill="1" applyBorder="1" applyAlignment="1">
      <alignment wrapText="1"/>
    </xf>
    <xf numFmtId="37" fontId="1" fillId="0" borderId="22" xfId="10" applyNumberFormat="1" applyFont="1" applyFill="1" applyBorder="1" applyAlignment="1" applyProtection="1">
      <alignment wrapText="1"/>
    </xf>
    <xf numFmtId="37" fontId="1" fillId="23" borderId="22" xfId="10" applyNumberFormat="1" applyFont="1" applyFill="1" applyBorder="1" applyAlignment="1" applyProtection="1">
      <alignment wrapText="1"/>
    </xf>
    <xf numFmtId="37" fontId="1" fillId="8" borderId="22" xfId="10" applyNumberFormat="1" applyFont="1" applyFill="1" applyBorder="1" applyAlignment="1" applyProtection="1">
      <alignment wrapText="1"/>
      <protection locked="0"/>
    </xf>
    <xf numFmtId="0" fontId="1" fillId="0" borderId="0" xfId="0" applyFont="1"/>
    <xf numFmtId="0" fontId="83" fillId="26" borderId="20" xfId="0" applyFont="1" applyFill="1" applyBorder="1" applyAlignment="1" applyProtection="1">
      <alignment horizontal="center" vertical="center" wrapText="1"/>
      <protection locked="0"/>
    </xf>
    <xf numFmtId="17" fontId="40" fillId="23" borderId="20" xfId="0" applyNumberFormat="1" applyFont="1" applyFill="1" applyBorder="1" applyAlignment="1">
      <alignment horizontal="center" vertical="center" wrapText="1"/>
    </xf>
    <xf numFmtId="17" fontId="40" fillId="23" borderId="21" xfId="0" applyNumberFormat="1" applyFont="1" applyFill="1" applyBorder="1" applyAlignment="1">
      <alignment horizontal="center" vertical="center" wrapText="1"/>
    </xf>
    <xf numFmtId="0" fontId="28" fillId="0" borderId="0" xfId="8" applyAlignment="1">
      <alignment horizontal="center" vertical="center" wrapText="1"/>
    </xf>
    <xf numFmtId="17" fontId="40" fillId="24" borderId="20" xfId="0" applyNumberFormat="1" applyFont="1" applyFill="1" applyBorder="1" applyAlignment="1">
      <alignment horizontal="center" vertical="center" wrapText="1"/>
    </xf>
    <xf numFmtId="0" fontId="1" fillId="0" borderId="0" xfId="0" applyFont="1" applyAlignment="1" applyProtection="1">
      <alignment horizontal="center" vertical="center" wrapText="1"/>
      <protection locked="0"/>
    </xf>
    <xf numFmtId="17" fontId="40" fillId="37" borderId="20" xfId="0" applyNumberFormat="1" applyFont="1" applyFill="1" applyBorder="1" applyAlignment="1">
      <alignment horizontal="center" vertical="center" wrapText="1"/>
    </xf>
    <xf numFmtId="17" fontId="40" fillId="37" borderId="21" xfId="0" quotePrefix="1" applyNumberFormat="1" applyFont="1" applyFill="1" applyBorder="1" applyAlignment="1">
      <alignment horizontal="center" vertical="center" wrapText="1"/>
    </xf>
    <xf numFmtId="0" fontId="1" fillId="0" borderId="0" xfId="0" applyFont="1" applyAlignment="1">
      <alignment horizontal="center" vertical="center" wrapText="1"/>
    </xf>
    <xf numFmtId="17" fontId="40" fillId="20" borderId="20" xfId="0" applyNumberFormat="1" applyFont="1" applyFill="1" applyBorder="1" applyAlignment="1">
      <alignment horizontal="center" vertical="center" wrapText="1"/>
    </xf>
    <xf numFmtId="37" fontId="0" fillId="0" borderId="0" xfId="0" applyNumberFormat="1"/>
    <xf numFmtId="0" fontId="84" fillId="0" borderId="0" xfId="0" applyFont="1"/>
    <xf numFmtId="0" fontId="26" fillId="34" borderId="23" xfId="0" applyFont="1" applyFill="1" applyBorder="1"/>
    <xf numFmtId="0" fontId="25" fillId="34" borderId="24" xfId="0" applyFont="1" applyFill="1" applyBorder="1"/>
    <xf numFmtId="0" fontId="25" fillId="34" borderId="25" xfId="0" applyFont="1" applyFill="1" applyBorder="1"/>
    <xf numFmtId="0" fontId="26" fillId="34" borderId="26" xfId="0" applyFont="1" applyFill="1" applyBorder="1"/>
    <xf numFmtId="0" fontId="25" fillId="34" borderId="27" xfId="0" applyFont="1" applyFill="1" applyBorder="1"/>
    <xf numFmtId="0" fontId="25" fillId="34" borderId="28" xfId="0" applyFont="1" applyFill="1" applyBorder="1"/>
    <xf numFmtId="0" fontId="0" fillId="34" borderId="24" xfId="0" applyFill="1" applyBorder="1"/>
    <xf numFmtId="0" fontId="0" fillId="34" borderId="25" xfId="0" applyFill="1" applyBorder="1"/>
    <xf numFmtId="0" fontId="0" fillId="34" borderId="27" xfId="0" applyFill="1" applyBorder="1"/>
    <xf numFmtId="0" fontId="0" fillId="34" borderId="28" xfId="0" applyFill="1" applyBorder="1"/>
    <xf numFmtId="0" fontId="86" fillId="39" borderId="0" xfId="0" applyFont="1" applyFill="1" applyAlignment="1">
      <alignment horizontal="center" vertical="center" wrapText="1"/>
    </xf>
    <xf numFmtId="0" fontId="87" fillId="0" borderId="0" xfId="0" applyFont="1" applyAlignment="1">
      <alignment horizontal="center" vertical="center" wrapText="1"/>
    </xf>
    <xf numFmtId="0" fontId="85" fillId="38" borderId="0" xfId="0" applyFont="1" applyFill="1" applyAlignment="1">
      <alignment horizontal="center" vertical="center"/>
    </xf>
    <xf numFmtId="0" fontId="86" fillId="39" borderId="0" xfId="0" applyFont="1" applyFill="1" applyAlignment="1">
      <alignment horizontal="center" vertical="center"/>
    </xf>
    <xf numFmtId="9" fontId="88" fillId="39" borderId="0" xfId="0" applyNumberFormat="1" applyFont="1" applyFill="1" applyAlignment="1">
      <alignment horizontal="center" vertical="center"/>
    </xf>
    <xf numFmtId="0" fontId="87" fillId="0" borderId="0" xfId="0" applyFont="1" applyAlignment="1">
      <alignment horizontal="center" vertical="center"/>
    </xf>
    <xf numFmtId="3" fontId="88" fillId="0" borderId="0" xfId="0" applyNumberFormat="1" applyFont="1" applyAlignment="1">
      <alignment horizontal="center" vertical="center"/>
    </xf>
    <xf numFmtId="9" fontId="88" fillId="0" borderId="0" xfId="0" applyNumberFormat="1" applyFont="1" applyAlignment="1">
      <alignment horizontal="center" vertical="center"/>
    </xf>
    <xf numFmtId="3" fontId="88" fillId="39" borderId="0" xfId="0" applyNumberFormat="1" applyFont="1" applyFill="1" applyAlignment="1">
      <alignment horizontal="center" vertical="center"/>
    </xf>
    <xf numFmtId="9" fontId="90" fillId="39" borderId="0" xfId="0" applyNumberFormat="1" applyFont="1" applyFill="1" applyAlignment="1">
      <alignment horizontal="center" vertical="center" wrapText="1"/>
    </xf>
    <xf numFmtId="0" fontId="85" fillId="38" borderId="18" xfId="0" applyFont="1" applyFill="1" applyBorder="1" applyAlignment="1">
      <alignment horizontal="center" vertical="center"/>
    </xf>
    <xf numFmtId="0" fontId="85" fillId="38" borderId="29" xfId="0" applyFont="1" applyFill="1" applyBorder="1" applyAlignment="1">
      <alignment horizontal="center" vertical="center"/>
    </xf>
    <xf numFmtId="3" fontId="89" fillId="0" borderId="0" xfId="0" applyNumberFormat="1" applyFont="1" applyAlignment="1">
      <alignment horizontal="center" vertical="center"/>
    </xf>
    <xf numFmtId="9" fontId="90" fillId="39" borderId="0" xfId="0" applyNumberFormat="1" applyFont="1" applyFill="1" applyAlignment="1">
      <alignment horizontal="center" vertical="center"/>
    </xf>
    <xf numFmtId="3" fontId="90" fillId="39" borderId="0" xfId="0" applyNumberFormat="1" applyFont="1" applyFill="1" applyAlignment="1">
      <alignment horizontal="center" vertical="center"/>
    </xf>
    <xf numFmtId="3" fontId="90" fillId="39" borderId="0" xfId="0" applyNumberFormat="1" applyFont="1" applyFill="1" applyAlignment="1">
      <alignment horizontal="center" vertical="center" wrapText="1"/>
    </xf>
    <xf numFmtId="3" fontId="90" fillId="0" borderId="0" xfId="0" applyNumberFormat="1" applyFont="1" applyAlignment="1">
      <alignment horizontal="center" vertical="center" wrapText="1"/>
    </xf>
    <xf numFmtId="9" fontId="90" fillId="0" borderId="0" xfId="0" applyNumberFormat="1" applyFont="1" applyAlignment="1">
      <alignment horizontal="center" vertical="center" wrapText="1"/>
    </xf>
    <xf numFmtId="165" fontId="28" fillId="13" borderId="0" xfId="4" applyNumberFormat="1" applyFont="1" applyFill="1" applyBorder="1" applyAlignment="1"/>
    <xf numFmtId="0" fontId="91" fillId="13" borderId="0" xfId="0" applyFont="1" applyFill="1" applyAlignment="1">
      <alignment horizontal="center" vertical="center"/>
    </xf>
    <xf numFmtId="165" fontId="56" fillId="13" borderId="0" xfId="0" applyNumberFormat="1" applyFont="1" applyFill="1" applyAlignment="1">
      <alignment horizontal="right"/>
    </xf>
    <xf numFmtId="43" fontId="91" fillId="13" borderId="0" xfId="4" applyFont="1" applyFill="1" applyAlignment="1">
      <alignment horizontal="center" vertical="center"/>
    </xf>
    <xf numFmtId="0" fontId="14" fillId="15" borderId="0" xfId="6" applyFill="1" applyBorder="1">
      <protection locked="0"/>
    </xf>
    <xf numFmtId="0" fontId="14" fillId="0" borderId="0" xfId="6" applyBorder="1">
      <protection locked="0"/>
    </xf>
    <xf numFmtId="0" fontId="26" fillId="0" borderId="12" xfId="0" applyFont="1" applyBorder="1"/>
    <xf numFmtId="0" fontId="92" fillId="0" borderId="12" xfId="0" applyFont="1" applyBorder="1"/>
    <xf numFmtId="0" fontId="92" fillId="0" borderId="0" xfId="0" applyFont="1"/>
    <xf numFmtId="0" fontId="93" fillId="0" borderId="0" xfId="0" applyFont="1"/>
    <xf numFmtId="43" fontId="0" fillId="0" borderId="0" xfId="4" applyFont="1"/>
    <xf numFmtId="0" fontId="0" fillId="36" borderId="1" xfId="0" applyFill="1" applyBorder="1"/>
    <xf numFmtId="3" fontId="1" fillId="0" borderId="32" xfId="0" applyNumberFormat="1" applyFont="1" applyBorder="1" applyAlignment="1">
      <alignment wrapText="1"/>
    </xf>
    <xf numFmtId="0" fontId="7" fillId="13" borderId="2" xfId="0" applyFont="1" applyFill="1" applyBorder="1" applyAlignment="1">
      <alignment horizontal="left" vertical="center" wrapText="1"/>
    </xf>
    <xf numFmtId="0" fontId="7" fillId="13" borderId="3"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5" fillId="13" borderId="8" xfId="0" applyFont="1" applyFill="1" applyBorder="1" applyAlignment="1">
      <alignment horizontal="left" vertical="center" wrapText="1"/>
    </xf>
    <xf numFmtId="0" fontId="5" fillId="13" borderId="9" xfId="0" applyFont="1" applyFill="1" applyBorder="1" applyAlignment="1">
      <alignment horizontal="left" vertical="center" wrapText="1"/>
    </xf>
    <xf numFmtId="0" fontId="5" fillId="13" borderId="10" xfId="0" applyFont="1" applyFill="1" applyBorder="1" applyAlignment="1">
      <alignment horizontal="left" vertical="center" wrapText="1"/>
    </xf>
    <xf numFmtId="0" fontId="5" fillId="13" borderId="1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81" fillId="0" borderId="0" xfId="0" applyFont="1" applyAlignment="1">
      <alignment horizontal="center"/>
    </xf>
    <xf numFmtId="0" fontId="85" fillId="38" borderId="30" xfId="0" applyFont="1" applyFill="1" applyBorder="1" applyAlignment="1">
      <alignment horizontal="center" vertical="center" wrapText="1"/>
    </xf>
    <xf numFmtId="0" fontId="85" fillId="38" borderId="3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6" fillId="13" borderId="7" xfId="0" applyFont="1" applyFill="1" applyBorder="1" applyAlignment="1">
      <alignment horizontal="left" vertical="center" wrapText="1"/>
    </xf>
    <xf numFmtId="0" fontId="6" fillId="13" borderId="8" xfId="0" applyFont="1" applyFill="1" applyBorder="1" applyAlignment="1">
      <alignment horizontal="left" vertical="center" wrapText="1"/>
    </xf>
    <xf numFmtId="0" fontId="6" fillId="13" borderId="6"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12"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6" fillId="13" borderId="10" xfId="0" applyFont="1" applyFill="1" applyBorder="1" applyAlignment="1">
      <alignment horizontal="left" vertical="center" wrapText="1"/>
    </xf>
    <xf numFmtId="0" fontId="6" fillId="13" borderId="11" xfId="0" applyFont="1" applyFill="1" applyBorder="1" applyAlignment="1">
      <alignment horizontal="left" vertical="center" wrapText="1"/>
    </xf>
    <xf numFmtId="0" fontId="7" fillId="13" borderId="1" xfId="0" applyFont="1" applyFill="1" applyBorder="1" applyAlignment="1">
      <alignment horizontal="left" vertical="top" wrapText="1"/>
    </xf>
    <xf numFmtId="0" fontId="6" fillId="13" borderId="1" xfId="0" applyFont="1" applyFill="1" applyBorder="1" applyAlignment="1">
      <alignment horizontal="left" vertical="center" wrapText="1"/>
    </xf>
    <xf numFmtId="0" fontId="2" fillId="13" borderId="1" xfId="0" applyFont="1" applyFill="1" applyBorder="1" applyAlignment="1">
      <alignment horizontal="left" vertical="top" wrapText="1"/>
    </xf>
    <xf numFmtId="0" fontId="34" fillId="16" borderId="8" xfId="0" applyFont="1" applyFill="1" applyBorder="1" applyAlignment="1">
      <alignment horizontal="center" vertical="center" textRotation="90"/>
    </xf>
    <xf numFmtId="0" fontId="34" fillId="16" borderId="12" xfId="0" applyFont="1" applyFill="1" applyBorder="1" applyAlignment="1">
      <alignment horizontal="center" vertical="center" textRotation="90"/>
    </xf>
    <xf numFmtId="0" fontId="34" fillId="16" borderId="11" xfId="0" applyFont="1" applyFill="1" applyBorder="1" applyAlignment="1">
      <alignment horizontal="center" vertical="center" textRotation="90"/>
    </xf>
    <xf numFmtId="0" fontId="2" fillId="13" borderId="1" xfId="6" applyFont="1" applyFill="1" applyBorder="1" applyAlignment="1" applyProtection="1">
      <alignment vertical="center" wrapText="1"/>
    </xf>
    <xf numFmtId="0" fontId="2" fillId="13" borderId="2" xfId="0" applyFont="1" applyFill="1" applyBorder="1" applyAlignment="1">
      <alignment horizontal="left" vertical="center"/>
    </xf>
    <xf numFmtId="0" fontId="2" fillId="13" borderId="3" xfId="0" applyFont="1" applyFill="1" applyBorder="1" applyAlignment="1">
      <alignment horizontal="left" vertical="center"/>
    </xf>
    <xf numFmtId="0" fontId="2" fillId="13" borderId="4" xfId="0" applyFont="1" applyFill="1" applyBorder="1" applyAlignment="1">
      <alignment horizontal="left" vertical="center"/>
    </xf>
    <xf numFmtId="0" fontId="7" fillId="13" borderId="1" xfId="0" applyFont="1" applyFill="1" applyBorder="1" applyAlignment="1">
      <alignment horizontal="left" vertical="center"/>
    </xf>
    <xf numFmtId="0" fontId="31" fillId="0" borderId="2" xfId="0" applyFont="1" applyBorder="1" applyAlignment="1">
      <alignment horizontal="right" vertical="center"/>
    </xf>
    <xf numFmtId="0" fontId="31" fillId="0" borderId="4" xfId="0" applyFont="1" applyBorder="1" applyAlignment="1">
      <alignment horizontal="right" vertical="center"/>
    </xf>
    <xf numFmtId="0" fontId="6" fillId="0" borderId="1" xfId="0" applyFont="1" applyBorder="1" applyAlignment="1">
      <alignment horizontal="left" vertical="center"/>
    </xf>
    <xf numFmtId="0" fontId="6" fillId="10"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12" borderId="1" xfId="0" applyFont="1" applyFill="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30" fillId="13" borderId="2" xfId="0" applyFont="1" applyFill="1" applyBorder="1" applyAlignment="1">
      <alignment horizontal="left" vertical="center"/>
    </xf>
    <xf numFmtId="0" fontId="30" fillId="13" borderId="3" xfId="0" applyFont="1" applyFill="1" applyBorder="1" applyAlignment="1">
      <alignment horizontal="left" vertical="center"/>
    </xf>
    <xf numFmtId="0" fontId="30" fillId="13" borderId="4" xfId="0" applyFont="1" applyFill="1" applyBorder="1" applyAlignment="1">
      <alignment horizontal="left" vertical="center"/>
    </xf>
    <xf numFmtId="0" fontId="5" fillId="0" borderId="2" xfId="0" applyFont="1" applyBorder="1" applyAlignment="1">
      <alignment horizontal="left"/>
    </xf>
    <xf numFmtId="0" fontId="5" fillId="0" borderId="4" xfId="0" applyFont="1" applyBorder="1" applyAlignment="1">
      <alignment horizontal="left"/>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9" fillId="12" borderId="10"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13" borderId="1" xfId="0" applyFont="1" applyFill="1" applyBorder="1" applyAlignment="1">
      <alignment vertical="center" wrapText="1"/>
    </xf>
    <xf numFmtId="0" fontId="0" fillId="13" borderId="1" xfId="0" applyFill="1" applyBorder="1" applyAlignment="1">
      <alignment vertical="center" wrapText="1"/>
    </xf>
  </cellXfs>
  <cellStyles count="11">
    <cellStyle name="Comma" xfId="4" xr:uid="{00000000-0005-0000-0000-000004000000}"/>
    <cellStyle name="Comma [0]" xfId="5" xr:uid="{00000000-0005-0000-0000-000005000000}"/>
    <cellStyle name="Comma 2 2" xfId="10" xr:uid="{AAF77C25-541C-4846-A0AB-EB3E00544802}"/>
    <cellStyle name="Currency" xfId="2" xr:uid="{00000000-0005-0000-0000-000002000000}"/>
    <cellStyle name="Currency [0]" xfId="3" xr:uid="{00000000-0005-0000-0000-000003000000}"/>
    <cellStyle name="Hyperlink" xfId="6" xr:uid="{00000000-0005-0000-0000-000006000000}"/>
    <cellStyle name="Normal" xfId="0" builtinId="0"/>
    <cellStyle name="Normal 3" xfId="7" xr:uid="{8ED4B8F3-E752-427D-AC5F-9CEDFC1ECF59}"/>
    <cellStyle name="Normal 93 5" xfId="8" xr:uid="{91EB2BF1-C34B-4845-91D8-8F2A0BA1F200}"/>
    <cellStyle name="Normal 93 5 2" xfId="9" xr:uid="{1823EFD2-FF7B-472A-80DB-BB06CE192339}"/>
    <cellStyle name="Percent" xfId="1" xr:uid="{00000000-0005-0000-0000-00000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_(* #,##0_);_(* \(#,##0\);_(* &quot;-&quot;??_);_(@_)"/>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24</xdr:col>
      <xdr:colOff>1361</xdr:colOff>
      <xdr:row>55</xdr:row>
      <xdr:rowOff>104923</xdr:rowOff>
    </xdr:to>
    <xdr:pic>
      <xdr:nvPicPr>
        <xdr:cNvPr id="2" name="Picture 1">
          <a:extLst>
            <a:ext uri="{FF2B5EF4-FFF2-40B4-BE49-F238E27FC236}">
              <a16:creationId xmlns:a16="http://schemas.microsoft.com/office/drawing/2014/main" id="{C5B3DD4E-BE84-CCE7-8BDD-0083C0C9FF46}"/>
            </a:ext>
          </a:extLst>
        </xdr:cNvPr>
        <xdr:cNvPicPr>
          <a:picLocks noChangeAspect="1"/>
        </xdr:cNvPicPr>
      </xdr:nvPicPr>
      <xdr:blipFill>
        <a:blip xmlns:r="http://schemas.openxmlformats.org/officeDocument/2006/relationships" r:embed="rId1"/>
        <a:stretch>
          <a:fillRect/>
        </a:stretch>
      </xdr:blipFill>
      <xdr:spPr>
        <a:xfrm>
          <a:off x="9372600" y="9639300"/>
          <a:ext cx="9754961" cy="10574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driguez, Ilse:(ComEd)" id="{BA2B3981-C5E5-49DF-AFD9-5E37C6648BF5}" userId="S::E092923@exelonds.com::21c8a896-39e0-47fb-bdc8-6ba5147fc204" providerId="AD"/>
  <person displayName="Lee, Abbey Rose:(ComEd)" id="{76AED2B2-0F2B-4635-8E63-D67EEBF6D7A1}" userId="S::E916053@exelonds.com::8c6746e4-bd34-49fe-8dd6-114c500b314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driguez, Ilse:(ComEd)" refreshedDate="45603.570541898145" createdVersion="8" refreshedVersion="8" minRefreshableVersion="3" recordCount="127" xr:uid="{CC9654BE-036B-4AB6-AB82-18BD6E875CC1}">
  <cacheSource type="worksheet">
    <worksheetSource ref="B2:R129" sheet="Sheet1"/>
  </cacheSource>
  <cacheFields count="17">
    <cacheField name="ITN Name" numFmtId="0">
      <sharedItems containsBlank="1" count="10">
        <s v="Market Rate"/>
        <s v="IE"/>
        <m/>
        <s v="Marketing"/>
        <s v="Portfolio"/>
        <s v="C&amp;I Private"/>
        <s v="C&amp;I Public"/>
        <s v="Business Energy Analyzer/Optimization"/>
        <s v="Evaluation Costs"/>
        <s v="Emerging Technology/R&amp;D"/>
      </sharedItems>
    </cacheField>
    <cacheField name="Project Description" numFmtId="0">
      <sharedItems containsBlank="1"/>
    </cacheField>
    <cacheField name="Reporting Program" numFmtId="0">
      <sharedItems containsBlank="1" count="48">
        <s v="Single-Family Upgrades – Home Energy Assessments - Market Rate"/>
        <s v="Multi-Family Upgrades - Market Rate"/>
        <s v="Multi-Family Upgrades - Public Housing"/>
        <s v="Multi-Family Upgrades - Income Eligible"/>
        <s v="Single-Family Upgrades – Income Eligible Retrofits"/>
        <s v="Single-Family Upgrades – Home Energy Assessments - IE"/>
        <m/>
        <s v="Whole Home Electrific (Single and Multi Family Upgrades Electrification - IE)"/>
        <s v="Product Distribution - Market Rate"/>
        <s v="Retail - Market Rate (includes Marketplace 2.0 Non-Lighting and Retail Products Platform)"/>
        <s v="Affordable Housing New Construction"/>
        <s v="Heating and Cooling - Contractor/Midstream Rebates"/>
        <s v="Product Distribution - Income Eligible"/>
        <s v="All-Electric New Construction"/>
        <s v="Retail - Income Eligible"/>
        <s v="Contractor/Midstream Rebates Electrification"/>
        <s v="All-Electric New Construction - Electrification"/>
        <s v="Affordable Housing New Construction Electrification"/>
        <s v="IE General"/>
        <s v="Residential General"/>
        <s v="Marketing Costs (including Education and Outreach)"/>
        <s v="Residential Behavior - Home Energy Report"/>
        <s v="Portfolio"/>
        <s v="Private Sector General"/>
        <s v="Standard - Private"/>
        <s v="Standard - Public"/>
        <s v="Small Business - Private"/>
        <s v="Small Business - Public"/>
        <s v="Private Sector Outreach"/>
        <s v="Public Sector Outreach"/>
        <s v="Business Energy Analyzer/Optimization"/>
        <s v="Industrial Systems - Private"/>
        <s v="Strategic Energy Management - Private "/>
        <s v="Strategic Energy Management - Public"/>
        <s v="Custom - Private"/>
        <s v="Custom - Public"/>
        <s v="Retro-commissioning - Private"/>
        <s v="Retro-commissioning - Public"/>
        <s v="Midstream Upstream - Private"/>
        <s v="Midstream/Upstream - Public"/>
        <s v="New Construction - Private"/>
        <s v="New Construction - Public"/>
        <s v="Commercial Foodservice - Private"/>
        <s v="Commercial Foodservice - Public"/>
        <s v="Facility Assessment - Private"/>
        <s v="Facility Assessments - Public"/>
        <s v="Evaluation Costs"/>
        <s v="Emerging Technology/R&amp;D"/>
      </sharedItems>
    </cacheField>
    <cacheField name="Jan-24" numFmtId="0">
      <sharedItems containsString="0" containsBlank="1" containsNumber="1" minValue="-125705.05" maxValue="21114653.289999999"/>
    </cacheField>
    <cacheField name="Feb-24" numFmtId="0">
      <sharedItems containsString="0" containsBlank="1" containsNumber="1" minValue="-10919" maxValue="29894386.389999993"/>
    </cacheField>
    <cacheField name="Mar-24" numFmtId="0">
      <sharedItems containsString="0" containsBlank="1" containsNumber="1" minValue="-66550.200000000012" maxValue="28997608.969999999"/>
    </cacheField>
    <cacheField name="Apr-24" numFmtId="0">
      <sharedItems containsString="0" containsBlank="1" containsNumber="1" minValue="-217891.14000000004" maxValue="28241245.439999998"/>
    </cacheField>
    <cacheField name="May-24" numFmtId="0">
      <sharedItems containsString="0" containsBlank="1" containsNumber="1" minValue="-30789.859999999997" maxValue="28921121.052228998"/>
    </cacheField>
    <cacheField name="Jun-24" numFmtId="0">
      <sharedItems containsString="0" containsBlank="1" containsNumber="1" minValue="-3.5599999999999454" maxValue="32723327.789999999"/>
    </cacheField>
    <cacheField name="Jul-24" numFmtId="0">
      <sharedItems containsString="0" containsBlank="1" containsNumber="1" minValue="-13584.22" maxValue="30506856.340000004"/>
    </cacheField>
    <cacheField name="Aug-24" numFmtId="0">
      <sharedItems containsString="0" containsBlank="1" containsNumber="1" minValue="-20000" maxValue="31708210.509999998"/>
    </cacheField>
    <cacheField name="Sep-24" numFmtId="0">
      <sharedItems containsString="0" containsBlank="1" containsNumber="1" minValue="0" maxValue="34132600.780000001"/>
    </cacheField>
    <cacheField name="Q3 YTD" numFmtId="167">
      <sharedItems containsSemiMixedTypes="0" containsString="0" containsNumber="1" minValue="-3761.5" maxValue="266240010.56222898"/>
    </cacheField>
    <cacheField name="Oct-24" numFmtId="0">
      <sharedItems containsString="0" containsBlank="1" containsNumber="1" minValue="0" maxValue="40748372.714387871"/>
    </cacheField>
    <cacheField name="Nov-24" numFmtId="0">
      <sharedItems containsString="0" containsBlank="1" containsNumber="1" minValue="0" maxValue="61813055.967411451"/>
    </cacheField>
    <cacheField name="Dec-24" numFmtId="0">
      <sharedItems containsString="0" containsBlank="1" containsNumber="1" minValue="-173732.87000000011" maxValue="65971500.095719114"/>
    </cacheField>
    <cacheField name="2024" numFmtId="0">
      <sharedItems containsString="0" containsBlank="1" containsNumber="1" minValue="0" maxValue="434772939.339747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
  <r>
    <x v="0"/>
    <s v="EE - Home Energy Assessment"/>
    <x v="0"/>
    <n v="15683.41"/>
    <n v="57143.97"/>
    <n v="18504.36"/>
    <n v="32112.09"/>
    <n v="22503.200000000001"/>
    <n v="29347.73"/>
    <n v="78019.490000000005"/>
    <n v="21172.26"/>
    <n v="33477.950000000004"/>
    <n v="307964.46000000002"/>
    <n v="61076"/>
    <n v="64653"/>
    <n v="54323.049999999988"/>
    <n v="488016.51"/>
  </r>
  <r>
    <x v="0"/>
    <s v="EE - Multi-Family Energy Assessment"/>
    <x v="1"/>
    <n v="46623.950000000004"/>
    <n v="59471.95"/>
    <n v="108406.6"/>
    <n v="202042.95"/>
    <n v="202685.36"/>
    <n v="239909.53"/>
    <n v="211706.33000000002"/>
    <n v="377979.20999999996"/>
    <n v="202207.41"/>
    <n v="1651033.29"/>
    <n v="318637.14227272727"/>
    <n v="447649.39437218185"/>
    <n v="375368.94439285737"/>
    <n v="2792688.7710377667"/>
  </r>
  <r>
    <x v="1"/>
    <s v="Public Housing Retrofits"/>
    <x v="2"/>
    <n v="63281.490000000005"/>
    <n v="235173.76000000001"/>
    <n v="181408.04"/>
    <n v="30507.260000000002"/>
    <n v="42642.66"/>
    <n v="34456.67"/>
    <n v="140815.97"/>
    <n v="158887.67999999999"/>
    <n v="95555.63"/>
    <n v="982729.16"/>
    <n v="184533.9236792"/>
    <n v="112711.50185080001"/>
    <n v="557455.67632839968"/>
    <n v="1837430.2618584"/>
  </r>
  <r>
    <x v="1"/>
    <s v="Multi-Family IE Retrofits"/>
    <x v="3"/>
    <n v="1973325.26"/>
    <n v="817429.21"/>
    <n v="2537311.94"/>
    <n v="2254699.79"/>
    <n v="2572291.79"/>
    <n v="2085584.29"/>
    <n v="1915315.1600000001"/>
    <n v="2843656.27"/>
    <n v="2119419.5099999998"/>
    <n v="19119033.219999999"/>
    <n v="2110913"/>
    <n v="2291222"/>
    <n v="2232693.7511118203"/>
    <n v="25753861.971111819"/>
  </r>
  <r>
    <x v="1"/>
    <s v="Multi-Family Retrofits -HP"/>
    <x v="3"/>
    <n v="18000"/>
    <n v="151200"/>
    <n v="151200"/>
    <n v="378800"/>
    <n v="415800"/>
    <n v="271300"/>
    <n v="378000"/>
    <n v="327900"/>
    <n v="1141100"/>
    <n v="3233300"/>
    <n v="1373400"/>
    <n v="844200"/>
    <n v="660700"/>
    <n v="6111600"/>
  </r>
  <r>
    <x v="1"/>
    <s v="Single- Family IE Retrofits"/>
    <x v="4"/>
    <n v="1056949.7"/>
    <n v="821502.45000000007"/>
    <n v="1161449.95"/>
    <n v="1566518.8"/>
    <n v="1650232.5000000002"/>
    <n v="1848087.1300000001"/>
    <n v="2833467.26"/>
    <n v="3090645.0199999996"/>
    <n v="2752606.65"/>
    <n v="16781459.459999997"/>
    <n v="2946429"/>
    <n v="3270197"/>
    <n v="3282358.3500000015"/>
    <n v="26280443.809999999"/>
  </r>
  <r>
    <x v="1"/>
    <s v="(IE) Home Energy Assessment - Income Eligible"/>
    <x v="5"/>
    <n v="416973.58"/>
    <n v="412654.43000000005"/>
    <n v="469699.65"/>
    <n v="471822"/>
    <n v="454684.64999999997"/>
    <n v="485345.56000000006"/>
    <n v="451226.05"/>
    <n v="428167.10000000003"/>
    <n v="432207.63"/>
    <n v="4022780.65"/>
    <n v="461172"/>
    <n v="505071"/>
    <n v="323758.36999999918"/>
    <n v="5312782.0199999996"/>
  </r>
  <r>
    <x v="2"/>
    <s v="Home Energy Report/ Residential Behavior"/>
    <x v="6"/>
    <n v="0"/>
    <n v="0"/>
    <n v="0"/>
    <n v="0"/>
    <n v="0"/>
    <n v="0"/>
    <n v="0"/>
    <n v="0"/>
    <n v="0"/>
    <n v="0"/>
    <n v="0"/>
    <n v="0"/>
    <n v="0"/>
    <n v="0"/>
  </r>
  <r>
    <x v="1"/>
    <s v="IE Multi Family Electrification"/>
    <x v="7"/>
    <n v="44657.14999999998"/>
    <n v="50158.43"/>
    <n v="56601.26"/>
    <n v="52477.49"/>
    <n v="66776.489999999991"/>
    <n v="913541.69"/>
    <n v="46242.659999999996"/>
    <n v="79299.53"/>
    <n v="108791.77"/>
    <n v="1418546.4699999997"/>
    <n v="85052.373855986734"/>
    <n v="1155596.1510738565"/>
    <n v="1093553.7976571762"/>
    <n v="3752748.7925870186"/>
  </r>
  <r>
    <x v="1"/>
    <s v="IE Single Family Electrification"/>
    <x v="7"/>
    <n v="50434.43"/>
    <n v="208399.76"/>
    <n v="278253.34000000003"/>
    <n v="85417.44"/>
    <n v="344844.47"/>
    <n v="589906.92000000004"/>
    <n v="692429.49"/>
    <n v="756195.36"/>
    <n v="764517.39"/>
    <n v="3770398.5999999996"/>
    <n v="673353.60401705117"/>
    <n v="506438.16751408373"/>
    <n v="393207.80038738833"/>
    <n v="5343398.1719185226"/>
  </r>
  <r>
    <x v="2"/>
    <s v="TOTAL"/>
    <x v="6"/>
    <n v="3685928.9700000007"/>
    <n v="2813133.96"/>
    <n v="4962835.1399999997"/>
    <n v="5074397.82"/>
    <n v="5772461.1200000001"/>
    <n v="6497479.5199999996"/>
    <n v="6747222.4100000001"/>
    <n v="8083902.4299999997"/>
    <n v="7649883.9399999995"/>
    <n v="51287245.309999995"/>
    <n v="8214567.0438249651"/>
    <n v="9197738.2148109227"/>
    <n v="8973419.7398776431"/>
    <n v="77672970.308513522"/>
  </r>
  <r>
    <x v="0"/>
    <s v="Market Rate Product Distribution"/>
    <x v="8"/>
    <n v="0"/>
    <n v="178088.15"/>
    <n v="214401.1"/>
    <n v="204176.05"/>
    <n v="54838.299999999988"/>
    <n v="0"/>
    <n v="0"/>
    <n v="78252.649999999994"/>
    <n v="178505.7"/>
    <n v="908261.95000000019"/>
    <n v="46411.65"/>
    <n v="34668.800000000003"/>
    <n v="-50947.650000000023"/>
    <n v="938394.75000000023"/>
  </r>
  <r>
    <x v="0"/>
    <s v="Market Rate Retail"/>
    <x v="9"/>
    <n v="752007.6"/>
    <n v="1165001.23"/>
    <n v="1251765.6000000001"/>
    <n v="-217891.14000000004"/>
    <n v="1026549.42"/>
    <n v="477482.82999999996"/>
    <n v="615295.54"/>
    <n v="678581.25"/>
    <n v="504648.87000000005"/>
    <n v="6253441.2000000002"/>
    <n v="1138049"/>
    <n v="570105"/>
    <n v="281706.12999999989"/>
    <n v="8243301.3300000001"/>
  </r>
  <r>
    <x v="1"/>
    <s v="Affordable Housing New Construction"/>
    <x v="10"/>
    <n v="75349.38"/>
    <n v="175888.87999999998"/>
    <n v="49611.21"/>
    <n v="52849.21"/>
    <n v="51977.8"/>
    <n v="133976.13"/>
    <n v="350385.04000000004"/>
    <n v="22582.76"/>
    <n v="579589.80000000005"/>
    <n v="1492210.21"/>
    <n v="294245"/>
    <n v="128674"/>
    <n v="296779.20000000019"/>
    <n v="2211908.41"/>
  </r>
  <r>
    <x v="0"/>
    <s v="EE Res Heating and Cooling"/>
    <x v="11"/>
    <n v="516874.73"/>
    <n v="738119.72"/>
    <n v="234323.66"/>
    <n v="232114.88"/>
    <n v="48856.710000000014"/>
    <n v="158178.87"/>
    <n v="300037.21000000002"/>
    <n v="359758.37"/>
    <n v="194443.99"/>
    <n v="2782708.1399999997"/>
    <n v="427140"/>
    <n v="387022"/>
    <n v="521643.39000000025"/>
    <n v="4118513.53"/>
  </r>
  <r>
    <x v="1"/>
    <s v="Product Distribution - Income Eligible"/>
    <x v="12"/>
    <n v="807777.52"/>
    <n v="1409135.8299999998"/>
    <n v="1354259.7799999998"/>
    <n v="1519112.01"/>
    <n v="1515890.65"/>
    <n v="1326898.04"/>
    <n v="1225865.98"/>
    <n v="1388216.61"/>
    <n v="1513469.6800000002"/>
    <n v="12060626.099999998"/>
    <n v="1327194.51"/>
    <n v="1392375.7300000002"/>
    <n v="477874.53000000102"/>
    <n v="15258070.869999999"/>
  </r>
  <r>
    <x v="0"/>
    <s v="Electric Homes New Construction"/>
    <x v="13"/>
    <n v="2773.6099999999997"/>
    <n v="5262.2699999999995"/>
    <n v="5997.2000000000007"/>
    <n v="21374.190000000002"/>
    <n v="20208.75"/>
    <n v="31249.1"/>
    <n v="8423.5400000000009"/>
    <n v="9982.92"/>
    <n v="10617.810000000001"/>
    <n v="115889.39"/>
    <n v="28075"/>
    <n v="6214"/>
    <n v="37072.19"/>
    <n v="187250.58000000002"/>
  </r>
  <r>
    <x v="0"/>
    <s v="EE Marketplace Residential Products"/>
    <x v="9"/>
    <n v="23111.18"/>
    <n v="152271.71000000002"/>
    <n v="-66550.200000000012"/>
    <n v="157086.54"/>
    <n v="219091.19"/>
    <n v="159784.97"/>
    <n v="155944.37000000005"/>
    <n v="155060.22000000003"/>
    <n v="95130.11"/>
    <n v="1050930.0900000001"/>
    <n v="365876"/>
    <n v="57245.919999999998"/>
    <n v="111399.8899999999"/>
    <n v="1585451.9"/>
  </r>
  <r>
    <x v="0"/>
    <s v="EE - Marketplace Lighting Products"/>
    <x v="9"/>
    <n v="0"/>
    <n v="0"/>
    <n v="0"/>
    <n v="0"/>
    <n v="0"/>
    <n v="13584.22"/>
    <n v="-13584.22"/>
    <n v="0"/>
    <n v="0"/>
    <n v="0"/>
    <n v="0"/>
    <n v="0"/>
    <n v="0"/>
    <n v="0"/>
  </r>
  <r>
    <x v="1"/>
    <s v="IE Retail"/>
    <x v="14"/>
    <n v="1540811.31"/>
    <n v="1487881.9599999997"/>
    <n v="2194118.3699999996"/>
    <n v="2570130.2999999998"/>
    <n v="1459477.91"/>
    <n v="1632615.04"/>
    <n v="1565753.34"/>
    <n v="1928000.9100000001"/>
    <n v="1814199.75"/>
    <n v="16192988.889999997"/>
    <n v="1121926"/>
    <n v="1702643"/>
    <n v="3718034.1099999994"/>
    <n v="22735591.999999996"/>
  </r>
  <r>
    <x v="0"/>
    <s v="Res. Electrification"/>
    <x v="15"/>
    <n v="892250.52999999991"/>
    <n v="1363690"/>
    <n v="431042.66000000003"/>
    <n v="998118.83"/>
    <n v="501667.78"/>
    <n v="595971.06999999995"/>
    <n v="711682.1"/>
    <n v="885597.36"/>
    <n v="469808.39"/>
    <n v="6849828.7199999997"/>
    <n v="754023"/>
    <n v="686672"/>
    <n v="328428.61000000127"/>
    <n v="8618952.3300000019"/>
  </r>
  <r>
    <x v="2"/>
    <s v="Food Bank-LED Distribution"/>
    <x v="6"/>
    <n v="0"/>
    <n v="0"/>
    <n v="0"/>
    <n v="0"/>
    <n v="0"/>
    <n v="0"/>
    <n v="0"/>
    <n v="0"/>
    <n v="0"/>
    <n v="0"/>
    <n v="0"/>
    <n v="0"/>
    <n v="0"/>
    <n v="0"/>
  </r>
  <r>
    <x v="0"/>
    <s v="Electric Homes-Elec. Measures"/>
    <x v="16"/>
    <n v="12631.490000000002"/>
    <n v="24730.32"/>
    <n v="28856.98"/>
    <n v="55035.14"/>
    <n v="51681.57"/>
    <n v="55370.86"/>
    <n v="28012.7"/>
    <n v="46302.380000000005"/>
    <n v="63912.740000000005"/>
    <n v="366534.18"/>
    <n v="122814"/>
    <n v="28502"/>
    <n v="207699.26"/>
    <n v="725549.44"/>
  </r>
  <r>
    <x v="2"/>
    <s v="Lighting Discounts - Income Eligible"/>
    <x v="6"/>
    <n v="0"/>
    <n v="0"/>
    <n v="0"/>
    <n v="0"/>
    <n v="0"/>
    <n v="0"/>
    <n v="0"/>
    <n v="0"/>
    <n v="0"/>
    <n v="0"/>
    <n v="0"/>
    <n v="0"/>
    <n v="0"/>
    <n v="0"/>
  </r>
  <r>
    <x v="1"/>
    <s v="Affordable Housing NC-Elect."/>
    <x v="17"/>
    <n v="180855.49"/>
    <n v="110736.61000000002"/>
    <n v="75753.279999999999"/>
    <n v="93954.16"/>
    <n v="96273.89"/>
    <n v="77479.14"/>
    <n v="345018.82"/>
    <n v="40147.1"/>
    <n v="67633.11"/>
    <n v="1087851.6000000001"/>
    <n v="134191"/>
    <n v="324746"/>
    <n v="860137.89000000013"/>
    <n v="2406926.4900000002"/>
  </r>
  <r>
    <x v="2"/>
    <s v="Product Rebates"/>
    <x v="6"/>
    <n v="0"/>
    <n v="0"/>
    <n v="0"/>
    <n v="0"/>
    <n v="0"/>
    <n v="0"/>
    <n v="0"/>
    <n v="0"/>
    <n v="0"/>
    <n v="0"/>
    <n v="0"/>
    <n v="0"/>
    <n v="0"/>
    <n v="0"/>
  </r>
  <r>
    <x v="0"/>
    <s v="Retial Products Platform"/>
    <x v="9"/>
    <n v="0"/>
    <n v="0"/>
    <n v="0"/>
    <n v="133715"/>
    <n v="203547.90000000002"/>
    <n v="9603.1799999999785"/>
    <n v="185373.75"/>
    <n v="203769.53"/>
    <n v="101798.68"/>
    <n v="837808.04"/>
    <n v="173504"/>
    <n v="165924"/>
    <n v="126489.32000000007"/>
    <n v="1303725.3600000001"/>
  </r>
  <r>
    <x v="2"/>
    <s v="Appliance Recycling Program"/>
    <x v="6"/>
    <n v="0"/>
    <n v="0"/>
    <n v="0"/>
    <n v="0"/>
    <n v="0"/>
    <n v="0"/>
    <n v="0"/>
    <n v="0"/>
    <n v="0"/>
    <n v="0"/>
    <n v="0"/>
    <n v="0"/>
    <n v="0"/>
    <n v="0"/>
  </r>
  <r>
    <x v="2"/>
    <s v="TOTAL"/>
    <x v="6"/>
    <n v="4804442.8400000008"/>
    <n v="6810806.6799999997"/>
    <n v="5773579.6399999997"/>
    <n v="5819775.1699999999"/>
    <n v="5250061.87"/>
    <n v="4672193.45"/>
    <n v="5478208.1699999999"/>
    <n v="5796252.0600000005"/>
    <n v="5593758.6299999999"/>
    <n v="49999078.510000005"/>
    <n v="5933449.1600000001"/>
    <n v="5484792.4500000002"/>
    <n v="6916316.8700000029"/>
    <n v="68333636.99000001"/>
  </r>
  <r>
    <x v="1"/>
    <s v="Income Eligible General"/>
    <x v="18"/>
    <n v="11097.8"/>
    <n v="8645.94"/>
    <n v="9803.2900000000009"/>
    <n v="40917.229999999996"/>
    <n v="17921.102228999996"/>
    <n v="44905.64"/>
    <n v="14891.63"/>
    <n v="35655.599999999999"/>
    <n v="35872.869999999995"/>
    <n v="219711.10222899998"/>
    <n v="35384"/>
    <n v="35329"/>
    <n v="1105499.1299999999"/>
    <n v="1395923.232229"/>
  </r>
  <r>
    <x v="0"/>
    <s v="Residential General"/>
    <x v="19"/>
    <n v="11165.96"/>
    <n v="8616.42"/>
    <n v="6803.29"/>
    <n v="39278.85"/>
    <n v="19527.900000000001"/>
    <n v="15532.05"/>
    <n v="11859.92"/>
    <n v="28672.91"/>
    <n v="33598.829999999994"/>
    <n v="175056.12999999998"/>
    <n v="33900"/>
    <n v="3482300"/>
    <n v="62870.169999999925"/>
    <n v="3754126.3"/>
  </r>
  <r>
    <x v="3"/>
    <s v="Education &amp; Awareness - Residential (EEDEDUCA)"/>
    <x v="20"/>
    <n v="232568.14"/>
    <n v="1061000"/>
    <n v="1124100"/>
    <n v="0"/>
    <n v="0"/>
    <n v="0"/>
    <n v="20000"/>
    <n v="-20000"/>
    <n v="0"/>
    <n v="2417668.14"/>
    <n v="0"/>
    <n v="2000000"/>
    <n v="0"/>
    <n v="4417668.1400000006"/>
  </r>
  <r>
    <x v="0"/>
    <s v="Home Energy Report/ Residential Behavior"/>
    <x v="21"/>
    <n v="515823.33"/>
    <n v="515823.33"/>
    <n v="516023.33"/>
    <n v="515823.33"/>
    <n v="519897.53"/>
    <n v="517850"/>
    <n v="517762.93"/>
    <n v="517793.5"/>
    <n v="518356.81999999995"/>
    <n v="4655154.1000000006"/>
    <n v="517823.82"/>
    <n v="517823.82"/>
    <n v="517836.82"/>
    <n v="6208638.5600000015"/>
  </r>
  <r>
    <x v="2"/>
    <s v="TOTAL"/>
    <x v="6"/>
    <n v="770655.23"/>
    <n v="1594085.6900000002"/>
    <n v="1656729.9100000001"/>
    <n v="596019.41"/>
    <n v="557346.532229"/>
    <n v="578287.68999999994"/>
    <n v="564514.48"/>
    <n v="562122.01"/>
    <n v="587828.5199999999"/>
    <n v="7467589.4722290002"/>
    <n v="587107.82000000007"/>
    <n v="6035452.8200000003"/>
    <n v="1686206.1199999999"/>
    <n v="15776356.232229"/>
  </r>
  <r>
    <x v="2"/>
    <m/>
    <x v="6"/>
    <n v="0"/>
    <n v="0"/>
    <n v="0"/>
    <n v="0"/>
    <n v="0"/>
    <n v="0"/>
    <n v="0"/>
    <n v="0"/>
    <n v="0"/>
    <n v="0"/>
    <n v="0"/>
    <n v="0"/>
    <n v="0"/>
    <n v="0"/>
  </r>
  <r>
    <x v="4"/>
    <m/>
    <x v="22"/>
    <n v="310106.48"/>
    <n v="291884.89"/>
    <n v="299197.87000000005"/>
    <n v="311724.64000000007"/>
    <n v="310308.38"/>
    <n v="277487.73"/>
    <n v="331050"/>
    <n v="331345.72000000003"/>
    <n v="316832.42000000022"/>
    <n v="2779938.1300000008"/>
    <n v="254662.18572679191"/>
    <n v="206266.49961812043"/>
    <n v="193989"/>
    <n v="3434855.8153449134"/>
  </r>
  <r>
    <x v="2"/>
    <s v="TOTAL"/>
    <x v="6"/>
    <n v="9571133.5200000014"/>
    <n v="11509911.219999999"/>
    <n v="12692342.559999999"/>
    <n v="11801917.039999999"/>
    <n v="11890177.902229"/>
    <n v="12025448.390000001"/>
    <n v="13120995.060000001"/>
    <n v="14773622.220000001"/>
    <n v="14148303.51"/>
    <n v="111533851.42222901"/>
    <n v="14989786.209551757"/>
    <n v="20924249.984429043"/>
    <n v="17769931.729877643"/>
    <n v="165217819.34608746"/>
  </r>
  <r>
    <x v="5"/>
    <s v="Business General"/>
    <x v="23"/>
    <n v="2884.26"/>
    <n v="2666.8"/>
    <n v="2757.24"/>
    <n v="2666.8"/>
    <n v="10225.94"/>
    <n v="8623.34"/>
    <n v="10892.62"/>
    <n v="9077.17"/>
    <n v="8621.0400000000009"/>
    <n v="58415.21"/>
    <n v="0"/>
    <n v="0"/>
    <n v="-8415.0400000000009"/>
    <n v="50000.17"/>
  </r>
  <r>
    <x v="5"/>
    <s v="Incentives- Standard"/>
    <x v="24"/>
    <n v="2097087.5999999999"/>
    <n v="6442321.2699999996"/>
    <n v="3747536.92"/>
    <n v="3429942.1699999995"/>
    <n v="2817059.37"/>
    <n v="5313859.7399999993"/>
    <n v="3456526.63"/>
    <n v="3626818.5100000002"/>
    <n v="2897328.16"/>
    <n v="33828480.369999997"/>
    <n v="5526841"/>
    <n v="4741587"/>
    <n v="6610869.840000011"/>
    <n v="50707778.210000008"/>
  </r>
  <r>
    <x v="6"/>
    <s v="Incentives- Standard - Public Sector"/>
    <x v="25"/>
    <n v="809835.52000000002"/>
    <n v="894005.14"/>
    <n v="368429.49"/>
    <n v="414293.05"/>
    <n v="444753.9"/>
    <n v="810780.81"/>
    <n v="498398.47"/>
    <n v="661874.15"/>
    <n v="861129.48"/>
    <n v="5763500.0099999998"/>
    <n v="1365241"/>
    <n v="2158421"/>
    <n v="2248528.5199999996"/>
    <n v="11535690.529999999"/>
  </r>
  <r>
    <x v="5"/>
    <s v="Small Business"/>
    <x v="26"/>
    <n v="3338120.0300000003"/>
    <n v="2721664.94"/>
    <n v="3742371.8200000003"/>
    <n v="3838983.6"/>
    <n v="3945186.45"/>
    <n v="3437124.9"/>
    <n v="3350969.78"/>
    <n v="3332579.9800000004"/>
    <n v="4762676.34"/>
    <n v="32469677.84"/>
    <n v="4593722.32"/>
    <n v="15135077.699999999"/>
    <n v="16244220.889999995"/>
    <n v="68442698.75"/>
  </r>
  <r>
    <x v="6"/>
    <s v="Small Business Public Sector"/>
    <x v="27"/>
    <n v="191535.44"/>
    <n v="203311.61"/>
    <n v="328772.69"/>
    <n v="339173.83"/>
    <n v="745463.11"/>
    <n v="947305.52"/>
    <n v="1259180.0599999998"/>
    <n v="673281.79"/>
    <n v="584748.45000000007"/>
    <n v="5272772.5"/>
    <n v="607632.08000000007"/>
    <n v="1834065.56"/>
    <n v="1569436.5999999996"/>
    <n v="9283906.7400000002"/>
  </r>
  <r>
    <x v="2"/>
    <s v="Rural Small Business Kits"/>
    <x v="6"/>
    <n v="0"/>
    <n v="0"/>
    <n v="0"/>
    <n v="0"/>
    <n v="0"/>
    <n v="0"/>
    <n v="0"/>
    <n v="0"/>
    <n v="0"/>
    <n v="0"/>
    <n v="0"/>
    <n v="0"/>
    <n v="0"/>
    <n v="0"/>
  </r>
  <r>
    <x v="2"/>
    <s v="Small Business Kits - Public"/>
    <x v="6"/>
    <n v="0"/>
    <n v="0"/>
    <n v="0"/>
    <n v="0"/>
    <n v="0"/>
    <n v="0"/>
    <n v="0"/>
    <n v="0"/>
    <n v="0"/>
    <n v="0"/>
    <n v="0"/>
    <n v="0"/>
    <n v="0"/>
    <n v="0"/>
  </r>
  <r>
    <x v="2"/>
    <s v="TOTAL"/>
    <x v="6"/>
    <n v="6439462.8500000006"/>
    <n v="10263969.759999998"/>
    <n v="8189868.1600000011"/>
    <n v="8025059.4499999993"/>
    <n v="7962688.7700000005"/>
    <n v="10517694.309999999"/>
    <n v="8575967.5600000005"/>
    <n v="8303631.6000000006"/>
    <n v="9114503.4699999988"/>
    <n v="77392845.929999992"/>
    <n v="12093436.4"/>
    <n v="23869151.259999998"/>
    <n v="26664640.81000001"/>
    <n v="140020074.40000001"/>
  </r>
  <r>
    <x v="5"/>
    <s v="EE- C&amp;I Outreach  Private Sect"/>
    <x v="28"/>
    <n v="221673.35000000003"/>
    <n v="711431.07000000007"/>
    <n v="719713.22999999986"/>
    <n v="569515.17000000004"/>
    <n v="224140.38"/>
    <n v="155693.89000000001"/>
    <n v="646903.68000000005"/>
    <n v="190133.34000000003"/>
    <n v="170452.68"/>
    <n v="3609656.79"/>
    <n v="2106930.83"/>
    <n v="758358.87"/>
    <n v="1198153.2999999998"/>
    <n v="7673099.79"/>
  </r>
  <r>
    <x v="6"/>
    <s v="EE- C&amp;I Outreach Public Sector"/>
    <x v="29"/>
    <n v="-35382.560000000012"/>
    <n v="474573.88000000006"/>
    <n v="462585.76"/>
    <n v="177667.08000000002"/>
    <n v="-30789.859999999997"/>
    <n v="32669.66"/>
    <n v="114651.40000000001"/>
    <n v="12276.66"/>
    <n v="42665.899999999994"/>
    <n v="1250917.9199999997"/>
    <n v="621734.17000000004"/>
    <n v="550618.75"/>
    <n v="435419.50999999943"/>
    <n v="2858690.3499999992"/>
  </r>
  <r>
    <x v="3"/>
    <s v="Education &amp; Awareness - C&amp;I "/>
    <x v="20"/>
    <n v="0"/>
    <n v="248000"/>
    <n v="252000"/>
    <n v="0"/>
    <n v="0"/>
    <n v="0"/>
    <n v="0"/>
    <n v="0"/>
    <n v="0"/>
    <n v="500000"/>
    <n v="0"/>
    <n v="0"/>
    <n v="0"/>
    <n v="500000"/>
  </r>
  <r>
    <x v="4"/>
    <s v="C&amp;I Key Accounts"/>
    <x v="22"/>
    <n v="0"/>
    <n v="0"/>
    <n v="0"/>
    <n v="0"/>
    <n v="0"/>
    <n v="0"/>
    <n v="0"/>
    <n v="0"/>
    <n v="12000"/>
    <n v="12000"/>
    <n v="25000"/>
    <n v="0"/>
    <n v="-12000"/>
    <n v="25000"/>
  </r>
  <r>
    <x v="7"/>
    <s v="EE - C&amp;I Optimization"/>
    <x v="30"/>
    <n v="0"/>
    <n v="0"/>
    <n v="0"/>
    <n v="0"/>
    <n v="0"/>
    <n v="2688.94"/>
    <n v="0"/>
    <n v="0"/>
    <n v="0"/>
    <n v="2688.94"/>
    <n v="15000.06"/>
    <n v="0"/>
    <n v="0"/>
    <n v="17689"/>
  </r>
  <r>
    <x v="2"/>
    <m/>
    <x v="6"/>
    <n v="0"/>
    <n v="0"/>
    <n v="0"/>
    <n v="0"/>
    <n v="0"/>
    <n v="0"/>
    <n v="0"/>
    <n v="0"/>
    <n v="0"/>
    <n v="0"/>
    <n v="0"/>
    <n v="0"/>
    <n v="0"/>
    <n v="0"/>
  </r>
  <r>
    <x v="2"/>
    <m/>
    <x v="6"/>
    <n v="0"/>
    <n v="0"/>
    <n v="0"/>
    <n v="0"/>
    <n v="0"/>
    <n v="0"/>
    <n v="0"/>
    <n v="0"/>
    <n v="0"/>
    <n v="0"/>
    <n v="0"/>
    <n v="0"/>
    <n v="0"/>
    <n v="0"/>
  </r>
  <r>
    <x v="2"/>
    <s v="TOTAL"/>
    <x v="6"/>
    <n v="186290.79000000004"/>
    <n v="1434004.9500000002"/>
    <n v="1434298.9899999998"/>
    <n v="747182.25"/>
    <n v="193350.52000000002"/>
    <n v="191052.49000000002"/>
    <n v="761555.08000000007"/>
    <n v="202410.00000000003"/>
    <n v="225118.58"/>
    <n v="5375263.6500000004"/>
    <n v="2768665.06"/>
    <n v="1308977.6200000001"/>
    <n v="1621572.8099999991"/>
    <n v="11074479.140000001"/>
  </r>
  <r>
    <x v="5"/>
    <s v="EE-Industrial Systems"/>
    <x v="31"/>
    <n v="148477.56"/>
    <n v="548352.15000000014"/>
    <n v="451618.04999999993"/>
    <n v="479366.40000000002"/>
    <n v="1025330.0199999999"/>
    <n v="1193516.7499999998"/>
    <n v="886994.31"/>
    <n v="1733753.56"/>
    <n v="1088241.69"/>
    <n v="7555650.4900000002"/>
    <n v="1108408"/>
    <n v="2065970"/>
    <n v="4220332.3100000005"/>
    <n v="14950360.800000001"/>
  </r>
  <r>
    <x v="5"/>
    <s v="Strategic Energy Management"/>
    <x v="32"/>
    <n v="311941.02"/>
    <n v="456747.96000000008"/>
    <n v="878316.58000000007"/>
    <n v="496833.06"/>
    <n v="445725.57999999996"/>
    <n v="737931.47"/>
    <n v="518719.59"/>
    <n v="579782.37"/>
    <n v="694773.42000000016"/>
    <n v="5120771.05"/>
    <n v="768704.8"/>
    <n v="627370.92999999993"/>
    <n v="1764703.7800000012"/>
    <n v="8281550.5600000005"/>
  </r>
  <r>
    <x v="6"/>
    <s v="Strategic Energy Management Public Sector"/>
    <x v="33"/>
    <n v="62807.840000000004"/>
    <n v="65963.099999999991"/>
    <n v="129092.42"/>
    <n v="88700.81"/>
    <n v="81244.190000000017"/>
    <n v="122381.70999999999"/>
    <n v="138701.03"/>
    <n v="121749.84999999999"/>
    <n v="130892.42"/>
    <n v="941533.37"/>
    <n v="128447"/>
    <n v="211207.07"/>
    <n v="305292.33999999962"/>
    <n v="1586479.7799999998"/>
  </r>
  <r>
    <x v="5"/>
    <s v="Incentives - Custom"/>
    <x v="34"/>
    <n v="246086.71"/>
    <n v="363033.74"/>
    <n v="190380.94"/>
    <n v="243293.4"/>
    <n v="296031.02"/>
    <n v="430736.17999999993"/>
    <n v="676523.22"/>
    <n v="337273.95"/>
    <n v="871278.44999999984"/>
    <n v="3654637.61"/>
    <n v="1064047.0308244973"/>
    <n v="1509245.2262514236"/>
    <n v="1453223.6182568902"/>
    <n v="7681153.4853328103"/>
  </r>
  <r>
    <x v="6"/>
    <s v="Incentives - Custom - Public Sector"/>
    <x v="35"/>
    <n v="10191.57"/>
    <n v="35805.520000000004"/>
    <n v="41138.28"/>
    <n v="223760.56000000003"/>
    <n v="70054.790000000008"/>
    <n v="95617.43"/>
    <n v="72510.929999999993"/>
    <n v="46074.75"/>
    <n v="46582.109999999993"/>
    <n v="641735.94000000006"/>
    <n v="20044.306214689266"/>
    <n v="229491.64815017622"/>
    <n v="61456.406389937241"/>
    <n v="952728.30075480277"/>
  </r>
  <r>
    <x v="5"/>
    <s v="RetroCommissioning"/>
    <x v="36"/>
    <n v="94081.430000000008"/>
    <n v="286301.28999999998"/>
    <n v="291907.94"/>
    <n v="437340.50999999995"/>
    <n v="858416.35"/>
    <n v="1564805.25"/>
    <n v="524587.03999999992"/>
    <n v="507972.23"/>
    <n v="509503.27999999991"/>
    <n v="5074915.32"/>
    <n v="525390.04999999993"/>
    <n v="1768067.7399999998"/>
    <n v="2422557.180000002"/>
    <n v="9790930.290000001"/>
  </r>
  <r>
    <x v="6"/>
    <s v="RetroCommissioning Public Sector"/>
    <x v="37"/>
    <n v="78386.67"/>
    <n v="259486.74999999997"/>
    <n v="53012.740000000042"/>
    <n v="341671.27999999997"/>
    <n v="-14573.819999999949"/>
    <n v="350977.83"/>
    <n v="476505.7"/>
    <n v="578932.30000000005"/>
    <n v="592577.49"/>
    <n v="2716976.9400000004"/>
    <n v="292768.65000000002"/>
    <n v="598273.74000000011"/>
    <n v="1371965.8600000006"/>
    <n v="4979985.1900000013"/>
  </r>
  <r>
    <x v="4"/>
    <s v="EE-C&amp;I Tech Support General E"/>
    <x v="22"/>
    <n v="2884.26"/>
    <n v="2666.8"/>
    <n v="2757.24"/>
    <n v="2666.8"/>
    <n v="-666.7"/>
    <n v="0"/>
    <n v="0"/>
    <n v="0"/>
    <n v="1512.95"/>
    <n v="11821.349999999999"/>
    <n v="3112.2"/>
    <n v="1971.06"/>
    <n v="24573.729999999996"/>
    <n v="41478.339999999997"/>
  </r>
  <r>
    <x v="5"/>
    <s v="Business Instant Discounts"/>
    <x v="38"/>
    <n v="1322926.3400000001"/>
    <n v="1344834.0499999998"/>
    <n v="1231905.77"/>
    <n v="1525419.98"/>
    <n v="1578366.27"/>
    <n v="1322033.24"/>
    <n v="684012.69000000006"/>
    <n v="1203322.5199999998"/>
    <n v="2506674.21"/>
    <n v="12719495.07"/>
    <n v="2713885.3763944609"/>
    <n v="2672238.4854828189"/>
    <n v="1876642.0962948527"/>
    <n v="19982261.028172135"/>
  </r>
  <r>
    <x v="6"/>
    <s v="Business Instant Discounts Public Sector"/>
    <x v="39"/>
    <n v="119493.92"/>
    <n v="240788.77"/>
    <n v="167165.68000000002"/>
    <n v="243334.61000000002"/>
    <n v="355504.07"/>
    <n v="262314.40000000002"/>
    <n v="359011.81999999995"/>
    <n v="242097.97"/>
    <n v="198502.65"/>
    <n v="2188213.89"/>
    <n v="317689.25644239999"/>
    <n v="321494.06756450003"/>
    <n v="398070.95136402594"/>
    <n v="3225468.1653709263"/>
  </r>
  <r>
    <x v="5"/>
    <s v="Non- Res New Construction"/>
    <x v="40"/>
    <n v="10395.269999999997"/>
    <n v="184302.65"/>
    <n v="65451.83"/>
    <n v="62050"/>
    <n v="349980.04"/>
    <n v="308147.74"/>
    <n v="826225.4"/>
    <n v="162984.17000000001"/>
    <n v="425141.91"/>
    <n v="2394679.0100000002"/>
    <n v="79779.300323867079"/>
    <n v="190663.48781756192"/>
    <n v="67621.089999999851"/>
    <n v="2732742.8881414291"/>
  </r>
  <r>
    <x v="6"/>
    <s v="Non- Res New Construction Public Sector"/>
    <x v="41"/>
    <n v="10969.74"/>
    <n v="10999.36"/>
    <n v="10945.5"/>
    <n v="10950"/>
    <n v="12522.61"/>
    <n v="96359.16"/>
    <n v="14808.22"/>
    <n v="9174.09"/>
    <n v="114630.43999999999"/>
    <n v="291359.12"/>
    <n v="39404.307058823528"/>
    <n v="49058.054913468412"/>
    <n v="101564.96668571429"/>
    <n v="481386.44865800627"/>
  </r>
  <r>
    <x v="5"/>
    <s v="EE - Commercial Food Private"/>
    <x v="42"/>
    <n v="19607.05"/>
    <n v="28055.79"/>
    <n v="91298.63"/>
    <n v="38701.800000000003"/>
    <n v="23990.34"/>
    <n v="22553.15"/>
    <n v="37401.839999999997"/>
    <n v="39516.9"/>
    <n v="29164.36"/>
    <n v="330289.86"/>
    <n v="49700"/>
    <n v="65887"/>
    <n v="41889.640000000014"/>
    <n v="487766.5"/>
  </r>
  <r>
    <x v="6"/>
    <s v="EE - Commercial Food Public"/>
    <x v="43"/>
    <n v="4196.6099999999997"/>
    <n v="813.31"/>
    <n v="1145.43"/>
    <n v="4508.55"/>
    <n v="464.18"/>
    <n v="990.75"/>
    <n v="5475.1900000000005"/>
    <n v="998.31"/>
    <n v="609.52"/>
    <n v="19201.850000000006"/>
    <n v="1764.1783333333333"/>
    <n v="1864.1783333333333"/>
    <n v="2767.4800000000032"/>
    <n v="25597.686666666676"/>
  </r>
  <r>
    <x v="2"/>
    <s v="Third Party C&amp;I Agricultural"/>
    <x v="6"/>
    <n v="0"/>
    <n v="0"/>
    <n v="0"/>
    <n v="0"/>
    <n v="0"/>
    <n v="0"/>
    <n v="0"/>
    <n v="0"/>
    <n v="0"/>
    <n v="0"/>
    <n v="0"/>
    <n v="0"/>
    <n v="0"/>
    <n v="0"/>
  </r>
  <r>
    <x v="2"/>
    <s v="Third Party C&amp;I Energy Smart Grocer"/>
    <x v="6"/>
    <n v="0"/>
    <n v="0"/>
    <n v="0"/>
    <n v="0"/>
    <n v="0"/>
    <n v="0"/>
    <n v="0"/>
    <n v="0"/>
    <n v="0"/>
    <n v="0"/>
    <n v="0"/>
    <n v="0"/>
    <n v="0"/>
    <n v="0"/>
  </r>
  <r>
    <x v="2"/>
    <s v="Public Buildings in Distressed Communities"/>
    <x v="6"/>
    <n v="0"/>
    <n v="0"/>
    <n v="0"/>
    <n v="0"/>
    <n v="0"/>
    <n v="0"/>
    <n v="0"/>
    <n v="0"/>
    <n v="0"/>
    <n v="0"/>
    <n v="0"/>
    <n v="0"/>
    <n v="0"/>
    <n v="0"/>
  </r>
  <r>
    <x v="2"/>
    <s v="Third Party C&amp;I Non Profit Retrofits"/>
    <x v="6"/>
    <n v="0"/>
    <n v="0"/>
    <n v="0"/>
    <n v="0"/>
    <n v="0"/>
    <n v="0"/>
    <n v="0"/>
    <n v="0"/>
    <n v="0"/>
    <n v="0"/>
    <n v="0"/>
    <n v="0"/>
    <n v="0"/>
    <n v="0"/>
  </r>
  <r>
    <x v="2"/>
    <s v="TOTAL"/>
    <x v="6"/>
    <n v="2442445.9900000002"/>
    <n v="3828151.24"/>
    <n v="3606137.0300000003"/>
    <n v="4198597.76"/>
    <n v="5082388.9399999995"/>
    <n v="6508365.0600000005"/>
    <n v="5221476.9800000014"/>
    <n v="5563632.9699999997"/>
    <n v="7210084.9000000004"/>
    <n v="43661280.870000005"/>
    <n v="7113144.4555920707"/>
    <n v="10312802.688513281"/>
    <n v="14112661.448991425"/>
    <n v="75199889.463096783"/>
  </r>
  <r>
    <x v="5"/>
    <s v="Facility Assessment"/>
    <x v="44"/>
    <n v="-4149.8999999999942"/>
    <n v="69043.95"/>
    <n v="57913.32"/>
    <n v="39230.590000000004"/>
    <n v="61180.369999999995"/>
    <n v="51747.31"/>
    <n v="65403.259999999995"/>
    <n v="38698.07"/>
    <n v="41547.429999999993"/>
    <n v="420614.40000000002"/>
    <n v="87195"/>
    <n v="46330"/>
    <n v="240964.89000000007"/>
    <n v="795104.29"/>
  </r>
  <r>
    <x v="6"/>
    <s v="Facility Assessment Public Sector"/>
    <x v="45"/>
    <n v="-2314.739999999998"/>
    <n v="35401.61"/>
    <n v="29667.79"/>
    <n v="20042.02"/>
    <n v="29184.01"/>
    <n v="25211.15"/>
    <n v="32724.090000000004"/>
    <n v="19935.310000000001"/>
    <n v="21403.160000000003"/>
    <n v="211254.39999999999"/>
    <n v="45417.5"/>
    <n v="22605"/>
    <n v="119086.17999999996"/>
    <n v="398363.07999999996"/>
  </r>
  <r>
    <x v="3"/>
    <s v="Outreach Private Schools"/>
    <x v="20"/>
    <n v="6421.7199999999993"/>
    <n v="1127.5"/>
    <n v="2585.75"/>
    <n v="658.41"/>
    <n v="1127.5"/>
    <n v="1253.73"/>
    <n v="16990.490000000002"/>
    <n v="-7781.57"/>
    <n v="1200.17"/>
    <n v="23583.699999999997"/>
    <n v="1269"/>
    <n v="1269"/>
    <n v="19782.830000000002"/>
    <n v="45904.53"/>
  </r>
  <r>
    <x v="3"/>
    <s v="Outreach Public Schools"/>
    <x v="20"/>
    <n v="-121900.63"/>
    <n v="10147.5"/>
    <n v="23271.79"/>
    <n v="5925.6399999999994"/>
    <n v="10147.5"/>
    <n v="83721.03"/>
    <n v="-9723.09"/>
    <n v="20165.830000000002"/>
    <n v="103662.23000000001"/>
    <n v="125417.80000000002"/>
    <n v="12210"/>
    <n v="12210"/>
    <n v="207605.77000000002"/>
    <n v="357443.57000000007"/>
  </r>
  <r>
    <x v="2"/>
    <s v="Outreach Public Schools Tech Assistance"/>
    <x v="6"/>
    <m/>
    <m/>
    <m/>
    <m/>
    <m/>
    <m/>
    <m/>
    <m/>
    <m/>
    <n v="0"/>
    <m/>
    <m/>
    <m/>
    <m/>
  </r>
  <r>
    <x v="4"/>
    <s v="EE EUDS (Energy Usage Data System)"/>
    <x v="22"/>
    <n v="-3761.5"/>
    <n v="0"/>
    <n v="0"/>
    <n v="0"/>
    <n v="0"/>
    <n v="0"/>
    <n v="0"/>
    <n v="0"/>
    <n v="0"/>
    <n v="-3761.5"/>
    <n v="0"/>
    <n v="0"/>
    <n v="3761.5"/>
    <n v="0"/>
  </r>
  <r>
    <x v="2"/>
    <m/>
    <x v="6"/>
    <n v="-125705.05"/>
    <n v="115720.56"/>
    <n v="113438.65"/>
    <n v="65856.66"/>
    <n v="101639.37999999999"/>
    <n v="161933.21999999997"/>
    <n v="105394.75000000001"/>
    <n v="71017.640000000014"/>
    <n v="167812.99"/>
    <n v="777108.8"/>
    <n v="146091.5"/>
    <n v="82414"/>
    <n v="591201.17000000016"/>
    <n v="1596815.4700000002"/>
  </r>
  <r>
    <x v="2"/>
    <m/>
    <x v="6"/>
    <n v="0"/>
    <n v="0"/>
    <n v="0"/>
    <n v="0"/>
    <n v="0"/>
    <n v="0"/>
    <n v="0"/>
    <n v="0"/>
    <n v="0"/>
    <n v="0"/>
    <n v="0"/>
    <n v="0"/>
    <n v="0"/>
    <n v="0"/>
  </r>
  <r>
    <x v="4"/>
    <m/>
    <x v="22"/>
    <n v="380996.58000000013"/>
    <n v="392656.48999999993"/>
    <n v="416189.85999999969"/>
    <n v="420208.76000000007"/>
    <n v="371735.87999999995"/>
    <n v="370669.92000000004"/>
    <n v="416137.3"/>
    <n v="423450.79"/>
    <n v="433523.74"/>
    <n v="3625569.3199999994"/>
    <n v="340320"/>
    <n v="288569"/>
    <n v="271086"/>
    <n v="4525544.3199999994"/>
  </r>
  <r>
    <x v="2"/>
    <m/>
    <x v="6"/>
    <n v="9323491.1600000001"/>
    <n v="16034502.999999996"/>
    <n v="13759932.690000001"/>
    <n v="13456904.879999999"/>
    <n v="13711803.489999998"/>
    <n v="17749714.999999996"/>
    <n v="15080531.670000002"/>
    <n v="14564143"/>
    <n v="17151043.68"/>
    <n v="130832068.56999999"/>
    <n v="22461657.415592071"/>
    <n v="35861914.568513274"/>
    <n v="43261162.238991439"/>
    <n v="232416802.79309678"/>
  </r>
  <r>
    <x v="2"/>
    <m/>
    <x v="6"/>
    <n v="18894624.68"/>
    <n v="27544414.219999995"/>
    <n v="26452275.25"/>
    <n v="25258821.919999998"/>
    <n v="25601981.392228998"/>
    <n v="29775163.389999997"/>
    <n v="28201526.730000004"/>
    <n v="29337765.219999999"/>
    <n v="31299347.189999998"/>
    <n v="242365919.99222896"/>
    <n v="37451443.625143826"/>
    <n v="56786164.552942321"/>
    <n v="61031093.968869083"/>
    <n v="397634622.13918418"/>
  </r>
  <r>
    <x v="8"/>
    <s v="2023 Evaluation Expense"/>
    <x v="46"/>
    <n v="407935.9"/>
    <n v="572935.9"/>
    <n v="572935.9"/>
    <n v="572935.9"/>
    <n v="572936"/>
    <n v="54999.9"/>
    <n v="55000"/>
    <n v="55000"/>
    <n v="55000"/>
    <n v="2919679.5"/>
    <n v="0"/>
    <n v="0"/>
    <n v="0"/>
    <n v="2919679.5"/>
  </r>
  <r>
    <x v="8"/>
    <s v="2024 Evaluation Expense"/>
    <x v="46"/>
    <n v="200000"/>
    <n v="200000"/>
    <n v="200000"/>
    <n v="400000"/>
    <n v="500000"/>
    <n v="484935.9"/>
    <n v="584935.9"/>
    <n v="584935.9"/>
    <n v="584935.9"/>
    <n v="3739743.5999999996"/>
    <n v="384935.89750000002"/>
    <n v="384935.89750000002"/>
    <n v="284935.89750000002"/>
    <n v="4794551.2924999995"/>
  </r>
  <r>
    <x v="8"/>
    <s v="2025 Evaluation Expense"/>
    <x v="46"/>
    <n v="0"/>
    <n v="0"/>
    <n v="0"/>
    <n v="0"/>
    <n v="0"/>
    <n v="0"/>
    <n v="0"/>
    <n v="0"/>
    <n v="0"/>
    <n v="0"/>
    <n v="175278"/>
    <n v="175278"/>
    <n v="175278"/>
    <n v="525834"/>
  </r>
  <r>
    <x v="2"/>
    <m/>
    <x v="6"/>
    <n v="607935.9"/>
    <n v="772935.9"/>
    <n v="772935.9"/>
    <n v="972935.9"/>
    <n v="1072936"/>
    <n v="539935.80000000005"/>
    <n v="639935.9"/>
    <n v="639935.9"/>
    <n v="639935.9"/>
    <n v="6659423.1000000006"/>
    <n v="560213.89749999996"/>
    <n v="560213.89749999996"/>
    <n v="460213.89750000002"/>
    <n v="8240064.7925000004"/>
  </r>
  <r>
    <x v="4"/>
    <s v="AEG - 2021 Plan 6"/>
    <x v="22"/>
    <n v="121467"/>
    <n v="97415.359999999986"/>
    <n v="179564.71"/>
    <n v="373528.89999999997"/>
    <n v="499798.17000000004"/>
    <n v="409433.23"/>
    <n v="241834.66999999998"/>
    <n v="121292.51000000001"/>
    <n v="99978.87"/>
    <n v="2144313.42"/>
    <n v="120500"/>
    <n v="265000"/>
    <n v="-173732.87000000011"/>
    <n v="2356080.5499999998"/>
  </r>
  <r>
    <x v="4"/>
    <s v="EE Portfolio Admin Stakeholders"/>
    <x v="22"/>
    <n v="15725.99"/>
    <n v="15909.1"/>
    <n v="11528.7"/>
    <n v="15504.87"/>
    <n v="9933.9599999999991"/>
    <n v="31074.829999999998"/>
    <n v="65487.25"/>
    <n v="25697.78"/>
    <n v="12487.949999999999"/>
    <n v="203350.43000000002"/>
    <n v="25000"/>
    <n v="22500"/>
    <n v="4388.3499999999985"/>
    <n v="255238.78000000003"/>
  </r>
  <r>
    <x v="9"/>
    <s v="Research &amp; Development"/>
    <x v="47"/>
    <n v="334532.77"/>
    <n v="517569.41000000003"/>
    <n v="403500.69"/>
    <n v="354816.87"/>
    <n v="461471.56"/>
    <n v="681204.88000000012"/>
    <n v="331349.29000000004"/>
    <n v="485699.44999999995"/>
    <n v="489508.84"/>
    <n v="4059653.7600000007"/>
    <n v="663352.71"/>
    <n v="806978.21"/>
    <n v="1130590.42"/>
    <n v="6660575.1000000006"/>
  </r>
  <r>
    <x v="9"/>
    <s v="Research &amp; Development - Income Eligible"/>
    <x v="47"/>
    <n v="25472"/>
    <n v="16225.54"/>
    <n v="29638.080000000002"/>
    <n v="11409.79"/>
    <n v="24558.9"/>
    <n v="15822.03"/>
    <n v="35296.270000000004"/>
    <n v="45114.359999999993"/>
    <n v="77162.929999999993"/>
    <n v="280699.89999999997"/>
    <n v="164247.03"/>
    <n v="213555.51"/>
    <n v="333488.09000000008"/>
    <n v="991990.53"/>
  </r>
  <r>
    <x v="9"/>
    <s v="Research &amp; Development - Income Eligible"/>
    <x v="47"/>
    <n v="0"/>
    <n v="0"/>
    <n v="0"/>
    <n v="0"/>
    <n v="0"/>
    <n v="0"/>
    <n v="0"/>
    <n v="0"/>
    <n v="0"/>
    <n v="0"/>
    <n v="0"/>
    <n v="0"/>
    <n v="0"/>
    <n v="0"/>
  </r>
  <r>
    <x v="2"/>
    <s v="Emerging Tech (ET) and Market Transformation (MT)"/>
    <x v="6"/>
    <n v="360004.77"/>
    <n v="533794.95000000007"/>
    <n v="433138.77"/>
    <n v="366226.66"/>
    <n v="486030.46"/>
    <n v="697026.91000000015"/>
    <n v="366645.56000000006"/>
    <n v="530813.80999999994"/>
    <n v="566671.77"/>
    <n v="4340353.66"/>
    <n v="827599.74"/>
    <n v="1020533.72"/>
    <n v="1464078.51"/>
    <n v="7652565.6299999999"/>
  </r>
  <r>
    <x v="4"/>
    <s v="Internal Legal and Outside Counsel"/>
    <x v="22"/>
    <n v="578.17999999999995"/>
    <n v="63.819999999999993"/>
    <n v="1225.3999999999999"/>
    <n v="-862.42999999999984"/>
    <n v="4170.72"/>
    <n v="30.25"/>
    <n v="2485.63"/>
    <n v="-679.07999999999947"/>
    <n v="446.6699999999999"/>
    <n v="7459.1600000000017"/>
    <n v="5000"/>
    <n v="5000"/>
    <n v="5000"/>
    <n v="22459.160000000003"/>
  </r>
  <r>
    <x v="4"/>
    <s v="Non-EE Labor Charges re: PCI Timekeeping Rpt"/>
    <x v="22"/>
    <n v="0"/>
    <n v="837.4200000000003"/>
    <n v="2421.4800000000009"/>
    <n v="5774.2300000000005"/>
    <n v="9692.81"/>
    <n v="3728.49"/>
    <n v="1965.56"/>
    <n v="2269.7600000000007"/>
    <n v="159.02000000000007"/>
    <n v="26848.770000000004"/>
    <n v="5000"/>
    <n v="5000"/>
    <n v="5000"/>
    <n v="41848.770000000004"/>
  </r>
  <r>
    <x v="4"/>
    <s v="EE- Portfolio Analytics Services &amp; Su"/>
    <x v="22"/>
    <n v="55976"/>
    <n v="-10919"/>
    <n v="25928"/>
    <n v="22609"/>
    <n v="19714"/>
    <n v="15213"/>
    <n v="15951.5"/>
    <n v="17944.5"/>
    <n v="19944.5"/>
    <n v="182361.5"/>
    <n v="20000"/>
    <n v="20000"/>
    <n v="26940.807500001043"/>
    <n v="249302.30750000104"/>
  </r>
  <r>
    <x v="2"/>
    <s v="EE-Mrkt Research"/>
    <x v="6"/>
    <n v="0"/>
    <n v="0"/>
    <n v="0"/>
    <n v="0"/>
    <n v="0"/>
    <n v="0"/>
    <n v="0"/>
    <n v="0"/>
    <n v="0"/>
    <n v="0"/>
    <n v="0"/>
    <n v="0"/>
    <n v="0"/>
    <n v="0"/>
  </r>
  <r>
    <x v="2"/>
    <s v="Legal and IT Support"/>
    <x v="6"/>
    <n v="56554.18"/>
    <n v="-10017.76"/>
    <n v="29574.880000000001"/>
    <n v="27520.800000000003"/>
    <n v="33577.53"/>
    <n v="18971.739999999998"/>
    <n v="20402.690000000002"/>
    <n v="19535.18"/>
    <n v="20550.189999999999"/>
    <n v="216669.43"/>
    <n v="30000"/>
    <n v="30000"/>
    <n v="36940.807500001043"/>
    <n v="313610.23750000104"/>
  </r>
  <r>
    <x v="2"/>
    <m/>
    <x v="6"/>
    <n v="0"/>
    <n v="0"/>
    <n v="0"/>
    <n v="0"/>
    <n v="0"/>
    <n v="0"/>
    <n v="0"/>
    <n v="0"/>
    <n v="0"/>
    <n v="0"/>
    <n v="0"/>
    <n v="0"/>
    <n v="0"/>
    <n v="0"/>
  </r>
  <r>
    <x v="4"/>
    <m/>
    <x v="22"/>
    <n v="148310.19"/>
    <n v="158715.33000000002"/>
    <n v="184663.38"/>
    <n v="157183.43999999994"/>
    <n v="132135.51000000004"/>
    <n v="118832.38999999998"/>
    <n v="105656.32000000001"/>
    <n v="137212.98000000001"/>
    <n v="143404.27000000002"/>
    <n v="1286113.81"/>
    <n v="162070.9217440449"/>
    <n v="143699.83720431"/>
    <n v="135146.49253388715"/>
    <n v="1727031.0614822423"/>
  </r>
  <r>
    <x v="2"/>
    <m/>
    <x v="6"/>
    <n v="1309998.03"/>
    <n v="1568752.88"/>
    <n v="1611406.3399999999"/>
    <n v="1912900.5699999998"/>
    <n v="2234411.63"/>
    <n v="1815274.9000000001"/>
    <n v="1439962.3900000001"/>
    <n v="1474488.1600000001"/>
    <n v="1483028.95"/>
    <n v="14850223.85"/>
    <n v="1725384.5592440448"/>
    <n v="2041947.4547043098"/>
    <n v="1927035.187533888"/>
    <n v="20544591.051482242"/>
  </r>
  <r>
    <x v="4"/>
    <s v="EE Portfolio Admin eTrack"/>
    <x v="22"/>
    <n v="59182"/>
    <n v="59182"/>
    <n v="59182"/>
    <n v="59182"/>
    <n v="59182"/>
    <n v="78307"/>
    <n v="59182"/>
    <n v="74822"/>
    <n v="13600"/>
    <n v="521821"/>
    <n v="177480.66666666666"/>
    <n v="186496.69666666666"/>
    <n v="226111.69166666677"/>
    <n v="1111910.0550000002"/>
  </r>
  <r>
    <x v="4"/>
    <s v="EE Portfolio Admin Salesforce"/>
    <x v="22"/>
    <n v="112389.38"/>
    <n v="95268.919999999969"/>
    <n v="105138.58999999998"/>
    <n v="110284.20999999999"/>
    <n v="211694.11000000002"/>
    <n v="109024.81"/>
    <n v="122617.77"/>
    <n v="107760.17"/>
    <n v="124872.67"/>
    <n v="1099050.6300000001"/>
    <n v="113316.84"/>
    <n v="113316.84"/>
    <n v="101761.00999999992"/>
    <n v="1427445.3200000003"/>
  </r>
  <r>
    <x v="4"/>
    <s v="EE Scorecard Automation"/>
    <x v="22"/>
    <n v="36529.22"/>
    <n v="17903.5"/>
    <n v="14906.75"/>
    <n v="9502.74"/>
    <n v="-363.41000000000008"/>
    <n v="-3.5599999999999454"/>
    <n v="-4.5599999999999454"/>
    <n v="0"/>
    <n v="0"/>
    <n v="78470.680000000008"/>
    <n v="33333.333333333336"/>
    <n v="84309.098333333328"/>
    <n v="106623.765"/>
    <n v="302736.87666666665"/>
  </r>
  <r>
    <x v="2"/>
    <m/>
    <x v="6"/>
    <n v="208100.6"/>
    <n v="172354.41999999998"/>
    <n v="179227.33999999997"/>
    <n v="178968.94999999998"/>
    <n v="270512.7"/>
    <n v="187328.25"/>
    <n v="181795.21000000002"/>
    <n v="182582.16999999998"/>
    <n v="138472.66999999998"/>
    <n v="1699342.3099999998"/>
    <n v="324130.83999999997"/>
    <n v="384122.63499999995"/>
    <n v="434496.46666666667"/>
    <n v="2842092.2516666665"/>
  </r>
  <r>
    <x v="4"/>
    <s v="EE-Gen Portfolio Support"/>
    <x v="22"/>
    <n v="140848.87"/>
    <n v="141866.40000000002"/>
    <n v="170664.62"/>
    <n v="147325.63"/>
    <n v="161144.91999999998"/>
    <n v="175128.89"/>
    <n v="121654.48"/>
    <n v="145257.69"/>
    <n v="153322.77000000002"/>
    <n v="1357214.27"/>
    <n v="305894.09000000003"/>
    <n v="275633.90000000002"/>
    <n v="317915.36538461549"/>
    <n v="2256657.6253846157"/>
  </r>
  <r>
    <x v="4"/>
    <s v="Market Development Initiative"/>
    <x v="22"/>
    <n v="229523.61"/>
    <n v="192533.5"/>
    <n v="266945.09999999998"/>
    <n v="468894.87"/>
    <n v="361011.62"/>
    <n v="482178.91999999993"/>
    <n v="300444.24000000005"/>
    <n v="327240.88000000006"/>
    <n v="819945.18"/>
    <n v="3448717.9200000004"/>
    <n v="650029.6"/>
    <n v="609382.6"/>
    <n v="539824.0199999999"/>
    <n v="5247954.1399999997"/>
  </r>
  <r>
    <x v="4"/>
    <s v="Cost of EDA on bill financing"/>
    <x v="22"/>
    <n v="9872.41"/>
    <n v="9710.0600000000013"/>
    <n v="8723.81"/>
    <n v="8737.4"/>
    <n v="9483.75"/>
    <n v="10135.450000000001"/>
    <n v="8652.61"/>
    <n v="11398.619999999999"/>
    <n v="7029.05"/>
    <n v="83743.16"/>
    <n v="11130"/>
    <n v="11130"/>
    <n v="23192.949999999997"/>
    <n v="129196.11"/>
  </r>
  <r>
    <x v="2"/>
    <m/>
    <x v="6"/>
    <n v="380244.88999999996"/>
    <n v="344109.96"/>
    <n v="446333.52999999997"/>
    <n v="624957.9"/>
    <n v="531640.29"/>
    <n v="667443.25999999989"/>
    <n v="430751.33"/>
    <n v="483897.19000000006"/>
    <n v="980297.00000000012"/>
    <n v="4889675.3499999996"/>
    <n v="967053.69"/>
    <n v="896146.5"/>
    <n v="880932.33538461535"/>
    <n v="7633807.8753846148"/>
  </r>
  <r>
    <x v="2"/>
    <s v="Forecast File Enhancement"/>
    <x v="6"/>
    <n v="0"/>
    <n v="0"/>
    <n v="0"/>
    <n v="0"/>
    <n v="0"/>
    <n v="0"/>
    <n v="0"/>
    <n v="0"/>
    <n v="0"/>
    <n v="0"/>
    <n v="0"/>
    <n v="0"/>
    <n v="0"/>
    <n v="0"/>
  </r>
  <r>
    <x v="2"/>
    <m/>
    <x v="6"/>
    <n v="0"/>
    <n v="0"/>
    <n v="0"/>
    <n v="0"/>
    <n v="0"/>
    <n v="0"/>
    <n v="0"/>
    <n v="0"/>
    <n v="0"/>
    <n v="0"/>
    <n v="0"/>
    <n v="0"/>
    <n v="0"/>
    <n v="0"/>
  </r>
  <r>
    <x v="2"/>
    <m/>
    <x v="6"/>
    <n v="0"/>
    <n v="0"/>
    <n v="0"/>
    <n v="0"/>
    <n v="0"/>
    <n v="0"/>
    <n v="0"/>
    <n v="0"/>
    <n v="0"/>
    <n v="0"/>
    <n v="0"/>
    <n v="0"/>
    <n v="0"/>
    <n v="0"/>
  </r>
  <r>
    <x v="4"/>
    <s v="General Program Costs"/>
    <x v="22"/>
    <n v="50129.06"/>
    <n v="1093.7099999999998"/>
    <n v="814"/>
    <n v="0"/>
    <n v="0"/>
    <n v="0"/>
    <n v="0"/>
    <n v="0"/>
    <n v="0"/>
    <n v="52036.77"/>
    <n v="0"/>
    <n v="1462598.8247648198"/>
    <n v="1453829.7472648621"/>
    <n v="2968465.3420296819"/>
  </r>
  <r>
    <x v="4"/>
    <s v="EE - Conference Travel Costs"/>
    <x v="22"/>
    <n v="2064.94"/>
    <n v="759.29999999999859"/>
    <n v="2324.8200000000002"/>
    <n v="4082.9"/>
    <n v="567.66"/>
    <n v="4159.3"/>
    <n v="4937.4799999999996"/>
    <n v="795.91"/>
    <n v="2328.27"/>
    <n v="22020.579999999998"/>
    <n v="500"/>
    <n v="500"/>
    <n v="500"/>
    <n v="23520.579999999998"/>
  </r>
  <r>
    <x v="2"/>
    <s v=" Portfolio Admin Support"/>
    <x v="6"/>
    <n v="0"/>
    <n v="0"/>
    <n v="0"/>
    <n v="0"/>
    <n v="0"/>
    <n v="0"/>
    <n v="0"/>
    <n v="0"/>
    <n v="0"/>
    <n v="0"/>
    <n v="0"/>
    <n v="0"/>
    <n v="0"/>
    <n v="0"/>
  </r>
  <r>
    <x v="2"/>
    <s v="General Admin and EE Travel"/>
    <x v="6"/>
    <n v="52194"/>
    <n v="1853.0099999999984"/>
    <n v="3138.82"/>
    <n v="4082.9"/>
    <n v="567.66"/>
    <n v="4159.3"/>
    <n v="4937.4799999999996"/>
    <n v="795.91"/>
    <n v="2328.27"/>
    <n v="74057.350000000006"/>
    <n v="500"/>
    <n v="1463098.8247648198"/>
    <n v="1454329.7472648621"/>
    <n v="2991985.922029682"/>
  </r>
  <r>
    <x v="4"/>
    <s v="Call Center Budget"/>
    <x v="22"/>
    <n v="25532.11"/>
    <n v="25283.57"/>
    <n v="27318.129999999997"/>
    <n v="26023.41"/>
    <n v="32715.880000000005"/>
    <n v="30800.83"/>
    <n v="33579.479999999996"/>
    <n v="30229.629999999997"/>
    <n v="31181.629999999997"/>
    <n v="262664.67"/>
    <n v="31433"/>
    <n v="31433"/>
    <n v="34495.39"/>
    <n v="360026.06"/>
  </r>
  <r>
    <x v="2"/>
    <m/>
    <x v="6"/>
    <n v="25532.11"/>
    <n v="25283.57"/>
    <n v="27318.129999999997"/>
    <n v="26023.41"/>
    <n v="32715.880000000005"/>
    <n v="30800.83"/>
    <n v="33579.479999999996"/>
    <n v="30229.629999999997"/>
    <n v="31181.629999999997"/>
    <n v="262664.67"/>
    <n v="31433"/>
    <n v="31433"/>
    <n v="34495.39"/>
    <n v="360026.06"/>
  </r>
  <r>
    <x v="2"/>
    <m/>
    <x v="6"/>
    <n v="0"/>
    <n v="0"/>
    <n v="0"/>
    <n v="0"/>
    <n v="0"/>
    <n v="0"/>
    <n v="0"/>
    <n v="0"/>
    <n v="0"/>
    <n v="0"/>
    <n v="0"/>
    <n v="0"/>
    <n v="0"/>
    <n v="0"/>
  </r>
  <r>
    <x v="4"/>
    <m/>
    <x v="22"/>
    <n v="214180.96"/>
    <n v="218446.95999999996"/>
    <n v="245138.76000000007"/>
    <n v="237501.95999999996"/>
    <n v="249490.21999999997"/>
    <n v="232770.78000000003"/>
    <n v="224690.80000000002"/>
    <n v="198452.23"/>
    <n v="197945.07"/>
    <n v="2018617.74"/>
    <n v="248427"/>
    <n v="210143"/>
    <n v="209117"/>
    <n v="2686304.74"/>
  </r>
  <r>
    <x v="2"/>
    <m/>
    <x v="6"/>
    <n v="880252.55999999994"/>
    <n v="762047.91999999993"/>
    <n v="901156.58"/>
    <n v="1071535.1199999999"/>
    <n v="1084926.75"/>
    <n v="1122502.42"/>
    <n v="875754.3"/>
    <n v="895957.13000000012"/>
    <n v="1350224.6400000001"/>
    <n v="8944357.4199999999"/>
    <n v="1571544.5299999998"/>
    <n v="2984943.9597648196"/>
    <n v="3013370.9393161442"/>
    <n v="16514216.849080963"/>
  </r>
  <r>
    <x v="4"/>
    <m/>
    <x v="22"/>
    <n v="29778.019999999997"/>
    <n v="19171.370000000006"/>
    <n v="32770.799999999996"/>
    <n v="-2012.1699999999998"/>
    <n v="-198.72000000000003"/>
    <n v="10387.08"/>
    <n v="-10387.08"/>
    <n v="0"/>
    <n v="0"/>
    <n v="79509.3"/>
    <n v="0"/>
    <n v="0"/>
    <n v="0"/>
    <n v="79509.3"/>
  </r>
  <r>
    <x v="2"/>
    <m/>
    <x v="6"/>
    <n v="2220028.61"/>
    <n v="2349972.17"/>
    <n v="2545333.7199999997"/>
    <n v="2982423.5199999996"/>
    <n v="3319139.66"/>
    <n v="2948164.4000000004"/>
    <n v="2305329.6100000003"/>
    <n v="2370445.29"/>
    <n v="2833253.59"/>
    <n v="23874090.57"/>
    <n v="3296929.0892440444"/>
    <n v="5026891.4144691294"/>
    <n v="4940406.1268500322"/>
    <n v="37138317.200563207"/>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r>
    <x v="2"/>
    <m/>
    <x v="6"/>
    <m/>
    <m/>
    <m/>
    <m/>
    <m/>
    <m/>
    <m/>
    <m/>
    <m/>
    <n v="0"/>
    <m/>
    <m/>
    <m/>
    <m/>
  </r>
  <r>
    <x v="2"/>
    <s v="EE Incentives for replacement of ComEd-owned streetlights"/>
    <x v="6"/>
    <n v="0"/>
    <n v="0"/>
    <n v="0"/>
    <n v="0"/>
    <n v="0"/>
    <n v="0"/>
    <n v="0"/>
    <n v="0"/>
    <n v="0"/>
    <n v="0"/>
    <n v="0"/>
    <n v="0"/>
    <n v="0"/>
    <n v="0"/>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677E3B-4B73-4551-ACC0-EF1E1FD6B10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36:D193" firstHeaderRow="0" firstDataRow="1" firstDataCol="1"/>
  <pivotFields count="17">
    <pivotField axis="axisRow" showAll="0">
      <items count="11">
        <item x="7"/>
        <item x="5"/>
        <item x="6"/>
        <item x="9"/>
        <item x="8"/>
        <item x="1"/>
        <item x="0"/>
        <item x="3"/>
        <item x="4"/>
        <item h="1" x="2"/>
        <item t="default"/>
      </items>
    </pivotField>
    <pivotField showAll="0"/>
    <pivotField axis="axisRow" showAll="0">
      <items count="49">
        <item x="10"/>
        <item x="17"/>
        <item x="13"/>
        <item x="16"/>
        <item x="30"/>
        <item x="42"/>
        <item x="43"/>
        <item x="15"/>
        <item x="34"/>
        <item x="35"/>
        <item x="47"/>
        <item x="46"/>
        <item x="44"/>
        <item x="45"/>
        <item x="11"/>
        <item x="18"/>
        <item x="31"/>
        <item x="20"/>
        <item x="38"/>
        <item x="39"/>
        <item x="3"/>
        <item x="1"/>
        <item x="2"/>
        <item x="40"/>
        <item x="41"/>
        <item x="22"/>
        <item x="23"/>
        <item x="28"/>
        <item x="12"/>
        <item x="8"/>
        <item x="29"/>
        <item x="21"/>
        <item x="19"/>
        <item x="14"/>
        <item x="9"/>
        <item x="36"/>
        <item x="37"/>
        <item x="5"/>
        <item x="0"/>
        <item x="4"/>
        <item x="26"/>
        <item x="27"/>
        <item x="24"/>
        <item x="25"/>
        <item x="32"/>
        <item x="33"/>
        <item x="7"/>
        <item x="6"/>
        <item t="default"/>
      </items>
    </pivotField>
    <pivotField showAll="0"/>
    <pivotField showAll="0"/>
    <pivotField showAll="0"/>
    <pivotField showAll="0"/>
    <pivotField showAll="0"/>
    <pivotField showAll="0"/>
    <pivotField showAll="0"/>
    <pivotField showAll="0"/>
    <pivotField showAll="0"/>
    <pivotField dataField="1" numFmtId="167" showAll="0"/>
    <pivotField showAll="0"/>
    <pivotField showAll="0"/>
    <pivotField showAll="0"/>
    <pivotField dataField="1" showAll="0"/>
  </pivotFields>
  <rowFields count="2">
    <field x="0"/>
    <field x="2"/>
  </rowFields>
  <rowItems count="57">
    <i>
      <x/>
    </i>
    <i r="1">
      <x v="4"/>
    </i>
    <i>
      <x v="1"/>
    </i>
    <i r="1">
      <x v="5"/>
    </i>
    <i r="1">
      <x v="8"/>
    </i>
    <i r="1">
      <x v="12"/>
    </i>
    <i r="1">
      <x v="16"/>
    </i>
    <i r="1">
      <x v="18"/>
    </i>
    <i r="1">
      <x v="23"/>
    </i>
    <i r="1">
      <x v="26"/>
    </i>
    <i r="1">
      <x v="27"/>
    </i>
    <i r="1">
      <x v="35"/>
    </i>
    <i r="1">
      <x v="40"/>
    </i>
    <i r="1">
      <x v="42"/>
    </i>
    <i r="1">
      <x v="44"/>
    </i>
    <i>
      <x v="2"/>
    </i>
    <i r="1">
      <x v="6"/>
    </i>
    <i r="1">
      <x v="9"/>
    </i>
    <i r="1">
      <x v="13"/>
    </i>
    <i r="1">
      <x v="19"/>
    </i>
    <i r="1">
      <x v="24"/>
    </i>
    <i r="1">
      <x v="30"/>
    </i>
    <i r="1">
      <x v="36"/>
    </i>
    <i r="1">
      <x v="41"/>
    </i>
    <i r="1">
      <x v="43"/>
    </i>
    <i r="1">
      <x v="45"/>
    </i>
    <i>
      <x v="3"/>
    </i>
    <i r="1">
      <x v="10"/>
    </i>
    <i>
      <x v="4"/>
    </i>
    <i r="1">
      <x v="11"/>
    </i>
    <i>
      <x v="5"/>
    </i>
    <i r="1">
      <x/>
    </i>
    <i r="1">
      <x v="1"/>
    </i>
    <i r="1">
      <x v="15"/>
    </i>
    <i r="1">
      <x v="20"/>
    </i>
    <i r="1">
      <x v="22"/>
    </i>
    <i r="1">
      <x v="28"/>
    </i>
    <i r="1">
      <x v="33"/>
    </i>
    <i r="1">
      <x v="37"/>
    </i>
    <i r="1">
      <x v="39"/>
    </i>
    <i r="1">
      <x v="46"/>
    </i>
    <i>
      <x v="6"/>
    </i>
    <i r="1">
      <x v="2"/>
    </i>
    <i r="1">
      <x v="3"/>
    </i>
    <i r="1">
      <x v="7"/>
    </i>
    <i r="1">
      <x v="14"/>
    </i>
    <i r="1">
      <x v="21"/>
    </i>
    <i r="1">
      <x v="29"/>
    </i>
    <i r="1">
      <x v="31"/>
    </i>
    <i r="1">
      <x v="32"/>
    </i>
    <i r="1">
      <x v="34"/>
    </i>
    <i r="1">
      <x v="38"/>
    </i>
    <i>
      <x v="7"/>
    </i>
    <i r="1">
      <x v="17"/>
    </i>
    <i>
      <x v="8"/>
    </i>
    <i r="1">
      <x v="25"/>
    </i>
    <i t="grand">
      <x/>
    </i>
  </rowItems>
  <colFields count="1">
    <field x="-2"/>
  </colFields>
  <colItems count="2">
    <i>
      <x/>
    </i>
    <i i="1">
      <x v="1"/>
    </i>
  </colItems>
  <dataFields count="2">
    <dataField name="Sum of Q3 YTD" fld="12" baseField="0" baseItem="0"/>
    <dataField name="Sum of 2024" fld="16" baseField="0" baseItem="0"/>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2" dT="2024-04-25T17:12:31.65" personId="{BA2B3981-C5E5-49DF-AFD9-5E37C6648BF5}" id="{8A233EE7-7EB8-4FDF-97BC-E3CD7C730792}">
    <text>Can hide</text>
  </threadedComment>
  <threadedComment ref="B99" dT="2025-04-16T21:17:55.16" personId="{76AED2B2-0F2B-4635-8E63-D67EEBF6D7A1}" id="{50CFE6DA-CEEC-4866-90BA-4BC6739A6344}">
    <text>Need to subtract Public Housing Heat Pump</text>
  </threadedComment>
  <threadedComment ref="B100" dT="2025-04-16T21:18:13.37" personId="{76AED2B2-0F2B-4635-8E63-D67EEBF6D7A1}" id="{E7884501-BDEE-4C32-878F-12C3C95D9F39}">
    <text>Need to add Public Housing Heat Pump</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hyperlink" Target="../../../../../../:x:/r/sites/ComEd-EEDataTeam/_layouts/15/Doc.aspx?sourcedoc=%7BD29AF542-A78E-4C1D-ACBB-6E915099CA6A%7D&amp;file=FINAL%20December%202024%2012%2B0%20LE%20EE%20Regulatory%20Asset%201-2.25.xlsx&amp;action=default&amp;mobileredirect=true" TargetMode="External"/><Relationship Id="rId2" Type="http://schemas.openxmlformats.org/officeDocument/2006/relationships/hyperlink" Target="../../../../../../:x:/r/sites/ComEd-EEDataTeam/_layouts/15/Doc.aspx?sourcedoc=%7B7C30C34A-A651-4BF0-B9CC-9F861169117C%7D&amp;file=FINAL%20December%202023%2012%2B0%20EE%20Regulatory%20Asset%20_12.28.2023.xlsx&amp;action=default&amp;mobileredirect=true" TargetMode="External"/><Relationship Id="rId1" Type="http://schemas.openxmlformats.org/officeDocument/2006/relationships/hyperlink" Target="../../../../../../:x:/r/sites/EEFinance/Shared%20Documents/Month%20End%20Close/2022/12%20December/December%202022%2012+0%20EE%20Regulatory%20Asset%20FINAL.xlsx?d=w50c13a2d56dc4c9f8cb5f95fc5f4582b&amp;csf=1&amp;web=1&amp;e=XDwoKQ" TargetMode="External"/><Relationship Id="rId5" Type="http://schemas.openxmlformats.org/officeDocument/2006/relationships/printerSettings" Target="../printerSettings/printerSettings9.bin"/><Relationship Id="rId4" Type="http://schemas.openxmlformats.org/officeDocument/2006/relationships/hyperlink" Target="../../../../../../:x:/r/sites/CY2020Q3SavingsandHighlights/_layouts/15/Doc2.aspx?action=edit&amp;sourcedoc=%7B3b25be39-b63f-441b-8292-bf536c93a76e%7D&amp;wdOrigin=TEAMS-MAGLEV.teamsSdk_ns.rwc&amp;wdExp=TEAMS-TREATMENT&amp;wdhostclicktime=1746465188358&amp;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4D62-78C8-4529-BA22-FDA5CB84AA75}">
  <sheetPr>
    <tabColor theme="0"/>
    <pageSetUpPr fitToPage="1"/>
  </sheetPr>
  <dimension ref="A1:V137"/>
  <sheetViews>
    <sheetView tabSelected="1" topLeftCell="C1" workbookViewId="0">
      <selection activeCell="I45" sqref="I45"/>
    </sheetView>
  </sheetViews>
  <sheetFormatPr defaultColWidth="9.140625" defaultRowHeight="22.5" customHeight="1"/>
  <cols>
    <col min="1" max="1" width="56.28515625" hidden="1" customWidth="1"/>
    <col min="2" max="2" width="59.5703125" hidden="1" customWidth="1"/>
    <col min="3" max="3" width="45" customWidth="1"/>
    <col min="4" max="4" width="12.85546875" customWidth="1"/>
    <col min="5" max="6" width="11.85546875" customWidth="1"/>
    <col min="7" max="7" width="14.7109375" customWidth="1"/>
    <col min="8" max="8" width="17" style="3" customWidth="1"/>
    <col min="9" max="9" width="14.5703125" style="3" customWidth="1"/>
    <col min="10" max="13" width="15.5703125" customWidth="1"/>
    <col min="14" max="14" width="14.140625" customWidth="1"/>
    <col min="15" max="15" width="17.5703125" customWidth="1"/>
    <col min="16" max="16" width="10.5703125" bestFit="1" customWidth="1"/>
    <col min="17" max="17" width="17" bestFit="1" customWidth="1"/>
    <col min="18" max="18" width="13.140625" bestFit="1" customWidth="1"/>
  </cols>
  <sheetData>
    <row r="1" spans="1:22" ht="22.5" customHeight="1">
      <c r="B1" s="64"/>
      <c r="C1" s="71" t="s">
        <v>0</v>
      </c>
      <c r="D1" s="71"/>
      <c r="E1" s="71"/>
      <c r="F1" s="71"/>
      <c r="G1" s="64"/>
      <c r="H1" s="102"/>
      <c r="I1" s="102"/>
      <c r="J1" s="64"/>
      <c r="K1" s="64"/>
      <c r="L1" s="64"/>
      <c r="M1" s="64"/>
      <c r="N1" s="64"/>
      <c r="O1" s="64"/>
      <c r="P1" s="64"/>
      <c r="Q1" s="64"/>
      <c r="R1" s="64"/>
      <c r="S1" s="64"/>
      <c r="T1" s="64"/>
      <c r="U1" s="64"/>
      <c r="V1" s="64"/>
    </row>
    <row r="2" spans="1:22" ht="22.5" customHeight="1">
      <c r="B2" s="64"/>
      <c r="C2" s="71" t="s">
        <v>1</v>
      </c>
      <c r="D2" s="71"/>
      <c r="E2" s="71"/>
      <c r="F2" s="71"/>
      <c r="G2" s="64"/>
      <c r="H2" s="102"/>
      <c r="I2" s="102"/>
      <c r="J2" s="64"/>
      <c r="K2" s="64"/>
      <c r="L2" s="64"/>
      <c r="M2" s="64"/>
      <c r="N2" s="64"/>
      <c r="O2" s="64"/>
      <c r="P2" s="64"/>
      <c r="Q2" s="64"/>
      <c r="R2" s="64"/>
      <c r="S2" s="64"/>
      <c r="T2" s="64"/>
      <c r="U2" s="64"/>
      <c r="V2" s="64"/>
    </row>
    <row r="3" spans="1:22" ht="22.5" customHeight="1">
      <c r="B3" s="64"/>
      <c r="C3" s="71" t="s">
        <v>2</v>
      </c>
      <c r="D3" s="71"/>
      <c r="E3" s="71"/>
      <c r="F3" s="71"/>
      <c r="G3" s="64"/>
      <c r="H3" s="102"/>
      <c r="I3" s="102"/>
      <c r="J3" s="64"/>
      <c r="K3" s="64"/>
      <c r="L3" s="64"/>
      <c r="M3" s="64"/>
      <c r="N3" s="64"/>
      <c r="O3" s="64"/>
      <c r="P3" s="64"/>
      <c r="Q3" s="64"/>
      <c r="R3" s="64"/>
      <c r="S3" s="64"/>
      <c r="T3" s="64"/>
      <c r="U3" s="64"/>
      <c r="V3" s="64"/>
    </row>
    <row r="4" spans="1:22" ht="22.5" customHeight="1">
      <c r="B4" s="64"/>
      <c r="C4" s="71"/>
      <c r="D4" s="71"/>
      <c r="E4" s="71"/>
      <c r="F4" s="71"/>
      <c r="G4" s="64"/>
      <c r="H4" s="102"/>
      <c r="I4" s="102"/>
      <c r="J4" s="64"/>
      <c r="K4" s="64"/>
      <c r="L4" s="64"/>
      <c r="M4" s="64"/>
      <c r="N4" s="64"/>
      <c r="O4" s="64"/>
      <c r="P4" s="64"/>
      <c r="Q4" s="64"/>
      <c r="R4" s="64"/>
      <c r="S4" s="64"/>
      <c r="T4" s="64"/>
      <c r="U4" s="64"/>
      <c r="V4" s="64"/>
    </row>
    <row r="5" spans="1:22" ht="22.5" customHeight="1">
      <c r="B5" s="64"/>
      <c r="C5" s="529" t="s">
        <v>3</v>
      </c>
      <c r="D5" s="530"/>
      <c r="E5" s="530"/>
      <c r="F5" s="530"/>
      <c r="G5" s="530"/>
      <c r="H5" s="530"/>
      <c r="I5" s="530"/>
      <c r="J5" s="530"/>
      <c r="K5" s="530"/>
      <c r="L5" s="530"/>
      <c r="M5" s="530"/>
      <c r="N5" s="531"/>
      <c r="O5" s="64"/>
      <c r="P5" s="64"/>
      <c r="Q5" s="64"/>
      <c r="R5" s="64"/>
      <c r="S5" s="64"/>
      <c r="T5" s="64"/>
      <c r="U5" s="64"/>
      <c r="V5" s="64"/>
    </row>
    <row r="6" spans="1:22" ht="45" customHeight="1">
      <c r="B6" s="64"/>
      <c r="C6" s="532"/>
      <c r="D6" s="533"/>
      <c r="E6" s="533"/>
      <c r="F6" s="533"/>
      <c r="G6" s="533"/>
      <c r="H6" s="533"/>
      <c r="I6" s="533"/>
      <c r="J6" s="533"/>
      <c r="K6" s="533"/>
      <c r="L6" s="533"/>
      <c r="M6" s="533"/>
      <c r="N6" s="534"/>
      <c r="O6" s="64"/>
      <c r="P6" s="64"/>
      <c r="Q6" s="64"/>
      <c r="R6" s="64"/>
      <c r="S6" s="64"/>
      <c r="T6" s="64"/>
      <c r="U6" s="64"/>
      <c r="V6" s="64"/>
    </row>
    <row r="7" spans="1:22" ht="22.5" customHeight="1">
      <c r="B7" s="64"/>
      <c r="C7" s="142"/>
      <c r="D7" s="71"/>
      <c r="E7" s="71"/>
      <c r="F7" s="71"/>
      <c r="G7" s="64"/>
      <c r="H7" s="102"/>
      <c r="I7" s="102"/>
      <c r="J7" s="64"/>
      <c r="K7" s="64"/>
      <c r="L7" s="64"/>
      <c r="M7" s="64"/>
      <c r="N7" s="64"/>
      <c r="O7" s="64"/>
      <c r="P7" s="64"/>
      <c r="Q7" s="64"/>
      <c r="R7" s="64"/>
      <c r="S7" s="64"/>
      <c r="T7" s="64"/>
      <c r="U7" s="64"/>
      <c r="V7" s="64"/>
    </row>
    <row r="8" spans="1:22" ht="7.35" customHeight="1">
      <c r="B8" s="64"/>
      <c r="C8" s="535" t="s">
        <v>4</v>
      </c>
      <c r="D8" s="535"/>
      <c r="E8" s="535"/>
      <c r="F8" s="535"/>
      <c r="G8" s="535"/>
      <c r="H8" s="535"/>
      <c r="I8" s="535"/>
      <c r="J8" s="535"/>
      <c r="K8" s="535"/>
      <c r="L8" s="535"/>
      <c r="M8" s="535"/>
      <c r="N8" s="535"/>
      <c r="O8" s="64"/>
      <c r="P8" s="64"/>
      <c r="Q8" s="64"/>
      <c r="R8" s="64"/>
      <c r="S8" s="64"/>
      <c r="T8" s="64"/>
      <c r="U8" s="64"/>
      <c r="V8" s="64"/>
    </row>
    <row r="9" spans="1:22" ht="15.75" customHeight="1">
      <c r="B9" s="64"/>
      <c r="C9" s="535"/>
      <c r="D9" s="535"/>
      <c r="E9" s="535"/>
      <c r="F9" s="535"/>
      <c r="G9" s="535"/>
      <c r="H9" s="535"/>
      <c r="I9" s="535"/>
      <c r="J9" s="535"/>
      <c r="K9" s="535"/>
      <c r="L9" s="535"/>
      <c r="M9" s="535"/>
      <c r="N9" s="535"/>
      <c r="O9" s="64"/>
      <c r="P9" s="64"/>
      <c r="Q9" s="64"/>
      <c r="R9" s="64"/>
      <c r="S9" s="64"/>
      <c r="T9" s="64"/>
      <c r="U9" s="64"/>
      <c r="V9" s="64"/>
    </row>
    <row r="10" spans="1:22" ht="10.5" customHeight="1">
      <c r="B10" s="64"/>
      <c r="C10" s="535"/>
      <c r="D10" s="535"/>
      <c r="E10" s="535"/>
      <c r="F10" s="535"/>
      <c r="G10" s="535"/>
      <c r="H10" s="535"/>
      <c r="I10" s="535"/>
      <c r="J10" s="535"/>
      <c r="K10" s="535"/>
      <c r="L10" s="535"/>
      <c r="M10" s="535"/>
      <c r="N10" s="535"/>
      <c r="O10" s="64"/>
      <c r="P10" s="64"/>
      <c r="Q10" s="64"/>
      <c r="R10" s="64"/>
      <c r="S10" s="64"/>
      <c r="T10" s="64"/>
      <c r="U10" s="64"/>
      <c r="V10" s="64"/>
    </row>
    <row r="11" spans="1:22" ht="22.5" customHeight="1">
      <c r="B11" s="64"/>
      <c r="C11" s="535"/>
      <c r="D11" s="535"/>
      <c r="E11" s="535"/>
      <c r="F11" s="535"/>
      <c r="G11" s="535"/>
      <c r="H11" s="535"/>
      <c r="I11" s="535"/>
      <c r="J11" s="535"/>
      <c r="K11" s="535"/>
      <c r="L11" s="535"/>
      <c r="M11" s="535"/>
      <c r="N11" s="535"/>
      <c r="O11" s="64"/>
      <c r="P11" s="64"/>
      <c r="Q11" s="64"/>
      <c r="R11" s="64"/>
      <c r="S11" s="64"/>
      <c r="T11" s="64"/>
      <c r="U11" s="64"/>
      <c r="V11" s="64"/>
    </row>
    <row r="12" spans="1:22" ht="22.5" customHeight="1">
      <c r="B12" s="64"/>
      <c r="C12" s="535"/>
      <c r="D12" s="535"/>
      <c r="E12" s="535"/>
      <c r="F12" s="535"/>
      <c r="G12" s="535"/>
      <c r="H12" s="535"/>
      <c r="I12" s="535"/>
      <c r="J12" s="535"/>
      <c r="K12" s="535"/>
      <c r="L12" s="535"/>
      <c r="M12" s="535"/>
      <c r="N12" s="535"/>
      <c r="O12" s="64"/>
      <c r="P12" s="64"/>
      <c r="Q12" s="64"/>
      <c r="R12" s="64"/>
      <c r="S12" s="64"/>
      <c r="T12" s="64"/>
      <c r="U12" s="64"/>
      <c r="V12" s="64"/>
    </row>
    <row r="13" spans="1:22" ht="22.5" customHeight="1">
      <c r="B13" s="64"/>
      <c r="C13" s="535"/>
      <c r="D13" s="535"/>
      <c r="E13" s="535"/>
      <c r="F13" s="535"/>
      <c r="G13" s="535"/>
      <c r="H13" s="535"/>
      <c r="I13" s="535"/>
      <c r="J13" s="535"/>
      <c r="K13" s="535"/>
      <c r="L13" s="535"/>
      <c r="M13" s="535"/>
      <c r="N13" s="535"/>
      <c r="O13" s="64"/>
      <c r="P13" s="64"/>
      <c r="Q13" s="64"/>
      <c r="R13" s="64"/>
      <c r="S13" s="64"/>
      <c r="T13" s="64"/>
      <c r="U13" s="64"/>
      <c r="V13" s="64"/>
    </row>
    <row r="14" spans="1:22" ht="27.75" customHeight="1">
      <c r="B14" s="64"/>
      <c r="C14" s="535"/>
      <c r="D14" s="535"/>
      <c r="E14" s="535"/>
      <c r="F14" s="535"/>
      <c r="G14" s="535"/>
      <c r="H14" s="535"/>
      <c r="I14" s="535"/>
      <c r="J14" s="535"/>
      <c r="K14" s="535"/>
      <c r="L14" s="535"/>
      <c r="M14" s="535"/>
      <c r="N14" s="535"/>
      <c r="O14" s="64"/>
      <c r="P14" s="64"/>
      <c r="Q14" s="64"/>
      <c r="R14" s="64"/>
      <c r="S14" s="64"/>
      <c r="T14" s="64"/>
      <c r="U14" s="64"/>
      <c r="V14" s="64"/>
    </row>
    <row r="15" spans="1:22" ht="17.850000000000001" customHeight="1">
      <c r="B15" s="64"/>
      <c r="C15" s="535"/>
      <c r="D15" s="535"/>
      <c r="E15" s="535"/>
      <c r="F15" s="535"/>
      <c r="G15" s="535"/>
      <c r="H15" s="535"/>
      <c r="I15" s="535"/>
      <c r="J15" s="535"/>
      <c r="K15" s="535"/>
      <c r="L15" s="535"/>
      <c r="M15" s="535"/>
      <c r="N15" s="535"/>
      <c r="O15" s="64"/>
      <c r="P15" s="64"/>
      <c r="Q15" s="64"/>
      <c r="R15" s="64"/>
      <c r="S15" s="64"/>
      <c r="T15" s="64"/>
      <c r="U15" s="64"/>
      <c r="V15" s="64"/>
    </row>
    <row r="16" spans="1:22" ht="7.5" customHeight="1">
      <c r="A16" s="64"/>
      <c r="B16" s="64"/>
      <c r="C16" s="535"/>
      <c r="D16" s="535"/>
      <c r="E16" s="535"/>
      <c r="F16" s="535"/>
      <c r="G16" s="535"/>
      <c r="H16" s="535"/>
      <c r="I16" s="535"/>
      <c r="J16" s="535"/>
      <c r="K16" s="535"/>
      <c r="L16" s="535"/>
      <c r="M16" s="535"/>
      <c r="N16" s="535"/>
      <c r="O16" s="64"/>
      <c r="P16" s="64"/>
      <c r="Q16" s="64"/>
      <c r="R16" s="64"/>
      <c r="S16" s="64"/>
      <c r="T16" s="64"/>
      <c r="U16" s="64"/>
      <c r="V16" s="64"/>
    </row>
    <row r="17" spans="1:22" ht="22.5" customHeight="1">
      <c r="A17" s="64"/>
      <c r="B17" s="64"/>
      <c r="C17" s="94"/>
      <c r="D17" s="94"/>
      <c r="E17" s="94"/>
      <c r="F17" s="94"/>
      <c r="G17" s="94"/>
      <c r="H17" s="94"/>
      <c r="I17" s="230"/>
      <c r="J17" s="94"/>
      <c r="K17" s="94"/>
      <c r="L17" s="94"/>
      <c r="M17" s="94"/>
      <c r="N17" s="94"/>
      <c r="O17" s="64"/>
      <c r="P17" s="64"/>
      <c r="Q17" s="64"/>
      <c r="R17" s="64"/>
      <c r="S17" s="64"/>
      <c r="T17" s="64"/>
      <c r="U17" s="64"/>
      <c r="V17" s="64"/>
    </row>
    <row r="18" spans="1:22" ht="22.5" customHeight="1">
      <c r="A18" s="64"/>
      <c r="B18" s="64"/>
      <c r="C18" s="197" t="s">
        <v>5</v>
      </c>
      <c r="D18" s="94"/>
      <c r="E18" s="195"/>
      <c r="F18" s="195"/>
      <c r="G18" s="195"/>
      <c r="H18" s="195"/>
      <c r="I18" s="231"/>
      <c r="J18" s="195"/>
      <c r="K18" s="195"/>
      <c r="L18" s="195"/>
      <c r="M18" s="195"/>
      <c r="N18" s="195"/>
      <c r="O18" s="64"/>
      <c r="P18" s="64"/>
      <c r="Q18" s="64"/>
      <c r="R18" s="64"/>
      <c r="S18" s="64"/>
      <c r="T18" s="64"/>
      <c r="U18" s="64"/>
      <c r="V18" s="64"/>
    </row>
    <row r="19" spans="1:22" ht="41.1" customHeight="1">
      <c r="A19" s="64"/>
      <c r="B19" s="64"/>
      <c r="C19" s="198" t="s">
        <v>6</v>
      </c>
      <c r="D19" s="94"/>
      <c r="E19" s="195" t="s">
        <v>7</v>
      </c>
      <c r="F19" s="94"/>
      <c r="G19" s="195" t="s">
        <v>8</v>
      </c>
      <c r="H19" s="94"/>
      <c r="I19" s="232" t="s">
        <v>9</v>
      </c>
      <c r="J19" s="94"/>
      <c r="K19" s="94"/>
      <c r="L19" s="195" t="s">
        <v>10</v>
      </c>
      <c r="M19" s="195" t="s">
        <v>8</v>
      </c>
      <c r="N19" s="94"/>
      <c r="O19" s="64"/>
      <c r="P19" s="64"/>
      <c r="Q19" s="64"/>
      <c r="R19" s="64"/>
      <c r="S19" s="64"/>
      <c r="T19" s="64"/>
      <c r="U19" s="64"/>
      <c r="V19" s="64"/>
    </row>
    <row r="20" spans="1:22" s="20" customFormat="1" ht="81" customHeight="1">
      <c r="A20" s="253" t="s">
        <v>11</v>
      </c>
      <c r="B20" s="253" t="s">
        <v>12</v>
      </c>
      <c r="C20" s="19" t="s">
        <v>13</v>
      </c>
      <c r="D20" s="19" t="s">
        <v>14</v>
      </c>
      <c r="E20" s="19" t="s">
        <v>15</v>
      </c>
      <c r="F20" s="19" t="s">
        <v>16</v>
      </c>
      <c r="G20" s="19" t="s">
        <v>17</v>
      </c>
      <c r="H20" s="53" t="s">
        <v>18</v>
      </c>
      <c r="I20" s="19" t="s">
        <v>19</v>
      </c>
      <c r="J20" s="19" t="s">
        <v>20</v>
      </c>
      <c r="K20" s="19" t="s">
        <v>21</v>
      </c>
      <c r="L20" s="19" t="s">
        <v>22</v>
      </c>
      <c r="M20" s="19" t="s">
        <v>23</v>
      </c>
      <c r="N20" s="19" t="s">
        <v>24</v>
      </c>
      <c r="O20" s="143"/>
      <c r="P20" s="143"/>
      <c r="Q20" s="143"/>
      <c r="R20" s="143"/>
      <c r="S20" s="143"/>
      <c r="T20" s="143"/>
      <c r="U20" s="143"/>
      <c r="V20" s="143"/>
    </row>
    <row r="21" spans="1:22" ht="20.100000000000001" customHeight="1">
      <c r="A21" s="257"/>
      <c r="B21" s="257"/>
      <c r="C21" s="16" t="s">
        <v>25</v>
      </c>
      <c r="D21" s="186"/>
      <c r="E21" s="186"/>
      <c r="F21" s="186"/>
      <c r="G21" s="186"/>
      <c r="H21" s="186"/>
      <c r="I21" s="186"/>
      <c r="J21" s="17"/>
      <c r="K21" s="17"/>
      <c r="L21" s="17"/>
      <c r="M21" s="17"/>
      <c r="N21" s="18"/>
      <c r="O21" s="64"/>
      <c r="P21" s="64"/>
      <c r="Q21" s="64"/>
      <c r="R21" s="64"/>
      <c r="S21" s="64"/>
      <c r="T21" s="64"/>
      <c r="U21" s="64"/>
      <c r="V21" s="64"/>
    </row>
    <row r="22" spans="1:22" ht="15" customHeight="1">
      <c r="A22" s="257"/>
      <c r="B22" s="257"/>
      <c r="C22" s="1" t="s">
        <v>26</v>
      </c>
      <c r="D22" s="178">
        <f t="shared" ref="D22:E24" si="0">D40+D57</f>
        <v>66530.48</v>
      </c>
      <c r="E22" s="178">
        <f t="shared" si="0"/>
        <v>199156.96</v>
      </c>
      <c r="F22" s="178">
        <f>E22</f>
        <v>199156.96</v>
      </c>
      <c r="G22" s="179">
        <f>G40+G57</f>
        <v>193859.11000000002</v>
      </c>
      <c r="H22" s="84">
        <f t="shared" ref="H22:H70" si="1">IF(AND(ISNUMBER(G22)=TRUE,G22&lt;&gt;0),D22/G22,"N/A")</f>
        <v>0.34318985576690203</v>
      </c>
      <c r="I22" s="233">
        <f>I23+I24</f>
        <v>26764306.5</v>
      </c>
      <c r="J22" s="234">
        <f t="shared" ref="J22:M24" si="2">J40+J57</f>
        <v>17396799.224999998</v>
      </c>
      <c r="K22" s="234">
        <f t="shared" si="2"/>
        <v>9367507.2749999985</v>
      </c>
      <c r="L22" s="234">
        <f t="shared" si="2"/>
        <v>71864219.85108602</v>
      </c>
      <c r="M22" s="234">
        <f t="shared" si="2"/>
        <v>73806924.011712074</v>
      </c>
      <c r="N22" s="85">
        <f t="shared" ref="N22:N37" si="3">IFERROR(I22/M22,"N/A")</f>
        <v>0.36262595763715744</v>
      </c>
      <c r="O22" s="64"/>
      <c r="P22" s="64"/>
      <c r="Q22" s="64"/>
      <c r="R22" s="64"/>
      <c r="S22" s="64"/>
      <c r="T22" s="64"/>
      <c r="U22" s="64"/>
      <c r="V22" s="64"/>
    </row>
    <row r="23" spans="1:22" ht="15" customHeight="1">
      <c r="A23" s="262"/>
      <c r="B23" s="262"/>
      <c r="C23" s="172" t="s">
        <v>27</v>
      </c>
      <c r="D23" s="178">
        <f t="shared" si="0"/>
        <v>64290.479999999996</v>
      </c>
      <c r="E23" s="178">
        <f t="shared" si="0"/>
        <v>179958.96</v>
      </c>
      <c r="F23" s="178">
        <f t="shared" ref="F23:F37" si="4">E23</f>
        <v>179958.96</v>
      </c>
      <c r="G23" s="179">
        <f>G41+G58</f>
        <v>176523.11000000002</v>
      </c>
      <c r="H23" s="84">
        <f t="shared" si="1"/>
        <v>0.36420432429498883</v>
      </c>
      <c r="I23" s="233">
        <f>I41+I58</f>
        <v>24893414.149999999</v>
      </c>
      <c r="J23" s="234">
        <f t="shared" si="2"/>
        <v>16180719.1975</v>
      </c>
      <c r="K23" s="234">
        <f t="shared" si="2"/>
        <v>8712694.9525000006</v>
      </c>
      <c r="L23" s="234">
        <f t="shared" si="2"/>
        <v>60863056.403473347</v>
      </c>
      <c r="M23" s="234">
        <f t="shared" si="2"/>
        <v>62799201.236182481</v>
      </c>
      <c r="N23" s="85">
        <f t="shared" si="3"/>
        <v>0.396396986903989</v>
      </c>
      <c r="O23" s="64"/>
      <c r="P23" s="64"/>
      <c r="Q23" s="64"/>
      <c r="R23" s="64"/>
      <c r="S23" s="64"/>
      <c r="T23" s="64"/>
      <c r="U23" s="64"/>
      <c r="V23" s="64"/>
    </row>
    <row r="24" spans="1:22" ht="15" customHeight="1">
      <c r="A24" s="262"/>
      <c r="B24" s="262"/>
      <c r="C24" s="172" t="s">
        <v>28</v>
      </c>
      <c r="D24" s="178">
        <f t="shared" si="0"/>
        <v>2240</v>
      </c>
      <c r="E24" s="178">
        <f t="shared" si="0"/>
        <v>19198</v>
      </c>
      <c r="F24" s="178">
        <f t="shared" si="4"/>
        <v>19198</v>
      </c>
      <c r="G24" s="179">
        <f>G42+G59</f>
        <v>17336</v>
      </c>
      <c r="H24" s="84">
        <f t="shared" si="1"/>
        <v>0.12921089063221042</v>
      </c>
      <c r="I24" s="233">
        <f>I42+I59</f>
        <v>1870892.3499999999</v>
      </c>
      <c r="J24" s="234">
        <f t="shared" si="2"/>
        <v>1216080.0274999999</v>
      </c>
      <c r="K24" s="234">
        <f t="shared" si="2"/>
        <v>654812.32249999978</v>
      </c>
      <c r="L24" s="234">
        <f t="shared" si="2"/>
        <v>11001163.447612677</v>
      </c>
      <c r="M24" s="234">
        <f t="shared" si="2"/>
        <v>11007722.775529586</v>
      </c>
      <c r="N24" s="85">
        <f t="shared" si="3"/>
        <v>0.16996179756261989</v>
      </c>
      <c r="O24" s="64"/>
      <c r="P24" s="64"/>
      <c r="Q24" s="64"/>
      <c r="R24" s="64"/>
      <c r="S24" s="64"/>
      <c r="T24" s="64"/>
      <c r="U24" s="64"/>
      <c r="V24" s="64"/>
    </row>
    <row r="25" spans="1:22" ht="15" hidden="1" customHeight="1">
      <c r="A25" s="257"/>
      <c r="B25" s="257"/>
      <c r="C25" s="172" t="s">
        <v>29</v>
      </c>
      <c r="D25" s="178" t="e">
        <f>#REF!</f>
        <v>#REF!</v>
      </c>
      <c r="E25" s="178" t="e">
        <f>#REF!</f>
        <v>#REF!</v>
      </c>
      <c r="F25" s="178" t="e">
        <f t="shared" si="4"/>
        <v>#REF!</v>
      </c>
      <c r="G25" s="179" t="e">
        <f>#REF!</f>
        <v>#REF!</v>
      </c>
      <c r="H25" s="84" t="e">
        <f t="shared" si="1"/>
        <v>#REF!</v>
      </c>
      <c r="I25" s="233" t="e">
        <f>#REF!</f>
        <v>#REF!</v>
      </c>
      <c r="J25" s="234" t="e">
        <f>#REF!</f>
        <v>#REF!</v>
      </c>
      <c r="K25" s="234" t="e">
        <f>#REF!</f>
        <v>#REF!</v>
      </c>
      <c r="L25" s="234" t="e">
        <f>#REF!</f>
        <v>#REF!</v>
      </c>
      <c r="M25" s="234" t="e">
        <f>#REF!</f>
        <v>#REF!</v>
      </c>
      <c r="N25" s="85" t="str">
        <f t="shared" si="3"/>
        <v>N/A</v>
      </c>
      <c r="O25" s="64"/>
      <c r="P25" s="64"/>
      <c r="Q25" s="64"/>
      <c r="R25" s="64"/>
      <c r="S25" s="64"/>
      <c r="T25" s="64"/>
      <c r="U25" s="64"/>
      <c r="V25" s="64"/>
    </row>
    <row r="26" spans="1:22" ht="15" customHeight="1">
      <c r="A26" s="262"/>
      <c r="B26" s="262"/>
      <c r="C26" s="1" t="s">
        <v>30</v>
      </c>
      <c r="D26" s="178">
        <f>D43+D60</f>
        <v>73790.42</v>
      </c>
      <c r="E26" s="178">
        <f>E43+E60</f>
        <v>208115.50999999998</v>
      </c>
      <c r="F26" s="178">
        <f t="shared" si="4"/>
        <v>208115.50999999998</v>
      </c>
      <c r="G26" s="179">
        <f>G43+G60</f>
        <v>201478.64999999997</v>
      </c>
      <c r="H26" s="84">
        <f t="shared" si="1"/>
        <v>0.36624436385691495</v>
      </c>
      <c r="I26" s="233">
        <f t="shared" ref="I26:M27" si="5">I43+I60</f>
        <v>30822450.180000007</v>
      </c>
      <c r="J26" s="234">
        <f t="shared" si="5"/>
        <v>20034592.617000002</v>
      </c>
      <c r="K26" s="234">
        <f t="shared" si="5"/>
        <v>10787857.563000003</v>
      </c>
      <c r="L26" s="234">
        <f t="shared" si="5"/>
        <v>77754334.278375</v>
      </c>
      <c r="M26" s="234">
        <f t="shared" si="5"/>
        <v>82927771.296588719</v>
      </c>
      <c r="N26" s="85">
        <f t="shared" si="3"/>
        <v>0.37167826529142362</v>
      </c>
      <c r="O26" s="64"/>
      <c r="P26" s="64"/>
      <c r="Q26" s="64"/>
      <c r="R26" s="64"/>
      <c r="S26" s="64"/>
      <c r="T26" s="64"/>
      <c r="U26" s="64"/>
      <c r="V26" s="64"/>
    </row>
    <row r="27" spans="1:22" ht="15" customHeight="1">
      <c r="A27" s="262"/>
      <c r="B27" s="262"/>
      <c r="C27" s="1" t="s">
        <v>31</v>
      </c>
      <c r="D27" s="178">
        <f>D44+D61</f>
        <v>109717</v>
      </c>
      <c r="E27" s="178">
        <f>E44+E61</f>
        <v>158041</v>
      </c>
      <c r="F27" s="178">
        <f t="shared" si="4"/>
        <v>158041</v>
      </c>
      <c r="G27" s="179">
        <f>G44+G61</f>
        <v>167048</v>
      </c>
      <c r="H27" s="84">
        <f t="shared" si="1"/>
        <v>0.65679924333125805</v>
      </c>
      <c r="I27" s="233">
        <f t="shared" si="5"/>
        <v>22895343.379999999</v>
      </c>
      <c r="J27" s="234">
        <f t="shared" si="5"/>
        <v>14881973.196999999</v>
      </c>
      <c r="K27" s="234">
        <f t="shared" si="5"/>
        <v>8013370.1829999993</v>
      </c>
      <c r="L27" s="234">
        <f t="shared" si="5"/>
        <v>38647346.147871748</v>
      </c>
      <c r="M27" s="234">
        <f t="shared" si="5"/>
        <v>39706629.48234503</v>
      </c>
      <c r="N27" s="85">
        <f t="shared" si="3"/>
        <v>0.57661261301919564</v>
      </c>
      <c r="O27" s="64"/>
      <c r="P27" s="64"/>
      <c r="Q27" s="64"/>
      <c r="R27" s="64"/>
      <c r="S27" s="64"/>
      <c r="T27" s="64"/>
      <c r="U27" s="64"/>
      <c r="V27" s="64"/>
    </row>
    <row r="28" spans="1:22" ht="15" customHeight="1">
      <c r="A28" s="257"/>
      <c r="B28" s="257"/>
      <c r="C28" s="1" t="s">
        <v>32</v>
      </c>
      <c r="D28" s="178">
        <f>D49+D65</f>
        <v>2458</v>
      </c>
      <c r="E28" s="178">
        <f>E49+E65</f>
        <v>5400</v>
      </c>
      <c r="F28" s="178">
        <f t="shared" si="4"/>
        <v>5400</v>
      </c>
      <c r="G28" s="178">
        <f>G49+G65</f>
        <v>4564</v>
      </c>
      <c r="H28" s="84">
        <f t="shared" si="1"/>
        <v>0.53856266432953548</v>
      </c>
      <c r="I28" s="234">
        <f>I49+I65</f>
        <v>1469066.5600000003</v>
      </c>
      <c r="J28" s="234">
        <f>J49+J65</f>
        <v>954893.2640000002</v>
      </c>
      <c r="K28" s="234">
        <f>K49+K65</f>
        <v>514173.29600000003</v>
      </c>
      <c r="L28" s="234">
        <f>L49+L65</f>
        <v>2905358.3749999995</v>
      </c>
      <c r="M28" s="234">
        <f>M49+M65</f>
        <v>2688719.6507928004</v>
      </c>
      <c r="N28" s="85">
        <f t="shared" si="3"/>
        <v>0.54638145690155127</v>
      </c>
      <c r="O28" s="64"/>
      <c r="P28" s="64"/>
      <c r="Q28" s="64"/>
      <c r="R28" s="64"/>
      <c r="S28" s="64"/>
      <c r="T28" s="64"/>
      <c r="U28" s="64"/>
      <c r="V28" s="64"/>
    </row>
    <row r="29" spans="1:22" ht="15" customHeight="1">
      <c r="A29" s="257"/>
      <c r="B29" s="257"/>
      <c r="C29" s="1" t="s">
        <v>33</v>
      </c>
      <c r="D29" s="178">
        <f>D46</f>
        <v>22781</v>
      </c>
      <c r="E29" s="178">
        <f>E46</f>
        <v>54770</v>
      </c>
      <c r="F29" s="178">
        <f t="shared" si="4"/>
        <v>54770</v>
      </c>
      <c r="G29" s="178">
        <f>G46</f>
        <v>54736</v>
      </c>
      <c r="H29" s="84">
        <f>IF(AND(ISNUMBER(G29)=TRUE,G29&lt;&gt;0),D29/G29,"N/A")</f>
        <v>0.4161977491961415</v>
      </c>
      <c r="I29" s="234">
        <f>I46</f>
        <v>6509111.0600000005</v>
      </c>
      <c r="J29" s="234">
        <f>J46</f>
        <v>4230922.1890000002</v>
      </c>
      <c r="K29" s="234">
        <f>K46</f>
        <v>2278188.8710000003</v>
      </c>
      <c r="L29" s="234">
        <f>L46</f>
        <v>16800000</v>
      </c>
      <c r="M29" s="234">
        <f>M46</f>
        <v>15545659.610000005</v>
      </c>
      <c r="N29" s="85">
        <f t="shared" si="3"/>
        <v>0.41870922323636278</v>
      </c>
      <c r="O29" s="64"/>
      <c r="P29" s="64"/>
      <c r="Q29" s="64"/>
      <c r="R29" s="64"/>
      <c r="S29" s="64"/>
      <c r="T29" s="64"/>
      <c r="U29" s="64"/>
      <c r="V29" s="64"/>
    </row>
    <row r="30" spans="1:22" ht="15" customHeight="1">
      <c r="A30" s="257"/>
      <c r="B30" s="257"/>
      <c r="C30" s="1" t="s">
        <v>34</v>
      </c>
      <c r="D30" s="178">
        <f>D47+D63</f>
        <v>11091</v>
      </c>
      <c r="E30" s="178">
        <f>E47+E63</f>
        <v>34410</v>
      </c>
      <c r="F30" s="178">
        <f t="shared" si="4"/>
        <v>34410</v>
      </c>
      <c r="G30" s="178">
        <f>G47+G63</f>
        <v>34048</v>
      </c>
      <c r="H30" s="84">
        <f t="shared" si="1"/>
        <v>0.32574600563909772</v>
      </c>
      <c r="I30" s="234">
        <f t="shared" ref="I30:M31" si="6">I47+I63</f>
        <v>4313779.42</v>
      </c>
      <c r="J30" s="234">
        <f t="shared" si="6"/>
        <v>2803956.6229999997</v>
      </c>
      <c r="K30" s="234">
        <f t="shared" si="6"/>
        <v>1509822.7969999998</v>
      </c>
      <c r="L30" s="234">
        <f t="shared" si="6"/>
        <v>12060000</v>
      </c>
      <c r="M30" s="234">
        <f t="shared" si="6"/>
        <v>11529234.609999999</v>
      </c>
      <c r="N30" s="85">
        <f t="shared" si="3"/>
        <v>0.37416008659051825</v>
      </c>
      <c r="O30" s="64"/>
      <c r="P30" s="64"/>
      <c r="Q30" s="64"/>
      <c r="R30" s="64"/>
      <c r="S30" s="64"/>
      <c r="T30" s="64"/>
      <c r="U30" s="64"/>
      <c r="V30" s="64"/>
    </row>
    <row r="31" spans="1:22" ht="15" customHeight="1">
      <c r="A31" s="257"/>
      <c r="B31" s="257"/>
      <c r="C31" s="1" t="s">
        <v>35</v>
      </c>
      <c r="D31" s="178">
        <f>D48+D64</f>
        <v>5410.15</v>
      </c>
      <c r="E31" s="178">
        <f>E48+E64</f>
        <v>44250</v>
      </c>
      <c r="F31" s="178">
        <f t="shared" si="4"/>
        <v>44250</v>
      </c>
      <c r="G31" s="178">
        <f>G48+G64</f>
        <v>43055.149999999994</v>
      </c>
      <c r="H31" s="84">
        <f t="shared" si="1"/>
        <v>0.12565628037528612</v>
      </c>
      <c r="I31" s="234">
        <f t="shared" si="6"/>
        <v>4017893.59</v>
      </c>
      <c r="J31" s="234">
        <f t="shared" si="6"/>
        <v>2611630.8335000002</v>
      </c>
      <c r="K31" s="234">
        <f t="shared" si="6"/>
        <v>1406262.7564999999</v>
      </c>
      <c r="L31" s="234">
        <f t="shared" si="6"/>
        <v>10253895.380000001</v>
      </c>
      <c r="M31" s="234">
        <f t="shared" si="6"/>
        <v>9910347.6299999971</v>
      </c>
      <c r="N31" s="85">
        <f t="shared" si="3"/>
        <v>0.40542408198046237</v>
      </c>
      <c r="O31" s="64"/>
      <c r="P31" s="64"/>
      <c r="Q31" s="64"/>
      <c r="R31" s="64"/>
      <c r="S31" s="64"/>
      <c r="T31" s="64"/>
      <c r="U31" s="64"/>
      <c r="V31" s="64"/>
    </row>
    <row r="32" spans="1:22" ht="15" customHeight="1">
      <c r="A32" s="257"/>
      <c r="B32" s="257"/>
      <c r="C32" s="1" t="s">
        <v>36</v>
      </c>
      <c r="D32" s="178" t="str">
        <f>IFERROR(D50+D66,"N/A")</f>
        <v>N/A</v>
      </c>
      <c r="E32" s="178" t="str">
        <f>IFERROR(E50+E66,"N/A")</f>
        <v>N/A</v>
      </c>
      <c r="F32" s="178" t="str">
        <f t="shared" si="4"/>
        <v>N/A</v>
      </c>
      <c r="G32" s="178" t="str">
        <f t="shared" ref="G32:M32" si="7">IFERROR(G50+G66,"N/A")</f>
        <v>N/A</v>
      </c>
      <c r="H32" s="178" t="str">
        <f t="shared" si="7"/>
        <v>N/A</v>
      </c>
      <c r="I32" s="234">
        <f t="shared" si="7"/>
        <v>486534.28</v>
      </c>
      <c r="J32" s="234">
        <f t="shared" si="7"/>
        <v>316247.28200000001</v>
      </c>
      <c r="K32" s="234">
        <f t="shared" si="7"/>
        <v>170286.99799999996</v>
      </c>
      <c r="L32" s="234">
        <f t="shared" si="7"/>
        <v>1049999.9999999998</v>
      </c>
      <c r="M32" s="234">
        <f t="shared" si="7"/>
        <v>956091.91999999981</v>
      </c>
      <c r="N32" s="85">
        <f t="shared" si="3"/>
        <v>0.50887814217695737</v>
      </c>
      <c r="O32" s="64"/>
      <c r="P32" s="64"/>
      <c r="Q32" s="64"/>
      <c r="R32" s="64"/>
      <c r="S32" s="64"/>
      <c r="T32" s="64"/>
      <c r="U32" s="64"/>
      <c r="V32" s="64"/>
    </row>
    <row r="33" spans="1:22" ht="15" customHeight="1">
      <c r="A33" s="257"/>
      <c r="B33" s="257"/>
      <c r="C33" s="1" t="s">
        <v>37</v>
      </c>
      <c r="D33" s="178">
        <f>D51+D67</f>
        <v>408.2</v>
      </c>
      <c r="E33" s="178">
        <f>E51+E67</f>
        <v>1633.8</v>
      </c>
      <c r="F33" s="178">
        <f t="shared" si="4"/>
        <v>1633.8</v>
      </c>
      <c r="G33" s="178">
        <f>G51+G67</f>
        <v>1644.2</v>
      </c>
      <c r="H33" s="84">
        <f t="shared" ref="H33:H37" si="8">IF(AND(ISNUMBER(G33)=TRUE,G33&lt;&gt;0),D33/G33,"N/A")</f>
        <v>0.24826663422941248</v>
      </c>
      <c r="I33" s="234">
        <f t="shared" ref="I33:M34" si="9">I51+I67</f>
        <v>184253.07</v>
      </c>
      <c r="J33" s="234">
        <f t="shared" si="9"/>
        <v>119764.49549999999</v>
      </c>
      <c r="K33" s="234">
        <f t="shared" si="9"/>
        <v>64488.574500000002</v>
      </c>
      <c r="L33" s="234">
        <f t="shared" si="9"/>
        <v>623109.02</v>
      </c>
      <c r="M33" s="234">
        <f t="shared" si="9"/>
        <v>623108.66749999998</v>
      </c>
      <c r="N33" s="85">
        <f t="shared" si="3"/>
        <v>0.29569973844088759</v>
      </c>
      <c r="O33" s="64"/>
      <c r="P33" s="64"/>
      <c r="Q33" s="64"/>
      <c r="R33" s="64"/>
      <c r="S33" s="64"/>
      <c r="T33" s="64"/>
      <c r="U33" s="64"/>
      <c r="V33" s="64"/>
    </row>
    <row r="34" spans="1:22" ht="15" customHeight="1">
      <c r="A34" s="257"/>
      <c r="B34" s="257"/>
      <c r="C34" s="1" t="s">
        <v>38</v>
      </c>
      <c r="D34" s="178">
        <f>D52+D68</f>
        <v>7496</v>
      </c>
      <c r="E34" s="178">
        <f>E52+E68</f>
        <v>60999.999999999985</v>
      </c>
      <c r="F34" s="178">
        <f t="shared" ref="F34" si="10">E34</f>
        <v>60999.999999999985</v>
      </c>
      <c r="G34" s="178">
        <f>G52+G68</f>
        <v>22964</v>
      </c>
      <c r="H34" s="84">
        <f t="shared" ref="H34" si="11">IF(AND(ISNUMBER(G34)=TRUE,G34&lt;&gt;0),D34/G34,"N/A")</f>
        <v>0.32642396794983453</v>
      </c>
      <c r="I34" s="234">
        <f t="shared" si="9"/>
        <v>46089.39</v>
      </c>
      <c r="J34" s="234">
        <f t="shared" si="9"/>
        <v>29958.103500000005</v>
      </c>
      <c r="K34" s="234">
        <f t="shared" si="9"/>
        <v>16131.286499999998</v>
      </c>
      <c r="L34" s="234">
        <f t="shared" si="9"/>
        <v>225000</v>
      </c>
      <c r="M34" s="234">
        <f t="shared" si="9"/>
        <v>181574.95</v>
      </c>
      <c r="N34" s="85">
        <f t="shared" ref="N34" si="12">IFERROR(I34/M34,"N/A")</f>
        <v>0.25383121405237891</v>
      </c>
      <c r="O34" s="64"/>
      <c r="P34" s="64"/>
      <c r="Q34" s="64"/>
      <c r="R34" s="64"/>
      <c r="S34" s="64"/>
      <c r="T34" s="64"/>
      <c r="U34" s="64"/>
      <c r="V34" s="64"/>
    </row>
    <row r="35" spans="1:22" ht="15" customHeight="1">
      <c r="A35" s="257"/>
      <c r="B35" s="257"/>
      <c r="C35" s="1" t="s">
        <v>39</v>
      </c>
      <c r="D35" s="178">
        <f>D45</f>
        <v>10405</v>
      </c>
      <c r="E35" s="178">
        <f>E45</f>
        <v>16388</v>
      </c>
      <c r="F35" s="178">
        <f t="shared" si="4"/>
        <v>16388</v>
      </c>
      <c r="G35" s="178">
        <f t="shared" ref="G35:H35" si="13">G45</f>
        <v>16348</v>
      </c>
      <c r="H35" s="84">
        <f t="shared" si="13"/>
        <v>0.63646929287986298</v>
      </c>
      <c r="I35" s="234" t="str">
        <f>I45</f>
        <v>N/A</v>
      </c>
      <c r="J35" s="178" t="str">
        <f>J45</f>
        <v>N/A</v>
      </c>
      <c r="K35" s="178" t="str">
        <f t="shared" ref="K35:M35" si="14">K45</f>
        <v>N/A</v>
      </c>
      <c r="L35" s="178" t="str">
        <f t="shared" si="14"/>
        <v>N/A</v>
      </c>
      <c r="M35" s="178" t="str">
        <f t="shared" si="14"/>
        <v>N/A</v>
      </c>
      <c r="N35" s="85" t="str">
        <f t="shared" si="3"/>
        <v>N/A</v>
      </c>
      <c r="O35" s="64"/>
      <c r="P35" s="64"/>
      <c r="Q35" s="64"/>
      <c r="R35" s="64"/>
      <c r="S35" s="64"/>
      <c r="T35" s="64"/>
      <c r="U35" s="64"/>
      <c r="V35" s="64"/>
    </row>
    <row r="36" spans="1:22" ht="15" customHeight="1">
      <c r="A36" s="257"/>
      <c r="B36" s="257"/>
      <c r="C36" s="1" t="s">
        <v>40</v>
      </c>
      <c r="D36" s="82" t="s">
        <v>41</v>
      </c>
      <c r="E36" s="82" t="s">
        <v>41</v>
      </c>
      <c r="F36" s="178" t="str">
        <f t="shared" si="4"/>
        <v>N/A</v>
      </c>
      <c r="G36" s="82" t="s">
        <v>41</v>
      </c>
      <c r="H36" s="84" t="str">
        <f t="shared" si="8"/>
        <v>N/A</v>
      </c>
      <c r="I36" s="234">
        <f>I53+I69</f>
        <v>2055379.2999999998</v>
      </c>
      <c r="J36" s="234">
        <f>J53+J69</f>
        <v>1335996.5449999999</v>
      </c>
      <c r="K36" s="234">
        <f>K53+K69</f>
        <v>719382.75499999989</v>
      </c>
      <c r="L36" s="234">
        <f>L53+L69</f>
        <v>6117000</v>
      </c>
      <c r="M36" s="234">
        <f>M53+M69</f>
        <v>6500840.9829999991</v>
      </c>
      <c r="N36" s="85">
        <f t="shared" si="3"/>
        <v>0.31617129312575282</v>
      </c>
      <c r="O36" s="64"/>
      <c r="P36" s="64"/>
      <c r="Q36" s="64"/>
      <c r="R36" s="64"/>
      <c r="S36" s="64"/>
      <c r="T36" s="64"/>
      <c r="U36" s="64"/>
      <c r="V36" s="64"/>
    </row>
    <row r="37" spans="1:22" ht="15">
      <c r="A37" s="257"/>
      <c r="B37" s="257"/>
      <c r="C37" s="1" t="s">
        <v>42</v>
      </c>
      <c r="D37" s="82" t="s">
        <v>41</v>
      </c>
      <c r="E37" s="82" t="s">
        <v>41</v>
      </c>
      <c r="F37" s="178" t="str">
        <f t="shared" si="4"/>
        <v>N/A</v>
      </c>
      <c r="G37" s="82" t="s">
        <v>41</v>
      </c>
      <c r="H37" s="84" t="str">
        <f t="shared" si="8"/>
        <v>N/A</v>
      </c>
      <c r="I37" s="234">
        <f>I54</f>
        <v>19763.23</v>
      </c>
      <c r="J37" s="234">
        <f>J54</f>
        <v>12846.0995</v>
      </c>
      <c r="K37" s="234">
        <f>K54</f>
        <v>6917.1304999999993</v>
      </c>
      <c r="L37" s="234">
        <f>L54</f>
        <v>50000.159999999996</v>
      </c>
      <c r="M37" s="234">
        <f>M54</f>
        <v>50553.83</v>
      </c>
      <c r="N37" s="85">
        <f t="shared" si="3"/>
        <v>0.39093437628761263</v>
      </c>
      <c r="O37" s="64"/>
      <c r="P37" s="64"/>
      <c r="Q37" s="64"/>
      <c r="R37" s="64"/>
      <c r="S37" s="64"/>
      <c r="T37" s="64"/>
      <c r="U37" s="64"/>
      <c r="V37" s="64"/>
    </row>
    <row r="38" spans="1:22" ht="20.100000000000001" customHeight="1">
      <c r="A38" s="257"/>
      <c r="B38" s="257"/>
      <c r="C38" s="2" t="s">
        <v>43</v>
      </c>
      <c r="D38" s="180">
        <f>SUM(D22,D26:D37)</f>
        <v>310087.25000000006</v>
      </c>
      <c r="E38" s="180">
        <f>SUM(E22,E26:E37)</f>
        <v>783165.27</v>
      </c>
      <c r="F38" s="180">
        <f>SUM(F22,F26:F37)</f>
        <v>783165.27</v>
      </c>
      <c r="G38" s="180">
        <f>SUM(G22,G26:G37)</f>
        <v>739745.11</v>
      </c>
      <c r="H38" s="83">
        <f t="shared" si="1"/>
        <v>0.41918120959258531</v>
      </c>
      <c r="I38" s="235">
        <f>SUM(I22,I26:I37)</f>
        <v>99583969.960000008</v>
      </c>
      <c r="J38" s="235">
        <f>SUM(J22,J26:J37)</f>
        <v>64729580.473999992</v>
      </c>
      <c r="K38" s="235">
        <f>SUM(K22,K26:K37)</f>
        <v>34854389.486000009</v>
      </c>
      <c r="L38" s="235">
        <f>SUM(L22,L26:L37)</f>
        <v>238350263.21233279</v>
      </c>
      <c r="M38" s="235">
        <f>SUM(M22,M26:M37)</f>
        <v>244427456.64193863</v>
      </c>
      <c r="N38" s="171">
        <f>I38/M38</f>
        <v>0.40741728170857827</v>
      </c>
      <c r="O38" s="64"/>
      <c r="P38" s="64"/>
      <c r="Q38" s="64"/>
      <c r="R38" s="64"/>
      <c r="S38" s="64"/>
      <c r="T38" s="64"/>
      <c r="U38" s="64"/>
      <c r="V38" s="64"/>
    </row>
    <row r="39" spans="1:22" ht="20.100000000000001" customHeight="1">
      <c r="A39" s="257"/>
      <c r="B39" s="257"/>
      <c r="C39" s="175" t="s">
        <v>44</v>
      </c>
      <c r="D39" s="184"/>
      <c r="E39" s="184"/>
      <c r="F39" s="184"/>
      <c r="G39" s="184"/>
      <c r="H39" s="184"/>
      <c r="I39" s="184"/>
      <c r="J39" s="184"/>
      <c r="K39" s="184"/>
      <c r="L39" s="184"/>
      <c r="M39" s="184"/>
      <c r="N39" s="453"/>
      <c r="O39" s="64"/>
      <c r="P39" s="64"/>
      <c r="Q39" s="64"/>
      <c r="R39" s="64"/>
      <c r="S39" s="64"/>
      <c r="T39" s="64"/>
      <c r="U39" s="64"/>
      <c r="V39" s="64"/>
    </row>
    <row r="40" spans="1:22" ht="15">
      <c r="A40" s="257"/>
      <c r="B40" s="257"/>
      <c r="C40" s="1" t="s">
        <v>45</v>
      </c>
      <c r="D40" s="82">
        <f>SUM(D41:D42)</f>
        <v>53134.299999999996</v>
      </c>
      <c r="E40" s="82">
        <f>SUM(E41:E42)</f>
        <v>180037.96</v>
      </c>
      <c r="F40" s="181">
        <f t="shared" ref="F40:F54" si="15">E40</f>
        <v>180037.96</v>
      </c>
      <c r="G40" s="181">
        <f>SUM(G41:G42)</f>
        <v>155084.79</v>
      </c>
      <c r="H40" s="84">
        <f t="shared" si="1"/>
        <v>0.34261451429247181</v>
      </c>
      <c r="I40" s="234">
        <f>SUM(I41:I42)</f>
        <v>20434771.489999998</v>
      </c>
      <c r="J40" s="234">
        <f>SUM(J41:J42)</f>
        <v>13282601.468499999</v>
      </c>
      <c r="K40" s="234">
        <f t="shared" ref="K40:K54" si="16">IFERROR(I40-J40,"N/A")</f>
        <v>7152170.0214999989</v>
      </c>
      <c r="L40" s="234">
        <f>SUM(L41:L42)</f>
        <v>62735429.789806157</v>
      </c>
      <c r="M40" s="234">
        <f>SUM(M41:M42)</f>
        <v>57504660.361581415</v>
      </c>
      <c r="N40" s="85">
        <f t="shared" ref="N40:N49" si="17">IFERROR(I40/M40,"N/A")</f>
        <v>0.35535852853506061</v>
      </c>
      <c r="O40" s="64"/>
      <c r="P40" s="64"/>
      <c r="Q40" s="64"/>
      <c r="R40" s="64"/>
      <c r="S40" s="64"/>
      <c r="T40" s="64"/>
      <c r="U40" s="64"/>
      <c r="V40" s="64"/>
    </row>
    <row r="41" spans="1:22" ht="15">
      <c r="A41" s="215" t="s">
        <v>46</v>
      </c>
      <c r="B41" s="215" t="s">
        <v>47</v>
      </c>
      <c r="C41" s="172" t="s">
        <v>48</v>
      </c>
      <c r="D41" s="225">
        <v>50990.299999999996</v>
      </c>
      <c r="E41" s="212">
        <v>161839.96</v>
      </c>
      <c r="F41" s="181">
        <f t="shared" si="15"/>
        <v>161839.96</v>
      </c>
      <c r="G41" s="226">
        <v>138675.79</v>
      </c>
      <c r="H41" s="85">
        <f>IF(AND(ISNUMBER(G41)=TRUE,G41&lt;&gt;0),D41/G41,"N/A")</f>
        <v>0.36769431780413864</v>
      </c>
      <c r="I41" s="236">
        <v>18611865</v>
      </c>
      <c r="J41" s="234">
        <f>IFERROR(I41*0.65,"N/A")</f>
        <v>12097712.25</v>
      </c>
      <c r="K41" s="234">
        <f>IFERROR(I41-J41,"N/A")</f>
        <v>6514152.75</v>
      </c>
      <c r="L41" s="236">
        <v>52245460.34980616</v>
      </c>
      <c r="M41" s="236">
        <v>46992926.443275042</v>
      </c>
      <c r="N41" s="85">
        <f t="shared" si="17"/>
        <v>0.39605673467614966</v>
      </c>
      <c r="O41" s="64"/>
      <c r="P41" s="64"/>
      <c r="Q41" s="64"/>
      <c r="R41" s="64"/>
      <c r="S41" s="64"/>
      <c r="T41" s="64"/>
      <c r="U41" s="64"/>
      <c r="V41" s="64"/>
    </row>
    <row r="42" spans="1:22" ht="15">
      <c r="A42" s="215" t="s">
        <v>49</v>
      </c>
      <c r="B42" s="215" t="s">
        <v>50</v>
      </c>
      <c r="C42" s="172" t="s">
        <v>51</v>
      </c>
      <c r="D42" s="225">
        <v>2144</v>
      </c>
      <c r="E42" s="212">
        <v>18198</v>
      </c>
      <c r="F42" s="181">
        <f t="shared" si="15"/>
        <v>18198</v>
      </c>
      <c r="G42" s="226">
        <v>16409</v>
      </c>
      <c r="H42" s="85">
        <f t="shared" si="1"/>
        <v>0.13066000365652997</v>
      </c>
      <c r="I42" s="236">
        <v>1822906.4899999998</v>
      </c>
      <c r="J42" s="234">
        <f t="shared" ref="J42:J54" si="18">IFERROR(I42*0.65,"N/A")</f>
        <v>1184889.2185</v>
      </c>
      <c r="K42" s="234">
        <f t="shared" si="16"/>
        <v>638017.2714999998</v>
      </c>
      <c r="L42" s="236">
        <v>10489969.439999998</v>
      </c>
      <c r="M42" s="236">
        <v>10511733.918306369</v>
      </c>
      <c r="N42" s="85">
        <f t="shared" si="17"/>
        <v>0.17341634635798533</v>
      </c>
      <c r="O42" s="64"/>
      <c r="P42" s="64"/>
      <c r="Q42" s="64"/>
      <c r="R42" s="64"/>
      <c r="S42" s="64"/>
      <c r="T42" s="64"/>
      <c r="U42" s="64"/>
      <c r="V42" s="64"/>
    </row>
    <row r="43" spans="1:22" ht="15">
      <c r="A43" s="215" t="s">
        <v>52</v>
      </c>
      <c r="B43" s="215" t="s">
        <v>30</v>
      </c>
      <c r="C43" s="1" t="s">
        <v>53</v>
      </c>
      <c r="D43" s="225">
        <v>65974.78</v>
      </c>
      <c r="E43" s="212">
        <v>175857.61</v>
      </c>
      <c r="F43" s="181">
        <f t="shared" si="15"/>
        <v>175857.61</v>
      </c>
      <c r="G43" s="226">
        <v>163443.69999999998</v>
      </c>
      <c r="H43" s="85">
        <f t="shared" si="1"/>
        <v>0.40365446939833111</v>
      </c>
      <c r="I43" s="236">
        <v>27147249.620000005</v>
      </c>
      <c r="J43" s="234">
        <f t="shared" si="18"/>
        <v>17645712.253000002</v>
      </c>
      <c r="K43" s="234">
        <f t="shared" si="16"/>
        <v>9501537.3670000024</v>
      </c>
      <c r="L43" s="236">
        <v>65320140.918375</v>
      </c>
      <c r="M43" s="236">
        <v>66778443.002887517</v>
      </c>
      <c r="N43" s="85">
        <f t="shared" si="17"/>
        <v>0.40652714258141881</v>
      </c>
      <c r="O43" s="64"/>
      <c r="P43" s="64"/>
      <c r="Q43" s="64"/>
      <c r="R43" s="64"/>
      <c r="S43" s="64"/>
      <c r="T43" s="64"/>
      <c r="U43" s="64"/>
      <c r="V43" s="64"/>
    </row>
    <row r="44" spans="1:22" ht="15">
      <c r="A44" t="s">
        <v>54</v>
      </c>
      <c r="B44" s="215" t="s">
        <v>55</v>
      </c>
      <c r="C44" s="1" t="s">
        <v>56</v>
      </c>
      <c r="D44" s="225">
        <v>92883</v>
      </c>
      <c r="E44" s="212">
        <v>134499</v>
      </c>
      <c r="F44" s="181">
        <f t="shared" si="15"/>
        <v>134499</v>
      </c>
      <c r="G44" s="226">
        <v>135507</v>
      </c>
      <c r="H44" s="85">
        <f t="shared" si="1"/>
        <v>0.68544798423697673</v>
      </c>
      <c r="I44" s="236">
        <v>20235196.629999999</v>
      </c>
      <c r="J44" s="234">
        <f t="shared" si="18"/>
        <v>13152877.8095</v>
      </c>
      <c r="K44" s="234">
        <f t="shared" si="16"/>
        <v>7082318.8204999994</v>
      </c>
      <c r="L44" s="236">
        <v>33495270.607185762</v>
      </c>
      <c r="M44" s="236">
        <v>32503940.634582829</v>
      </c>
      <c r="N44" s="85">
        <f t="shared" si="17"/>
        <v>0.6225459508891239</v>
      </c>
      <c r="O44" s="64"/>
      <c r="P44" s="64"/>
      <c r="Q44" s="64"/>
      <c r="R44" s="64"/>
      <c r="S44" s="64"/>
      <c r="T44" s="64"/>
      <c r="U44" s="64"/>
      <c r="V44" s="64"/>
    </row>
    <row r="45" spans="1:22" ht="15">
      <c r="A45" t="s">
        <v>57</v>
      </c>
      <c r="B45" s="265"/>
      <c r="C45" s="1" t="s">
        <v>58</v>
      </c>
      <c r="D45" s="225">
        <v>10405</v>
      </c>
      <c r="E45" s="212">
        <v>16388</v>
      </c>
      <c r="F45" s="181">
        <f t="shared" si="15"/>
        <v>16388</v>
      </c>
      <c r="G45" s="226">
        <v>16348</v>
      </c>
      <c r="H45" s="85">
        <f t="shared" si="1"/>
        <v>0.63646929287986298</v>
      </c>
      <c r="I45" s="236" t="s">
        <v>41</v>
      </c>
      <c r="J45" s="234" t="str">
        <f t="shared" si="18"/>
        <v>N/A</v>
      </c>
      <c r="K45" s="234" t="str">
        <f t="shared" si="16"/>
        <v>N/A</v>
      </c>
      <c r="L45" s="236" t="s">
        <v>41</v>
      </c>
      <c r="M45" s="236" t="s">
        <v>41</v>
      </c>
      <c r="N45" s="85" t="str">
        <f t="shared" si="17"/>
        <v>N/A</v>
      </c>
      <c r="O45" s="64"/>
      <c r="P45" s="64"/>
      <c r="Q45" s="64"/>
      <c r="R45" s="64"/>
      <c r="S45" s="64"/>
      <c r="T45" s="64"/>
      <c r="U45" s="64"/>
      <c r="V45" s="64"/>
    </row>
    <row r="46" spans="1:22" ht="15">
      <c r="A46" s="215" t="s">
        <v>59</v>
      </c>
      <c r="B46" s="215" t="s">
        <v>60</v>
      </c>
      <c r="C46" s="1" t="s">
        <v>61</v>
      </c>
      <c r="D46" s="225">
        <v>22781</v>
      </c>
      <c r="E46" s="212">
        <v>54770</v>
      </c>
      <c r="F46" s="181">
        <f t="shared" si="15"/>
        <v>54770</v>
      </c>
      <c r="G46" s="226">
        <v>54736</v>
      </c>
      <c r="H46" s="85">
        <f t="shared" si="1"/>
        <v>0.4161977491961415</v>
      </c>
      <c r="I46" s="236">
        <v>6509111.0600000005</v>
      </c>
      <c r="J46" s="234">
        <f t="shared" si="18"/>
        <v>4230922.1890000002</v>
      </c>
      <c r="K46" s="234">
        <f t="shared" si="16"/>
        <v>2278188.8710000003</v>
      </c>
      <c r="L46" s="236">
        <v>16800000</v>
      </c>
      <c r="M46" s="236">
        <v>15545659.610000005</v>
      </c>
      <c r="N46" s="85">
        <f t="shared" si="17"/>
        <v>0.41870922323636278</v>
      </c>
      <c r="O46" s="64"/>
      <c r="P46" s="64"/>
      <c r="Q46" s="64"/>
      <c r="R46" s="64"/>
      <c r="S46" s="64"/>
      <c r="T46" s="64"/>
      <c r="U46" s="64"/>
      <c r="V46" s="64"/>
    </row>
    <row r="47" spans="1:22" ht="15">
      <c r="A47" s="215" t="s">
        <v>62</v>
      </c>
      <c r="B47" s="215" t="s">
        <v>63</v>
      </c>
      <c r="C47" s="1" t="s">
        <v>64</v>
      </c>
      <c r="D47" s="225">
        <v>8868</v>
      </c>
      <c r="E47" s="212">
        <v>25389</v>
      </c>
      <c r="F47" s="181">
        <f t="shared" si="15"/>
        <v>25389</v>
      </c>
      <c r="G47" s="226">
        <v>22999</v>
      </c>
      <c r="H47" s="85">
        <f t="shared" si="1"/>
        <v>0.38558198182529674</v>
      </c>
      <c r="I47" s="236">
        <v>3224455.5599999996</v>
      </c>
      <c r="J47" s="234">
        <f t="shared" si="18"/>
        <v>2095896.1139999998</v>
      </c>
      <c r="K47" s="234">
        <f t="shared" si="16"/>
        <v>1128559.4459999998</v>
      </c>
      <c r="L47" s="236">
        <v>8889999.5999999996</v>
      </c>
      <c r="M47" s="236">
        <v>8171109.3599999994</v>
      </c>
      <c r="N47" s="85">
        <f t="shared" si="17"/>
        <v>0.39461662033122019</v>
      </c>
      <c r="O47" s="64"/>
      <c r="P47" s="64"/>
      <c r="Q47" s="64"/>
      <c r="R47" s="64"/>
      <c r="S47" s="64"/>
      <c r="T47" s="64"/>
      <c r="U47" s="64"/>
      <c r="V47" s="64"/>
    </row>
    <row r="48" spans="1:22" ht="15">
      <c r="A48" s="215" t="s">
        <v>65</v>
      </c>
      <c r="B48" s="215" t="s">
        <v>66</v>
      </c>
      <c r="C48" s="1" t="s">
        <v>67</v>
      </c>
      <c r="D48" s="225">
        <v>5204.95</v>
      </c>
      <c r="E48" s="212">
        <v>35575</v>
      </c>
      <c r="F48" s="181">
        <f t="shared" si="15"/>
        <v>35575</v>
      </c>
      <c r="G48" s="226">
        <v>34658.949999999997</v>
      </c>
      <c r="H48" s="85">
        <f t="shared" si="1"/>
        <v>0.15017621710986628</v>
      </c>
      <c r="I48" s="236">
        <v>3270783.14</v>
      </c>
      <c r="J48" s="234">
        <f t="shared" si="18"/>
        <v>2126009.0410000002</v>
      </c>
      <c r="K48" s="234">
        <f t="shared" si="16"/>
        <v>1144774.0989999999</v>
      </c>
      <c r="L48" s="236">
        <v>8186968</v>
      </c>
      <c r="M48" s="236">
        <v>7928726.5699999966</v>
      </c>
      <c r="N48" s="85">
        <f t="shared" si="17"/>
        <v>0.41252313484686126</v>
      </c>
      <c r="O48" s="64"/>
      <c r="P48" s="64"/>
      <c r="Q48" s="64"/>
      <c r="R48" s="64"/>
      <c r="S48" s="64"/>
      <c r="T48" s="64"/>
      <c r="U48" s="64"/>
      <c r="V48" s="64"/>
    </row>
    <row r="49" spans="1:22" ht="15">
      <c r="A49" s="215" t="s">
        <v>68</v>
      </c>
      <c r="B49" s="215" t="s">
        <v>69</v>
      </c>
      <c r="C49" s="1" t="s">
        <v>70</v>
      </c>
      <c r="D49" s="225">
        <v>2237</v>
      </c>
      <c r="E49" s="212">
        <v>4500</v>
      </c>
      <c r="F49" s="181">
        <f t="shared" si="15"/>
        <v>4500</v>
      </c>
      <c r="G49" s="226">
        <v>3823</v>
      </c>
      <c r="H49" s="85">
        <f t="shared" si="1"/>
        <v>0.5851425582003662</v>
      </c>
      <c r="I49" s="236">
        <v>1332219.2500000002</v>
      </c>
      <c r="J49" s="234">
        <f t="shared" si="18"/>
        <v>865942.51250000019</v>
      </c>
      <c r="K49" s="234">
        <f t="shared" si="16"/>
        <v>466276.73750000005</v>
      </c>
      <c r="L49" s="236">
        <v>2460107.4999999995</v>
      </c>
      <c r="M49" s="236">
        <v>2260401.9863928002</v>
      </c>
      <c r="N49" s="85">
        <f t="shared" si="17"/>
        <v>0.58937271247314083</v>
      </c>
      <c r="O49" s="64"/>
      <c r="P49" s="64"/>
      <c r="Q49" s="64"/>
      <c r="R49" s="64"/>
      <c r="S49" s="64"/>
      <c r="T49" s="64"/>
      <c r="U49" s="64"/>
      <c r="V49" s="64"/>
    </row>
    <row r="50" spans="1:22" ht="15">
      <c r="A50" s="267"/>
      <c r="B50" s="215" t="s">
        <v>71</v>
      </c>
      <c r="C50" s="1" t="s">
        <v>72</v>
      </c>
      <c r="D50" s="225" t="s">
        <v>41</v>
      </c>
      <c r="E50" s="212" t="s">
        <v>41</v>
      </c>
      <c r="F50" s="181" t="str">
        <f t="shared" si="15"/>
        <v>N/A</v>
      </c>
      <c r="G50" s="226" t="s">
        <v>41</v>
      </c>
      <c r="H50" s="85" t="str">
        <f t="shared" si="1"/>
        <v>N/A</v>
      </c>
      <c r="I50" s="236">
        <v>368782.18</v>
      </c>
      <c r="J50" s="234">
        <f t="shared" si="18"/>
        <v>239708.41700000002</v>
      </c>
      <c r="K50" s="234">
        <f t="shared" si="16"/>
        <v>129073.76299999998</v>
      </c>
      <c r="L50" s="236">
        <v>840044.6399999999</v>
      </c>
      <c r="M50" s="236">
        <v>737955.99999999988</v>
      </c>
      <c r="N50" s="85"/>
      <c r="O50" s="64"/>
      <c r="P50" s="64"/>
      <c r="Q50" s="64"/>
      <c r="R50" s="64"/>
      <c r="S50" s="64"/>
      <c r="T50" s="64"/>
      <c r="U50" s="64"/>
      <c r="V50" s="64"/>
    </row>
    <row r="51" spans="1:22" ht="15">
      <c r="A51" s="215" t="s">
        <v>73</v>
      </c>
      <c r="B51" s="215" t="s">
        <v>74</v>
      </c>
      <c r="C51" s="1" t="s">
        <v>75</v>
      </c>
      <c r="D51" s="225">
        <v>354</v>
      </c>
      <c r="E51" s="212">
        <v>1552</v>
      </c>
      <c r="F51" s="181">
        <f t="shared" si="15"/>
        <v>1552</v>
      </c>
      <c r="G51" s="226">
        <v>1562</v>
      </c>
      <c r="H51" s="85">
        <f t="shared" si="1"/>
        <v>0.2266325224071703</v>
      </c>
      <c r="I51" s="236">
        <v>161132.03</v>
      </c>
      <c r="J51" s="234">
        <f t="shared" si="18"/>
        <v>104735.8195</v>
      </c>
      <c r="K51" s="234">
        <f t="shared" si="16"/>
        <v>56396.210500000001</v>
      </c>
      <c r="L51" s="236">
        <v>592310.89</v>
      </c>
      <c r="M51" s="236">
        <v>592310.41</v>
      </c>
      <c r="N51" s="85">
        <f t="shared" ref="N51:N54" si="19">IFERROR(I51/M51,"N/A")</f>
        <v>0.27203984140680559</v>
      </c>
      <c r="O51" s="64"/>
      <c r="P51" s="64"/>
      <c r="Q51" s="64"/>
      <c r="R51" s="64"/>
      <c r="S51" s="64"/>
      <c r="T51" s="64"/>
      <c r="U51" s="64"/>
      <c r="V51" s="64"/>
    </row>
    <row r="52" spans="1:22" ht="27" customHeight="1">
      <c r="A52" s="218" t="s">
        <v>76</v>
      </c>
      <c r="B52" s="347" t="s">
        <v>77</v>
      </c>
      <c r="C52" s="63" t="s">
        <v>78</v>
      </c>
      <c r="D52" s="225">
        <v>6746.4</v>
      </c>
      <c r="E52" s="212">
        <v>45750.029999999984</v>
      </c>
      <c r="F52" s="181">
        <f t="shared" ref="F52" si="20">E52</f>
        <v>45750.029999999984</v>
      </c>
      <c r="G52" s="226">
        <v>20667.599999999999</v>
      </c>
      <c r="H52" s="85">
        <f t="shared" ref="H52" si="21">IF(AND(ISNUMBER(G52)=TRUE,G52&lt;&gt;0),D52/G52,"N/A")</f>
        <v>0.32642396794983453</v>
      </c>
      <c r="I52" s="236">
        <v>34432.44</v>
      </c>
      <c r="J52" s="234">
        <f t="shared" ref="J52" si="22">IFERROR(I52*0.65,"N/A")</f>
        <v>22381.086000000003</v>
      </c>
      <c r="K52" s="234">
        <f t="shared" ref="K52" si="23">IFERROR(I52-J52,"N/A")</f>
        <v>12051.353999999999</v>
      </c>
      <c r="L52" s="236">
        <v>168615</v>
      </c>
      <c r="M52" s="236">
        <v>136048.43</v>
      </c>
      <c r="N52" s="85">
        <f t="shared" ref="N52" si="24">IFERROR(I52/M52,"N/A")</f>
        <v>0.25308957993855574</v>
      </c>
      <c r="O52" s="64"/>
      <c r="P52" s="64"/>
      <c r="Q52" s="64"/>
      <c r="R52" s="64"/>
      <c r="S52" s="64"/>
      <c r="T52" s="64"/>
      <c r="U52" s="64"/>
      <c r="V52" s="64"/>
    </row>
    <row r="53" spans="1:22" ht="15">
      <c r="A53" s="269"/>
      <c r="B53" s="215" t="s">
        <v>79</v>
      </c>
      <c r="C53" s="1" t="s">
        <v>80</v>
      </c>
      <c r="D53" s="225" t="s">
        <v>41</v>
      </c>
      <c r="E53" s="212" t="s">
        <v>41</v>
      </c>
      <c r="F53" s="181" t="str">
        <f t="shared" si="15"/>
        <v>N/A</v>
      </c>
      <c r="G53" s="226" t="s">
        <v>41</v>
      </c>
      <c r="H53" s="82" t="str">
        <f>IF(AND(ISNUMBER(G53)=TRUE,G53&lt;&gt;0),D53/G53,"N/A")</f>
        <v>N/A</v>
      </c>
      <c r="I53" s="236">
        <v>1813226.3499999999</v>
      </c>
      <c r="J53" s="234">
        <f t="shared" si="18"/>
        <v>1178597.1274999999</v>
      </c>
      <c r="K53" s="234">
        <f t="shared" si="16"/>
        <v>634629.22249999992</v>
      </c>
      <c r="L53" s="236">
        <v>5307948</v>
      </c>
      <c r="M53" s="236">
        <v>5691788.9804999987</v>
      </c>
      <c r="N53" s="85">
        <f t="shared" si="19"/>
        <v>0.31856879378559039</v>
      </c>
      <c r="O53" s="64"/>
      <c r="P53" s="64"/>
      <c r="Q53" s="64"/>
      <c r="R53" s="64"/>
      <c r="S53" s="64"/>
      <c r="T53" s="64"/>
      <c r="U53" s="64"/>
      <c r="V53" s="64"/>
    </row>
    <row r="54" spans="1:22" ht="15">
      <c r="A54" s="267"/>
      <c r="B54" s="268" t="s">
        <v>42</v>
      </c>
      <c r="C54" s="1" t="s">
        <v>81</v>
      </c>
      <c r="D54" s="225" t="s">
        <v>41</v>
      </c>
      <c r="E54" s="212" t="s">
        <v>41</v>
      </c>
      <c r="F54" s="181" t="str">
        <f t="shared" si="15"/>
        <v>N/A</v>
      </c>
      <c r="G54" s="226" t="s">
        <v>41</v>
      </c>
      <c r="H54" s="82" t="str">
        <f>IF(AND(ISNUMBER(G54)=TRUE,G54&lt;&gt;0),D54/G54,"N/A")</f>
        <v>N/A</v>
      </c>
      <c r="I54" s="236">
        <v>19763.23</v>
      </c>
      <c r="J54" s="234">
        <f t="shared" si="18"/>
        <v>12846.0995</v>
      </c>
      <c r="K54" s="234">
        <f t="shared" si="16"/>
        <v>6917.1304999999993</v>
      </c>
      <c r="L54" s="236">
        <v>50000.159999999996</v>
      </c>
      <c r="M54" s="236">
        <v>50553.83</v>
      </c>
      <c r="N54" s="85">
        <f t="shared" si="19"/>
        <v>0.39093437628761263</v>
      </c>
      <c r="O54" s="64"/>
      <c r="P54" s="64"/>
      <c r="Q54" s="64"/>
      <c r="R54" s="64"/>
      <c r="S54" s="64"/>
      <c r="T54" s="64"/>
      <c r="U54" s="64"/>
      <c r="V54" s="64"/>
    </row>
    <row r="55" spans="1:22" ht="20.100000000000001" customHeight="1">
      <c r="A55" s="254"/>
      <c r="B55" s="257"/>
      <c r="C55" s="40" t="s">
        <v>82</v>
      </c>
      <c r="D55" s="222">
        <f>SUM(D40,D43:D54)</f>
        <v>268588.43</v>
      </c>
      <c r="E55" s="188">
        <f>SUM(E40,E43:E54)</f>
        <v>674318.6</v>
      </c>
      <c r="F55" s="188">
        <f>SUM(F40,F43:F54)</f>
        <v>674318.6</v>
      </c>
      <c r="G55" s="188">
        <f>SUM(G40,G43:G54)</f>
        <v>608830.03999999992</v>
      </c>
      <c r="H55" s="189">
        <f t="shared" si="1"/>
        <v>0.44115502250841637</v>
      </c>
      <c r="I55" s="237">
        <f>SUM(I40,I43:I54)</f>
        <v>84551122.980000004</v>
      </c>
      <c r="J55" s="237">
        <f>SUM(J40,J43:J54)</f>
        <v>54958229.937000014</v>
      </c>
      <c r="K55" s="237">
        <f>SUM(K40,K43:K54)</f>
        <v>29592893.042999994</v>
      </c>
      <c r="L55" s="237">
        <f>SUM(L40,L43:L54)</f>
        <v>204846835.10536689</v>
      </c>
      <c r="M55" s="237">
        <f>SUM(M40,M43:M54)</f>
        <v>197901599.1759446</v>
      </c>
      <c r="N55" s="86">
        <f>I55/M55</f>
        <v>0.42723819985319955</v>
      </c>
      <c r="O55" s="64"/>
      <c r="P55" s="64"/>
      <c r="Q55" s="64"/>
      <c r="R55" s="64"/>
      <c r="S55" s="64"/>
      <c r="T55" s="64"/>
      <c r="U55" s="64"/>
      <c r="V55" s="64"/>
    </row>
    <row r="56" spans="1:22" ht="20.100000000000001" customHeight="1">
      <c r="A56" s="256"/>
      <c r="B56" s="257"/>
      <c r="C56" s="224" t="s">
        <v>83</v>
      </c>
      <c r="D56" s="184"/>
      <c r="E56" s="184"/>
      <c r="F56" s="184"/>
      <c r="G56" s="184"/>
      <c r="H56" s="184"/>
      <c r="I56" s="184"/>
      <c r="J56" s="184"/>
      <c r="K56" s="184"/>
      <c r="L56" s="184"/>
      <c r="M56" s="184"/>
      <c r="N56" s="453"/>
      <c r="O56" s="64"/>
      <c r="P56" s="64"/>
      <c r="Q56" s="64"/>
      <c r="R56" s="64"/>
      <c r="S56" s="64"/>
      <c r="T56" s="64"/>
      <c r="U56" s="64"/>
      <c r="V56" s="64"/>
    </row>
    <row r="57" spans="1:22" ht="15">
      <c r="A57" s="260"/>
      <c r="B57" s="257"/>
      <c r="C57" s="1" t="s">
        <v>84</v>
      </c>
      <c r="D57" s="220">
        <f>SUM(D58:D59)</f>
        <v>13396.179999999998</v>
      </c>
      <c r="E57" s="178">
        <f>E58+E59</f>
        <v>19119</v>
      </c>
      <c r="F57" s="178">
        <f t="shared" ref="F57:F69" si="25">E57</f>
        <v>19119</v>
      </c>
      <c r="G57" s="178">
        <f>SUM(G58:G59)</f>
        <v>38774.32</v>
      </c>
      <c r="H57" s="85">
        <f t="shared" si="1"/>
        <v>0.34549103633538897</v>
      </c>
      <c r="I57" s="234">
        <f>SUM(I58:I59)</f>
        <v>6329535.0099999998</v>
      </c>
      <c r="J57" s="234">
        <f>SUM(J58:J59)</f>
        <v>4114197.7564999997</v>
      </c>
      <c r="K57" s="234">
        <f>IFERROR(I57-J57,"N/A")</f>
        <v>2215337.2535000001</v>
      </c>
      <c r="L57" s="234">
        <f>SUM(L58:L59)</f>
        <v>9128790.0612798668</v>
      </c>
      <c r="M57" s="234">
        <f>SUM(M58:M59)</f>
        <v>16302263.650130659</v>
      </c>
      <c r="N57" s="85">
        <f t="shared" ref="N57:N69" si="26">IFERROR(I57/M57,"N/A")</f>
        <v>0.38826111182107337</v>
      </c>
      <c r="O57" s="64"/>
      <c r="P57" s="64"/>
      <c r="Q57" s="64"/>
      <c r="R57" s="64"/>
      <c r="S57" s="64"/>
      <c r="T57" s="64"/>
      <c r="U57" s="64"/>
      <c r="V57" s="64"/>
    </row>
    <row r="58" spans="1:22" ht="15">
      <c r="A58" s="215" t="s">
        <v>85</v>
      </c>
      <c r="B58" s="215" t="s">
        <v>86</v>
      </c>
      <c r="C58" s="284" t="s">
        <v>87</v>
      </c>
      <c r="D58" s="225">
        <v>13300.179999999998</v>
      </c>
      <c r="E58" s="212">
        <v>18119</v>
      </c>
      <c r="F58" s="178">
        <f t="shared" si="25"/>
        <v>18119</v>
      </c>
      <c r="G58" s="226">
        <v>37847.32</v>
      </c>
      <c r="H58" s="85">
        <f t="shared" si="1"/>
        <v>0.35141669211981186</v>
      </c>
      <c r="I58" s="236">
        <v>6281549.1499999994</v>
      </c>
      <c r="J58" s="234">
        <f>IFERROR(I58*0.65,"N/A")</f>
        <v>4083006.9474999998</v>
      </c>
      <c r="K58" s="234">
        <f t="shared" ref="K58:K69" si="27">IFERROR(I58-J58,"N/A")</f>
        <v>2198542.2024999997</v>
      </c>
      <c r="L58" s="236">
        <v>8617596.0536671877</v>
      </c>
      <c r="M58" s="236">
        <v>15806274.792907443</v>
      </c>
      <c r="N58" s="85">
        <f t="shared" si="26"/>
        <v>0.39740857553726971</v>
      </c>
      <c r="O58" s="64"/>
      <c r="P58" s="64"/>
      <c r="Q58" s="64"/>
      <c r="R58" s="64"/>
      <c r="S58" s="64"/>
      <c r="T58" s="64"/>
      <c r="U58" s="64"/>
      <c r="V58" s="64"/>
    </row>
    <row r="59" spans="1:22" ht="15">
      <c r="A59" s="215" t="s">
        <v>88</v>
      </c>
      <c r="B59" s="215" t="s">
        <v>89</v>
      </c>
      <c r="C59" s="172" t="s">
        <v>90</v>
      </c>
      <c r="D59" s="225">
        <v>96</v>
      </c>
      <c r="E59" s="212">
        <v>1000</v>
      </c>
      <c r="F59" s="178">
        <f t="shared" si="25"/>
        <v>1000</v>
      </c>
      <c r="G59" s="226">
        <v>927</v>
      </c>
      <c r="H59" s="85">
        <f t="shared" si="1"/>
        <v>0.10355987055016182</v>
      </c>
      <c r="I59" s="236">
        <v>47985.86</v>
      </c>
      <c r="J59" s="234">
        <f t="shared" ref="J59:J69" si="28">IFERROR(I59*0.65,"N/A")</f>
        <v>31190.809000000001</v>
      </c>
      <c r="K59" s="234">
        <f t="shared" si="27"/>
        <v>16795.050999999999</v>
      </c>
      <c r="L59" s="236">
        <v>511194.00761267921</v>
      </c>
      <c r="M59" s="236">
        <v>495988.85722321551</v>
      </c>
      <c r="N59" s="85">
        <f t="shared" si="26"/>
        <v>9.674785895120297E-2</v>
      </c>
      <c r="O59" s="64"/>
      <c r="P59" s="64"/>
      <c r="Q59" s="64"/>
      <c r="R59" s="64"/>
      <c r="S59" s="64"/>
      <c r="T59" s="64"/>
      <c r="U59" s="64"/>
      <c r="V59" s="64"/>
    </row>
    <row r="60" spans="1:22" ht="15">
      <c r="A60" s="215" t="s">
        <v>91</v>
      </c>
      <c r="B60" s="215" t="s">
        <v>92</v>
      </c>
      <c r="C60" s="1" t="s">
        <v>93</v>
      </c>
      <c r="D60" s="225">
        <v>7815.6399999999994</v>
      </c>
      <c r="E60" s="212">
        <v>32257.9</v>
      </c>
      <c r="F60" s="178">
        <f t="shared" si="25"/>
        <v>32257.9</v>
      </c>
      <c r="G60" s="226">
        <v>38034.949999999997</v>
      </c>
      <c r="H60" s="85">
        <f t="shared" si="1"/>
        <v>0.20548574403279091</v>
      </c>
      <c r="I60" s="236">
        <v>3675200.5600000005</v>
      </c>
      <c r="J60" s="234">
        <f t="shared" si="28"/>
        <v>2388880.3640000005</v>
      </c>
      <c r="K60" s="234">
        <f t="shared" si="27"/>
        <v>1286320.196</v>
      </c>
      <c r="L60" s="236">
        <v>12434193.359999998</v>
      </c>
      <c r="M60" s="236">
        <v>16149328.2937012</v>
      </c>
      <c r="N60" s="85">
        <f t="shared" si="26"/>
        <v>0.22757606342261658</v>
      </c>
      <c r="O60" s="64"/>
      <c r="P60" s="64"/>
      <c r="Q60" s="64"/>
      <c r="R60" s="64"/>
      <c r="S60" s="64"/>
      <c r="T60" s="64"/>
      <c r="U60" s="64"/>
      <c r="V60" s="64"/>
    </row>
    <row r="61" spans="1:22" ht="15">
      <c r="A61" s="215" t="s">
        <v>94</v>
      </c>
      <c r="B61" s="215" t="s">
        <v>95</v>
      </c>
      <c r="C61" s="1" t="s">
        <v>96</v>
      </c>
      <c r="D61" s="225">
        <v>16834</v>
      </c>
      <c r="E61" s="212">
        <v>23542</v>
      </c>
      <c r="F61" s="178">
        <f t="shared" si="25"/>
        <v>23542</v>
      </c>
      <c r="G61" s="226">
        <v>31541</v>
      </c>
      <c r="H61" s="85">
        <f t="shared" si="1"/>
        <v>0.53371801781807804</v>
      </c>
      <c r="I61" s="236">
        <v>2660146.75</v>
      </c>
      <c r="J61" s="234">
        <f t="shared" si="28"/>
        <v>1729095.3875</v>
      </c>
      <c r="K61" s="234">
        <f t="shared" si="27"/>
        <v>931051.36250000005</v>
      </c>
      <c r="L61" s="236">
        <v>5152075.5406859824</v>
      </c>
      <c r="M61" s="236">
        <v>7202688.8477622038</v>
      </c>
      <c r="N61" s="85">
        <f t="shared" si="26"/>
        <v>0.36932690085959752</v>
      </c>
      <c r="O61" s="64"/>
      <c r="P61" s="64"/>
      <c r="Q61" s="64"/>
      <c r="R61" s="64"/>
      <c r="S61" s="64"/>
      <c r="T61" s="64"/>
      <c r="U61" s="64"/>
      <c r="V61" s="64"/>
    </row>
    <row r="62" spans="1:22" ht="15" hidden="1">
      <c r="A62" s="216"/>
      <c r="B62" s="216"/>
      <c r="C62" s="229" t="s">
        <v>97</v>
      </c>
      <c r="D62" s="225" t="s">
        <v>41</v>
      </c>
      <c r="E62" s="212" t="s">
        <v>41</v>
      </c>
      <c r="F62" s="178" t="str">
        <f t="shared" si="25"/>
        <v>N/A</v>
      </c>
      <c r="G62" s="226" t="s">
        <v>41</v>
      </c>
      <c r="H62" s="85" t="str">
        <f t="shared" si="1"/>
        <v>N/A</v>
      </c>
      <c r="I62" s="236" t="s">
        <v>41</v>
      </c>
      <c r="J62" s="234" t="str">
        <f t="shared" si="28"/>
        <v>N/A</v>
      </c>
      <c r="K62" s="234" t="str">
        <f t="shared" si="27"/>
        <v>N/A</v>
      </c>
      <c r="L62" s="236" t="s">
        <v>41</v>
      </c>
      <c r="M62" s="236" t="s">
        <v>41</v>
      </c>
      <c r="N62" s="85" t="str">
        <f t="shared" si="26"/>
        <v>N/A</v>
      </c>
      <c r="O62" s="64"/>
      <c r="P62" s="64"/>
      <c r="Q62" s="64"/>
      <c r="R62" s="64"/>
      <c r="S62" s="64"/>
      <c r="T62" s="64"/>
      <c r="U62" s="64"/>
      <c r="V62" s="64"/>
    </row>
    <row r="63" spans="1:22" ht="15">
      <c r="A63" s="215" t="s">
        <v>98</v>
      </c>
      <c r="B63" s="215" t="s">
        <v>99</v>
      </c>
      <c r="C63" s="1" t="s">
        <v>100</v>
      </c>
      <c r="D63" s="225">
        <v>2223</v>
      </c>
      <c r="E63" s="212">
        <v>9021.0000000000018</v>
      </c>
      <c r="F63" s="178">
        <f t="shared" si="25"/>
        <v>9021.0000000000018</v>
      </c>
      <c r="G63" s="226">
        <v>11049</v>
      </c>
      <c r="H63" s="85">
        <f t="shared" si="1"/>
        <v>0.20119467825142548</v>
      </c>
      <c r="I63" s="236">
        <v>1089323.8599999999</v>
      </c>
      <c r="J63" s="234">
        <f t="shared" si="28"/>
        <v>708060.50899999996</v>
      </c>
      <c r="K63" s="234">
        <f t="shared" si="27"/>
        <v>381263.35099999991</v>
      </c>
      <c r="L63" s="236">
        <v>3170000.4</v>
      </c>
      <c r="M63" s="236">
        <v>3358125.25</v>
      </c>
      <c r="N63" s="85">
        <f t="shared" si="26"/>
        <v>0.3243845237755798</v>
      </c>
      <c r="O63" s="64"/>
      <c r="P63" s="64"/>
      <c r="Q63" s="64"/>
      <c r="R63" s="64"/>
      <c r="S63" s="64"/>
      <c r="T63" s="64"/>
      <c r="U63" s="64"/>
      <c r="V63" s="64"/>
    </row>
    <row r="64" spans="1:22" ht="15">
      <c r="A64" s="215" t="s">
        <v>101</v>
      </c>
      <c r="B64" s="215" t="s">
        <v>102</v>
      </c>
      <c r="C64" s="1" t="s">
        <v>103</v>
      </c>
      <c r="D64" s="225">
        <v>205.2</v>
      </c>
      <c r="E64" s="212">
        <v>8675</v>
      </c>
      <c r="F64" s="178">
        <f t="shared" si="25"/>
        <v>8675</v>
      </c>
      <c r="G64" s="226">
        <v>8396.2000000000007</v>
      </c>
      <c r="H64" s="85">
        <f t="shared" si="1"/>
        <v>2.4439627450513323E-2</v>
      </c>
      <c r="I64" s="236">
        <v>747110.45</v>
      </c>
      <c r="J64" s="234">
        <f t="shared" si="28"/>
        <v>485621.79249999998</v>
      </c>
      <c r="K64" s="234">
        <f t="shared" si="27"/>
        <v>261488.65749999997</v>
      </c>
      <c r="L64" s="236">
        <v>2066927.3800000001</v>
      </c>
      <c r="M64" s="236">
        <v>1981621.06</v>
      </c>
      <c r="N64" s="85">
        <f t="shared" si="26"/>
        <v>0.37701983748598228</v>
      </c>
      <c r="O64" s="64"/>
      <c r="P64" s="64"/>
      <c r="Q64" s="64"/>
      <c r="R64" s="64"/>
      <c r="S64" s="64"/>
      <c r="T64" s="64"/>
      <c r="U64" s="64"/>
      <c r="V64" s="64"/>
    </row>
    <row r="65" spans="1:22" ht="15">
      <c r="A65" s="215" t="s">
        <v>104</v>
      </c>
      <c r="B65" s="215" t="s">
        <v>105</v>
      </c>
      <c r="C65" s="1" t="s">
        <v>106</v>
      </c>
      <c r="D65" s="225">
        <v>221</v>
      </c>
      <c r="E65" s="212">
        <v>900</v>
      </c>
      <c r="F65" s="178">
        <f t="shared" si="25"/>
        <v>900</v>
      </c>
      <c r="G65" s="226">
        <v>741</v>
      </c>
      <c r="H65" s="85">
        <f t="shared" si="1"/>
        <v>0.2982456140350877</v>
      </c>
      <c r="I65" s="236">
        <v>136847.31</v>
      </c>
      <c r="J65" s="234">
        <f t="shared" si="28"/>
        <v>88950.751499999998</v>
      </c>
      <c r="K65" s="234">
        <f t="shared" si="27"/>
        <v>47896.558499999999</v>
      </c>
      <c r="L65" s="236">
        <v>445250.875</v>
      </c>
      <c r="M65" s="236">
        <v>428317.66440000007</v>
      </c>
      <c r="N65" s="85">
        <f t="shared" si="26"/>
        <v>0.31949957093574394</v>
      </c>
      <c r="O65" s="64"/>
      <c r="P65" s="64"/>
      <c r="Q65" s="64"/>
      <c r="R65" s="64"/>
      <c r="S65" s="64"/>
      <c r="T65" s="64"/>
      <c r="U65" s="64"/>
      <c r="V65" s="64"/>
    </row>
    <row r="66" spans="1:22" ht="15">
      <c r="A66" s="269"/>
      <c r="B66" s="215" t="s">
        <v>107</v>
      </c>
      <c r="C66" s="1" t="s">
        <v>108</v>
      </c>
      <c r="D66" s="225" t="s">
        <v>41</v>
      </c>
      <c r="E66" s="212" t="s">
        <v>41</v>
      </c>
      <c r="F66" s="178" t="str">
        <f t="shared" si="25"/>
        <v>N/A</v>
      </c>
      <c r="G66" s="226" t="s">
        <v>41</v>
      </c>
      <c r="H66" s="85" t="str">
        <f t="shared" si="1"/>
        <v>N/A</v>
      </c>
      <c r="I66" s="236">
        <v>117752.1</v>
      </c>
      <c r="J66" s="234">
        <f t="shared" si="28"/>
        <v>76538.865000000005</v>
      </c>
      <c r="K66" s="234">
        <f t="shared" si="27"/>
        <v>41213.235000000001</v>
      </c>
      <c r="L66" s="236">
        <v>209955.35999999996</v>
      </c>
      <c r="M66" s="236">
        <v>218135.91999999995</v>
      </c>
      <c r="N66" s="85">
        <f t="shared" si="26"/>
        <v>0.53981068317405057</v>
      </c>
      <c r="O66" s="64"/>
      <c r="P66" s="64"/>
      <c r="Q66" s="64"/>
      <c r="R66" s="64"/>
      <c r="S66" s="64"/>
      <c r="T66" s="64"/>
      <c r="U66" s="64"/>
      <c r="V66" s="64"/>
    </row>
    <row r="67" spans="1:22" ht="15">
      <c r="A67" s="215" t="s">
        <v>109</v>
      </c>
      <c r="B67" s="215" t="s">
        <v>110</v>
      </c>
      <c r="C67" s="1" t="s">
        <v>111</v>
      </c>
      <c r="D67" s="225">
        <v>54.2</v>
      </c>
      <c r="E67" s="212">
        <v>81.800000000000011</v>
      </c>
      <c r="F67" s="178">
        <f t="shared" si="25"/>
        <v>81.800000000000011</v>
      </c>
      <c r="G67" s="226">
        <v>82.2</v>
      </c>
      <c r="H67" s="85">
        <f t="shared" si="1"/>
        <v>0.65936739659367394</v>
      </c>
      <c r="I67" s="236">
        <v>23121.039999999997</v>
      </c>
      <c r="J67" s="234">
        <f t="shared" si="28"/>
        <v>15028.675999999999</v>
      </c>
      <c r="K67" s="234">
        <f t="shared" si="27"/>
        <v>8092.3639999999978</v>
      </c>
      <c r="L67" s="236">
        <v>30798.129999999997</v>
      </c>
      <c r="M67" s="236">
        <v>30798.2575</v>
      </c>
      <c r="N67" s="85">
        <f t="shared" si="26"/>
        <v>0.75072558893956898</v>
      </c>
      <c r="O67" s="64"/>
      <c r="P67" s="64"/>
      <c r="Q67" s="64"/>
      <c r="R67" s="64"/>
      <c r="S67" s="64"/>
      <c r="T67" s="64"/>
      <c r="U67" s="64"/>
      <c r="V67" s="64"/>
    </row>
    <row r="68" spans="1:22" ht="15">
      <c r="A68" s="218" t="s">
        <v>112</v>
      </c>
      <c r="B68" s="347" t="s">
        <v>113</v>
      </c>
      <c r="C68" s="63" t="s">
        <v>114</v>
      </c>
      <c r="D68" s="225">
        <v>749.6</v>
      </c>
      <c r="E68" s="212">
        <v>15249.970000000003</v>
      </c>
      <c r="F68" s="178">
        <f t="shared" ref="F68" si="29">E68</f>
        <v>15249.970000000003</v>
      </c>
      <c r="G68" s="226">
        <v>2296.4</v>
      </c>
      <c r="H68" s="85">
        <f t="shared" ref="H68" si="30">IF(AND(ISNUMBER(G68)=TRUE,G68&lt;&gt;0),D68/G68,"N/A")</f>
        <v>0.32642396794983453</v>
      </c>
      <c r="I68" s="236">
        <v>11656.949999999999</v>
      </c>
      <c r="J68" s="234">
        <f t="shared" ref="J68" si="31">IFERROR(I68*0.65,"N/A")</f>
        <v>7577.0174999999999</v>
      </c>
      <c r="K68" s="234">
        <f t="shared" ref="K68" si="32">IFERROR(I68-J68,"N/A")</f>
        <v>4079.932499999999</v>
      </c>
      <c r="L68" s="236">
        <v>56385</v>
      </c>
      <c r="M68" s="236">
        <v>45526.520000000004</v>
      </c>
      <c r="N68" s="85">
        <f t="shared" ref="N68" si="33">IFERROR(I68/M68,"N/A")</f>
        <v>0.25604746420328189</v>
      </c>
      <c r="O68" s="64"/>
      <c r="P68" s="64"/>
      <c r="Q68" s="64"/>
      <c r="R68" s="64"/>
      <c r="S68" s="64"/>
      <c r="T68" s="64"/>
      <c r="U68" s="64"/>
      <c r="V68" s="64"/>
    </row>
    <row r="69" spans="1:22" ht="15">
      <c r="A69" s="269"/>
      <c r="B69" s="215" t="s">
        <v>115</v>
      </c>
      <c r="C69" s="1" t="s">
        <v>116</v>
      </c>
      <c r="D69" s="225" t="s">
        <v>41</v>
      </c>
      <c r="E69" s="212" t="s">
        <v>41</v>
      </c>
      <c r="F69" s="178" t="str">
        <f t="shared" si="25"/>
        <v>N/A</v>
      </c>
      <c r="G69" s="226" t="s">
        <v>41</v>
      </c>
      <c r="H69" s="82" t="str">
        <f>IF(AND(ISNUMBER(G69)=TRUE,G69&lt;&gt;0),D69/G69,"N/A")</f>
        <v>N/A</v>
      </c>
      <c r="I69" s="236">
        <v>242152.95</v>
      </c>
      <c r="J69" s="234">
        <f t="shared" si="28"/>
        <v>157399.41750000001</v>
      </c>
      <c r="K69" s="234">
        <f t="shared" si="27"/>
        <v>84753.532500000001</v>
      </c>
      <c r="L69" s="236">
        <v>809052.00000000012</v>
      </c>
      <c r="M69" s="236">
        <v>809052.00249999994</v>
      </c>
      <c r="N69" s="85">
        <f t="shared" si="26"/>
        <v>0.29930455551897611</v>
      </c>
      <c r="O69" s="64"/>
      <c r="P69" s="64"/>
      <c r="Q69" s="64"/>
      <c r="R69" s="64"/>
      <c r="S69" s="64"/>
      <c r="T69" s="64"/>
      <c r="U69" s="64"/>
      <c r="V69" s="64"/>
    </row>
    <row r="70" spans="1:22" ht="20.100000000000001" customHeight="1">
      <c r="A70" s="254"/>
      <c r="B70" s="255"/>
      <c r="C70" s="40" t="s">
        <v>117</v>
      </c>
      <c r="D70" s="222">
        <f>SUM(D57,D60:D69)</f>
        <v>41498.819999999992</v>
      </c>
      <c r="E70" s="188">
        <f>SUM(E57,E60:E69)</f>
        <v>108846.67</v>
      </c>
      <c r="F70" s="188">
        <f>SUM(F57,F60:F69)</f>
        <v>108846.67</v>
      </c>
      <c r="G70" s="188">
        <f>SUM(G57,G60:G69)</f>
        <v>130915.06999999998</v>
      </c>
      <c r="H70" s="189">
        <f t="shared" si="1"/>
        <v>0.31699039690388586</v>
      </c>
      <c r="I70" s="237">
        <f>SUM(I57,I60:I69)</f>
        <v>15032846.979999997</v>
      </c>
      <c r="J70" s="454">
        <f>J57+J60+J61+J63+J64+J65+J66+J67+J69</f>
        <v>9763773.5195000023</v>
      </c>
      <c r="K70" s="454">
        <f>K57+K60+K61+K63+K64+K65+K66+K67+K69</f>
        <v>5257416.5104999999</v>
      </c>
      <c r="L70" s="237">
        <f>SUM(L57,L60:L69)</f>
        <v>33503428.10696584</v>
      </c>
      <c r="M70" s="237">
        <f>SUM(M57,M60:M69)</f>
        <v>46525857.465994067</v>
      </c>
      <c r="N70" s="86">
        <f>I70/M70</f>
        <v>0.32310736005215085</v>
      </c>
      <c r="O70" s="64"/>
      <c r="P70" s="64"/>
      <c r="Q70" s="64"/>
      <c r="R70" s="64"/>
      <c r="S70" s="64"/>
      <c r="T70" s="64"/>
      <c r="U70" s="64"/>
      <c r="V70" s="64"/>
    </row>
    <row r="71" spans="1:22" ht="20.100000000000001" customHeight="1">
      <c r="A71" s="256"/>
      <c r="B71" s="257"/>
      <c r="C71" s="221" t="s">
        <v>118</v>
      </c>
      <c r="D71" s="182"/>
      <c r="E71" s="182"/>
      <c r="F71" s="182"/>
      <c r="G71" s="182"/>
      <c r="H71" s="177"/>
      <c r="I71" s="186"/>
      <c r="J71" s="186"/>
      <c r="K71" s="186"/>
      <c r="L71" s="186"/>
      <c r="M71" s="186"/>
      <c r="N71" s="190"/>
      <c r="O71" s="64"/>
      <c r="P71" s="64"/>
      <c r="Q71" s="64"/>
      <c r="R71" s="64"/>
      <c r="S71" s="64"/>
      <c r="T71" s="64"/>
      <c r="U71" s="64"/>
      <c r="V71" s="64"/>
    </row>
    <row r="72" spans="1:22" ht="15">
      <c r="A72" s="258"/>
      <c r="B72" s="259"/>
      <c r="C72" s="1" t="s">
        <v>119</v>
      </c>
      <c r="D72" s="220">
        <f>D84</f>
        <v>37125</v>
      </c>
      <c r="E72" s="220">
        <f>E84</f>
        <v>83334</v>
      </c>
      <c r="F72" s="178">
        <f t="shared" ref="F72:F81" si="34">E72</f>
        <v>83334</v>
      </c>
      <c r="G72" s="179">
        <f>G84</f>
        <v>86283</v>
      </c>
      <c r="H72" s="84">
        <f t="shared" ref="H72:H91" si="35">IF(AND(ISNUMBER(G72)=TRUE,G72&lt;&gt;0),D72/G72,"N/A")</f>
        <v>0.43027015750495462</v>
      </c>
      <c r="I72" s="233">
        <f>I84</f>
        <v>3081036.7</v>
      </c>
      <c r="J72" s="233">
        <f>J84</f>
        <v>2002673.8550000002</v>
      </c>
      <c r="K72" s="234">
        <f>K84</f>
        <v>1078362.845</v>
      </c>
      <c r="L72" s="234">
        <f>L84</f>
        <v>6114426.3600000022</v>
      </c>
      <c r="M72" s="234">
        <f>M84</f>
        <v>6132534</v>
      </c>
      <c r="N72" s="85">
        <f t="shared" ref="N72:N81" si="36">IFERROR(I72/M72,"N/A")</f>
        <v>0.50240841714045126</v>
      </c>
      <c r="O72" s="64"/>
      <c r="P72" s="64"/>
      <c r="Q72" s="64"/>
      <c r="R72" s="64"/>
      <c r="S72" s="64"/>
      <c r="T72" s="64"/>
      <c r="U72" s="64"/>
      <c r="V72" s="64"/>
    </row>
    <row r="73" spans="1:22" ht="15">
      <c r="A73" s="258"/>
      <c r="B73" s="259"/>
      <c r="C73" s="1" t="s">
        <v>120</v>
      </c>
      <c r="D73" s="220">
        <f>D85+D98+D97</f>
        <v>6839.0700000000006</v>
      </c>
      <c r="E73" s="220">
        <f>E85+E98+E97</f>
        <v>15448.91</v>
      </c>
      <c r="F73" s="178">
        <f t="shared" si="34"/>
        <v>15448.91</v>
      </c>
      <c r="G73" s="179">
        <f>G85+G97+G98</f>
        <v>14354.51</v>
      </c>
      <c r="H73" s="84">
        <f t="shared" si="35"/>
        <v>0.47644050545786659</v>
      </c>
      <c r="I73" s="233">
        <f>I85+I97+I98</f>
        <v>11491410.229999999</v>
      </c>
      <c r="J73" s="233">
        <f>J85+J97+J98</f>
        <v>7469416.6495000003</v>
      </c>
      <c r="K73" s="234">
        <f>K85+K97+K98</f>
        <v>4021993.5804999997</v>
      </c>
      <c r="L73" s="234">
        <f>L85+L97+L98</f>
        <v>32352737</v>
      </c>
      <c r="M73" s="234">
        <f>M85+M97+M98</f>
        <v>28500943</v>
      </c>
      <c r="N73" s="85">
        <f t="shared" si="36"/>
        <v>0.40319403572015139</v>
      </c>
      <c r="O73" s="64"/>
      <c r="P73" s="64"/>
      <c r="Q73" s="64"/>
      <c r="R73" s="64"/>
      <c r="S73" s="64"/>
      <c r="T73" s="64"/>
      <c r="U73" s="64"/>
      <c r="V73" s="64"/>
    </row>
    <row r="74" spans="1:22" ht="15">
      <c r="A74" s="258"/>
      <c r="B74" s="259"/>
      <c r="C74" s="1" t="s">
        <v>121</v>
      </c>
      <c r="D74" s="220">
        <f>D86+D99+D100</f>
        <v>13891</v>
      </c>
      <c r="E74" s="220">
        <f>E86+E99+E100</f>
        <v>37763.460000000006</v>
      </c>
      <c r="F74" s="178">
        <f t="shared" si="34"/>
        <v>37763.460000000006</v>
      </c>
      <c r="G74" s="179">
        <f>G99+G100+G86</f>
        <v>38279</v>
      </c>
      <c r="H74" s="84">
        <f t="shared" si="35"/>
        <v>0.36288826771859245</v>
      </c>
      <c r="I74" s="233">
        <f>I99+I100+I86</f>
        <v>12964818.540000001</v>
      </c>
      <c r="J74" s="233">
        <f>J99+J100+J86</f>
        <v>8427132.0510000009</v>
      </c>
      <c r="K74" s="234">
        <f>K99+K100+K86</f>
        <v>4537686.4889999991</v>
      </c>
      <c r="L74" s="234">
        <f>L99+L100+L86</f>
        <v>39016917.969749719</v>
      </c>
      <c r="M74" s="234">
        <f>M99+M100+M86</f>
        <v>37066786</v>
      </c>
      <c r="N74" s="85">
        <f t="shared" si="36"/>
        <v>0.34976915829713429</v>
      </c>
      <c r="O74" s="64"/>
      <c r="P74" s="64"/>
      <c r="Q74" s="64"/>
      <c r="R74" s="64"/>
      <c r="S74" s="64"/>
      <c r="T74" s="64"/>
      <c r="U74" s="64"/>
      <c r="V74" s="64"/>
    </row>
    <row r="75" spans="1:22" ht="15">
      <c r="A75" s="256"/>
      <c r="B75" s="257"/>
      <c r="C75" s="1" t="s">
        <v>122</v>
      </c>
      <c r="D75" s="220">
        <f>D87+D101</f>
        <v>184236.83000000002</v>
      </c>
      <c r="E75" s="220">
        <f>E87+E101</f>
        <v>334069.54000000004</v>
      </c>
      <c r="F75" s="178">
        <f t="shared" si="34"/>
        <v>334069.54000000004</v>
      </c>
      <c r="G75" s="179">
        <f>G87+G101</f>
        <v>389352.94</v>
      </c>
      <c r="H75" s="84">
        <f t="shared" si="35"/>
        <v>0.47318720644564805</v>
      </c>
      <c r="I75" s="233">
        <f t="shared" ref="I75:M76" si="37">I87+I101</f>
        <v>18721815.729999997</v>
      </c>
      <c r="J75" s="233">
        <f t="shared" si="37"/>
        <v>12169180.2245</v>
      </c>
      <c r="K75" s="234">
        <f t="shared" si="37"/>
        <v>6552635.5054999981</v>
      </c>
      <c r="L75" s="234">
        <f t="shared" si="37"/>
        <v>37482473</v>
      </c>
      <c r="M75" s="234">
        <f t="shared" si="37"/>
        <v>43959861.969999999</v>
      </c>
      <c r="N75" s="85">
        <f t="shared" si="36"/>
        <v>0.42588431562356877</v>
      </c>
      <c r="O75" s="64"/>
      <c r="P75" s="64"/>
      <c r="Q75" s="64"/>
      <c r="R75" s="64"/>
      <c r="S75" s="64"/>
      <c r="T75" s="64"/>
      <c r="U75" s="64"/>
      <c r="V75" s="64"/>
    </row>
    <row r="76" spans="1:22" ht="15">
      <c r="A76" s="256"/>
      <c r="B76" s="257"/>
      <c r="C76" s="1" t="s">
        <v>123</v>
      </c>
      <c r="D76" s="220">
        <f>D88+D102</f>
        <v>150819.16999999998</v>
      </c>
      <c r="E76" s="220">
        <f>E88+E102</f>
        <v>304118.09000000003</v>
      </c>
      <c r="F76" s="178">
        <f t="shared" si="34"/>
        <v>304118.09000000003</v>
      </c>
      <c r="G76" s="178">
        <f>G88+G102</f>
        <v>273534.75</v>
      </c>
      <c r="H76" s="84">
        <f t="shared" si="35"/>
        <v>0.55137115119742552</v>
      </c>
      <c r="I76" s="234">
        <f t="shared" si="37"/>
        <v>8502486.0499999989</v>
      </c>
      <c r="J76" s="234">
        <f t="shared" si="37"/>
        <v>5526615.9325000001</v>
      </c>
      <c r="K76" s="234">
        <f t="shared" si="37"/>
        <v>2975870.1174999997</v>
      </c>
      <c r="L76" s="234">
        <f t="shared" si="37"/>
        <v>18137245.98</v>
      </c>
      <c r="M76" s="234">
        <f t="shared" si="37"/>
        <v>16652994.659999998</v>
      </c>
      <c r="N76" s="85">
        <f t="shared" si="36"/>
        <v>0.51056799233970329</v>
      </c>
      <c r="O76" s="64"/>
      <c r="P76" s="64"/>
      <c r="Q76" s="64"/>
      <c r="R76" s="64"/>
      <c r="S76" s="64"/>
      <c r="T76" s="64"/>
      <c r="U76" s="64"/>
      <c r="V76" s="64"/>
    </row>
    <row r="77" spans="1:22" ht="15">
      <c r="A77" s="256"/>
      <c r="B77" s="257"/>
      <c r="C77" s="1" t="s">
        <v>124</v>
      </c>
      <c r="D77" s="220">
        <f>D103</f>
        <v>2391.65</v>
      </c>
      <c r="E77" s="220">
        <f>E103</f>
        <v>3461.46</v>
      </c>
      <c r="F77" s="178">
        <f t="shared" si="34"/>
        <v>3461.46</v>
      </c>
      <c r="G77" s="178">
        <f>G103</f>
        <v>3660.01</v>
      </c>
      <c r="H77" s="84">
        <f t="shared" si="35"/>
        <v>0.65345449875820005</v>
      </c>
      <c r="I77" s="234">
        <f>I103</f>
        <v>775536.38</v>
      </c>
      <c r="J77" s="234">
        <f>J103</f>
        <v>504098.647</v>
      </c>
      <c r="K77" s="234">
        <f>K103</f>
        <v>271437.73300000001</v>
      </c>
      <c r="L77" s="234">
        <f>L103</f>
        <v>1562675.5199999998</v>
      </c>
      <c r="M77" s="234">
        <f>M103</f>
        <v>1393574.9200000004</v>
      </c>
      <c r="N77" s="85">
        <f t="shared" si="36"/>
        <v>0.55650856575403906</v>
      </c>
      <c r="O77" s="64"/>
      <c r="P77" s="64"/>
      <c r="Q77" s="64"/>
      <c r="R77" s="64"/>
      <c r="S77" s="64"/>
      <c r="T77" s="64"/>
      <c r="U77" s="64"/>
      <c r="V77" s="64"/>
    </row>
    <row r="78" spans="1:22" ht="15">
      <c r="A78" s="256"/>
      <c r="B78" s="257"/>
      <c r="C78" s="1" t="s">
        <v>125</v>
      </c>
      <c r="D78" s="220">
        <f>D89</f>
        <v>124.28</v>
      </c>
      <c r="E78" s="220">
        <f>E89</f>
        <v>333.33000000000004</v>
      </c>
      <c r="F78" s="178">
        <f t="shared" si="34"/>
        <v>333.33000000000004</v>
      </c>
      <c r="G78" s="178">
        <f>G89</f>
        <v>297.84000000000003</v>
      </c>
      <c r="H78" s="84">
        <f t="shared" si="35"/>
        <v>0.41727101799623956</v>
      </c>
      <c r="I78" s="234">
        <f t="shared" ref="I78:M79" si="38">I89</f>
        <v>51228.68</v>
      </c>
      <c r="J78" s="234">
        <f t="shared" si="38"/>
        <v>33298.642</v>
      </c>
      <c r="K78" s="234">
        <f t="shared" si="38"/>
        <v>17930.038</v>
      </c>
      <c r="L78" s="234">
        <f t="shared" si="38"/>
        <v>173323.16</v>
      </c>
      <c r="M78" s="234">
        <f t="shared" si="38"/>
        <v>190391.7</v>
      </c>
      <c r="N78" s="85">
        <f t="shared" si="36"/>
        <v>0.26906992269095764</v>
      </c>
      <c r="O78" s="64"/>
      <c r="P78" s="64"/>
      <c r="Q78" s="64"/>
      <c r="R78" s="64"/>
      <c r="S78" s="64"/>
      <c r="T78" s="64"/>
      <c r="U78" s="64"/>
      <c r="V78" s="64"/>
    </row>
    <row r="79" spans="1:22" ht="27">
      <c r="A79" s="256"/>
      <c r="B79" s="257"/>
      <c r="C79" s="1" t="s">
        <v>126</v>
      </c>
      <c r="D79" s="220">
        <f>D90</f>
        <v>8694</v>
      </c>
      <c r="E79" s="220">
        <f>E90</f>
        <v>20471</v>
      </c>
      <c r="F79" s="178">
        <f t="shared" si="34"/>
        <v>20471</v>
      </c>
      <c r="G79" s="178">
        <f>G90</f>
        <v>21330</v>
      </c>
      <c r="H79" s="84">
        <f t="shared" si="35"/>
        <v>0.40759493670886077</v>
      </c>
      <c r="I79" s="234">
        <f t="shared" si="38"/>
        <v>1430973.49</v>
      </c>
      <c r="J79" s="234">
        <f>J90</f>
        <v>930132.76850000001</v>
      </c>
      <c r="K79" s="234">
        <f>K90</f>
        <v>500840.72149999999</v>
      </c>
      <c r="L79" s="234">
        <f t="shared" si="38"/>
        <v>3392817</v>
      </c>
      <c r="M79" s="234">
        <f t="shared" si="38"/>
        <v>3711551.2399999998</v>
      </c>
      <c r="N79" s="85">
        <f t="shared" si="36"/>
        <v>0.38554593415770816</v>
      </c>
      <c r="O79" s="64"/>
      <c r="P79" s="64"/>
      <c r="Q79" s="64"/>
      <c r="R79" s="64"/>
      <c r="S79" s="64"/>
      <c r="T79" s="64"/>
      <c r="U79" s="64"/>
      <c r="V79" s="64"/>
    </row>
    <row r="80" spans="1:22" ht="15">
      <c r="A80" s="256"/>
      <c r="B80" s="257"/>
      <c r="C80" s="1" t="s">
        <v>39</v>
      </c>
      <c r="D80" s="220">
        <f>D94+D105+D106+D93+D92+D104</f>
        <v>23974.60903</v>
      </c>
      <c r="E80" s="220">
        <f>E94+E105+E106+E93+E92+E104</f>
        <v>64214.707517399976</v>
      </c>
      <c r="F80" s="178">
        <f t="shared" si="34"/>
        <v>64214.707517399976</v>
      </c>
      <c r="G80" s="220">
        <f>G94+G105+G106+G93+G92+G104</f>
        <v>61385.973740100002</v>
      </c>
      <c r="H80" s="282">
        <f t="shared" ref="H80" si="39">H105</f>
        <v>0.23388162674477792</v>
      </c>
      <c r="I80" s="234">
        <f>I94+I105+I93+I106</f>
        <v>9287405.5500000007</v>
      </c>
      <c r="J80" s="234">
        <f t="shared" ref="J80:M80" si="40">J94+J105+J93+J106</f>
        <v>6036813.6074999999</v>
      </c>
      <c r="K80" s="234">
        <f t="shared" si="40"/>
        <v>3250591.9424999999</v>
      </c>
      <c r="L80" s="234">
        <f t="shared" si="40"/>
        <v>27899789.68888443</v>
      </c>
      <c r="M80" s="234">
        <f t="shared" si="40"/>
        <v>26885845.66</v>
      </c>
      <c r="N80" s="85">
        <f t="shared" si="36"/>
        <v>0.34543847597167232</v>
      </c>
      <c r="O80" s="64"/>
      <c r="P80" s="64"/>
      <c r="Q80" s="64"/>
      <c r="R80" s="64"/>
      <c r="S80" s="64"/>
      <c r="T80" s="64"/>
      <c r="U80" s="64"/>
      <c r="V80" s="64"/>
    </row>
    <row r="81" spans="1:22" ht="15">
      <c r="A81" s="256"/>
      <c r="B81" s="257"/>
      <c r="C81" s="1" t="s">
        <v>127</v>
      </c>
      <c r="D81" s="220" t="str">
        <f>IF(AND(D95&lt;&gt;"N/A",D107&lt;&gt;"N/A"),D95+D107,"N/A")</f>
        <v>N/A</v>
      </c>
      <c r="E81" s="220" t="str">
        <f>IF(AND(E95&lt;&gt;"N/A",E107&lt;&gt;"N/A"),E95+E107,"N/A")</f>
        <v>N/A</v>
      </c>
      <c r="F81" s="178" t="str">
        <f t="shared" si="34"/>
        <v>N/A</v>
      </c>
      <c r="G81" s="178" t="str">
        <f t="shared" ref="G81" si="41">F81</f>
        <v>N/A</v>
      </c>
      <c r="H81" s="84" t="str">
        <f t="shared" si="35"/>
        <v>N/A</v>
      </c>
      <c r="I81" s="234">
        <f>I91+I107</f>
        <v>32196.269999999997</v>
      </c>
      <c r="J81" s="234">
        <f>J95+J107</f>
        <v>8937654.8560000006</v>
      </c>
      <c r="K81" s="234">
        <f>K95+K107</f>
        <v>4812583.3839999996</v>
      </c>
      <c r="L81" s="234">
        <f>L91+L107</f>
        <v>1800000</v>
      </c>
      <c r="M81" s="234">
        <f>M91+M107</f>
        <v>1629383</v>
      </c>
      <c r="N81" s="85">
        <f t="shared" si="36"/>
        <v>1.9759792510416516E-2</v>
      </c>
      <c r="O81" s="64"/>
      <c r="P81" s="64"/>
      <c r="Q81" s="64"/>
      <c r="R81" s="64"/>
      <c r="S81" s="64"/>
      <c r="T81" s="64"/>
      <c r="U81" s="64"/>
      <c r="V81" s="64"/>
    </row>
    <row r="82" spans="1:22" ht="31.35" customHeight="1">
      <c r="A82" s="256"/>
      <c r="B82" s="257"/>
      <c r="C82" s="2" t="s">
        <v>128</v>
      </c>
      <c r="D82" s="223">
        <f>SUM(D72:D81)</f>
        <v>428095.60903000005</v>
      </c>
      <c r="E82" s="180">
        <f>SUM(E72:E80)</f>
        <v>863214.49751739996</v>
      </c>
      <c r="F82" s="180">
        <f>SUM(F72:F80)</f>
        <v>863214.49751739996</v>
      </c>
      <c r="G82" s="180">
        <f>SUM(G72:G80)</f>
        <v>888478.02374009998</v>
      </c>
      <c r="H82" s="83">
        <f t="shared" si="35"/>
        <v>0.48183027333406253</v>
      </c>
      <c r="I82" s="235">
        <f>SUM(I72:I81)</f>
        <v>66338907.619999997</v>
      </c>
      <c r="J82" s="235">
        <f>SUM(J72:J81)</f>
        <v>52037017.233499996</v>
      </c>
      <c r="K82" s="235">
        <f>SUM(,K72:K81)</f>
        <v>28019932.356499992</v>
      </c>
      <c r="L82" s="235">
        <f>SUM(,L72:L81)</f>
        <v>167932405.67863417</v>
      </c>
      <c r="M82" s="235">
        <f>SUM(,M72:M81)</f>
        <v>166123866.15000001</v>
      </c>
      <c r="N82" s="171">
        <f>I82/M82</f>
        <v>0.39933399792236896</v>
      </c>
      <c r="O82" s="64"/>
      <c r="P82" s="64"/>
      <c r="Q82" s="64"/>
      <c r="R82" s="64"/>
      <c r="S82" s="64"/>
      <c r="T82" s="64"/>
      <c r="U82" s="64"/>
      <c r="V82" s="64"/>
    </row>
    <row r="83" spans="1:22" ht="20.100000000000001" customHeight="1">
      <c r="A83" s="260"/>
      <c r="B83" s="261"/>
      <c r="C83" s="224" t="s">
        <v>129</v>
      </c>
      <c r="D83" s="184"/>
      <c r="E83" s="184"/>
      <c r="F83" s="184"/>
      <c r="G83" s="184"/>
      <c r="H83" s="184"/>
      <c r="I83" s="184"/>
      <c r="J83" s="184"/>
      <c r="K83" s="184"/>
      <c r="L83" s="184"/>
      <c r="M83" s="184"/>
      <c r="N83" s="453"/>
      <c r="O83" s="64"/>
      <c r="P83" s="64"/>
      <c r="Q83" s="64"/>
      <c r="R83" s="64"/>
      <c r="S83" s="64"/>
      <c r="T83" s="64"/>
      <c r="U83" s="64"/>
      <c r="V83" s="64"/>
    </row>
    <row r="84" spans="1:22" ht="15">
      <c r="A84" s="245" t="s">
        <v>130</v>
      </c>
      <c r="B84" s="270" t="s">
        <v>131</v>
      </c>
      <c r="C84" s="1" t="s">
        <v>132</v>
      </c>
      <c r="D84" s="225">
        <v>37125</v>
      </c>
      <c r="E84" s="212">
        <v>83334</v>
      </c>
      <c r="F84" s="181">
        <f t="shared" ref="F84:F94" si="42">E84</f>
        <v>83334</v>
      </c>
      <c r="G84" s="226">
        <v>86283</v>
      </c>
      <c r="H84" s="85">
        <f t="shared" si="35"/>
        <v>0.43027015750495462</v>
      </c>
      <c r="I84" s="236">
        <v>3081036.7</v>
      </c>
      <c r="J84" s="234">
        <f t="shared" ref="J84:J94" si="43">IFERROR(I84*0.65,"N/A")</f>
        <v>2002673.8550000002</v>
      </c>
      <c r="K84" s="234">
        <f t="shared" ref="K84:K94" si="44">IFERROR(I84-J84,"N/A")</f>
        <v>1078362.845</v>
      </c>
      <c r="L84" s="236">
        <v>6114426.3600000022</v>
      </c>
      <c r="M84" s="236">
        <v>6132534</v>
      </c>
      <c r="N84" s="85">
        <f t="shared" ref="N84:N94" si="45">IFERROR(I84/M84,"N/A")</f>
        <v>0.50240841714045126</v>
      </c>
      <c r="O84" s="64"/>
      <c r="P84" s="64"/>
      <c r="Q84" s="64"/>
      <c r="R84" s="64"/>
      <c r="S84" s="64"/>
      <c r="T84" s="64"/>
      <c r="U84" s="64"/>
      <c r="V84" s="64"/>
    </row>
    <row r="85" spans="1:22" ht="27">
      <c r="A85" s="215" t="s">
        <v>133</v>
      </c>
      <c r="B85" s="215" t="s">
        <v>134</v>
      </c>
      <c r="C85" s="1" t="s">
        <v>135</v>
      </c>
      <c r="D85" s="225">
        <v>289.76</v>
      </c>
      <c r="E85" s="212">
        <v>534</v>
      </c>
      <c r="F85" s="181">
        <f t="shared" si="42"/>
        <v>534</v>
      </c>
      <c r="G85" s="226">
        <v>625.99999999999989</v>
      </c>
      <c r="H85" s="85">
        <f>IF(AND(ISNUMBER(G85)=TRUE,G85&lt;&gt;0),D85/G85,"N/A")</f>
        <v>0.46287539936102245</v>
      </c>
      <c r="I85" s="236">
        <v>153900.62</v>
      </c>
      <c r="J85" s="234">
        <f t="shared" si="43"/>
        <v>100035.40300000001</v>
      </c>
      <c r="K85" s="234">
        <f t="shared" si="44"/>
        <v>53865.21699999999</v>
      </c>
      <c r="L85" s="236">
        <v>452197</v>
      </c>
      <c r="M85" s="236">
        <v>318617</v>
      </c>
      <c r="N85" s="85">
        <f t="shared" si="45"/>
        <v>0.48302701990163738</v>
      </c>
      <c r="O85" s="64"/>
      <c r="P85" s="64"/>
      <c r="Q85" s="64"/>
      <c r="R85" s="64"/>
      <c r="S85" s="64"/>
      <c r="T85" s="64"/>
      <c r="U85" s="64"/>
      <c r="V85" s="64"/>
    </row>
    <row r="86" spans="1:22" ht="15">
      <c r="A86" s="215" t="s">
        <v>136</v>
      </c>
      <c r="B86" s="215" t="s">
        <v>137</v>
      </c>
      <c r="C86" s="1" t="s">
        <v>138</v>
      </c>
      <c r="D86" s="225">
        <v>1360</v>
      </c>
      <c r="E86" s="212">
        <v>4021.29</v>
      </c>
      <c r="F86" s="181">
        <f t="shared" si="42"/>
        <v>4021.29</v>
      </c>
      <c r="G86" s="226">
        <v>4021</v>
      </c>
      <c r="H86" s="85">
        <f t="shared" si="35"/>
        <v>0.33822432230788363</v>
      </c>
      <c r="I86" s="236">
        <v>645243.1</v>
      </c>
      <c r="J86" s="234">
        <f t="shared" si="43"/>
        <v>419408.01500000001</v>
      </c>
      <c r="K86" s="234">
        <f t="shared" si="44"/>
        <v>225835.08499999996</v>
      </c>
      <c r="L86" s="236">
        <v>1759045.9902110987</v>
      </c>
      <c r="M86" s="236">
        <v>1758490</v>
      </c>
      <c r="N86" s="85">
        <f t="shared" si="45"/>
        <v>0.3669302071663757</v>
      </c>
      <c r="O86" s="64"/>
      <c r="P86" s="64"/>
      <c r="Q86" s="64"/>
      <c r="R86" s="64"/>
      <c r="S86" s="64"/>
      <c r="T86" s="64"/>
      <c r="U86" s="64"/>
      <c r="V86" s="64"/>
    </row>
    <row r="87" spans="1:22" ht="27">
      <c r="A87" s="432" t="s">
        <v>139</v>
      </c>
      <c r="B87" s="270" t="s">
        <v>140</v>
      </c>
      <c r="C87" s="1" t="s">
        <v>141</v>
      </c>
      <c r="D87" s="225">
        <v>46371.83</v>
      </c>
      <c r="E87" s="212">
        <v>129497.54000000001</v>
      </c>
      <c r="F87" s="181">
        <f t="shared" si="42"/>
        <v>129497.54000000001</v>
      </c>
      <c r="G87" s="226">
        <v>98570.94</v>
      </c>
      <c r="H87" s="85">
        <f t="shared" si="35"/>
        <v>0.47044118682443326</v>
      </c>
      <c r="I87" s="236">
        <v>4937915.2799999993</v>
      </c>
      <c r="J87" s="234">
        <f t="shared" si="43"/>
        <v>3209644.9319999996</v>
      </c>
      <c r="K87" s="234">
        <f t="shared" si="44"/>
        <v>1728270.3479999998</v>
      </c>
      <c r="L87" s="236">
        <v>14821523</v>
      </c>
      <c r="M87" s="236">
        <v>12268282.379999999</v>
      </c>
      <c r="N87" s="85">
        <f t="shared" si="45"/>
        <v>0.40249442644472289</v>
      </c>
      <c r="O87" s="64"/>
      <c r="P87" s="64"/>
      <c r="Q87" s="64"/>
      <c r="R87" s="64"/>
      <c r="S87" s="64"/>
      <c r="T87" s="64"/>
      <c r="U87" s="64"/>
      <c r="V87" s="64"/>
    </row>
    <row r="88" spans="1:22" ht="15">
      <c r="A88" s="215" t="s">
        <v>142</v>
      </c>
      <c r="B88" s="215" t="s">
        <v>143</v>
      </c>
      <c r="C88" s="1" t="s">
        <v>144</v>
      </c>
      <c r="D88" s="225">
        <v>1289.9000000000001</v>
      </c>
      <c r="E88" s="212">
        <v>2164.7799999999997</v>
      </c>
      <c r="F88" s="181">
        <f t="shared" si="42"/>
        <v>2164.7799999999997</v>
      </c>
      <c r="G88" s="226">
        <v>1769.6499999999999</v>
      </c>
      <c r="H88" s="85">
        <f t="shared" si="35"/>
        <v>0.7289011951515838</v>
      </c>
      <c r="I88" s="236">
        <v>262764.61</v>
      </c>
      <c r="J88" s="234">
        <f t="shared" si="43"/>
        <v>170796.99650000001</v>
      </c>
      <c r="K88" s="234">
        <f t="shared" si="44"/>
        <v>91967.613499999978</v>
      </c>
      <c r="L88" s="236">
        <v>370199.99999999994</v>
      </c>
      <c r="M88" s="236">
        <v>368236.67</v>
      </c>
      <c r="N88" s="85">
        <f t="shared" si="45"/>
        <v>0.71357534815856338</v>
      </c>
      <c r="O88" s="64"/>
      <c r="P88" s="64"/>
      <c r="Q88" s="64"/>
      <c r="R88" s="64"/>
      <c r="S88" s="64"/>
      <c r="T88" s="64"/>
      <c r="U88" s="64"/>
      <c r="V88" s="64"/>
    </row>
    <row r="89" spans="1:22" ht="15">
      <c r="A89" s="215" t="s">
        <v>145</v>
      </c>
      <c r="B89" s="215" t="s">
        <v>146</v>
      </c>
      <c r="C89" s="1" t="s">
        <v>147</v>
      </c>
      <c r="D89" s="225">
        <v>124.28</v>
      </c>
      <c r="E89" s="212">
        <v>333.33000000000004</v>
      </c>
      <c r="F89" s="181">
        <f t="shared" si="42"/>
        <v>333.33000000000004</v>
      </c>
      <c r="G89" s="226">
        <v>297.84000000000003</v>
      </c>
      <c r="H89" s="85">
        <f t="shared" si="35"/>
        <v>0.41727101799623956</v>
      </c>
      <c r="I89" s="236">
        <v>51228.68</v>
      </c>
      <c r="J89" s="234">
        <f t="shared" si="43"/>
        <v>33298.642</v>
      </c>
      <c r="K89" s="234">
        <f t="shared" si="44"/>
        <v>17930.038</v>
      </c>
      <c r="L89" s="236">
        <v>173323.16</v>
      </c>
      <c r="M89" s="236">
        <v>190391.7</v>
      </c>
      <c r="N89" s="85">
        <f t="shared" si="45"/>
        <v>0.26906992269095764</v>
      </c>
      <c r="O89" s="64"/>
      <c r="P89" s="64"/>
      <c r="Q89" s="64"/>
      <c r="R89" s="64"/>
      <c r="S89" s="64"/>
      <c r="T89" s="64"/>
      <c r="U89" s="64"/>
      <c r="V89" s="64"/>
    </row>
    <row r="90" spans="1:22" ht="27">
      <c r="A90" s="215" t="s">
        <v>148</v>
      </c>
      <c r="B90" s="215" t="s">
        <v>149</v>
      </c>
      <c r="C90" s="1" t="s">
        <v>126</v>
      </c>
      <c r="D90" s="225">
        <v>8694</v>
      </c>
      <c r="E90" s="212">
        <v>20471</v>
      </c>
      <c r="F90" s="181">
        <f t="shared" si="42"/>
        <v>20471</v>
      </c>
      <c r="G90" s="226">
        <v>21330</v>
      </c>
      <c r="H90" s="85">
        <f t="shared" si="35"/>
        <v>0.40759493670886077</v>
      </c>
      <c r="I90" s="236">
        <v>1430973.49</v>
      </c>
      <c r="J90" s="234">
        <f t="shared" si="43"/>
        <v>930132.76850000001</v>
      </c>
      <c r="K90" s="234">
        <f t="shared" si="44"/>
        <v>500840.72149999999</v>
      </c>
      <c r="L90" s="236">
        <v>3392817</v>
      </c>
      <c r="M90" s="236">
        <v>3711551.2399999998</v>
      </c>
      <c r="N90" s="85">
        <f t="shared" si="45"/>
        <v>0.38554593415770816</v>
      </c>
      <c r="O90" s="64"/>
      <c r="P90" s="64"/>
      <c r="Q90" s="64"/>
      <c r="R90" s="64"/>
      <c r="S90" s="64"/>
      <c r="T90" s="64"/>
      <c r="U90" s="64"/>
      <c r="V90" s="64"/>
    </row>
    <row r="91" spans="1:22" ht="15">
      <c r="A91" s="267"/>
      <c r="B91" s="215" t="s">
        <v>150</v>
      </c>
      <c r="C91" s="1" t="s">
        <v>150</v>
      </c>
      <c r="D91" s="225" t="s">
        <v>41</v>
      </c>
      <c r="E91" s="212" t="s">
        <v>41</v>
      </c>
      <c r="F91" s="181" t="str">
        <f t="shared" si="42"/>
        <v>N/A</v>
      </c>
      <c r="G91" s="226" t="s">
        <v>41</v>
      </c>
      <c r="H91" s="85" t="str">
        <f t="shared" si="35"/>
        <v>N/A</v>
      </c>
      <c r="I91" s="236">
        <v>8462.9500000000007</v>
      </c>
      <c r="J91" s="234">
        <f t="shared" si="43"/>
        <v>5500.9175000000005</v>
      </c>
      <c r="K91" s="234">
        <f t="shared" si="44"/>
        <v>2962.0325000000003</v>
      </c>
      <c r="L91" s="236">
        <v>350000</v>
      </c>
      <c r="M91" s="236">
        <v>264704</v>
      </c>
      <c r="N91" s="85">
        <f t="shared" si="45"/>
        <v>3.1971371796421663E-2</v>
      </c>
      <c r="O91" s="64"/>
      <c r="P91" s="64"/>
      <c r="Q91" s="64"/>
      <c r="R91" s="64"/>
      <c r="S91" s="64"/>
      <c r="T91" s="64"/>
      <c r="U91" s="64"/>
      <c r="V91" s="64"/>
    </row>
    <row r="92" spans="1:22" ht="15">
      <c r="A92" s="446" t="s">
        <v>151</v>
      </c>
      <c r="B92" s="271"/>
      <c r="C92" s="1" t="s">
        <v>152</v>
      </c>
      <c r="D92" s="225">
        <v>116.18160329999999</v>
      </c>
      <c r="E92" s="212">
        <v>210</v>
      </c>
      <c r="F92" s="181">
        <f t="shared" si="42"/>
        <v>210</v>
      </c>
      <c r="G92" s="226">
        <v>461.10646889999998</v>
      </c>
      <c r="H92" s="85">
        <f>IF(AND(ISNUMBER(G92)=TRUE,G92&lt;&gt;0),D92/G92,"N/A")</f>
        <v>0.2519626401623879</v>
      </c>
      <c r="I92" s="236" t="s">
        <v>41</v>
      </c>
      <c r="J92" s="234" t="str">
        <f t="shared" si="43"/>
        <v>N/A</v>
      </c>
      <c r="K92" s="234" t="str">
        <f t="shared" si="44"/>
        <v>N/A</v>
      </c>
      <c r="L92" s="236" t="s">
        <v>41</v>
      </c>
      <c r="M92" s="236" t="s">
        <v>41</v>
      </c>
      <c r="N92" s="85" t="str">
        <f t="shared" si="45"/>
        <v>N/A</v>
      </c>
      <c r="O92" s="64"/>
      <c r="P92" s="64"/>
      <c r="Q92" s="64"/>
      <c r="R92" s="64"/>
      <c r="S92" s="64"/>
      <c r="T92" s="64"/>
      <c r="U92" s="64"/>
      <c r="V92" s="64"/>
    </row>
    <row r="93" spans="1:22" ht="15">
      <c r="A93" s="446" t="s">
        <v>153</v>
      </c>
      <c r="B93" s="215" t="s">
        <v>154</v>
      </c>
      <c r="C93" s="1" t="s">
        <v>155</v>
      </c>
      <c r="D93" s="225">
        <v>386.14415669999994</v>
      </c>
      <c r="E93" s="212">
        <v>1722.4046853999998</v>
      </c>
      <c r="F93" s="181">
        <f t="shared" si="42"/>
        <v>1722.4046853999998</v>
      </c>
      <c r="G93" s="226">
        <v>1379.3680865999997</v>
      </c>
      <c r="H93" s="85">
        <f>IF(AND(ISNUMBER(G93)=TRUE,G93&lt;&gt;0),D93/G93,"N/A")</f>
        <v>0.27994279442248482</v>
      </c>
      <c r="I93" s="236">
        <v>245651.43</v>
      </c>
      <c r="J93" s="234">
        <f t="shared" si="43"/>
        <v>159673.4295</v>
      </c>
      <c r="K93" s="234">
        <f t="shared" si="44"/>
        <v>85978.000499999995</v>
      </c>
      <c r="L93" s="236">
        <v>977176.78000000014</v>
      </c>
      <c r="M93" s="236">
        <v>963417.16000000015</v>
      </c>
      <c r="N93" s="85">
        <f t="shared" si="45"/>
        <v>0.25497929681883597</v>
      </c>
      <c r="O93" s="64"/>
      <c r="P93" s="64"/>
      <c r="Q93" s="64"/>
      <c r="R93" s="64"/>
      <c r="S93" s="64"/>
      <c r="T93" s="64"/>
      <c r="U93" s="64"/>
      <c r="V93" s="64"/>
    </row>
    <row r="94" spans="1:22" ht="15">
      <c r="A94" s="446" t="s">
        <v>156</v>
      </c>
      <c r="B94" s="218" t="s">
        <v>157</v>
      </c>
      <c r="C94" s="1" t="s">
        <v>158</v>
      </c>
      <c r="D94" s="225">
        <v>17474.64516</v>
      </c>
      <c r="E94" s="212">
        <v>41705.247759999998</v>
      </c>
      <c r="F94" s="181">
        <f t="shared" si="42"/>
        <v>41705.247759999998</v>
      </c>
      <c r="G94" s="226">
        <v>41869.924570000003</v>
      </c>
      <c r="H94" s="85">
        <f>IF(AND(ISNUMBER(G94)=TRUE,G94&lt;&gt;0),D94/G94,"N/A")</f>
        <v>0.41735554433075489</v>
      </c>
      <c r="I94" s="236">
        <v>2909328.0599999996</v>
      </c>
      <c r="J94" s="234">
        <f t="shared" si="43"/>
        <v>1891063.2389999998</v>
      </c>
      <c r="K94" s="234">
        <f t="shared" si="44"/>
        <v>1018264.8209999998</v>
      </c>
      <c r="L94" s="236">
        <v>8088516</v>
      </c>
      <c r="M94" s="236">
        <v>7584507.9100000001</v>
      </c>
      <c r="N94" s="85">
        <f t="shared" si="45"/>
        <v>0.38358824257591151</v>
      </c>
      <c r="O94" s="64"/>
      <c r="P94" s="64"/>
      <c r="Q94" s="64"/>
      <c r="R94" s="64"/>
      <c r="S94" s="64"/>
      <c r="T94" s="64"/>
      <c r="U94" s="64"/>
      <c r="V94" s="64"/>
    </row>
    <row r="95" spans="1:22" ht="20.100000000000001" customHeight="1">
      <c r="A95" s="447"/>
      <c r="B95" s="263"/>
      <c r="C95" s="217" t="s">
        <v>159</v>
      </c>
      <c r="D95" s="183">
        <f>SUM(D84:D94)</f>
        <v>113231.74092</v>
      </c>
      <c r="E95" s="180">
        <f>SUM(E84:E94)</f>
        <v>283993.59244539996</v>
      </c>
      <c r="F95" s="180">
        <f>SUM(F84:F94)</f>
        <v>283993.59244539996</v>
      </c>
      <c r="G95" s="180">
        <f>SUM(G84:G94)</f>
        <v>256608.82912549999</v>
      </c>
      <c r="H95" s="83">
        <f>IF(AND(ISNUMBER(G95)=TRUE,G95&lt;&gt;0),D95/G95,"N/A")</f>
        <v>0.44126206142588187</v>
      </c>
      <c r="I95" s="235">
        <f>SUM(I84:I94)</f>
        <v>13726504.919999998</v>
      </c>
      <c r="J95" s="235">
        <f>SUM(J84:J94)</f>
        <v>8922228.1980000008</v>
      </c>
      <c r="K95" s="235">
        <f>SUM(K84:K94)</f>
        <v>4804276.7220000001</v>
      </c>
      <c r="L95" s="235">
        <f>SUM(L84:L94)</f>
        <v>36499225.290211096</v>
      </c>
      <c r="M95" s="235">
        <f>SUM(M84:M94)</f>
        <v>33560732.060000002</v>
      </c>
      <c r="N95" s="171">
        <f>I95/M95</f>
        <v>0.40900493158074447</v>
      </c>
      <c r="O95" s="64"/>
      <c r="P95" s="64"/>
      <c r="Q95" s="64"/>
      <c r="R95" s="64"/>
      <c r="S95" s="64"/>
      <c r="T95" s="64"/>
      <c r="U95" s="64"/>
      <c r="V95" s="64"/>
    </row>
    <row r="96" spans="1:22" ht="20.100000000000001" customHeight="1">
      <c r="A96" s="448"/>
      <c r="B96" s="264"/>
      <c r="C96" s="176" t="s">
        <v>160</v>
      </c>
      <c r="D96" s="184"/>
      <c r="E96" s="184"/>
      <c r="F96" s="184"/>
      <c r="G96" s="184"/>
      <c r="H96" s="184"/>
      <c r="I96" s="184"/>
      <c r="J96" s="184"/>
      <c r="K96" s="184"/>
      <c r="L96" s="184"/>
      <c r="M96" s="184"/>
      <c r="N96" s="453"/>
      <c r="O96" s="64"/>
      <c r="P96" s="64"/>
      <c r="Q96" s="64"/>
      <c r="R96" s="64"/>
      <c r="S96" s="64"/>
      <c r="T96" s="64"/>
      <c r="U96" s="64"/>
      <c r="V96" s="64"/>
    </row>
    <row r="97" spans="1:22" ht="44.1" customHeight="1">
      <c r="A97" s="430" t="s">
        <v>161</v>
      </c>
      <c r="B97" s="219" t="s">
        <v>162</v>
      </c>
      <c r="C97" s="1" t="s">
        <v>163</v>
      </c>
      <c r="D97" s="225">
        <v>2108</v>
      </c>
      <c r="E97" s="212">
        <v>6437.91</v>
      </c>
      <c r="F97" s="181">
        <f t="shared" ref="F97:F107" si="46">E97</f>
        <v>6437.91</v>
      </c>
      <c r="G97" s="226">
        <v>5883</v>
      </c>
      <c r="H97" s="85">
        <f t="shared" ref="H97:H108" si="47">IF(AND(ISNUMBER(G97)=TRUE,G97&lt;&gt;0),D97/G97,"N/A")</f>
        <v>0.35832058473567907</v>
      </c>
      <c r="I97" s="236">
        <v>9091625.3499999996</v>
      </c>
      <c r="J97" s="234">
        <f t="shared" ref="J97:J107" si="48">IFERROR(I97*0.65,"N/A")</f>
        <v>5909556.4775</v>
      </c>
      <c r="K97" s="234">
        <f t="shared" ref="K97:K107" si="49">IFERROR(I97-J97,"N/A")</f>
        <v>3182068.8724999996</v>
      </c>
      <c r="L97" s="236">
        <v>27185400</v>
      </c>
      <c r="M97" s="236">
        <v>23735632</v>
      </c>
      <c r="N97" s="85">
        <f t="shared" ref="N97:N107" si="50">IFERROR(I97/M97,"N/A")</f>
        <v>0.38303700318575884</v>
      </c>
      <c r="O97" s="64"/>
      <c r="P97" s="64"/>
      <c r="Q97" s="64"/>
      <c r="R97" s="64"/>
      <c r="S97" s="64"/>
      <c r="T97" s="64"/>
      <c r="U97" s="64"/>
      <c r="V97" s="64"/>
    </row>
    <row r="98" spans="1:22" ht="27">
      <c r="A98" s="215" t="s">
        <v>164</v>
      </c>
      <c r="B98" s="215" t="s">
        <v>165</v>
      </c>
      <c r="C98" s="1" t="s">
        <v>166</v>
      </c>
      <c r="D98" s="225">
        <v>4441.3100000000004</v>
      </c>
      <c r="E98" s="212">
        <v>8477</v>
      </c>
      <c r="F98" s="181">
        <f t="shared" si="46"/>
        <v>8477</v>
      </c>
      <c r="G98" s="226">
        <v>7845.51</v>
      </c>
      <c r="H98" s="85">
        <f t="shared" si="47"/>
        <v>0.56609576687812524</v>
      </c>
      <c r="I98" s="236">
        <v>2245884.2600000002</v>
      </c>
      <c r="J98" s="234">
        <f t="shared" si="48"/>
        <v>1459824.7690000003</v>
      </c>
      <c r="K98" s="234">
        <f t="shared" si="49"/>
        <v>786059.49099999992</v>
      </c>
      <c r="L98" s="236">
        <v>4715140</v>
      </c>
      <c r="M98" s="236">
        <v>4446694</v>
      </c>
      <c r="N98" s="85">
        <f t="shared" si="50"/>
        <v>0.50506831817075792</v>
      </c>
      <c r="O98" s="64"/>
      <c r="P98" s="64"/>
      <c r="Q98" s="64"/>
      <c r="R98" s="64"/>
      <c r="S98" s="64"/>
      <c r="T98" s="64"/>
      <c r="U98" s="64"/>
      <c r="V98" s="64"/>
    </row>
    <row r="99" spans="1:22" ht="15">
      <c r="A99" s="275" t="s">
        <v>167</v>
      </c>
      <c r="B99" s="270" t="s">
        <v>168</v>
      </c>
      <c r="C99" s="1" t="s">
        <v>169</v>
      </c>
      <c r="D99" s="225">
        <v>11579</v>
      </c>
      <c r="E99" s="212">
        <v>32042.670000000006</v>
      </c>
      <c r="F99" s="181">
        <f t="shared" si="46"/>
        <v>32042.670000000006</v>
      </c>
      <c r="G99" s="226">
        <v>32560</v>
      </c>
      <c r="H99" s="85">
        <f t="shared" si="47"/>
        <v>0.35562039312039312</v>
      </c>
      <c r="I99" s="236">
        <v>10769196.810000001</v>
      </c>
      <c r="J99" s="234">
        <f t="shared" si="48"/>
        <v>6999977.926500001</v>
      </c>
      <c r="K99" s="234">
        <f t="shared" si="49"/>
        <v>3769218.8834999995</v>
      </c>
      <c r="L99" s="236">
        <v>33865238.429538622</v>
      </c>
      <c r="M99" s="236">
        <v>31976038</v>
      </c>
      <c r="N99" s="85">
        <f t="shared" si="50"/>
        <v>0.33678959256928581</v>
      </c>
      <c r="O99" s="64"/>
      <c r="P99" s="64"/>
      <c r="Q99" s="64"/>
      <c r="R99" s="64"/>
      <c r="S99" s="64"/>
      <c r="T99" s="64"/>
      <c r="U99" s="64"/>
      <c r="V99" s="64"/>
    </row>
    <row r="100" spans="1:22" ht="15">
      <c r="A100" s="434" t="s">
        <v>170</v>
      </c>
      <c r="B100" s="270" t="s">
        <v>171</v>
      </c>
      <c r="C100" s="1" t="s">
        <v>172</v>
      </c>
      <c r="D100" s="225">
        <v>952</v>
      </c>
      <c r="E100" s="212">
        <v>1699.5</v>
      </c>
      <c r="F100" s="181">
        <f t="shared" si="46"/>
        <v>1699.5</v>
      </c>
      <c r="G100" s="226">
        <v>1698</v>
      </c>
      <c r="H100" s="85">
        <f t="shared" si="47"/>
        <v>0.56065959952885747</v>
      </c>
      <c r="I100" s="236">
        <v>1550378.63</v>
      </c>
      <c r="J100" s="234">
        <f t="shared" si="48"/>
        <v>1007746.1094999999</v>
      </c>
      <c r="K100" s="234">
        <f t="shared" si="49"/>
        <v>542632.52049999998</v>
      </c>
      <c r="L100" s="236">
        <v>3392633.5500000003</v>
      </c>
      <c r="M100" s="236">
        <v>3332257.9999999995</v>
      </c>
      <c r="N100" s="85">
        <f t="shared" si="50"/>
        <v>0.46526368306415655</v>
      </c>
      <c r="O100" s="64"/>
      <c r="P100" s="64"/>
      <c r="Q100" s="64"/>
      <c r="R100" s="64"/>
      <c r="S100" s="64"/>
      <c r="T100" s="64"/>
      <c r="U100" s="64"/>
      <c r="V100" s="64"/>
    </row>
    <row r="101" spans="1:22" ht="15">
      <c r="A101" t="s">
        <v>173</v>
      </c>
      <c r="B101" s="215" t="s">
        <v>174</v>
      </c>
      <c r="C101" s="81" t="s">
        <v>175</v>
      </c>
      <c r="D101" s="225">
        <v>137865</v>
      </c>
      <c r="E101" s="212">
        <v>204572</v>
      </c>
      <c r="F101" s="181">
        <f t="shared" si="46"/>
        <v>204572</v>
      </c>
      <c r="G101" s="226">
        <v>290782</v>
      </c>
      <c r="H101" s="85">
        <f t="shared" si="47"/>
        <v>0.47411806783088362</v>
      </c>
      <c r="I101" s="236">
        <v>13783900.449999999</v>
      </c>
      <c r="J101" s="234">
        <f t="shared" si="48"/>
        <v>8959535.2925000004</v>
      </c>
      <c r="K101" s="234">
        <f t="shared" si="49"/>
        <v>4824365.1574999988</v>
      </c>
      <c r="L101" s="236">
        <v>22660950</v>
      </c>
      <c r="M101" s="236">
        <v>31691579.590000004</v>
      </c>
      <c r="N101" s="85">
        <f t="shared" si="50"/>
        <v>0.43493889002457253</v>
      </c>
      <c r="O101" s="64"/>
      <c r="P101" s="64"/>
      <c r="Q101" s="64"/>
      <c r="R101" s="64"/>
      <c r="S101" s="64"/>
      <c r="T101" s="64"/>
      <c r="U101" s="64"/>
      <c r="V101" s="64"/>
    </row>
    <row r="102" spans="1:22" ht="15">
      <c r="A102" s="433" t="s">
        <v>176</v>
      </c>
      <c r="B102" s="215" t="s">
        <v>177</v>
      </c>
      <c r="C102" s="1" t="s">
        <v>177</v>
      </c>
      <c r="D102" s="225">
        <v>149529.26999999999</v>
      </c>
      <c r="E102" s="212">
        <v>301953.31</v>
      </c>
      <c r="F102" s="181">
        <f t="shared" si="46"/>
        <v>301953.31</v>
      </c>
      <c r="G102" s="226">
        <v>271765.09999999998</v>
      </c>
      <c r="H102" s="85">
        <f t="shared" si="47"/>
        <v>0.55021513064039496</v>
      </c>
      <c r="I102" s="236">
        <v>8239721.4399999995</v>
      </c>
      <c r="J102" s="234">
        <f t="shared" si="48"/>
        <v>5355818.9359999998</v>
      </c>
      <c r="K102" s="234">
        <f t="shared" si="49"/>
        <v>2883902.5039999997</v>
      </c>
      <c r="L102" s="236">
        <v>17767045.98</v>
      </c>
      <c r="M102" s="236">
        <v>16284757.989999998</v>
      </c>
      <c r="N102" s="85">
        <f t="shared" si="50"/>
        <v>0.50597751867481089</v>
      </c>
      <c r="O102" s="64"/>
      <c r="P102" s="64"/>
      <c r="Q102" s="64"/>
      <c r="R102" s="64"/>
      <c r="S102" s="64"/>
      <c r="T102" s="64"/>
      <c r="U102" s="64"/>
      <c r="V102" s="64"/>
    </row>
    <row r="103" spans="1:22" ht="15">
      <c r="A103" s="215" t="s">
        <v>178</v>
      </c>
      <c r="B103" s="215" t="s">
        <v>179</v>
      </c>
      <c r="C103" s="1" t="s">
        <v>179</v>
      </c>
      <c r="D103" s="225">
        <v>2391.65</v>
      </c>
      <c r="E103" s="212">
        <v>3461.46</v>
      </c>
      <c r="F103" s="181">
        <f t="shared" si="46"/>
        <v>3461.46</v>
      </c>
      <c r="G103" s="226">
        <v>3660.01</v>
      </c>
      <c r="H103" s="85">
        <f t="shared" si="47"/>
        <v>0.65345449875820005</v>
      </c>
      <c r="I103" s="236">
        <v>775536.38</v>
      </c>
      <c r="J103" s="234">
        <f t="shared" si="48"/>
        <v>504098.647</v>
      </c>
      <c r="K103" s="234">
        <f t="shared" si="49"/>
        <v>271437.73300000001</v>
      </c>
      <c r="L103" s="236">
        <v>1562675.5199999998</v>
      </c>
      <c r="M103" s="236">
        <v>1393574.9200000004</v>
      </c>
      <c r="N103" s="85">
        <f t="shared" si="50"/>
        <v>0.55650856575403906</v>
      </c>
      <c r="O103" s="64"/>
      <c r="P103" s="64"/>
      <c r="Q103" s="64"/>
      <c r="R103" s="64"/>
      <c r="S103" s="64"/>
      <c r="T103" s="64"/>
      <c r="U103" s="64"/>
      <c r="V103" s="64"/>
    </row>
    <row r="104" spans="1:22" ht="15">
      <c r="A104" s="513" t="s">
        <v>180</v>
      </c>
      <c r="B104" s="260"/>
      <c r="C104" s="1" t="s">
        <v>181</v>
      </c>
      <c r="D104" s="225">
        <v>23.90605</v>
      </c>
      <c r="E104" s="212">
        <v>25.490000000000002</v>
      </c>
      <c r="F104" s="181">
        <f t="shared" ref="F104" si="51">E104</f>
        <v>25.490000000000002</v>
      </c>
      <c r="G104" s="226">
        <v>110.8678446</v>
      </c>
      <c r="H104" s="85">
        <f t="shared" ref="H104" si="52">IF(AND(ISNUMBER(G104)=TRUE,G104&lt;&gt;0),D104/G104,"N/A")</f>
        <v>0.21562654245016324</v>
      </c>
      <c r="I104" s="236" t="s">
        <v>41</v>
      </c>
      <c r="J104" s="234" t="str">
        <f t="shared" ref="J104" si="53">IFERROR(I104*0.65,"N/A")</f>
        <v>N/A</v>
      </c>
      <c r="K104" s="234" t="str">
        <f t="shared" ref="K104" si="54">IFERROR(I104-J104,"N/A")</f>
        <v>N/A</v>
      </c>
      <c r="L104" s="236" t="s">
        <v>41</v>
      </c>
      <c r="M104" s="236" t="s">
        <v>41</v>
      </c>
      <c r="N104" s="85" t="str">
        <f t="shared" ref="N104" si="55">IFERROR(I104/M104,"N/A")</f>
        <v>N/A</v>
      </c>
      <c r="O104" s="64"/>
      <c r="P104" s="64"/>
      <c r="Q104" s="64"/>
      <c r="R104" s="64"/>
      <c r="S104" s="64"/>
      <c r="T104" s="64"/>
      <c r="U104" s="64"/>
      <c r="V104" s="64"/>
    </row>
    <row r="105" spans="1:22" ht="29.65" customHeight="1">
      <c r="A105" s="417" t="s">
        <v>182</v>
      </c>
      <c r="B105" s="270" t="s">
        <v>183</v>
      </c>
      <c r="C105" s="1" t="s">
        <v>184</v>
      </c>
      <c r="D105" s="225">
        <v>2237.8922899999998</v>
      </c>
      <c r="E105" s="212">
        <v>12461.948630000001</v>
      </c>
      <c r="F105" s="181">
        <f t="shared" si="46"/>
        <v>12461.948630000001</v>
      </c>
      <c r="G105" s="226">
        <v>9568.4826599999997</v>
      </c>
      <c r="H105" s="85">
        <f t="shared" si="47"/>
        <v>0.23388162674477792</v>
      </c>
      <c r="I105" s="236">
        <v>4322851.5600000005</v>
      </c>
      <c r="J105" s="234">
        <f t="shared" si="48"/>
        <v>2809853.5140000004</v>
      </c>
      <c r="K105" s="234">
        <f t="shared" si="49"/>
        <v>1512998.0460000001</v>
      </c>
      <c r="L105" s="236">
        <v>15097547.468884427</v>
      </c>
      <c r="M105" s="236">
        <v>15086309</v>
      </c>
      <c r="N105" s="85">
        <f t="shared" si="50"/>
        <v>0.28654136409376213</v>
      </c>
      <c r="O105" s="64"/>
      <c r="P105" s="64"/>
      <c r="Q105" s="64"/>
      <c r="R105" s="64"/>
      <c r="S105" s="64"/>
      <c r="T105" s="64"/>
      <c r="U105" s="64"/>
      <c r="V105" s="64"/>
    </row>
    <row r="106" spans="1:22" ht="27">
      <c r="A106" s="446" t="s">
        <v>185</v>
      </c>
      <c r="B106" s="227" t="s">
        <v>186</v>
      </c>
      <c r="C106" s="1" t="s">
        <v>187</v>
      </c>
      <c r="D106" s="225">
        <v>3735.83977</v>
      </c>
      <c r="E106" s="212">
        <v>8089.6164419999877</v>
      </c>
      <c r="F106" s="181">
        <f t="shared" si="46"/>
        <v>8089.6164419999877</v>
      </c>
      <c r="G106" s="226">
        <v>7996.2241100000001</v>
      </c>
      <c r="H106" s="85">
        <f t="shared" si="47"/>
        <v>0.46720048345418375</v>
      </c>
      <c r="I106" s="236">
        <v>1809574.5</v>
      </c>
      <c r="J106" s="234">
        <f t="shared" si="48"/>
        <v>1176223.425</v>
      </c>
      <c r="K106" s="234">
        <f t="shared" si="49"/>
        <v>633351.07499999995</v>
      </c>
      <c r="L106" s="236">
        <v>3736549.44</v>
      </c>
      <c r="M106" s="236">
        <v>3251611.59</v>
      </c>
      <c r="N106" s="85">
        <f t="shared" si="50"/>
        <v>0.55651619202156921</v>
      </c>
      <c r="O106" s="64"/>
      <c r="P106" s="64"/>
      <c r="Q106" s="64"/>
      <c r="R106" s="64"/>
      <c r="S106" s="64"/>
      <c r="T106" s="64"/>
      <c r="U106" s="64"/>
      <c r="V106" s="64"/>
    </row>
    <row r="107" spans="1:22" ht="15">
      <c r="A107" s="276"/>
      <c r="B107" s="218" t="s">
        <v>188</v>
      </c>
      <c r="C107" s="1" t="s">
        <v>189</v>
      </c>
      <c r="D107" s="225" t="s">
        <v>41</v>
      </c>
      <c r="E107" s="212" t="s">
        <v>41</v>
      </c>
      <c r="F107" s="181" t="str">
        <f t="shared" si="46"/>
        <v>N/A</v>
      </c>
      <c r="G107" s="226" t="s">
        <v>41</v>
      </c>
      <c r="H107" s="85" t="str">
        <f t="shared" si="47"/>
        <v>N/A</v>
      </c>
      <c r="I107" s="236">
        <v>23733.319999999996</v>
      </c>
      <c r="J107" s="234">
        <f t="shared" si="48"/>
        <v>15426.657999999998</v>
      </c>
      <c r="K107" s="234">
        <f t="shared" si="49"/>
        <v>8306.6619999999984</v>
      </c>
      <c r="L107" s="236">
        <v>1450000</v>
      </c>
      <c r="M107" s="236">
        <v>1364679</v>
      </c>
      <c r="N107" s="85">
        <f t="shared" si="50"/>
        <v>1.7391137403008322E-2</v>
      </c>
      <c r="O107" s="64"/>
      <c r="P107" s="64"/>
      <c r="Q107" s="64"/>
      <c r="R107" s="64"/>
      <c r="S107" s="64"/>
      <c r="T107" s="64"/>
      <c r="U107" s="64"/>
      <c r="V107" s="64"/>
    </row>
    <row r="108" spans="1:22" ht="20.100000000000001" customHeight="1">
      <c r="A108" s="449"/>
      <c r="B108" s="254"/>
      <c r="C108" s="217" t="s">
        <v>190</v>
      </c>
      <c r="D108" s="183">
        <f>SUM(D97:D107)</f>
        <v>314863.86810999998</v>
      </c>
      <c r="E108" s="180">
        <f>SUM(E97:E107)</f>
        <v>579220.90507199999</v>
      </c>
      <c r="F108" s="180">
        <f>SUM(F97:F107)</f>
        <v>579220.90507199999</v>
      </c>
      <c r="G108" s="180">
        <f>SUM(G97:G107)</f>
        <v>631869.19461459992</v>
      </c>
      <c r="H108" s="83">
        <f t="shared" si="47"/>
        <v>0.49830545751173538</v>
      </c>
      <c r="I108" s="235">
        <f>SUM(I97:I107)</f>
        <v>52612402.700000003</v>
      </c>
      <c r="J108" s="235">
        <f>SUM(J97:J107)</f>
        <v>34198061.755000003</v>
      </c>
      <c r="K108" s="235">
        <f>SUM(K97:K107)</f>
        <v>18414340.944999997</v>
      </c>
      <c r="L108" s="235">
        <f>SUM(L97:L107)</f>
        <v>131433180.38842304</v>
      </c>
      <c r="M108" s="235">
        <f>SUM(M97:M107)</f>
        <v>132563134.09</v>
      </c>
      <c r="N108" s="171">
        <f>I108/M108</f>
        <v>0.39688562782681569</v>
      </c>
      <c r="O108" s="64"/>
      <c r="P108" s="64"/>
      <c r="Q108" s="64"/>
      <c r="R108" s="64"/>
      <c r="S108" s="64"/>
      <c r="T108" s="64"/>
      <c r="U108" s="64"/>
      <c r="V108" s="64"/>
    </row>
    <row r="109" spans="1:22" ht="25.5" customHeight="1">
      <c r="A109" s="449"/>
      <c r="B109" s="260"/>
      <c r="C109" s="17" t="s">
        <v>191</v>
      </c>
      <c r="D109" s="186"/>
      <c r="E109" s="186"/>
      <c r="F109" s="186"/>
      <c r="G109" s="186"/>
      <c r="H109" s="186"/>
      <c r="I109" s="186"/>
      <c r="J109" s="17"/>
      <c r="K109" s="17"/>
      <c r="L109" s="17"/>
      <c r="M109" s="17"/>
      <c r="N109" s="190"/>
      <c r="O109" s="64"/>
      <c r="P109" s="64"/>
      <c r="Q109" s="64"/>
      <c r="R109" s="64"/>
      <c r="S109" s="64"/>
      <c r="T109" s="64"/>
      <c r="U109" s="64"/>
      <c r="V109" s="64"/>
    </row>
    <row r="110" spans="1:22" ht="15">
      <c r="A110" s="446" t="s">
        <v>192</v>
      </c>
      <c r="B110" s="219" t="s">
        <v>193</v>
      </c>
      <c r="C110" s="63" t="s">
        <v>194</v>
      </c>
      <c r="D110" s="225" t="s">
        <v>41</v>
      </c>
      <c r="E110" s="212" t="s">
        <v>41</v>
      </c>
      <c r="F110" s="187" t="str">
        <f t="shared" ref="F110:F117" si="56">E110</f>
        <v>N/A</v>
      </c>
      <c r="G110" s="226" t="s">
        <v>41</v>
      </c>
      <c r="H110" s="87" t="str">
        <f t="shared" ref="H110:H116" si="57">IF(AND(ISNUMBER(G110)=TRUE,G110&lt;&gt;0),D110/G110,"N/A")</f>
        <v>N/A</v>
      </c>
      <c r="I110" s="236">
        <v>3903334.6900000004</v>
      </c>
      <c r="J110" s="234">
        <f t="shared" ref="J110:J112" si="58">IFERROR(I110*0.65,"N/A")</f>
        <v>2537167.5485000005</v>
      </c>
      <c r="K110" s="234">
        <f t="shared" ref="K110:K112" si="59">IFERROR(I110-J110,"N/A")</f>
        <v>1366167.1414999999</v>
      </c>
      <c r="L110" s="236">
        <v>8800000.0299999937</v>
      </c>
      <c r="M110" s="236">
        <v>8431400.1866666656</v>
      </c>
      <c r="N110" s="85">
        <f t="shared" ref="N110:N112" si="60">IFERROR(I110/M110,"N/A")</f>
        <v>0.46295213174351468</v>
      </c>
      <c r="O110" s="64"/>
      <c r="P110" s="64"/>
      <c r="Q110" s="64"/>
      <c r="R110" s="64"/>
      <c r="S110" s="64"/>
      <c r="T110" s="64"/>
      <c r="U110" s="64"/>
      <c r="V110" s="64"/>
    </row>
    <row r="111" spans="1:22" ht="15">
      <c r="A111" s="446" t="s">
        <v>195</v>
      </c>
      <c r="B111" s="265"/>
      <c r="C111" s="63" t="s">
        <v>196</v>
      </c>
      <c r="D111" s="225">
        <v>2584</v>
      </c>
      <c r="E111" s="212">
        <v>50682</v>
      </c>
      <c r="F111" s="187">
        <f t="shared" si="56"/>
        <v>50682</v>
      </c>
      <c r="G111" s="226">
        <v>50683</v>
      </c>
      <c r="H111" s="87">
        <f t="shared" si="57"/>
        <v>5.0983564508809663E-2</v>
      </c>
      <c r="I111" s="236" t="s">
        <v>41</v>
      </c>
      <c r="J111" s="234" t="str">
        <f t="shared" si="58"/>
        <v>N/A</v>
      </c>
      <c r="K111" s="234" t="str">
        <f t="shared" si="59"/>
        <v>N/A</v>
      </c>
      <c r="L111" s="236" t="s">
        <v>41</v>
      </c>
      <c r="M111" s="236" t="s">
        <v>41</v>
      </c>
      <c r="N111" s="85" t="str">
        <f t="shared" si="60"/>
        <v>N/A</v>
      </c>
      <c r="O111" s="64"/>
      <c r="P111" s="64"/>
      <c r="Q111" s="64"/>
      <c r="R111" s="64"/>
      <c r="S111" s="64"/>
      <c r="T111" s="64"/>
      <c r="U111" s="64"/>
      <c r="V111" s="64"/>
    </row>
    <row r="112" spans="1:22" ht="15">
      <c r="A112" s="450"/>
      <c r="B112" s="246" t="s">
        <v>197</v>
      </c>
      <c r="C112" s="63" t="s">
        <v>198</v>
      </c>
      <c r="D112" s="225" t="s">
        <v>41</v>
      </c>
      <c r="E112" s="212" t="s">
        <v>41</v>
      </c>
      <c r="F112" s="187" t="str">
        <f t="shared" si="56"/>
        <v>N/A</v>
      </c>
      <c r="G112" s="226" t="s">
        <v>41</v>
      </c>
      <c r="H112" s="87" t="str">
        <f t="shared" si="57"/>
        <v>N/A</v>
      </c>
      <c r="I112" s="236">
        <v>0</v>
      </c>
      <c r="J112" s="234">
        <f t="shared" si="58"/>
        <v>0</v>
      </c>
      <c r="K112" s="234">
        <f t="shared" si="59"/>
        <v>0</v>
      </c>
      <c r="L112" s="236">
        <v>150000</v>
      </c>
      <c r="M112" s="236">
        <v>0</v>
      </c>
      <c r="N112" s="85" t="str">
        <f t="shared" si="60"/>
        <v>N/A</v>
      </c>
      <c r="O112" s="64"/>
      <c r="P112" s="64"/>
      <c r="Q112" s="64"/>
      <c r="R112" s="64"/>
      <c r="S112" s="64"/>
      <c r="T112" s="64"/>
      <c r="U112" s="64"/>
      <c r="V112" s="64"/>
    </row>
    <row r="113" spans="1:22" ht="25.5">
      <c r="A113" s="450"/>
      <c r="B113" s="254"/>
      <c r="C113" s="34" t="s">
        <v>199</v>
      </c>
      <c r="D113" s="185">
        <f>SUM(D110:D112)</f>
        <v>2584</v>
      </c>
      <c r="E113" s="185">
        <f>SUM(E110:E112)</f>
        <v>50682</v>
      </c>
      <c r="F113" s="185">
        <f t="shared" si="56"/>
        <v>50682</v>
      </c>
      <c r="G113" s="185">
        <f>SUM(G110:G112)</f>
        <v>50683</v>
      </c>
      <c r="H113" s="88">
        <f t="shared" si="57"/>
        <v>5.0983564508809663E-2</v>
      </c>
      <c r="I113" s="192">
        <f>SUM(I110:I112)</f>
        <v>3903334.6900000004</v>
      </c>
      <c r="J113" s="192">
        <f>SUM(J110:J112)</f>
        <v>2537167.5485000005</v>
      </c>
      <c r="K113" s="192">
        <f>SUM(K110:K112)</f>
        <v>1366167.1414999999</v>
      </c>
      <c r="L113" s="192">
        <f>SUM(L110:L112)</f>
        <v>8950000.0299999937</v>
      </c>
      <c r="M113" s="192">
        <f>SUM(M110:M112)</f>
        <v>8431400.1866666656</v>
      </c>
      <c r="N113" s="88">
        <f>I113/M113</f>
        <v>0.46295213174351468</v>
      </c>
      <c r="O113" s="64"/>
      <c r="P113" s="64"/>
      <c r="Q113" s="64"/>
      <c r="R113" s="64"/>
      <c r="S113" s="64"/>
      <c r="T113" s="64"/>
      <c r="U113" s="64"/>
      <c r="V113" s="64"/>
    </row>
    <row r="114" spans="1:22" ht="15">
      <c r="A114" t="s">
        <v>200</v>
      </c>
      <c r="B114" s="256"/>
      <c r="C114" s="34" t="s">
        <v>201</v>
      </c>
      <c r="D114" s="185">
        <f>IFERROR(VLOOKUP(A114,'6+6 Savings LE'!A:D,3,FALSE),"N/A")</f>
        <v>0</v>
      </c>
      <c r="E114" s="185">
        <f>IFERROR(VLOOKUP(A114,'6+6 Savings LE'!A:D,4,FALSE),"N/A")</f>
        <v>1035</v>
      </c>
      <c r="F114" s="185">
        <f t="shared" si="56"/>
        <v>1035</v>
      </c>
      <c r="G114" s="185">
        <f>IFERROR(VLOOKUP(A114,'6+6 Savings LE'!A:D,2,FALSE),"N/A")</f>
        <v>1035</v>
      </c>
      <c r="H114" s="88">
        <f t="shared" si="57"/>
        <v>0</v>
      </c>
      <c r="I114" s="192" t="s">
        <v>41</v>
      </c>
      <c r="J114" s="192" t="s">
        <v>41</v>
      </c>
      <c r="K114" s="192" t="s">
        <v>41</v>
      </c>
      <c r="L114" s="192" t="s">
        <v>41</v>
      </c>
      <c r="M114" s="192" t="s">
        <v>41</v>
      </c>
      <c r="N114" s="88" t="s">
        <v>41</v>
      </c>
      <c r="O114" s="64"/>
      <c r="P114" s="64"/>
      <c r="Q114" s="64"/>
      <c r="R114" s="64"/>
      <c r="S114" s="64"/>
      <c r="T114" s="64"/>
      <c r="U114" s="64"/>
      <c r="V114" s="64"/>
    </row>
    <row r="115" spans="1:22" ht="20.100000000000001" customHeight="1">
      <c r="A115" s="451"/>
      <c r="B115" s="256"/>
      <c r="C115" s="34" t="s">
        <v>202</v>
      </c>
      <c r="D115" s="185">
        <v>183067</v>
      </c>
      <c r="E115" s="185">
        <v>183067</v>
      </c>
      <c r="F115" s="185">
        <f t="shared" si="56"/>
        <v>183067</v>
      </c>
      <c r="G115" s="185">
        <v>183067</v>
      </c>
      <c r="H115" s="88">
        <f t="shared" si="57"/>
        <v>1</v>
      </c>
      <c r="I115" s="192" t="s">
        <v>41</v>
      </c>
      <c r="J115" s="192" t="s">
        <v>41</v>
      </c>
      <c r="K115" s="192" t="s">
        <v>41</v>
      </c>
      <c r="L115" s="192" t="s">
        <v>41</v>
      </c>
      <c r="M115" s="192" t="s">
        <v>41</v>
      </c>
      <c r="N115" s="88" t="s">
        <v>41</v>
      </c>
      <c r="O115" s="64"/>
      <c r="P115" s="64"/>
      <c r="Q115" s="64"/>
      <c r="R115" s="64"/>
      <c r="S115" s="64"/>
      <c r="T115" s="64"/>
      <c r="U115" s="64"/>
      <c r="V115" s="64"/>
    </row>
    <row r="116" spans="1:22" ht="20.100000000000001" customHeight="1">
      <c r="A116" s="446" t="s">
        <v>203</v>
      </c>
      <c r="B116" s="260"/>
      <c r="C116" s="34" t="s">
        <v>204</v>
      </c>
      <c r="D116" s="185">
        <f>IFERROR(VLOOKUP(A116,'6+6 Savings LE'!A:D,3,FALSE),"N/A")</f>
        <v>7500</v>
      </c>
      <c r="E116" s="185">
        <f>IFERROR(VLOOKUP(A116,'6+6 Savings LE'!A:D,4,FALSE),"N/A")</f>
        <v>30000</v>
      </c>
      <c r="F116" s="185">
        <f t="shared" si="56"/>
        <v>30000</v>
      </c>
      <c r="G116" s="185">
        <f>IFERROR(VLOOKUP(A116,'6+6 Savings LE'!A:D,2,FALSE),"N/A")</f>
        <v>30000</v>
      </c>
      <c r="H116" s="88">
        <f t="shared" si="57"/>
        <v>0.25</v>
      </c>
      <c r="I116" s="192" t="s">
        <v>41</v>
      </c>
      <c r="J116" s="192" t="s">
        <v>41</v>
      </c>
      <c r="K116" s="192" t="s">
        <v>41</v>
      </c>
      <c r="L116" s="192" t="s">
        <v>41</v>
      </c>
      <c r="M116" s="192" t="s">
        <v>41</v>
      </c>
      <c r="N116" s="88" t="s">
        <v>41</v>
      </c>
      <c r="O116" s="64"/>
      <c r="P116" s="64"/>
      <c r="Q116" s="64"/>
      <c r="R116" s="64"/>
      <c r="S116" s="64"/>
      <c r="T116" s="64"/>
      <c r="U116" s="64"/>
      <c r="V116" s="64"/>
    </row>
    <row r="117" spans="1:22" s="170" customFormat="1" ht="25.35" customHeight="1">
      <c r="A117" s="266"/>
      <c r="B117" s="168"/>
      <c r="C117" s="169" t="s">
        <v>205</v>
      </c>
      <c r="D117" s="191">
        <f>SUM(D113:D116,D82,D38)</f>
        <v>931333.85903000017</v>
      </c>
      <c r="E117" s="191">
        <f t="shared" ref="E117" si="61">SUM(E113:E116,E82,E38)</f>
        <v>1911163.7675174</v>
      </c>
      <c r="F117" s="191">
        <f t="shared" si="56"/>
        <v>1911163.7675174</v>
      </c>
      <c r="G117" s="191">
        <f>SUM(G113:G116,G82,G38)</f>
        <v>1893008.1337401001</v>
      </c>
      <c r="H117" s="167">
        <f>IF(AND(ISNUMBER(G117)=TRUE,G117&lt;&gt;0),D117/G117,"N/A")</f>
        <v>0.49198618982683534</v>
      </c>
      <c r="I117" s="193">
        <f>SUM(I38,I82,I113)</f>
        <v>169826212.27000001</v>
      </c>
      <c r="J117" s="193">
        <f>SUM(J38,J95,J108,J113,J116,J115)</f>
        <v>110387037.97549999</v>
      </c>
      <c r="K117" s="193">
        <f>SUM(K38,K95,K108,K113,K116,K115)</f>
        <v>59439174.294500008</v>
      </c>
      <c r="L117" s="193">
        <f>SUM(L38,L95,L108,L113,L116,L115)</f>
        <v>415232668.92096686</v>
      </c>
      <c r="M117" s="193">
        <f>SUM(M38,M95,M108,M113,M116,M115)</f>
        <v>418982722.97860533</v>
      </c>
      <c r="N117" s="167">
        <f>I117/M117</f>
        <v>0.40532986912367724</v>
      </c>
      <c r="O117" s="168"/>
      <c r="P117" s="168"/>
      <c r="Q117" s="168"/>
      <c r="R117" s="168"/>
      <c r="S117" s="168"/>
      <c r="T117" s="168"/>
      <c r="U117" s="168"/>
      <c r="V117" s="168"/>
    </row>
    <row r="118" spans="1:22" ht="22.5" customHeight="1">
      <c r="A118" s="266"/>
      <c r="B118" s="64"/>
      <c r="C118" s="144"/>
      <c r="D118" s="173"/>
      <c r="E118" s="174"/>
      <c r="F118" s="146"/>
      <c r="G118" s="174"/>
      <c r="H118" s="147"/>
      <c r="I118" s="238"/>
      <c r="J118" s="149"/>
      <c r="K118" s="149"/>
      <c r="L118" s="148"/>
      <c r="M118" s="148"/>
      <c r="N118" s="150"/>
      <c r="O118" s="64"/>
      <c r="P118" s="64"/>
      <c r="Q118" s="64"/>
      <c r="R118" s="64"/>
      <c r="S118" s="64"/>
      <c r="T118" s="64"/>
      <c r="U118" s="64"/>
      <c r="V118" s="64"/>
    </row>
    <row r="119" spans="1:22" ht="22.5" customHeight="1">
      <c r="A119" s="266"/>
      <c r="B119" s="64"/>
      <c r="C119" s="277"/>
      <c r="D119" s="278"/>
      <c r="E119" s="281"/>
      <c r="F119" s="280"/>
      <c r="G119" s="279"/>
      <c r="H119" s="151"/>
      <c r="I119" s="239"/>
      <c r="J119" s="149"/>
      <c r="K119" s="149"/>
      <c r="L119" s="149"/>
      <c r="M119" s="149"/>
      <c r="N119" s="150"/>
      <c r="O119" s="64"/>
      <c r="P119" s="64"/>
      <c r="Q119" s="64"/>
      <c r="R119" s="64"/>
      <c r="S119" s="64"/>
      <c r="T119" s="64"/>
      <c r="U119" s="64"/>
      <c r="V119" s="64"/>
    </row>
    <row r="120" spans="1:22" ht="22.5" customHeight="1">
      <c r="A120" s="64"/>
      <c r="B120" s="64"/>
      <c r="C120" s="145" t="s">
        <v>206</v>
      </c>
      <c r="D120" s="145"/>
      <c r="E120" s="173"/>
      <c r="F120" s="173"/>
      <c r="G120" s="64"/>
      <c r="H120" s="152"/>
      <c r="I120" s="102"/>
      <c r="J120" s="64"/>
      <c r="K120" s="64"/>
      <c r="L120" s="64"/>
      <c r="M120" s="102"/>
      <c r="N120" s="64"/>
      <c r="O120" s="64"/>
      <c r="P120" s="64"/>
      <c r="Q120" s="64"/>
      <c r="R120" s="64"/>
      <c r="S120" s="64"/>
      <c r="T120" s="64"/>
      <c r="U120" s="64"/>
      <c r="V120" s="64"/>
    </row>
    <row r="121" spans="1:22" ht="27.6" customHeight="1">
      <c r="A121" s="64"/>
      <c r="B121" s="64"/>
      <c r="C121" s="536" t="s">
        <v>207</v>
      </c>
      <c r="D121" s="536"/>
      <c r="E121" s="536"/>
      <c r="F121" s="536"/>
      <c r="G121" s="536"/>
      <c r="H121" s="536"/>
      <c r="I121" s="536"/>
      <c r="J121" s="536"/>
      <c r="K121" s="536"/>
      <c r="L121" s="536"/>
      <c r="M121" s="536"/>
      <c r="N121" s="536"/>
      <c r="O121" s="64"/>
      <c r="P121" s="64"/>
      <c r="Q121" s="64"/>
      <c r="R121" s="64"/>
      <c r="S121" s="64"/>
      <c r="T121" s="64"/>
      <c r="U121" s="64"/>
      <c r="V121" s="64"/>
    </row>
    <row r="122" spans="1:22" ht="30.75" customHeight="1">
      <c r="A122" s="64"/>
      <c r="B122" s="64"/>
      <c r="C122" s="536" t="s">
        <v>208</v>
      </c>
      <c r="D122" s="536"/>
      <c r="E122" s="536"/>
      <c r="F122" s="536"/>
      <c r="G122" s="536"/>
      <c r="H122" s="536"/>
      <c r="I122" s="536"/>
      <c r="J122" s="536"/>
      <c r="K122" s="536"/>
      <c r="L122" s="536"/>
      <c r="M122" s="536"/>
      <c r="N122" s="536"/>
      <c r="O122" s="64"/>
      <c r="P122" s="64"/>
      <c r="Q122" s="64"/>
      <c r="R122" s="64"/>
      <c r="S122" s="64"/>
      <c r="T122" s="64"/>
      <c r="U122" s="64"/>
      <c r="V122" s="64"/>
    </row>
    <row r="123" spans="1:22" ht="34.5" customHeight="1">
      <c r="A123" s="64"/>
      <c r="B123" s="64"/>
      <c r="C123" s="537" t="s">
        <v>209</v>
      </c>
      <c r="D123" s="537"/>
      <c r="E123" s="537"/>
      <c r="F123" s="537"/>
      <c r="G123" s="537"/>
      <c r="H123" s="537"/>
      <c r="I123" s="537"/>
      <c r="J123" s="537"/>
      <c r="K123" s="537"/>
      <c r="L123" s="537"/>
      <c r="M123" s="537"/>
      <c r="N123" s="537"/>
      <c r="O123" s="64"/>
      <c r="P123" s="64"/>
      <c r="Q123" s="64"/>
      <c r="R123" s="64"/>
      <c r="S123" s="64"/>
      <c r="T123" s="64"/>
      <c r="U123" s="64"/>
      <c r="V123" s="64"/>
    </row>
    <row r="124" spans="1:22" ht="22.5" customHeight="1">
      <c r="A124" s="64"/>
      <c r="B124" s="64"/>
      <c r="C124" s="538" t="s">
        <v>210</v>
      </c>
      <c r="D124" s="539"/>
      <c r="E124" s="539"/>
      <c r="F124" s="539"/>
      <c r="G124" s="539"/>
      <c r="H124" s="539"/>
      <c r="I124" s="539"/>
      <c r="J124" s="539"/>
      <c r="K124" s="539"/>
      <c r="L124" s="539"/>
      <c r="M124" s="539"/>
      <c r="N124" s="540"/>
      <c r="O124" s="64"/>
      <c r="P124" s="64"/>
      <c r="Q124" s="64"/>
      <c r="R124" s="64"/>
      <c r="S124" s="64"/>
      <c r="T124" s="64"/>
      <c r="U124" s="64"/>
      <c r="V124" s="64"/>
    </row>
    <row r="125" spans="1:22" ht="22.5" customHeight="1">
      <c r="A125" s="64"/>
      <c r="B125" s="64"/>
      <c r="C125" s="526" t="s">
        <v>211</v>
      </c>
      <c r="D125" s="527"/>
      <c r="E125" s="527"/>
      <c r="F125" s="527"/>
      <c r="G125" s="527"/>
      <c r="H125" s="527"/>
      <c r="I125" s="527"/>
      <c r="J125" s="527"/>
      <c r="K125" s="527"/>
      <c r="L125" s="527"/>
      <c r="M125" s="527"/>
      <c r="N125" s="528"/>
      <c r="O125" s="64"/>
      <c r="P125" s="64"/>
      <c r="Q125" s="64"/>
      <c r="R125" s="64"/>
      <c r="S125" s="64"/>
      <c r="T125" s="64"/>
      <c r="U125" s="64"/>
      <c r="V125" s="64"/>
    </row>
    <row r="126" spans="1:22" ht="45" customHeight="1">
      <c r="A126" s="64"/>
      <c r="B126" s="64"/>
      <c r="C126" s="64"/>
      <c r="D126" s="64"/>
      <c r="E126" s="64"/>
      <c r="F126" s="64"/>
      <c r="G126" s="64"/>
      <c r="H126" s="102"/>
      <c r="I126" s="102"/>
      <c r="J126" s="64"/>
      <c r="K126" s="64"/>
      <c r="L126" s="64"/>
      <c r="M126" s="64"/>
      <c r="N126" s="64"/>
      <c r="O126" s="64"/>
      <c r="P126" s="64"/>
      <c r="Q126" s="64"/>
      <c r="R126" s="64"/>
      <c r="S126" s="64"/>
      <c r="T126" s="64"/>
      <c r="U126" s="64"/>
      <c r="V126" s="64"/>
    </row>
    <row r="127" spans="1:22" ht="22.5" customHeight="1">
      <c r="A127" s="64"/>
      <c r="B127" s="64"/>
      <c r="C127" s="64"/>
      <c r="D127" s="64"/>
      <c r="E127" s="64"/>
      <c r="F127" s="64"/>
      <c r="G127" s="64"/>
      <c r="H127" s="102"/>
      <c r="I127" s="102"/>
      <c r="J127" s="64"/>
      <c r="K127" s="64"/>
      <c r="L127" s="64"/>
      <c r="M127" s="64"/>
      <c r="N127" s="64"/>
      <c r="O127" s="64"/>
      <c r="P127" s="64"/>
      <c r="Q127" s="64"/>
      <c r="R127" s="64"/>
      <c r="S127" s="64"/>
      <c r="T127" s="64"/>
      <c r="U127" s="64"/>
      <c r="V127" s="64"/>
    </row>
    <row r="128" spans="1:22" ht="22.5" customHeight="1">
      <c r="A128" s="64"/>
      <c r="B128" s="64"/>
      <c r="C128" s="64"/>
      <c r="D128" s="64"/>
      <c r="E128" s="64"/>
      <c r="F128" s="64"/>
      <c r="G128" s="64"/>
      <c r="H128" s="102"/>
      <c r="I128" s="102"/>
      <c r="J128" s="64"/>
      <c r="K128" s="64"/>
      <c r="L128" s="64"/>
      <c r="M128" s="64"/>
      <c r="N128" s="64"/>
      <c r="O128" s="64"/>
      <c r="P128" s="64"/>
      <c r="Q128" s="64"/>
      <c r="R128" s="64"/>
      <c r="S128" s="64"/>
      <c r="T128" s="64"/>
      <c r="U128" s="64"/>
      <c r="V128" s="64"/>
    </row>
    <row r="129" spans="1:22" ht="22.5" customHeight="1">
      <c r="A129" s="64"/>
      <c r="B129" s="64"/>
      <c r="C129" s="64"/>
      <c r="D129" s="64"/>
      <c r="E129" s="64"/>
      <c r="F129" s="64"/>
      <c r="G129" s="64"/>
      <c r="H129" s="102"/>
      <c r="I129" s="102"/>
      <c r="J129" s="64"/>
      <c r="K129" s="64"/>
      <c r="L129" s="64"/>
      <c r="M129" s="64"/>
      <c r="N129" s="64"/>
      <c r="O129" s="64"/>
      <c r="P129" s="64"/>
      <c r="Q129" s="64"/>
      <c r="R129" s="64"/>
      <c r="S129" s="64"/>
      <c r="T129" s="64"/>
      <c r="U129" s="64"/>
      <c r="V129" s="64"/>
    </row>
    <row r="130" spans="1:22" ht="22.5" customHeight="1">
      <c r="A130" s="64"/>
      <c r="B130" s="64"/>
      <c r="C130" s="64"/>
      <c r="D130" s="64"/>
      <c r="E130" s="64"/>
      <c r="F130" s="64"/>
      <c r="G130" s="64"/>
      <c r="H130" s="102"/>
      <c r="I130" s="102"/>
      <c r="J130" s="64"/>
      <c r="K130" s="64"/>
      <c r="L130" s="64"/>
      <c r="M130" s="64"/>
      <c r="N130" s="64"/>
      <c r="O130" s="64"/>
      <c r="P130" s="64"/>
      <c r="Q130" s="64"/>
      <c r="R130" s="64"/>
      <c r="S130" s="64"/>
      <c r="T130" s="64"/>
      <c r="U130" s="64"/>
      <c r="V130" s="64"/>
    </row>
    <row r="131" spans="1:22" ht="22.5" customHeight="1">
      <c r="A131" s="64"/>
      <c r="B131" s="64"/>
      <c r="C131" s="64"/>
      <c r="D131" s="64"/>
      <c r="E131" s="64"/>
      <c r="F131" s="64"/>
      <c r="G131" s="64"/>
      <c r="H131" s="102"/>
      <c r="I131" s="102"/>
      <c r="J131" s="64"/>
      <c r="K131" s="64"/>
      <c r="L131" s="64"/>
      <c r="M131" s="64"/>
      <c r="N131" s="64"/>
      <c r="O131" s="64"/>
      <c r="P131" s="64"/>
      <c r="Q131" s="64"/>
      <c r="R131" s="64"/>
      <c r="S131" s="64"/>
      <c r="T131" s="64"/>
      <c r="U131" s="64"/>
      <c r="V131" s="64"/>
    </row>
    <row r="132" spans="1:22" ht="22.5" customHeight="1">
      <c r="A132" s="64"/>
      <c r="B132" s="64"/>
      <c r="C132" s="64"/>
      <c r="D132" s="64"/>
      <c r="E132" s="64"/>
      <c r="F132" s="64"/>
      <c r="G132" s="64"/>
      <c r="H132" s="102"/>
      <c r="I132" s="102"/>
      <c r="J132" s="64"/>
      <c r="K132" s="64"/>
      <c r="L132" s="64"/>
      <c r="M132" s="64"/>
      <c r="N132" s="64"/>
      <c r="O132" s="64"/>
      <c r="P132" s="64"/>
      <c r="Q132" s="64"/>
      <c r="R132" s="64"/>
      <c r="S132" s="64"/>
      <c r="T132" s="64"/>
      <c r="U132" s="64"/>
      <c r="V132" s="64"/>
    </row>
    <row r="133" spans="1:22" ht="22.5" customHeight="1">
      <c r="A133" s="64"/>
      <c r="B133" s="64"/>
      <c r="C133" s="64"/>
      <c r="D133" s="64"/>
      <c r="E133" s="64"/>
      <c r="F133" s="64"/>
      <c r="G133" s="64"/>
      <c r="H133" s="102"/>
      <c r="I133" s="102"/>
      <c r="J133" s="64"/>
      <c r="K133" s="64"/>
      <c r="L133" s="64"/>
      <c r="M133" s="64"/>
      <c r="N133" s="64"/>
      <c r="O133" s="64"/>
      <c r="P133" s="64"/>
      <c r="Q133" s="64"/>
      <c r="R133" s="64"/>
      <c r="S133" s="64"/>
      <c r="T133" s="64"/>
      <c r="U133" s="64"/>
      <c r="V133" s="64"/>
    </row>
    <row r="134" spans="1:22" ht="22.5" customHeight="1">
      <c r="A134" s="64"/>
      <c r="B134" s="64"/>
      <c r="C134" s="64"/>
      <c r="D134" s="64"/>
      <c r="E134" s="64"/>
      <c r="F134" s="64"/>
      <c r="G134" s="64"/>
      <c r="H134" s="102"/>
      <c r="I134" s="102"/>
      <c r="J134" s="64"/>
      <c r="K134" s="64"/>
      <c r="L134" s="64"/>
      <c r="M134" s="64"/>
      <c r="N134" s="64"/>
      <c r="O134" s="64"/>
      <c r="P134" s="64"/>
      <c r="Q134" s="64"/>
      <c r="R134" s="64"/>
      <c r="S134" s="64"/>
      <c r="T134" s="64"/>
      <c r="U134" s="64"/>
      <c r="V134" s="64"/>
    </row>
    <row r="135" spans="1:22" ht="22.5" customHeight="1">
      <c r="A135" s="64"/>
      <c r="B135" s="64"/>
      <c r="C135" s="64"/>
      <c r="D135" s="64"/>
      <c r="E135" s="64"/>
      <c r="F135" s="64"/>
      <c r="G135" s="64"/>
      <c r="H135" s="102"/>
      <c r="I135" s="102"/>
      <c r="J135" s="64"/>
      <c r="K135" s="64"/>
      <c r="L135" s="64"/>
      <c r="M135" s="64"/>
      <c r="N135" s="64"/>
      <c r="O135" s="64"/>
      <c r="P135" s="64"/>
      <c r="Q135" s="64"/>
      <c r="R135" s="64"/>
      <c r="S135" s="64"/>
      <c r="T135" s="64"/>
      <c r="U135" s="64"/>
      <c r="V135" s="64"/>
    </row>
    <row r="136" spans="1:22" ht="22.5" customHeight="1">
      <c r="A136" s="64"/>
      <c r="B136" s="64"/>
      <c r="C136" s="64"/>
      <c r="D136" s="64"/>
      <c r="E136" s="64"/>
      <c r="F136" s="64"/>
      <c r="G136" s="64"/>
      <c r="H136" s="102"/>
      <c r="I136" s="102"/>
      <c r="J136" s="64"/>
      <c r="K136" s="64"/>
      <c r="L136" s="64"/>
      <c r="M136" s="64"/>
      <c r="N136" s="64"/>
      <c r="O136" s="64"/>
      <c r="P136" s="64"/>
      <c r="Q136" s="64"/>
      <c r="R136" s="64"/>
      <c r="S136" s="64"/>
      <c r="T136" s="64"/>
      <c r="U136" s="64"/>
      <c r="V136" s="64"/>
    </row>
    <row r="137" spans="1:22" ht="22.5" customHeight="1">
      <c r="A137" s="64"/>
      <c r="B137" s="64"/>
    </row>
  </sheetData>
  <mergeCells count="7">
    <mergeCell ref="C125:N125"/>
    <mergeCell ref="C5:N6"/>
    <mergeCell ref="C8:N16"/>
    <mergeCell ref="C121:N121"/>
    <mergeCell ref="C122:N122"/>
    <mergeCell ref="C123:N123"/>
    <mergeCell ref="C124:N124"/>
  </mergeCells>
  <printOptions horizontalCentered="1" headings="1"/>
  <pageMargins left="1" right="1" top="1.25" bottom="0.5" header="0.5" footer="0.5"/>
  <pageSetup paperSize="17" scale="46" orientation="portrait" r:id="rId1"/>
  <headerFooter scaleWithDoc="0">
    <oddHeader>&amp;R&amp;"Arial,Bold"ICC Docket No. 17-0312
Statewide Quarterly Report ComEd 2019 Q4 
Tab: &amp;A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4.9989318521683403E-2"/>
    <pageSetUpPr fitToPage="1"/>
  </sheetPr>
  <dimension ref="A1:K42"/>
  <sheetViews>
    <sheetView topLeftCell="A16" workbookViewId="0">
      <selection activeCell="C39" sqref="C39"/>
    </sheetView>
  </sheetViews>
  <sheetFormatPr defaultColWidth="0" defaultRowHeight="15" zeroHeight="1"/>
  <cols>
    <col min="1" max="1" width="6.140625" customWidth="1"/>
    <col min="2" max="2" width="33.140625" style="12" customWidth="1"/>
    <col min="3" max="3" width="19.140625" bestFit="1" customWidth="1"/>
    <col min="4" max="4" width="20.140625" customWidth="1"/>
    <col min="5" max="5" width="18.85546875" customWidth="1"/>
    <col min="6" max="7" width="18.5703125" customWidth="1"/>
    <col min="8" max="8" width="8.85546875" customWidth="1"/>
    <col min="9" max="9" width="15.85546875" customWidth="1"/>
    <col min="10" max="11" width="9.140625" customWidth="1"/>
    <col min="12" max="16384" width="9.140625" hidden="1"/>
  </cols>
  <sheetData>
    <row r="1" spans="1:11">
      <c r="A1" s="64"/>
      <c r="B1" s="70" t="s">
        <v>0</v>
      </c>
      <c r="C1" s="64"/>
      <c r="D1" s="64"/>
      <c r="E1" s="64"/>
      <c r="F1" s="64"/>
      <c r="G1" s="64"/>
      <c r="H1" s="64"/>
      <c r="I1" s="64"/>
      <c r="J1" s="64"/>
      <c r="K1" s="64"/>
    </row>
    <row r="2" spans="1:11">
      <c r="A2" s="64"/>
      <c r="B2" s="70" t="s">
        <v>751</v>
      </c>
      <c r="C2" s="64"/>
      <c r="D2" s="64"/>
      <c r="E2" s="64"/>
      <c r="F2" s="64"/>
      <c r="G2" s="64"/>
      <c r="H2" s="64"/>
      <c r="I2" s="64"/>
      <c r="J2" s="64"/>
      <c r="K2" s="64"/>
    </row>
    <row r="3" spans="1:11">
      <c r="A3" s="64"/>
      <c r="B3" s="71"/>
      <c r="C3" s="64"/>
      <c r="D3" s="64"/>
      <c r="E3" s="64"/>
      <c r="F3" s="64"/>
      <c r="G3" s="64"/>
      <c r="H3" s="64"/>
      <c r="I3" s="64"/>
      <c r="J3" s="64"/>
      <c r="K3" s="64"/>
    </row>
    <row r="4" spans="1:11">
      <c r="A4" s="64"/>
      <c r="B4" s="70"/>
      <c r="C4" s="64"/>
      <c r="D4" s="64"/>
      <c r="E4" s="64"/>
      <c r="F4" s="64"/>
      <c r="G4" s="64"/>
      <c r="H4" s="64"/>
      <c r="I4" s="64"/>
      <c r="J4" s="64"/>
      <c r="K4" s="64"/>
    </row>
    <row r="5" spans="1:11" ht="29.25" customHeight="1">
      <c r="A5" s="64"/>
      <c r="B5" s="558" t="s">
        <v>752</v>
      </c>
      <c r="C5" s="558"/>
      <c r="D5" s="558"/>
      <c r="E5" s="558"/>
      <c r="F5" s="558"/>
      <c r="G5" s="558"/>
      <c r="H5" s="64"/>
      <c r="I5" s="64"/>
      <c r="J5" s="64"/>
      <c r="K5" s="64"/>
    </row>
    <row r="6" spans="1:11">
      <c r="A6" s="64"/>
      <c r="B6" s="558"/>
      <c r="C6" s="558"/>
      <c r="D6" s="558"/>
      <c r="E6" s="558"/>
      <c r="F6" s="558"/>
      <c r="G6" s="558"/>
      <c r="H6" s="64"/>
      <c r="I6" s="64"/>
      <c r="J6" s="64"/>
      <c r="K6" s="64"/>
    </row>
    <row r="7" spans="1:11">
      <c r="A7" s="64"/>
      <c r="B7" s="558"/>
      <c r="C7" s="558"/>
      <c r="D7" s="558"/>
      <c r="E7" s="558"/>
      <c r="F7" s="558"/>
      <c r="G7" s="558"/>
      <c r="H7" s="64"/>
      <c r="I7" s="64"/>
      <c r="J7" s="64"/>
      <c r="K7" s="64"/>
    </row>
    <row r="8" spans="1:11">
      <c r="A8" s="64"/>
      <c r="B8" s="558"/>
      <c r="C8" s="558"/>
      <c r="D8" s="558"/>
      <c r="E8" s="558"/>
      <c r="F8" s="558"/>
      <c r="G8" s="558"/>
      <c r="H8" s="64"/>
      <c r="I8" s="64"/>
      <c r="J8" s="64"/>
      <c r="K8" s="64"/>
    </row>
    <row r="9" spans="1:11" ht="42" customHeight="1">
      <c r="A9" s="64"/>
      <c r="B9" s="558"/>
      <c r="C9" s="558"/>
      <c r="D9" s="558"/>
      <c r="E9" s="558"/>
      <c r="F9" s="558"/>
      <c r="G9" s="558"/>
      <c r="H9" s="64"/>
      <c r="I9" s="64"/>
      <c r="J9" s="64"/>
      <c r="K9" s="64"/>
    </row>
    <row r="10" spans="1:11">
      <c r="A10" s="64"/>
      <c r="B10" s="69"/>
      <c r="C10" s="64"/>
      <c r="D10" s="64"/>
      <c r="E10" s="64"/>
      <c r="F10" s="64"/>
      <c r="G10" s="64"/>
      <c r="H10" s="64"/>
      <c r="I10" s="64"/>
      <c r="J10" s="64"/>
      <c r="K10" s="64"/>
    </row>
    <row r="11" spans="1:11" ht="18">
      <c r="A11" s="64"/>
      <c r="B11" s="72" t="s">
        <v>753</v>
      </c>
      <c r="C11" s="72"/>
      <c r="D11" s="73"/>
      <c r="E11" s="73"/>
      <c r="F11" s="73"/>
      <c r="G11" s="73"/>
      <c r="H11" s="64"/>
      <c r="I11" s="64"/>
      <c r="J11" s="64"/>
      <c r="K11" s="64"/>
    </row>
    <row r="12" spans="1:11" ht="18">
      <c r="A12" s="64"/>
      <c r="B12" s="199" t="str">
        <f>'1- Ex Ante Results'!C19</f>
        <v>CY2025 Q2</v>
      </c>
      <c r="C12" s="74"/>
      <c r="D12" s="73"/>
      <c r="E12" s="73"/>
      <c r="F12" s="73"/>
      <c r="G12" s="73"/>
      <c r="H12" s="64"/>
      <c r="I12" s="64"/>
      <c r="J12" s="64"/>
      <c r="K12" s="64"/>
    </row>
    <row r="13" spans="1:11" s="12" customFormat="1" ht="42.75">
      <c r="A13" s="69"/>
      <c r="B13" s="11" t="s">
        <v>582</v>
      </c>
      <c r="C13" s="5" t="s">
        <v>754</v>
      </c>
      <c r="D13" s="5" t="s">
        <v>755</v>
      </c>
      <c r="E13" s="5" t="s">
        <v>756</v>
      </c>
      <c r="F13" s="5" t="s">
        <v>757</v>
      </c>
      <c r="G13" s="5" t="s">
        <v>758</v>
      </c>
      <c r="H13" s="69"/>
      <c r="I13" s="69"/>
      <c r="J13" s="69"/>
      <c r="K13" s="69"/>
    </row>
    <row r="14" spans="1:11" ht="16.5">
      <c r="A14" s="64"/>
      <c r="B14" s="45" t="s">
        <v>598</v>
      </c>
      <c r="C14" s="51">
        <v>27356150.450000003</v>
      </c>
      <c r="D14" s="52">
        <v>6949809.1399999997</v>
      </c>
      <c r="E14" s="52">
        <f t="shared" ref="E14:E25" si="0">C14+D14</f>
        <v>34305959.590000004</v>
      </c>
      <c r="F14" s="52">
        <v>0</v>
      </c>
      <c r="G14" s="52">
        <f>SUM(E14,F14)</f>
        <v>34305959.590000004</v>
      </c>
      <c r="H14" s="64"/>
      <c r="I14" s="64"/>
      <c r="J14" s="64"/>
      <c r="K14" s="64"/>
    </row>
    <row r="15" spans="1:11" s="12" customFormat="1" ht="16.5">
      <c r="A15" s="69"/>
      <c r="B15" s="45" t="s">
        <v>601</v>
      </c>
      <c r="C15" s="51">
        <v>52071860.044945925</v>
      </c>
      <c r="D15" s="52">
        <v>11471615</v>
      </c>
      <c r="E15" s="52">
        <f t="shared" si="0"/>
        <v>63543475.044945925</v>
      </c>
      <c r="F15" s="52">
        <v>0</v>
      </c>
      <c r="G15" s="52">
        <f t="shared" ref="G15:G25" si="1">SUM(E15,F15)</f>
        <v>63543475.044945925</v>
      </c>
      <c r="H15" s="69"/>
      <c r="I15" s="69"/>
      <c r="J15" s="69"/>
      <c r="K15" s="69"/>
    </row>
    <row r="16" spans="1:11" ht="16.5">
      <c r="A16" s="64"/>
      <c r="B16" s="45" t="s">
        <v>604</v>
      </c>
      <c r="C16" s="51">
        <v>75691132.849999994</v>
      </c>
      <c r="D16" s="52">
        <v>28659010.5</v>
      </c>
      <c r="E16" s="52">
        <f t="shared" si="0"/>
        <v>104350143.34999999</v>
      </c>
      <c r="F16" s="52">
        <v>0</v>
      </c>
      <c r="G16" s="52">
        <f t="shared" si="1"/>
        <v>104350143.34999999</v>
      </c>
      <c r="H16" s="64"/>
      <c r="I16" s="64"/>
      <c r="J16" s="64"/>
      <c r="K16" s="64"/>
    </row>
    <row r="17" spans="1:11" ht="16.5">
      <c r="A17" s="64"/>
      <c r="B17" s="35" t="s">
        <v>614</v>
      </c>
      <c r="C17" s="122">
        <f>SUM(C14:C16)</f>
        <v>155119143.34494591</v>
      </c>
      <c r="D17" s="122">
        <f>SUM(D14:D16)</f>
        <v>47080434.640000001</v>
      </c>
      <c r="E17" s="122">
        <f t="shared" si="0"/>
        <v>202199577.98494589</v>
      </c>
      <c r="F17" s="122">
        <f>SUM(F14:F16)</f>
        <v>0</v>
      </c>
      <c r="G17" s="122">
        <f t="shared" si="1"/>
        <v>202199577.98494589</v>
      </c>
      <c r="H17" s="64"/>
      <c r="I17" s="64"/>
      <c r="J17" s="64"/>
      <c r="K17" s="64"/>
    </row>
    <row r="18" spans="1:11" ht="16.5">
      <c r="A18" s="64"/>
      <c r="B18" s="45" t="s">
        <v>615</v>
      </c>
      <c r="C18" s="51">
        <v>106315194.5</v>
      </c>
      <c r="D18" s="52">
        <v>35049987</v>
      </c>
      <c r="E18" s="52">
        <f t="shared" si="0"/>
        <v>141365181.5</v>
      </c>
      <c r="F18" s="52">
        <v>0</v>
      </c>
      <c r="G18" s="52">
        <f t="shared" si="1"/>
        <v>141365181.5</v>
      </c>
      <c r="H18" s="64"/>
      <c r="I18" s="64"/>
      <c r="J18" s="64"/>
      <c r="K18" s="64"/>
    </row>
    <row r="19" spans="1:11" ht="16.5">
      <c r="A19" s="64"/>
      <c r="B19" s="45" t="s">
        <v>616</v>
      </c>
      <c r="C19" s="51">
        <v>107354963.67</v>
      </c>
      <c r="D19" s="52">
        <v>33565649.329999998</v>
      </c>
      <c r="E19" s="52">
        <f t="shared" si="0"/>
        <v>140920613</v>
      </c>
      <c r="F19" s="52">
        <v>31329</v>
      </c>
      <c r="G19" s="52">
        <f t="shared" si="1"/>
        <v>140951942</v>
      </c>
      <c r="H19" s="64"/>
      <c r="I19" s="64"/>
      <c r="J19" s="64"/>
      <c r="K19" s="64"/>
    </row>
    <row r="20" spans="1:11" ht="16.5">
      <c r="A20" s="64"/>
      <c r="B20" s="45" t="s">
        <v>618</v>
      </c>
      <c r="C20" s="51">
        <v>124096016.16999999</v>
      </c>
      <c r="D20" s="52">
        <v>31563417</v>
      </c>
      <c r="E20" s="52">
        <f t="shared" si="0"/>
        <v>155659433.16999999</v>
      </c>
      <c r="F20" s="52">
        <v>29469183.289999999</v>
      </c>
      <c r="G20" s="123">
        <f t="shared" si="1"/>
        <v>185128616.45999998</v>
      </c>
      <c r="H20" s="64"/>
      <c r="I20" s="64"/>
      <c r="J20" s="64"/>
      <c r="K20" s="64"/>
    </row>
    <row r="21" spans="1:11" ht="28.5">
      <c r="A21" s="64"/>
      <c r="B21" s="35" t="s">
        <v>620</v>
      </c>
      <c r="C21" s="122">
        <f>SUM(C18:C20)</f>
        <v>337766174.34000003</v>
      </c>
      <c r="D21" s="122">
        <f>SUM(D18:D20)</f>
        <v>100179053.33</v>
      </c>
      <c r="E21" s="122">
        <f t="shared" si="0"/>
        <v>437945227.67000002</v>
      </c>
      <c r="F21" s="122">
        <f>SUM(F18:F20)</f>
        <v>29500512.289999999</v>
      </c>
      <c r="G21" s="124">
        <f t="shared" si="1"/>
        <v>467445739.96000004</v>
      </c>
      <c r="H21" s="64"/>
      <c r="I21" s="64"/>
      <c r="J21" s="64"/>
      <c r="K21" s="64"/>
    </row>
    <row r="22" spans="1:11" ht="16.5">
      <c r="A22" s="64"/>
      <c r="B22" s="45" t="s">
        <v>621</v>
      </c>
      <c r="C22" s="52">
        <v>128288585</v>
      </c>
      <c r="D22" s="52">
        <v>33728435</v>
      </c>
      <c r="E22" s="52">
        <f t="shared" si="0"/>
        <v>162017020</v>
      </c>
      <c r="F22" s="125">
        <v>39150326.559999995</v>
      </c>
      <c r="G22" s="52">
        <f t="shared" si="1"/>
        <v>201167346.56</v>
      </c>
      <c r="H22" s="64"/>
      <c r="I22" s="64"/>
      <c r="J22" s="64"/>
      <c r="K22" s="64"/>
    </row>
    <row r="23" spans="1:11" ht="16.5">
      <c r="A23" s="64"/>
      <c r="B23" s="45" t="s">
        <v>622</v>
      </c>
      <c r="C23" s="52">
        <v>108343594</v>
      </c>
      <c r="D23" s="52">
        <v>3670970</v>
      </c>
      <c r="E23" s="52">
        <f t="shared" si="0"/>
        <v>112014564</v>
      </c>
      <c r="F23" s="125">
        <v>87103873</v>
      </c>
      <c r="G23" s="52">
        <f t="shared" si="1"/>
        <v>199118437</v>
      </c>
      <c r="H23" s="64"/>
      <c r="I23" s="64"/>
      <c r="J23" s="64"/>
      <c r="K23" s="64"/>
    </row>
    <row r="24" spans="1:11" ht="16.5">
      <c r="A24" s="64"/>
      <c r="B24" s="45" t="s">
        <v>623</v>
      </c>
      <c r="C24" s="52">
        <v>222451927.53999999</v>
      </c>
      <c r="D24" s="52">
        <v>57854489</v>
      </c>
      <c r="E24" s="52">
        <f t="shared" si="0"/>
        <v>280306416.53999996</v>
      </c>
      <c r="F24" s="125">
        <v>159497825.46000001</v>
      </c>
      <c r="G24" s="123">
        <f t="shared" si="1"/>
        <v>439804242</v>
      </c>
      <c r="H24" s="64"/>
      <c r="I24" s="64"/>
      <c r="J24" s="64"/>
      <c r="K24" s="64"/>
    </row>
    <row r="25" spans="1:11" ht="28.5">
      <c r="A25" s="64"/>
      <c r="B25" s="35" t="s">
        <v>624</v>
      </c>
      <c r="C25" s="122">
        <f>SUM(C22:C24)</f>
        <v>459084106.53999996</v>
      </c>
      <c r="D25" s="122">
        <f>SUM(D22:D24)</f>
        <v>95253894</v>
      </c>
      <c r="E25" s="122">
        <f t="shared" si="0"/>
        <v>554338000.53999996</v>
      </c>
      <c r="F25" s="126">
        <f>SUM(F22:F24)</f>
        <v>285752025.01999998</v>
      </c>
      <c r="G25" s="122">
        <f t="shared" si="1"/>
        <v>840090025.55999994</v>
      </c>
      <c r="H25" s="64"/>
      <c r="I25" s="64"/>
      <c r="J25" s="64"/>
      <c r="K25" s="64"/>
    </row>
    <row r="26" spans="1:11" s="12" customFormat="1" ht="38.25" customHeight="1">
      <c r="B26" s="11" t="s">
        <v>582</v>
      </c>
      <c r="C26" s="5" t="s">
        <v>759</v>
      </c>
      <c r="D26" s="5" t="s">
        <v>760</v>
      </c>
      <c r="E26" s="19" t="s">
        <v>24</v>
      </c>
      <c r="F26" s="75"/>
      <c r="G26" s="76"/>
      <c r="H26" s="69"/>
      <c r="I26" s="69"/>
      <c r="J26" s="69"/>
      <c r="K26" s="69"/>
    </row>
    <row r="27" spans="1:11" ht="16.5">
      <c r="A27" s="560" t="s">
        <v>625</v>
      </c>
      <c r="B27" s="30">
        <v>2018</v>
      </c>
      <c r="C27" s="127">
        <v>352988359</v>
      </c>
      <c r="D27" s="128">
        <v>351334190</v>
      </c>
      <c r="E27" s="129">
        <f>C27/D27</f>
        <v>1.0047082494305493</v>
      </c>
      <c r="F27" s="77"/>
      <c r="G27" s="78"/>
      <c r="H27" s="64"/>
      <c r="I27" s="64"/>
      <c r="J27" s="64"/>
      <c r="K27" s="64"/>
    </row>
    <row r="28" spans="1:11" ht="16.5">
      <c r="A28" s="561"/>
      <c r="B28" s="30">
        <v>2019</v>
      </c>
      <c r="C28" s="127">
        <v>351381796</v>
      </c>
      <c r="D28" s="128">
        <v>351334190</v>
      </c>
      <c r="E28" s="129">
        <f t="shared" ref="E28:E36" si="2">IF(C28=0,"N/A",C28/D28)</f>
        <v>1.0001355006183714</v>
      </c>
      <c r="F28" s="77"/>
      <c r="G28" s="78"/>
      <c r="H28" s="64"/>
      <c r="I28" s="64"/>
      <c r="J28" s="64"/>
      <c r="K28" s="64"/>
    </row>
    <row r="29" spans="1:11" ht="16.5">
      <c r="A29" s="561"/>
      <c r="B29" s="30">
        <v>2020</v>
      </c>
      <c r="C29" s="127">
        <v>346480330</v>
      </c>
      <c r="D29" s="128">
        <v>351334190</v>
      </c>
      <c r="E29" s="129">
        <f t="shared" si="2"/>
        <v>0.98618449288980381</v>
      </c>
      <c r="F29" s="77"/>
      <c r="G29" s="78"/>
      <c r="H29" s="64"/>
      <c r="I29" s="64"/>
      <c r="J29" s="64"/>
      <c r="K29" s="64"/>
    </row>
    <row r="30" spans="1:11" ht="16.5">
      <c r="A30" s="561"/>
      <c r="B30" s="30">
        <v>2021</v>
      </c>
      <c r="C30" s="127">
        <v>351037751.65463001</v>
      </c>
      <c r="D30" s="128">
        <v>351334190</v>
      </c>
      <c r="E30" s="129">
        <f t="shared" si="2"/>
        <v>0.99915624965116545</v>
      </c>
      <c r="F30" s="77"/>
      <c r="G30" s="78"/>
      <c r="H30" s="64"/>
      <c r="I30" s="64"/>
      <c r="J30" s="64"/>
      <c r="K30" s="64"/>
    </row>
    <row r="31" spans="1:11" ht="16.5">
      <c r="A31" s="562"/>
      <c r="B31" s="35" t="s">
        <v>626</v>
      </c>
      <c r="C31" s="130">
        <f>SUM(C27:C30)</f>
        <v>1401888236.6546299</v>
      </c>
      <c r="D31" s="130">
        <f>SUM(D27:D30)</f>
        <v>1405336760</v>
      </c>
      <c r="E31" s="131">
        <f t="shared" si="2"/>
        <v>0.99754612314747249</v>
      </c>
      <c r="F31" s="78" t="s">
        <v>761</v>
      </c>
      <c r="G31" s="78"/>
      <c r="H31" s="64"/>
      <c r="I31" s="64"/>
      <c r="J31" s="64"/>
      <c r="K31" s="64"/>
    </row>
    <row r="32" spans="1:11" ht="16.5">
      <c r="A32" s="560" t="s">
        <v>627</v>
      </c>
      <c r="B32" s="30">
        <v>2022</v>
      </c>
      <c r="C32" s="127">
        <v>399377042</v>
      </c>
      <c r="D32" s="128">
        <v>408267882</v>
      </c>
      <c r="E32" s="129">
        <f t="shared" si="2"/>
        <v>0.97822302367640079</v>
      </c>
      <c r="F32" s="517" t="s">
        <v>762</v>
      </c>
      <c r="G32" s="78"/>
      <c r="H32" s="64"/>
      <c r="I32" s="64"/>
      <c r="J32" s="64"/>
      <c r="K32" s="64"/>
    </row>
    <row r="33" spans="1:11" ht="16.5">
      <c r="A33" s="561"/>
      <c r="B33" s="30">
        <v>2023</v>
      </c>
      <c r="C33" s="127">
        <v>415602522.64617443</v>
      </c>
      <c r="D33" s="128">
        <v>439746496.2964471</v>
      </c>
      <c r="E33" s="129">
        <f t="shared" si="2"/>
        <v>0.94509569978700536</v>
      </c>
      <c r="F33" s="518" t="s">
        <v>763</v>
      </c>
      <c r="G33" s="78"/>
      <c r="H33" s="64"/>
      <c r="I33" s="64"/>
      <c r="J33" s="64"/>
      <c r="K33" s="64"/>
    </row>
    <row r="34" spans="1:11" ht="16.5">
      <c r="A34" s="561"/>
      <c r="B34" s="30">
        <v>2024</v>
      </c>
      <c r="C34" s="127">
        <v>435219509</v>
      </c>
      <c r="D34" s="128">
        <v>437772939</v>
      </c>
      <c r="E34" s="129">
        <f t="shared" si="2"/>
        <v>0.99416722740827068</v>
      </c>
      <c r="F34" s="518" t="s">
        <v>764</v>
      </c>
      <c r="G34" s="78"/>
      <c r="H34" s="64"/>
      <c r="I34" s="64"/>
      <c r="J34" s="64"/>
      <c r="K34" s="64"/>
    </row>
    <row r="35" spans="1:11" ht="16.5">
      <c r="A35" s="561"/>
      <c r="B35" s="30">
        <v>2025</v>
      </c>
      <c r="C35" s="127">
        <f>'2- Costs'!$C$30</f>
        <v>191306176.59</v>
      </c>
      <c r="D35" s="128">
        <f>'2- Costs'!$D$30</f>
        <v>447014912.02193499</v>
      </c>
      <c r="E35" s="129">
        <f t="shared" si="2"/>
        <v>0.42796374672309057</v>
      </c>
      <c r="F35" s="518" t="s">
        <v>765</v>
      </c>
      <c r="G35" s="78"/>
      <c r="H35" s="64"/>
      <c r="I35" s="64"/>
      <c r="J35" s="64"/>
      <c r="K35" s="64"/>
    </row>
    <row r="36" spans="1:11" ht="16.5">
      <c r="A36" s="562"/>
      <c r="B36" s="35" t="s">
        <v>629</v>
      </c>
      <c r="C36" s="130">
        <f>SUM(C32:C35)</f>
        <v>1441505250.2361743</v>
      </c>
      <c r="D36" s="130">
        <f>SUM(D32:D35)</f>
        <v>1732802229.318382</v>
      </c>
      <c r="E36" s="131">
        <f t="shared" si="2"/>
        <v>0.83189254136821333</v>
      </c>
      <c r="F36" s="78"/>
      <c r="G36" s="78"/>
      <c r="H36" s="64"/>
      <c r="I36" s="64"/>
      <c r="J36" s="64"/>
      <c r="K36" s="64"/>
    </row>
    <row r="37" spans="1:11">
      <c r="A37" s="69"/>
      <c r="B37" s="69"/>
      <c r="C37" s="69"/>
      <c r="D37" s="69"/>
      <c r="E37" s="69"/>
      <c r="F37" s="69"/>
      <c r="G37" s="69"/>
      <c r="H37" s="69"/>
      <c r="I37" s="69"/>
      <c r="J37" s="69"/>
      <c r="K37" s="64"/>
    </row>
    <row r="38" spans="1:11">
      <c r="A38" s="64"/>
      <c r="B38" s="69"/>
      <c r="C38" s="69"/>
      <c r="D38" s="69"/>
      <c r="E38" s="69"/>
      <c r="F38" s="69"/>
      <c r="G38" s="69"/>
      <c r="H38" s="69"/>
      <c r="I38" s="69"/>
      <c r="J38" s="69"/>
      <c r="K38" s="64"/>
    </row>
    <row r="39" spans="1:11">
      <c r="A39" s="64"/>
      <c r="B39" s="69"/>
      <c r="C39" s="69"/>
      <c r="D39" s="69"/>
      <c r="E39" s="69"/>
      <c r="F39" s="69"/>
      <c r="G39" s="69"/>
      <c r="H39" s="69"/>
      <c r="I39" s="69"/>
      <c r="J39" s="69"/>
      <c r="K39" s="64"/>
    </row>
    <row r="40" spans="1:11">
      <c r="A40" s="64"/>
      <c r="B40" s="69"/>
      <c r="C40" s="69"/>
      <c r="D40" s="69"/>
      <c r="E40" s="69"/>
      <c r="F40" s="69"/>
      <c r="G40" s="69"/>
      <c r="H40" s="69"/>
      <c r="I40" s="69"/>
      <c r="J40" s="69"/>
      <c r="K40" s="64"/>
    </row>
    <row r="41" spans="1:11">
      <c r="A41" s="64"/>
      <c r="B41" s="69"/>
      <c r="C41" s="69"/>
      <c r="D41" s="69"/>
      <c r="E41" s="69"/>
      <c r="F41" s="69"/>
      <c r="G41" s="69"/>
      <c r="H41" s="69"/>
      <c r="I41" s="69"/>
      <c r="J41" s="69"/>
      <c r="K41" s="64"/>
    </row>
    <row r="42" spans="1:11">
      <c r="A42" s="64"/>
      <c r="B42" s="69"/>
      <c r="C42" s="69"/>
      <c r="D42" s="69"/>
      <c r="E42" s="69"/>
      <c r="F42" s="69"/>
      <c r="G42" s="69"/>
      <c r="H42" s="69"/>
      <c r="I42" s="69"/>
      <c r="J42" s="69"/>
      <c r="K42" s="64"/>
    </row>
  </sheetData>
  <mergeCells count="3">
    <mergeCell ref="B5:G9"/>
    <mergeCell ref="A32:A36"/>
    <mergeCell ref="A27:A31"/>
  </mergeCells>
  <hyperlinks>
    <hyperlink ref="F32" r:id="rId1" display="../../../../../../:x:/r/sites/EEFinance/Shared Documents/Month End Close/2022/12 December/December 2022 12+0 EE Regulatory Asset FINAL.xlsx?d=w50c13a2d56dc4c9f8cb5f95fc5f4582b&amp;csf=1&amp;web=1&amp;e=XDwoKQ" xr:uid="{902BB03B-D39F-43E4-8FC8-4D1B585BD73F}"/>
    <hyperlink ref="F33" r:id="rId2" display="../../../../../../:x:/r/sites/ComEd-EEDataTeam/_layouts/15/Doc.aspx?sourcedoc=%7B7C30C34A-A651-4BF0-B9CC-9F861169117C%7D&amp;file=FINAL%20December%202023%2012%2B0%20EE%20Regulatory%20Asset%20_12.28.2023.xlsx&amp;action=default&amp;mobileredirect=true" xr:uid="{D3978B6B-60B6-40EC-BF19-0A54A6738504}"/>
    <hyperlink ref="F34" r:id="rId3" display="../../../../../../:x:/r/sites/ComEd-EEDataTeam/_layouts/15/Doc.aspx?sourcedoc=%7BD29AF542-A78E-4C1D-ACBB-6E915099CA6A%7D&amp;file=FINAL%20December%202024%2012%2B0%20LE%20EE%20Regulatory%20Asset%201-2.25.xlsx&amp;action=default&amp;mobileredirect=true" xr:uid="{FB3F5C78-85CB-4050-9AFD-E9ECA24DADA5}"/>
    <hyperlink ref="F35" r:id="rId4" display="../../../../../../:x:/r/sites/CY2020Q3SavingsandHighlights/_layouts/15/Doc2.aspx?action=edit&amp;sourcedoc=%7B3b25be39-b63f-441b-8292-bf536c93a76e%7D&amp;wdOrigin=TEAMS-MAGLEV.teamsSdk_ns.rwc&amp;wdExp=TEAMS-TREATMENT&amp;wdhostclicktime=1746465188358&amp;web=1" xr:uid="{C80C7DCA-8083-4E3D-BCA2-06B85006FD08}"/>
  </hyperlinks>
  <printOptions horizontalCentered="1"/>
  <pageMargins left="1" right="1" top="1.25" bottom="1" header="0.5" footer="0.5"/>
  <pageSetup scale="10" orientation="portrait" r:id="rId5"/>
  <headerFooter scaleWithDoc="0">
    <oddHeader>&amp;R&amp;"Arial,Bold"ICC Docket No. 17-0312
Statewide Quarterly Report ComEd 2019 Q4 
Tab: &amp;A</oddHeader>
  </headerFooter>
  <ignoredErrors>
    <ignoredError sqref="E17:E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325D-6F0C-4775-A56E-FBE4FA03EBE2}">
  <sheetPr codeName="Sheet8">
    <tabColor rgb="FFFFFF00"/>
  </sheetPr>
  <dimension ref="A1:AM100"/>
  <sheetViews>
    <sheetView workbookViewId="0"/>
  </sheetViews>
  <sheetFormatPr defaultRowHeight="15"/>
  <cols>
    <col min="1" max="1" width="84.42578125" bestFit="1" customWidth="1"/>
    <col min="2" max="2" width="10.42578125" bestFit="1" customWidth="1"/>
    <col min="3" max="3" width="11.42578125" bestFit="1" customWidth="1"/>
    <col min="4" max="4" width="11.42578125" customWidth="1"/>
    <col min="5" max="5" width="4.5703125" bestFit="1" customWidth="1"/>
    <col min="6" max="6" width="64.7109375" hidden="1" customWidth="1"/>
    <col min="7" max="7" width="28.42578125" bestFit="1" customWidth="1"/>
    <col min="8" max="8" width="40.140625" bestFit="1" customWidth="1"/>
    <col min="9" max="20" width="20.7109375" bestFit="1" customWidth="1"/>
    <col min="21" max="21" width="21.85546875" bestFit="1" customWidth="1"/>
    <col min="22" max="22" width="16.7109375" bestFit="1" customWidth="1"/>
    <col min="24" max="24" width="64.7109375" bestFit="1" customWidth="1"/>
    <col min="25" max="25" width="28.85546875" bestFit="1" customWidth="1"/>
    <col min="26" max="26" width="40.85546875" bestFit="1" customWidth="1"/>
    <col min="27" max="38" width="22.5703125" bestFit="1" customWidth="1"/>
    <col min="39" max="39" width="23.140625" bestFit="1" customWidth="1"/>
  </cols>
  <sheetData>
    <row r="1" spans="1:39">
      <c r="A1" s="249"/>
      <c r="B1" s="249" t="s">
        <v>212</v>
      </c>
      <c r="C1" s="248" t="s">
        <v>213</v>
      </c>
      <c r="D1" s="438" t="s">
        <v>214</v>
      </c>
      <c r="G1" s="421"/>
      <c r="H1" s="421"/>
      <c r="I1" s="422" t="s">
        <v>215</v>
      </c>
      <c r="J1" s="422" t="s">
        <v>216</v>
      </c>
      <c r="K1" s="422" t="s">
        <v>217</v>
      </c>
      <c r="L1" s="422" t="s">
        <v>218</v>
      </c>
      <c r="M1" s="422" t="s">
        <v>219</v>
      </c>
      <c r="N1" s="422" t="s">
        <v>220</v>
      </c>
      <c r="O1" s="422" t="s">
        <v>221</v>
      </c>
      <c r="P1" s="422" t="s">
        <v>222</v>
      </c>
      <c r="Q1" s="422" t="s">
        <v>223</v>
      </c>
      <c r="R1" s="422" t="s">
        <v>224</v>
      </c>
      <c r="S1" s="422" t="s">
        <v>225</v>
      </c>
      <c r="T1" s="422" t="s">
        <v>226</v>
      </c>
      <c r="U1" s="423" t="s">
        <v>227</v>
      </c>
      <c r="Y1" s="440"/>
      <c r="Z1" s="440"/>
      <c r="AA1" s="436" t="s">
        <v>215</v>
      </c>
      <c r="AB1" s="436" t="s">
        <v>216</v>
      </c>
      <c r="AC1" s="436" t="s">
        <v>217</v>
      </c>
      <c r="AD1" s="436" t="s">
        <v>218</v>
      </c>
      <c r="AE1" s="436" t="s">
        <v>219</v>
      </c>
      <c r="AF1" s="436" t="s">
        <v>220</v>
      </c>
      <c r="AG1" s="436" t="s">
        <v>221</v>
      </c>
      <c r="AH1" s="436" t="s">
        <v>222</v>
      </c>
      <c r="AI1" s="436" t="s">
        <v>223</v>
      </c>
      <c r="AJ1" s="436" t="s">
        <v>224</v>
      </c>
      <c r="AK1" s="436" t="s">
        <v>225</v>
      </c>
      <c r="AL1" s="436" t="s">
        <v>226</v>
      </c>
      <c r="AM1" s="437" t="s">
        <v>227</v>
      </c>
    </row>
    <row r="2" spans="1:39">
      <c r="A2" t="s">
        <v>46</v>
      </c>
      <c r="B2" s="213">
        <f t="shared" ref="B2:B22" si="0">VLOOKUP(A2,F:V,16,FALSE)</f>
        <v>138675.79</v>
      </c>
      <c r="C2" s="213">
        <f t="shared" ref="C2:C22" si="1">VLOOKUP(A2,F:V,17,FALSE)</f>
        <v>50990.299999999996</v>
      </c>
      <c r="D2" s="213">
        <f t="shared" ref="D2:D45" si="2">VLOOKUP(A2,X:AM,16,FALSE)</f>
        <v>161839.96</v>
      </c>
      <c r="E2" s="431"/>
      <c r="G2" s="424" t="s">
        <v>228</v>
      </c>
      <c r="H2" s="424" t="s">
        <v>229</v>
      </c>
      <c r="I2" s="424" t="s">
        <v>230</v>
      </c>
      <c r="J2" s="424" t="s">
        <v>230</v>
      </c>
      <c r="K2" s="424" t="s">
        <v>230</v>
      </c>
      <c r="L2" s="424" t="s">
        <v>230</v>
      </c>
      <c r="M2" s="424" t="s">
        <v>230</v>
      </c>
      <c r="N2" s="424" t="s">
        <v>230</v>
      </c>
      <c r="O2" s="424" t="s">
        <v>230</v>
      </c>
      <c r="P2" s="424" t="s">
        <v>230</v>
      </c>
      <c r="Q2" s="424" t="s">
        <v>230</v>
      </c>
      <c r="R2" s="424" t="s">
        <v>230</v>
      </c>
      <c r="S2" s="424" t="s">
        <v>230</v>
      </c>
      <c r="T2" s="424" t="s">
        <v>230</v>
      </c>
      <c r="U2" s="425" t="s">
        <v>230</v>
      </c>
      <c r="V2" s="425" t="s">
        <v>231</v>
      </c>
      <c r="Y2" s="438" t="s">
        <v>228</v>
      </c>
      <c r="Z2" s="438" t="s">
        <v>229</v>
      </c>
      <c r="AA2" s="438" t="s">
        <v>232</v>
      </c>
      <c r="AB2" s="438" t="s">
        <v>232</v>
      </c>
      <c r="AC2" s="438" t="s">
        <v>232</v>
      </c>
      <c r="AD2" s="438" t="s">
        <v>232</v>
      </c>
      <c r="AE2" s="438" t="s">
        <v>232</v>
      </c>
      <c r="AF2" s="438" t="s">
        <v>232</v>
      </c>
      <c r="AG2" s="438" t="s">
        <v>232</v>
      </c>
      <c r="AH2" s="438" t="s">
        <v>232</v>
      </c>
      <c r="AI2" s="438" t="s">
        <v>232</v>
      </c>
      <c r="AJ2" s="438" t="s">
        <v>232</v>
      </c>
      <c r="AK2" s="438" t="s">
        <v>232</v>
      </c>
      <c r="AL2" s="438" t="s">
        <v>232</v>
      </c>
      <c r="AM2" s="439" t="s">
        <v>232</v>
      </c>
    </row>
    <row r="3" spans="1:39">
      <c r="A3" t="s">
        <v>85</v>
      </c>
      <c r="B3" s="213">
        <f t="shared" si="0"/>
        <v>37847.32</v>
      </c>
      <c r="C3" s="213">
        <f t="shared" si="1"/>
        <v>13300.179999999998</v>
      </c>
      <c r="D3" s="213">
        <f t="shared" si="2"/>
        <v>18119</v>
      </c>
      <c r="E3" s="431"/>
      <c r="I3" s="419">
        <v>44682.52</v>
      </c>
      <c r="J3" s="419">
        <v>36616.100000000006</v>
      </c>
      <c r="K3" s="419">
        <v>41733.72</v>
      </c>
      <c r="L3" s="419">
        <v>61971.55</v>
      </c>
      <c r="M3" s="419">
        <v>59684.11</v>
      </c>
      <c r="N3" s="419">
        <v>54994.25</v>
      </c>
      <c r="O3" s="419">
        <v>46569.53</v>
      </c>
      <c r="P3" s="419">
        <v>59214.95</v>
      </c>
      <c r="Q3" s="419">
        <v>77362.63</v>
      </c>
      <c r="R3" s="419">
        <v>69197.819999999992</v>
      </c>
      <c r="S3" s="419">
        <v>72558.040000000008</v>
      </c>
      <c r="T3" s="419">
        <v>98811.889999999985</v>
      </c>
      <c r="U3" s="419">
        <v>723397.11</v>
      </c>
      <c r="V3">
        <f>SUM(I3:N3)</f>
        <v>299682.25</v>
      </c>
      <c r="Z3" s="247"/>
      <c r="AA3" s="419">
        <v>14910.82</v>
      </c>
      <c r="AB3" s="419">
        <v>26723.89</v>
      </c>
      <c r="AC3" s="419">
        <v>37033.72</v>
      </c>
      <c r="AD3" s="419">
        <v>45344.39</v>
      </c>
      <c r="AE3" s="419">
        <v>56091.72</v>
      </c>
      <c r="AF3" s="419">
        <v>62781.919999999998</v>
      </c>
      <c r="AG3" s="419">
        <v>69219.64</v>
      </c>
      <c r="AH3" s="419">
        <v>81127.600000000006</v>
      </c>
      <c r="AI3" s="419">
        <v>87997.59</v>
      </c>
      <c r="AJ3" s="419">
        <v>87416.320000000007</v>
      </c>
      <c r="AK3" s="419">
        <v>92216.849999999991</v>
      </c>
      <c r="AL3" s="419">
        <v>105912.81</v>
      </c>
      <c r="AM3" s="419">
        <v>766777.27</v>
      </c>
    </row>
    <row r="4" spans="1:39">
      <c r="A4" t="s">
        <v>52</v>
      </c>
      <c r="B4" s="213">
        <f t="shared" si="0"/>
        <v>163443.69999999998</v>
      </c>
      <c r="C4" s="213">
        <f t="shared" si="1"/>
        <v>65974.78</v>
      </c>
      <c r="D4" s="213">
        <f t="shared" si="2"/>
        <v>175857.61</v>
      </c>
      <c r="E4" s="431"/>
      <c r="G4" s="418" t="s">
        <v>227</v>
      </c>
      <c r="H4" s="247"/>
      <c r="I4" s="419">
        <v>23306.27</v>
      </c>
      <c r="J4" s="419">
        <v>21152.9</v>
      </c>
      <c r="K4" s="419">
        <v>20393.830000000002</v>
      </c>
      <c r="L4" s="419">
        <v>23982.959999999999</v>
      </c>
      <c r="M4" s="419">
        <v>24212.690000000002</v>
      </c>
      <c r="N4" s="419">
        <v>25032.25</v>
      </c>
      <c r="O4" s="419">
        <v>23778.53</v>
      </c>
      <c r="P4" s="419">
        <v>29469.949999999997</v>
      </c>
      <c r="Q4" s="419">
        <v>47025.630000000005</v>
      </c>
      <c r="R4" s="419">
        <v>45128.82</v>
      </c>
      <c r="S4" s="419">
        <v>46874.039999999994</v>
      </c>
      <c r="T4" s="419">
        <v>47643.89</v>
      </c>
      <c r="U4" s="419">
        <v>378001.76000000007</v>
      </c>
      <c r="V4">
        <f t="shared" ref="V4:V67" si="3">SUM(I4:N4)</f>
        <v>138080.9</v>
      </c>
      <c r="Y4" s="418" t="s">
        <v>227</v>
      </c>
      <c r="Z4" s="247"/>
      <c r="AA4" s="419">
        <v>7558.72</v>
      </c>
      <c r="AB4" s="419">
        <v>10045.14</v>
      </c>
      <c r="AC4" s="419">
        <v>13529.970000000001</v>
      </c>
      <c r="AD4" s="419">
        <v>18800.04</v>
      </c>
      <c r="AE4" s="419">
        <v>27446.47</v>
      </c>
      <c r="AF4" s="419">
        <v>32907.67</v>
      </c>
      <c r="AG4" s="419">
        <v>35606.19</v>
      </c>
      <c r="AH4" s="419">
        <v>39257.350000000006</v>
      </c>
      <c r="AI4" s="419">
        <v>43768.44</v>
      </c>
      <c r="AJ4" s="419">
        <v>50118.07</v>
      </c>
      <c r="AK4" s="419">
        <v>55292.5</v>
      </c>
      <c r="AL4" s="419">
        <v>53743.91</v>
      </c>
      <c r="AM4" s="419">
        <v>388074.47</v>
      </c>
    </row>
    <row r="5" spans="1:39">
      <c r="A5" t="s">
        <v>91</v>
      </c>
      <c r="B5" s="213">
        <f t="shared" si="0"/>
        <v>38034.949999999997</v>
      </c>
      <c r="C5" s="213">
        <f t="shared" si="1"/>
        <v>7815.6399999999994</v>
      </c>
      <c r="D5" s="213">
        <f t="shared" si="2"/>
        <v>32257.9</v>
      </c>
      <c r="E5" s="431"/>
      <c r="G5" s="79" t="s">
        <v>26</v>
      </c>
      <c r="H5" s="420" t="s">
        <v>227</v>
      </c>
      <c r="I5" s="419">
        <v>12316.45</v>
      </c>
      <c r="J5" s="419">
        <v>15709.260000000002</v>
      </c>
      <c r="K5" s="419">
        <v>6747.36</v>
      </c>
      <c r="L5" s="419">
        <v>9817.52</v>
      </c>
      <c r="M5" s="419">
        <v>10531.04</v>
      </c>
      <c r="N5" s="419">
        <v>9168.85</v>
      </c>
      <c r="O5" s="419">
        <v>8514.0499999999993</v>
      </c>
      <c r="P5" s="419">
        <v>15119.46</v>
      </c>
      <c r="Q5" s="419">
        <v>25144.22</v>
      </c>
      <c r="R5" s="419">
        <v>23078.39</v>
      </c>
      <c r="S5" s="419">
        <v>20037.439999999999</v>
      </c>
      <c r="T5" s="419">
        <v>20339.07</v>
      </c>
      <c r="U5" s="419">
        <v>176523.11</v>
      </c>
      <c r="V5">
        <f t="shared" si="3"/>
        <v>64290.479999999996</v>
      </c>
      <c r="Y5" s="79" t="s">
        <v>26</v>
      </c>
      <c r="Z5" s="420" t="s">
        <v>227</v>
      </c>
      <c r="AA5" s="419">
        <v>4678.93</v>
      </c>
      <c r="AB5" s="419">
        <v>5164.83</v>
      </c>
      <c r="AC5" s="419">
        <v>6568.5</v>
      </c>
      <c r="AD5" s="419">
        <v>7918.2</v>
      </c>
      <c r="AE5" s="419">
        <v>10167.679999999998</v>
      </c>
      <c r="AF5" s="419">
        <v>12507.15</v>
      </c>
      <c r="AG5" s="419">
        <v>15278.509999999998</v>
      </c>
      <c r="AH5" s="419">
        <v>18445.800000000003</v>
      </c>
      <c r="AI5" s="419">
        <v>21271.15</v>
      </c>
      <c r="AJ5" s="419">
        <v>23934.54</v>
      </c>
      <c r="AK5" s="419">
        <v>26543.94</v>
      </c>
      <c r="AL5" s="419">
        <v>27479.73</v>
      </c>
      <c r="AM5" s="419">
        <v>179958.96</v>
      </c>
    </row>
    <row r="6" spans="1:39">
      <c r="A6" s="452" t="s">
        <v>76</v>
      </c>
      <c r="B6" s="213">
        <f t="shared" si="0"/>
        <v>20667.599999999999</v>
      </c>
      <c r="C6" s="213">
        <f t="shared" si="1"/>
        <v>6746.4</v>
      </c>
      <c r="D6" s="213">
        <f t="shared" si="2"/>
        <v>45750.029999999984</v>
      </c>
      <c r="E6" s="431"/>
      <c r="F6" s="276" t="str">
        <f t="shared" ref="F6:F37" si="4">G6&amp;"-"&amp;H6</f>
        <v>Incentives-Standard - Private</v>
      </c>
      <c r="G6" s="79" t="s">
        <v>26</v>
      </c>
      <c r="H6" s="247" t="s">
        <v>48</v>
      </c>
      <c r="I6">
        <v>9585</v>
      </c>
      <c r="J6">
        <v>12251.900000000001</v>
      </c>
      <c r="K6">
        <v>5811.94</v>
      </c>
      <c r="L6">
        <v>8029.9100000000008</v>
      </c>
      <c r="M6">
        <v>8427.42</v>
      </c>
      <c r="N6">
        <v>6884.13</v>
      </c>
      <c r="O6">
        <v>6335.21</v>
      </c>
      <c r="P6">
        <v>11959.88</v>
      </c>
      <c r="Q6">
        <v>21786.86</v>
      </c>
      <c r="R6">
        <v>16595.36</v>
      </c>
      <c r="S6">
        <v>14721.029999999999</v>
      </c>
      <c r="T6">
        <v>16287.15</v>
      </c>
      <c r="U6" s="419">
        <v>138675.79</v>
      </c>
      <c r="V6">
        <f t="shared" si="3"/>
        <v>50990.299999999996</v>
      </c>
      <c r="X6" s="276" t="str">
        <f t="shared" ref="X6:X70" si="5">Y6&amp;"-"&amp;Z6</f>
        <v>Incentives-Standard - Private</v>
      </c>
      <c r="Y6" s="79" t="s">
        <v>26</v>
      </c>
      <c r="Z6" s="247" t="s">
        <v>48</v>
      </c>
      <c r="AA6">
        <v>4207.84</v>
      </c>
      <c r="AB6">
        <v>4644.8099999999995</v>
      </c>
      <c r="AC6">
        <v>5907.16</v>
      </c>
      <c r="AD6">
        <v>7120.96</v>
      </c>
      <c r="AE6">
        <v>9143.9599999999991</v>
      </c>
      <c r="AF6">
        <v>11247.88</v>
      </c>
      <c r="AG6">
        <v>13740.21</v>
      </c>
      <c r="AH6">
        <v>16588.600000000002</v>
      </c>
      <c r="AI6">
        <v>19129.48</v>
      </c>
      <c r="AJ6">
        <v>21524.71</v>
      </c>
      <c r="AK6">
        <v>23871.39</v>
      </c>
      <c r="AL6">
        <v>24712.959999999999</v>
      </c>
      <c r="AM6" s="419">
        <v>161839.96</v>
      </c>
    </row>
    <row r="7" spans="1:39">
      <c r="A7" s="452" t="s">
        <v>112</v>
      </c>
      <c r="B7" s="213">
        <f t="shared" si="0"/>
        <v>2296.4</v>
      </c>
      <c r="C7" s="213">
        <f>VLOOKUP(A7,F:V,17,FALSE)</f>
        <v>749.6</v>
      </c>
      <c r="D7" s="213">
        <f t="shared" si="2"/>
        <v>15249.970000000003</v>
      </c>
      <c r="E7" s="431"/>
      <c r="F7" s="276" t="str">
        <f t="shared" si="4"/>
        <v>Incentives-Standard - Public</v>
      </c>
      <c r="G7" s="79" t="s">
        <v>26</v>
      </c>
      <c r="H7" s="247" t="s">
        <v>87</v>
      </c>
      <c r="I7">
        <v>2731.45</v>
      </c>
      <c r="J7">
        <v>3457.36</v>
      </c>
      <c r="K7">
        <v>935.42</v>
      </c>
      <c r="L7">
        <v>1787.61</v>
      </c>
      <c r="M7">
        <v>2103.62</v>
      </c>
      <c r="N7">
        <v>2284.7199999999998</v>
      </c>
      <c r="O7">
        <v>2178.84</v>
      </c>
      <c r="P7">
        <v>3159.58</v>
      </c>
      <c r="Q7">
        <v>3357.36</v>
      </c>
      <c r="R7">
        <v>6483.0300000000007</v>
      </c>
      <c r="S7">
        <v>5316.41</v>
      </c>
      <c r="T7">
        <v>4051.92</v>
      </c>
      <c r="U7" s="419">
        <v>37847.32</v>
      </c>
      <c r="V7">
        <f t="shared" si="3"/>
        <v>13300.179999999998</v>
      </c>
      <c r="X7" s="276" t="str">
        <f t="shared" si="5"/>
        <v>Incentives-Standard - Public</v>
      </c>
      <c r="Y7" s="79" t="s">
        <v>26</v>
      </c>
      <c r="Z7" s="247" t="s">
        <v>87</v>
      </c>
      <c r="AA7">
        <v>471.09</v>
      </c>
      <c r="AB7">
        <v>520.02</v>
      </c>
      <c r="AC7">
        <v>661.34</v>
      </c>
      <c r="AD7">
        <v>797.24</v>
      </c>
      <c r="AE7">
        <v>1023.72</v>
      </c>
      <c r="AF7">
        <v>1259.27</v>
      </c>
      <c r="AG7">
        <v>1538.3</v>
      </c>
      <c r="AH7">
        <v>1857.2</v>
      </c>
      <c r="AI7">
        <v>2141.67</v>
      </c>
      <c r="AJ7">
        <v>2409.83</v>
      </c>
      <c r="AK7">
        <v>2672.55</v>
      </c>
      <c r="AL7">
        <v>2766.77</v>
      </c>
      <c r="AM7" s="419">
        <v>18119</v>
      </c>
    </row>
    <row r="8" spans="1:39">
      <c r="A8" t="s">
        <v>65</v>
      </c>
      <c r="B8" s="213">
        <f t="shared" si="0"/>
        <v>34658.949999999997</v>
      </c>
      <c r="C8" s="213">
        <f t="shared" si="1"/>
        <v>5204.95</v>
      </c>
      <c r="D8" s="213">
        <f t="shared" si="2"/>
        <v>35575</v>
      </c>
      <c r="E8" s="431"/>
      <c r="F8" t="str">
        <f t="shared" si="4"/>
        <v>Small Business-Total</v>
      </c>
      <c r="G8" s="79" t="s">
        <v>30</v>
      </c>
      <c r="H8" s="420" t="s">
        <v>227</v>
      </c>
      <c r="I8" s="419">
        <v>10989.82</v>
      </c>
      <c r="J8" s="419">
        <v>5443.64</v>
      </c>
      <c r="K8" s="419">
        <v>13646.470000000001</v>
      </c>
      <c r="L8" s="419">
        <v>14165.439999999999</v>
      </c>
      <c r="M8" s="419">
        <v>13681.650000000001</v>
      </c>
      <c r="N8" s="419">
        <v>15863.4</v>
      </c>
      <c r="O8" s="419">
        <v>15264.48</v>
      </c>
      <c r="P8" s="419">
        <v>14350.49</v>
      </c>
      <c r="Q8" s="419">
        <v>21881.41</v>
      </c>
      <c r="R8" s="419">
        <v>22050.43</v>
      </c>
      <c r="S8" s="419">
        <v>26836.6</v>
      </c>
      <c r="T8" s="419">
        <v>27304.82</v>
      </c>
      <c r="U8" s="419">
        <v>201478.65000000002</v>
      </c>
      <c r="V8">
        <f t="shared" si="3"/>
        <v>73790.42</v>
      </c>
      <c r="X8" t="str">
        <f t="shared" si="5"/>
        <v>Small Business-Total</v>
      </c>
      <c r="Y8" s="79" t="s">
        <v>30</v>
      </c>
      <c r="Z8" s="420" t="s">
        <v>227</v>
      </c>
      <c r="AA8" s="419">
        <v>2879.79</v>
      </c>
      <c r="AB8" s="419">
        <v>4880.3099999999995</v>
      </c>
      <c r="AC8" s="419">
        <v>6961.47</v>
      </c>
      <c r="AD8" s="419">
        <v>10881.84</v>
      </c>
      <c r="AE8" s="419">
        <v>17278.79</v>
      </c>
      <c r="AF8" s="419">
        <v>20400.52</v>
      </c>
      <c r="AG8" s="419">
        <v>20327.68</v>
      </c>
      <c r="AH8" s="419">
        <v>20811.55</v>
      </c>
      <c r="AI8" s="419">
        <v>22497.29</v>
      </c>
      <c r="AJ8" s="419">
        <v>26183.53</v>
      </c>
      <c r="AK8" s="419">
        <v>28748.559999999998</v>
      </c>
      <c r="AL8" s="419">
        <v>26264.18</v>
      </c>
      <c r="AM8" s="419">
        <v>208115.50999999998</v>
      </c>
    </row>
    <row r="9" spans="1:39">
      <c r="A9" t="s">
        <v>101</v>
      </c>
      <c r="B9" s="213">
        <f t="shared" si="0"/>
        <v>8396.2000000000007</v>
      </c>
      <c r="C9" s="213">
        <f t="shared" si="1"/>
        <v>205.2</v>
      </c>
      <c r="D9" s="213">
        <f t="shared" si="2"/>
        <v>8675</v>
      </c>
      <c r="E9" s="431"/>
      <c r="F9" s="276" t="str">
        <f t="shared" si="4"/>
        <v>Small Business-Small Business - Private</v>
      </c>
      <c r="G9" s="79" t="s">
        <v>30</v>
      </c>
      <c r="H9" s="247" t="s">
        <v>53</v>
      </c>
      <c r="I9">
        <v>8615.1200000000008</v>
      </c>
      <c r="J9">
        <v>5035.1900000000005</v>
      </c>
      <c r="K9">
        <v>12926.060000000001</v>
      </c>
      <c r="L9">
        <v>13294.529999999999</v>
      </c>
      <c r="M9">
        <v>12130.970000000001</v>
      </c>
      <c r="N9">
        <v>13972.91</v>
      </c>
      <c r="O9">
        <v>13708.21</v>
      </c>
      <c r="P9">
        <v>12162.32</v>
      </c>
      <c r="Q9">
        <v>17389.12</v>
      </c>
      <c r="R9">
        <v>17026.98</v>
      </c>
      <c r="S9">
        <v>19089.39</v>
      </c>
      <c r="T9">
        <v>18092.899999999998</v>
      </c>
      <c r="U9" s="419">
        <v>163443.69999999998</v>
      </c>
      <c r="V9">
        <f t="shared" si="3"/>
        <v>65974.78</v>
      </c>
      <c r="X9" s="276" t="str">
        <f t="shared" si="5"/>
        <v>Small Business-Small Business - Private</v>
      </c>
      <c r="Y9" s="79" t="s">
        <v>30</v>
      </c>
      <c r="Z9" s="247" t="s">
        <v>53</v>
      </c>
      <c r="AA9">
        <v>2637.86</v>
      </c>
      <c r="AB9">
        <v>4396.4399999999996</v>
      </c>
      <c r="AC9">
        <v>6155.02</v>
      </c>
      <c r="AD9">
        <v>9672.17</v>
      </c>
      <c r="AE9">
        <v>15827.18</v>
      </c>
      <c r="AF9">
        <v>18465.05</v>
      </c>
      <c r="AG9">
        <v>17585.759999999998</v>
      </c>
      <c r="AH9">
        <v>17585.759999999998</v>
      </c>
      <c r="AI9">
        <v>18465.05</v>
      </c>
      <c r="AJ9">
        <v>21102.91</v>
      </c>
      <c r="AK9">
        <v>22861.489999999998</v>
      </c>
      <c r="AL9">
        <v>21102.92</v>
      </c>
      <c r="AM9" s="419">
        <v>175857.61</v>
      </c>
    </row>
    <row r="10" spans="1:39">
      <c r="A10" t="s">
        <v>73</v>
      </c>
      <c r="B10" s="213">
        <f t="shared" si="0"/>
        <v>1562</v>
      </c>
      <c r="C10" s="213">
        <f t="shared" si="1"/>
        <v>354</v>
      </c>
      <c r="D10" s="213">
        <f t="shared" si="2"/>
        <v>1552</v>
      </c>
      <c r="E10" s="431"/>
      <c r="F10" s="276" t="str">
        <f t="shared" si="4"/>
        <v>Small Business-Small Business - Public</v>
      </c>
      <c r="G10" s="79" t="s">
        <v>30</v>
      </c>
      <c r="H10" s="247" t="s">
        <v>93</v>
      </c>
      <c r="I10">
        <v>2374.6999999999998</v>
      </c>
      <c r="J10">
        <v>408.45</v>
      </c>
      <c r="K10">
        <v>720.41</v>
      </c>
      <c r="L10">
        <v>870.91</v>
      </c>
      <c r="M10">
        <v>1550.68</v>
      </c>
      <c r="N10">
        <v>1890.49</v>
      </c>
      <c r="O10">
        <v>1556.27</v>
      </c>
      <c r="P10">
        <v>2188.17</v>
      </c>
      <c r="Q10">
        <v>4492.29</v>
      </c>
      <c r="R10">
        <v>5023.45</v>
      </c>
      <c r="S10">
        <v>7747.21</v>
      </c>
      <c r="T10">
        <v>9211.92</v>
      </c>
      <c r="U10" s="419">
        <v>38034.949999999997</v>
      </c>
      <c r="V10">
        <f t="shared" si="3"/>
        <v>7815.6399999999994</v>
      </c>
      <c r="X10" s="276" t="str">
        <f t="shared" si="5"/>
        <v>Small Business-Small Business - Public</v>
      </c>
      <c r="Y10" s="79" t="s">
        <v>30</v>
      </c>
      <c r="Z10" s="247" t="s">
        <v>93</v>
      </c>
      <c r="AA10">
        <v>241.93</v>
      </c>
      <c r="AB10">
        <v>483.87</v>
      </c>
      <c r="AC10">
        <v>806.45</v>
      </c>
      <c r="AD10">
        <v>1209.67</v>
      </c>
      <c r="AE10">
        <v>1451.61</v>
      </c>
      <c r="AF10">
        <v>1935.47</v>
      </c>
      <c r="AG10">
        <v>2741.92</v>
      </c>
      <c r="AH10">
        <v>3225.7900000000004</v>
      </c>
      <c r="AI10">
        <v>4032.24</v>
      </c>
      <c r="AJ10">
        <v>5080.62</v>
      </c>
      <c r="AK10">
        <v>5887.0700000000006</v>
      </c>
      <c r="AL10">
        <v>5161.26</v>
      </c>
      <c r="AM10" s="419">
        <v>32257.9</v>
      </c>
    </row>
    <row r="11" spans="1:39">
      <c r="A11" t="s">
        <v>109</v>
      </c>
      <c r="B11" s="213">
        <f t="shared" si="0"/>
        <v>82.2</v>
      </c>
      <c r="C11" s="213">
        <f t="shared" si="1"/>
        <v>54.2</v>
      </c>
      <c r="D11" s="213">
        <f t="shared" si="2"/>
        <v>81.800000000000011</v>
      </c>
      <c r="E11" s="431"/>
      <c r="F11" t="str">
        <f t="shared" si="4"/>
        <v>Total-</v>
      </c>
      <c r="G11" s="418" t="s">
        <v>227</v>
      </c>
      <c r="H11" s="247"/>
      <c r="I11" s="419">
        <v>411</v>
      </c>
      <c r="J11" s="419">
        <v>907</v>
      </c>
      <c r="K11" s="419">
        <v>1212</v>
      </c>
      <c r="L11" s="419">
        <v>1461</v>
      </c>
      <c r="M11" s="419">
        <v>1685</v>
      </c>
      <c r="N11" s="419">
        <v>1820</v>
      </c>
      <c r="O11" s="419">
        <v>2089</v>
      </c>
      <c r="P11" s="419">
        <v>2296</v>
      </c>
      <c r="Q11" s="419">
        <v>2423</v>
      </c>
      <c r="R11" s="419">
        <v>2711</v>
      </c>
      <c r="S11" s="419">
        <v>2824</v>
      </c>
      <c r="T11" s="419">
        <v>3125</v>
      </c>
      <c r="U11" s="419">
        <v>22964</v>
      </c>
      <c r="V11">
        <f t="shared" si="3"/>
        <v>7496</v>
      </c>
      <c r="X11" t="str">
        <f t="shared" si="5"/>
        <v>Total-</v>
      </c>
      <c r="Y11" s="418" t="s">
        <v>227</v>
      </c>
      <c r="Z11" s="247"/>
      <c r="AA11" s="419">
        <v>0</v>
      </c>
      <c r="AB11" s="419">
        <v>5545.4499999999989</v>
      </c>
      <c r="AC11" s="419">
        <v>5545.4499999999989</v>
      </c>
      <c r="AD11" s="419">
        <v>5545.4499999999989</v>
      </c>
      <c r="AE11" s="419">
        <v>5545.4499999999989</v>
      </c>
      <c r="AF11" s="419">
        <v>5545.4499999999989</v>
      </c>
      <c r="AG11" s="419">
        <v>5545.4499999999989</v>
      </c>
      <c r="AH11" s="419">
        <v>5545.4499999999989</v>
      </c>
      <c r="AI11" s="419">
        <v>5545.4499999999989</v>
      </c>
      <c r="AJ11" s="419">
        <v>5545.4499999999989</v>
      </c>
      <c r="AK11" s="419">
        <v>5545.4499999999989</v>
      </c>
      <c r="AL11" s="419">
        <v>5545.5</v>
      </c>
      <c r="AM11" s="419">
        <v>60999.999999999985</v>
      </c>
    </row>
    <row r="12" spans="1:39">
      <c r="A12" t="s">
        <v>49</v>
      </c>
      <c r="B12" s="213">
        <f t="shared" si="0"/>
        <v>16409</v>
      </c>
      <c r="C12" s="213">
        <f t="shared" si="1"/>
        <v>2144</v>
      </c>
      <c r="D12" s="213">
        <f t="shared" si="2"/>
        <v>18198</v>
      </c>
      <c r="E12" s="431"/>
      <c r="F12" t="str">
        <f t="shared" si="4"/>
        <v>Business Energy Analyzer-Total</v>
      </c>
      <c r="G12" s="79" t="s">
        <v>38</v>
      </c>
      <c r="H12" s="420" t="s">
        <v>227</v>
      </c>
      <c r="I12" s="419">
        <v>411</v>
      </c>
      <c r="J12" s="419">
        <v>907</v>
      </c>
      <c r="K12" s="419">
        <v>1212</v>
      </c>
      <c r="L12" s="419">
        <v>1461</v>
      </c>
      <c r="M12" s="419">
        <v>1685</v>
      </c>
      <c r="N12" s="419">
        <v>1820</v>
      </c>
      <c r="O12" s="419">
        <v>2089</v>
      </c>
      <c r="P12" s="419">
        <v>2296</v>
      </c>
      <c r="Q12" s="419">
        <v>2423</v>
      </c>
      <c r="R12" s="419">
        <v>2711</v>
      </c>
      <c r="S12" s="419">
        <v>2824</v>
      </c>
      <c r="T12" s="419">
        <v>3125</v>
      </c>
      <c r="U12" s="419">
        <v>22964</v>
      </c>
      <c r="V12">
        <f t="shared" si="3"/>
        <v>7496</v>
      </c>
      <c r="X12" t="str">
        <f t="shared" si="5"/>
        <v>Business Energy Analyzer-Total</v>
      </c>
      <c r="Y12" s="79" t="s">
        <v>38</v>
      </c>
      <c r="Z12" s="420" t="s">
        <v>227</v>
      </c>
      <c r="AA12" s="419">
        <v>0</v>
      </c>
      <c r="AB12" s="419">
        <v>5545.4499999999989</v>
      </c>
      <c r="AC12" s="419">
        <v>5545.4499999999989</v>
      </c>
      <c r="AD12" s="419">
        <v>5545.4499999999989</v>
      </c>
      <c r="AE12" s="419">
        <v>5545.4499999999989</v>
      </c>
      <c r="AF12" s="419">
        <v>5545.4499999999989</v>
      </c>
      <c r="AG12" s="419">
        <v>5545.4499999999989</v>
      </c>
      <c r="AH12" s="419">
        <v>5545.4499999999989</v>
      </c>
      <c r="AI12" s="419">
        <v>5545.4499999999989</v>
      </c>
      <c r="AJ12" s="419">
        <v>5545.4499999999989</v>
      </c>
      <c r="AK12" s="419">
        <v>5545.4499999999989</v>
      </c>
      <c r="AL12" s="419">
        <v>5545.5</v>
      </c>
      <c r="AM12" s="419">
        <v>60999.999999999985</v>
      </c>
    </row>
    <row r="13" spans="1:39">
      <c r="A13" t="s">
        <v>88</v>
      </c>
      <c r="B13" s="213">
        <f t="shared" si="0"/>
        <v>927</v>
      </c>
      <c r="C13" s="213">
        <f t="shared" si="1"/>
        <v>96</v>
      </c>
      <c r="D13" s="213">
        <f t="shared" si="2"/>
        <v>1000</v>
      </c>
      <c r="E13" s="431"/>
      <c r="F13" s="276" t="str">
        <f t="shared" si="4"/>
        <v>Business Energy Analyzer-Business Energy Analyzer - Private</v>
      </c>
      <c r="G13" s="79" t="s">
        <v>38</v>
      </c>
      <c r="H13" s="247" t="s">
        <v>78</v>
      </c>
      <c r="I13">
        <v>369.9</v>
      </c>
      <c r="J13">
        <v>816.3</v>
      </c>
      <c r="K13">
        <v>1090.8</v>
      </c>
      <c r="L13">
        <v>1314.9</v>
      </c>
      <c r="M13">
        <v>1516.5</v>
      </c>
      <c r="N13">
        <v>1638</v>
      </c>
      <c r="O13">
        <v>1880.1</v>
      </c>
      <c r="P13">
        <v>2066.4</v>
      </c>
      <c r="Q13">
        <v>2180.6999999999998</v>
      </c>
      <c r="R13">
        <v>2439.9</v>
      </c>
      <c r="S13">
        <v>2541.6</v>
      </c>
      <c r="T13">
        <v>2812.5</v>
      </c>
      <c r="U13" s="419">
        <v>20667.599999999999</v>
      </c>
      <c r="V13">
        <f t="shared" si="3"/>
        <v>6746.4</v>
      </c>
      <c r="X13" s="276" t="str">
        <f t="shared" si="5"/>
        <v>Business Energy Analyzer-Business Energy Analyzer - Private</v>
      </c>
      <c r="Y13" s="79" t="s">
        <v>38</v>
      </c>
      <c r="Z13" s="247" t="s">
        <v>78</v>
      </c>
      <c r="AA13">
        <v>0</v>
      </c>
      <c r="AB13">
        <v>4159.0899999999992</v>
      </c>
      <c r="AC13">
        <v>4159.0899999999992</v>
      </c>
      <c r="AD13">
        <v>4159.0899999999992</v>
      </c>
      <c r="AE13">
        <v>4159.0899999999992</v>
      </c>
      <c r="AF13">
        <v>4159.0899999999992</v>
      </c>
      <c r="AG13">
        <v>4159.0899999999992</v>
      </c>
      <c r="AH13">
        <v>4159.0899999999992</v>
      </c>
      <c r="AI13">
        <v>4159.0899999999992</v>
      </c>
      <c r="AJ13">
        <v>4159.0899999999992</v>
      </c>
      <c r="AK13">
        <v>4159.0899999999992</v>
      </c>
      <c r="AL13">
        <v>4159.13</v>
      </c>
      <c r="AM13" s="419">
        <v>45750.029999999984</v>
      </c>
    </row>
    <row r="14" spans="1:39">
      <c r="A14" t="s">
        <v>54</v>
      </c>
      <c r="B14" s="213">
        <f t="shared" si="0"/>
        <v>135507</v>
      </c>
      <c r="C14" s="213">
        <f t="shared" si="1"/>
        <v>92883</v>
      </c>
      <c r="D14" s="213">
        <f t="shared" si="2"/>
        <v>134499</v>
      </c>
      <c r="E14" s="431"/>
      <c r="F14" s="276" t="str">
        <f t="shared" si="4"/>
        <v>Business Energy Analyzer-Business Energy Analyzer - Public</v>
      </c>
      <c r="G14" s="79" t="s">
        <v>38</v>
      </c>
      <c r="H14" s="247" t="s">
        <v>114</v>
      </c>
      <c r="I14">
        <v>41.1</v>
      </c>
      <c r="J14">
        <v>90.7</v>
      </c>
      <c r="K14">
        <v>121.2</v>
      </c>
      <c r="L14">
        <v>146.1</v>
      </c>
      <c r="M14">
        <v>168.5</v>
      </c>
      <c r="N14">
        <v>182</v>
      </c>
      <c r="O14">
        <v>208.9</v>
      </c>
      <c r="P14">
        <v>229.6</v>
      </c>
      <c r="Q14">
        <v>242.3</v>
      </c>
      <c r="R14">
        <v>271.10000000000002</v>
      </c>
      <c r="S14">
        <v>282.39999999999998</v>
      </c>
      <c r="T14">
        <v>312.5</v>
      </c>
      <c r="U14" s="419">
        <v>2296.4</v>
      </c>
      <c r="V14">
        <f t="shared" si="3"/>
        <v>749.6</v>
      </c>
      <c r="X14" s="276" t="str">
        <f t="shared" si="5"/>
        <v>Business Energy Analyzer-Business Energy Analyzer - Public</v>
      </c>
      <c r="Y14" s="79" t="s">
        <v>38</v>
      </c>
      <c r="Z14" s="247" t="s">
        <v>114</v>
      </c>
      <c r="AA14">
        <v>0</v>
      </c>
      <c r="AB14">
        <v>1386.36</v>
      </c>
      <c r="AC14">
        <v>1386.36</v>
      </c>
      <c r="AD14">
        <v>1386.36</v>
      </c>
      <c r="AE14">
        <v>1386.36</v>
      </c>
      <c r="AF14">
        <v>1386.36</v>
      </c>
      <c r="AG14">
        <v>1386.36</v>
      </c>
      <c r="AH14">
        <v>1386.36</v>
      </c>
      <c r="AI14">
        <v>1386.36</v>
      </c>
      <c r="AJ14">
        <v>1386.36</v>
      </c>
      <c r="AK14">
        <v>1386.36</v>
      </c>
      <c r="AL14">
        <v>1386.37</v>
      </c>
      <c r="AM14" s="419">
        <v>15249.970000000003</v>
      </c>
    </row>
    <row r="15" spans="1:39">
      <c r="A15" t="s">
        <v>94</v>
      </c>
      <c r="B15" s="213">
        <f t="shared" si="0"/>
        <v>31541</v>
      </c>
      <c r="C15" s="213">
        <f t="shared" si="1"/>
        <v>16834</v>
      </c>
      <c r="D15" s="213">
        <f t="shared" si="2"/>
        <v>23542</v>
      </c>
      <c r="E15" s="431"/>
      <c r="F15" t="str">
        <f t="shared" si="4"/>
        <v>Total-</v>
      </c>
      <c r="G15" s="418" t="s">
        <v>227</v>
      </c>
      <c r="H15" s="247"/>
      <c r="I15" s="419">
        <v>20965.25</v>
      </c>
      <c r="J15" s="419">
        <v>14556.2</v>
      </c>
      <c r="K15" s="419">
        <v>20127.89</v>
      </c>
      <c r="L15" s="419">
        <v>36527.589999999997</v>
      </c>
      <c r="M15" s="419">
        <v>33786.42</v>
      </c>
      <c r="N15" s="419">
        <v>28142</v>
      </c>
      <c r="O15" s="419">
        <v>20702</v>
      </c>
      <c r="P15" s="419">
        <v>27449</v>
      </c>
      <c r="Q15" s="419">
        <v>27914</v>
      </c>
      <c r="R15" s="419">
        <v>21358</v>
      </c>
      <c r="S15" s="419">
        <v>22860</v>
      </c>
      <c r="T15" s="419">
        <v>48043</v>
      </c>
      <c r="U15" s="419">
        <v>322431.34999999998</v>
      </c>
      <c r="V15">
        <f t="shared" si="3"/>
        <v>154105.34999999998</v>
      </c>
      <c r="X15" t="str">
        <f t="shared" si="5"/>
        <v>Total-</v>
      </c>
      <c r="Y15" s="418" t="s">
        <v>227</v>
      </c>
      <c r="Z15" s="247"/>
      <c r="AA15" s="419">
        <v>7352.1</v>
      </c>
      <c r="AB15" s="419">
        <v>11133.3</v>
      </c>
      <c r="AC15" s="419">
        <v>17958.3</v>
      </c>
      <c r="AD15" s="419">
        <v>20998.9</v>
      </c>
      <c r="AE15" s="419">
        <v>23099.8</v>
      </c>
      <c r="AF15" s="419">
        <v>24328.800000000003</v>
      </c>
      <c r="AG15" s="419">
        <v>28068</v>
      </c>
      <c r="AH15" s="419">
        <v>36324.800000000003</v>
      </c>
      <c r="AI15" s="419">
        <v>38683.699999999997</v>
      </c>
      <c r="AJ15" s="419">
        <v>31752.800000000003</v>
      </c>
      <c r="AK15" s="419">
        <v>31378.899999999994</v>
      </c>
      <c r="AL15" s="419">
        <v>46623.4</v>
      </c>
      <c r="AM15" s="419">
        <v>317702.8</v>
      </c>
    </row>
    <row r="16" spans="1:39">
      <c r="A16" t="s">
        <v>68</v>
      </c>
      <c r="B16" s="213">
        <f t="shared" si="0"/>
        <v>3823</v>
      </c>
      <c r="C16" s="213">
        <f t="shared" si="1"/>
        <v>2237</v>
      </c>
      <c r="D16" s="213">
        <f t="shared" si="2"/>
        <v>4500</v>
      </c>
      <c r="E16" s="431"/>
      <c r="F16" t="str">
        <f t="shared" si="4"/>
        <v>Behavior - Bus/Pub-Total</v>
      </c>
      <c r="G16" s="79" t="s">
        <v>35</v>
      </c>
      <c r="H16" s="420" t="s">
        <v>227</v>
      </c>
      <c r="I16" s="419">
        <v>3913.2499999999995</v>
      </c>
      <c r="J16" s="419">
        <v>0</v>
      </c>
      <c r="K16" s="419">
        <v>243.89</v>
      </c>
      <c r="L16" s="419">
        <v>1030.5899999999999</v>
      </c>
      <c r="M16" s="419">
        <v>126.42</v>
      </c>
      <c r="N16" s="419">
        <v>96</v>
      </c>
      <c r="O16" s="419">
        <v>2467</v>
      </c>
      <c r="P16" s="419">
        <v>1280</v>
      </c>
      <c r="Q16" s="419">
        <v>4886</v>
      </c>
      <c r="R16" s="419">
        <v>2060</v>
      </c>
      <c r="S16" s="419">
        <v>1868</v>
      </c>
      <c r="T16" s="419">
        <v>25084</v>
      </c>
      <c r="U16" s="419">
        <v>43055.15</v>
      </c>
      <c r="V16">
        <f t="shared" si="3"/>
        <v>5410.15</v>
      </c>
      <c r="X16" t="str">
        <f t="shared" si="5"/>
        <v>Behavior - Bus/Pub-Total</v>
      </c>
      <c r="Y16" s="79" t="s">
        <v>35</v>
      </c>
      <c r="Z16" s="420" t="s">
        <v>227</v>
      </c>
      <c r="AA16" s="419">
        <v>0</v>
      </c>
      <c r="AB16" s="419">
        <v>0</v>
      </c>
      <c r="AC16" s="419">
        <v>1680</v>
      </c>
      <c r="AD16" s="419">
        <v>2940</v>
      </c>
      <c r="AE16" s="419">
        <v>1260</v>
      </c>
      <c r="AF16" s="419">
        <v>0</v>
      </c>
      <c r="AG16" s="419">
        <v>1523</v>
      </c>
      <c r="AH16" s="419">
        <v>1260</v>
      </c>
      <c r="AI16" s="419">
        <v>4504</v>
      </c>
      <c r="AJ16" s="419">
        <v>3461</v>
      </c>
      <c r="AK16" s="419">
        <v>6452</v>
      </c>
      <c r="AL16" s="419">
        <v>21170</v>
      </c>
      <c r="AM16" s="419">
        <v>44250</v>
      </c>
    </row>
    <row r="17" spans="1:39">
      <c r="A17" t="s">
        <v>104</v>
      </c>
      <c r="B17" s="213">
        <f t="shared" si="0"/>
        <v>741</v>
      </c>
      <c r="C17" s="213">
        <f t="shared" si="1"/>
        <v>221</v>
      </c>
      <c r="D17" s="213">
        <f t="shared" si="2"/>
        <v>900</v>
      </c>
      <c r="E17" s="431"/>
      <c r="F17" s="276" t="str">
        <f t="shared" si="4"/>
        <v>Behavior - Bus/Pub-Strategic Energy Management - Private</v>
      </c>
      <c r="G17" s="79" t="s">
        <v>35</v>
      </c>
      <c r="H17" s="247" t="s">
        <v>233</v>
      </c>
      <c r="I17">
        <v>3913.2499999999995</v>
      </c>
      <c r="J17">
        <v>0</v>
      </c>
      <c r="K17">
        <v>243.89</v>
      </c>
      <c r="L17">
        <v>825.39</v>
      </c>
      <c r="M17">
        <v>126.42</v>
      </c>
      <c r="N17">
        <v>96</v>
      </c>
      <c r="O17">
        <v>1311</v>
      </c>
      <c r="P17">
        <v>627</v>
      </c>
      <c r="Q17">
        <v>4817</v>
      </c>
      <c r="R17">
        <v>1645</v>
      </c>
      <c r="S17">
        <v>1762</v>
      </c>
      <c r="T17">
        <v>19292</v>
      </c>
      <c r="U17" s="419">
        <v>34658.949999999997</v>
      </c>
      <c r="V17">
        <f t="shared" si="3"/>
        <v>5204.95</v>
      </c>
      <c r="X17" s="276" t="str">
        <f t="shared" si="5"/>
        <v>Behavior - Bus/Pub-Strategic Energy Management - Private</v>
      </c>
      <c r="Y17" s="79" t="s">
        <v>35</v>
      </c>
      <c r="Z17" s="247" t="s">
        <v>233</v>
      </c>
      <c r="AA17">
        <v>0</v>
      </c>
      <c r="AB17">
        <v>0</v>
      </c>
      <c r="AC17">
        <v>1360</v>
      </c>
      <c r="AD17">
        <v>2380</v>
      </c>
      <c r="AE17">
        <v>1020</v>
      </c>
      <c r="AF17">
        <v>0</v>
      </c>
      <c r="AG17">
        <v>1209</v>
      </c>
      <c r="AH17">
        <v>1020</v>
      </c>
      <c r="AI17">
        <v>3593</v>
      </c>
      <c r="AJ17">
        <v>2791</v>
      </c>
      <c r="AK17">
        <v>5186</v>
      </c>
      <c r="AL17">
        <v>17016</v>
      </c>
      <c r="AM17" s="419">
        <v>35575</v>
      </c>
    </row>
    <row r="18" spans="1:39">
      <c r="A18" t="s">
        <v>59</v>
      </c>
      <c r="B18" s="213">
        <f t="shared" si="0"/>
        <v>54736</v>
      </c>
      <c r="C18" s="213">
        <f t="shared" si="1"/>
        <v>22781</v>
      </c>
      <c r="D18" s="213">
        <f t="shared" si="2"/>
        <v>54770</v>
      </c>
      <c r="E18" s="431"/>
      <c r="F18" s="276" t="str">
        <f t="shared" si="4"/>
        <v>Behavior - Bus/Pub-Strategic Energy Management - Public</v>
      </c>
      <c r="G18" s="79" t="s">
        <v>35</v>
      </c>
      <c r="H18" s="247" t="s">
        <v>103</v>
      </c>
      <c r="I18">
        <v>0</v>
      </c>
      <c r="J18">
        <v>0</v>
      </c>
      <c r="K18">
        <v>0</v>
      </c>
      <c r="L18">
        <v>205.2</v>
      </c>
      <c r="M18">
        <v>0</v>
      </c>
      <c r="N18">
        <v>0</v>
      </c>
      <c r="O18">
        <v>1156</v>
      </c>
      <c r="P18">
        <v>653</v>
      </c>
      <c r="Q18">
        <v>69</v>
      </c>
      <c r="R18">
        <v>415</v>
      </c>
      <c r="S18">
        <v>106</v>
      </c>
      <c r="T18">
        <v>5792</v>
      </c>
      <c r="U18" s="419">
        <v>8396.2000000000007</v>
      </c>
      <c r="V18">
        <f t="shared" si="3"/>
        <v>205.2</v>
      </c>
      <c r="X18" s="276" t="str">
        <f t="shared" si="5"/>
        <v>Behavior - Bus/Pub-Strategic Energy Management - Public</v>
      </c>
      <c r="Y18" s="79" t="s">
        <v>35</v>
      </c>
      <c r="Z18" s="247" t="s">
        <v>103</v>
      </c>
      <c r="AA18">
        <v>0</v>
      </c>
      <c r="AB18">
        <v>0</v>
      </c>
      <c r="AC18">
        <v>320</v>
      </c>
      <c r="AD18">
        <v>560</v>
      </c>
      <c r="AE18">
        <v>240</v>
      </c>
      <c r="AF18">
        <v>0</v>
      </c>
      <c r="AG18">
        <v>314</v>
      </c>
      <c r="AH18">
        <v>240</v>
      </c>
      <c r="AI18">
        <v>911</v>
      </c>
      <c r="AJ18">
        <v>670</v>
      </c>
      <c r="AK18">
        <v>1266</v>
      </c>
      <c r="AL18">
        <v>4154</v>
      </c>
      <c r="AM18" s="419">
        <v>8675</v>
      </c>
    </row>
    <row r="19" spans="1:39">
      <c r="A19" t="s">
        <v>62</v>
      </c>
      <c r="B19" s="213">
        <f t="shared" si="0"/>
        <v>22999</v>
      </c>
      <c r="C19" s="213">
        <f t="shared" si="1"/>
        <v>8868</v>
      </c>
      <c r="D19" s="213">
        <f t="shared" si="2"/>
        <v>25389</v>
      </c>
      <c r="E19" s="431"/>
      <c r="F19" t="str">
        <f t="shared" si="4"/>
        <v>Commercial Foodservice-Total</v>
      </c>
      <c r="G19" s="79" t="s">
        <v>37</v>
      </c>
      <c r="H19" s="420" t="s">
        <v>227</v>
      </c>
      <c r="I19" s="419">
        <v>14</v>
      </c>
      <c r="J19" s="419">
        <v>84.2</v>
      </c>
      <c r="K19" s="419">
        <v>40</v>
      </c>
      <c r="L19" s="419">
        <v>83</v>
      </c>
      <c r="M19" s="419">
        <v>101</v>
      </c>
      <c r="N19" s="419">
        <v>86</v>
      </c>
      <c r="O19" s="419">
        <v>247</v>
      </c>
      <c r="P19" s="419">
        <v>249</v>
      </c>
      <c r="Q19" s="419">
        <v>210</v>
      </c>
      <c r="R19" s="419">
        <v>173</v>
      </c>
      <c r="S19" s="419">
        <v>180</v>
      </c>
      <c r="T19" s="419">
        <v>177</v>
      </c>
      <c r="U19" s="419">
        <v>1644.2</v>
      </c>
      <c r="V19">
        <f t="shared" si="3"/>
        <v>408.2</v>
      </c>
      <c r="X19" t="str">
        <f t="shared" si="5"/>
        <v>Commercial Foodservice-Total</v>
      </c>
      <c r="Y19" s="79" t="s">
        <v>37</v>
      </c>
      <c r="Z19" s="420" t="s">
        <v>227</v>
      </c>
      <c r="AA19" s="419">
        <v>86</v>
      </c>
      <c r="AB19" s="419">
        <v>101</v>
      </c>
      <c r="AC19" s="419">
        <v>74</v>
      </c>
      <c r="AD19" s="419">
        <v>96.4</v>
      </c>
      <c r="AE19" s="419">
        <v>131.19999999999999</v>
      </c>
      <c r="AF19" s="419">
        <v>173.6</v>
      </c>
      <c r="AG19" s="419">
        <v>208</v>
      </c>
      <c r="AH19" s="419">
        <v>144.80000000000001</v>
      </c>
      <c r="AI19" s="419">
        <v>189.6</v>
      </c>
      <c r="AJ19" s="419">
        <v>165.6</v>
      </c>
      <c r="AK19" s="419">
        <v>149.6</v>
      </c>
      <c r="AL19" s="419">
        <v>114</v>
      </c>
      <c r="AM19" s="419">
        <v>1633.8</v>
      </c>
    </row>
    <row r="20" spans="1:39">
      <c r="A20" t="s">
        <v>98</v>
      </c>
      <c r="B20" s="213">
        <f t="shared" si="0"/>
        <v>11049</v>
      </c>
      <c r="C20" s="213">
        <f t="shared" si="1"/>
        <v>2223</v>
      </c>
      <c r="D20" s="213">
        <f t="shared" si="2"/>
        <v>9021.0000000000018</v>
      </c>
      <c r="E20" s="431"/>
      <c r="F20" s="276" t="str">
        <f t="shared" si="4"/>
        <v>Commercial Foodservice-Private</v>
      </c>
      <c r="G20" s="79" t="s">
        <v>37</v>
      </c>
      <c r="H20" s="247" t="s">
        <v>234</v>
      </c>
      <c r="I20">
        <v>14</v>
      </c>
      <c r="J20">
        <v>76</v>
      </c>
      <c r="K20">
        <v>34</v>
      </c>
      <c r="L20">
        <v>83</v>
      </c>
      <c r="M20">
        <v>85</v>
      </c>
      <c r="N20">
        <v>62</v>
      </c>
      <c r="O20">
        <v>235</v>
      </c>
      <c r="P20">
        <v>240</v>
      </c>
      <c r="Q20">
        <v>204</v>
      </c>
      <c r="R20">
        <v>173</v>
      </c>
      <c r="S20">
        <v>180</v>
      </c>
      <c r="T20">
        <v>176</v>
      </c>
      <c r="U20" s="419">
        <v>1562</v>
      </c>
      <c r="V20">
        <f t="shared" si="3"/>
        <v>354</v>
      </c>
      <c r="X20" s="276" t="str">
        <f t="shared" si="5"/>
        <v>Commercial Foodservice-Private</v>
      </c>
      <c r="Y20" s="79" t="s">
        <v>37</v>
      </c>
      <c r="Z20" s="247" t="s">
        <v>234</v>
      </c>
      <c r="AA20">
        <v>84</v>
      </c>
      <c r="AB20">
        <v>100</v>
      </c>
      <c r="AC20">
        <v>72</v>
      </c>
      <c r="AD20">
        <v>90</v>
      </c>
      <c r="AE20">
        <v>120</v>
      </c>
      <c r="AF20">
        <v>152</v>
      </c>
      <c r="AG20">
        <v>200</v>
      </c>
      <c r="AH20">
        <v>136</v>
      </c>
      <c r="AI20">
        <v>184</v>
      </c>
      <c r="AJ20">
        <v>160</v>
      </c>
      <c r="AK20">
        <v>144</v>
      </c>
      <c r="AL20">
        <v>110</v>
      </c>
      <c r="AM20" s="419">
        <v>1552</v>
      </c>
    </row>
    <row r="21" spans="1:39">
      <c r="A21" t="s">
        <v>200</v>
      </c>
      <c r="B21" s="213">
        <f t="shared" si="0"/>
        <v>1035</v>
      </c>
      <c r="C21" s="213">
        <f t="shared" si="1"/>
        <v>0</v>
      </c>
      <c r="D21" s="213">
        <f t="shared" si="2"/>
        <v>1035</v>
      </c>
      <c r="E21" s="431"/>
      <c r="F21" s="276" t="str">
        <f t="shared" si="4"/>
        <v>Commercial Foodservice-Public</v>
      </c>
      <c r="G21" s="79" t="s">
        <v>37</v>
      </c>
      <c r="H21" s="247" t="s">
        <v>235</v>
      </c>
      <c r="I21">
        <v>0</v>
      </c>
      <c r="J21">
        <v>8.1999999999999993</v>
      </c>
      <c r="K21">
        <v>6</v>
      </c>
      <c r="L21">
        <v>0</v>
      </c>
      <c r="M21">
        <v>16</v>
      </c>
      <c r="N21">
        <v>24</v>
      </c>
      <c r="O21">
        <v>12</v>
      </c>
      <c r="P21">
        <v>9</v>
      </c>
      <c r="Q21">
        <v>6</v>
      </c>
      <c r="R21">
        <v>0</v>
      </c>
      <c r="S21">
        <v>0</v>
      </c>
      <c r="T21">
        <v>1</v>
      </c>
      <c r="U21" s="419">
        <v>82.2</v>
      </c>
      <c r="V21">
        <f t="shared" si="3"/>
        <v>54.2</v>
      </c>
      <c r="X21" s="276" t="str">
        <f t="shared" si="5"/>
        <v>Commercial Foodservice-Public</v>
      </c>
      <c r="Y21" s="79" t="s">
        <v>37</v>
      </c>
      <c r="Z21" s="247" t="s">
        <v>235</v>
      </c>
      <c r="AA21">
        <v>2</v>
      </c>
      <c r="AB21">
        <v>1</v>
      </c>
      <c r="AC21">
        <v>2</v>
      </c>
      <c r="AD21">
        <v>6.4</v>
      </c>
      <c r="AE21">
        <v>11.2</v>
      </c>
      <c r="AF21">
        <v>21.6</v>
      </c>
      <c r="AG21">
        <v>8</v>
      </c>
      <c r="AH21">
        <v>8.8000000000000007</v>
      </c>
      <c r="AI21">
        <v>5.6</v>
      </c>
      <c r="AJ21">
        <v>5.6</v>
      </c>
      <c r="AK21">
        <v>5.6</v>
      </c>
      <c r="AL21">
        <v>4</v>
      </c>
      <c r="AM21" s="419">
        <v>81.800000000000011</v>
      </c>
    </row>
    <row r="22" spans="1:39">
      <c r="A22" t="s">
        <v>203</v>
      </c>
      <c r="B22" s="213">
        <f t="shared" si="0"/>
        <v>30000</v>
      </c>
      <c r="C22" s="213">
        <f t="shared" si="1"/>
        <v>7500</v>
      </c>
      <c r="D22" s="213">
        <f t="shared" si="2"/>
        <v>30000</v>
      </c>
      <c r="E22" s="431"/>
      <c r="F22" t="str">
        <f t="shared" si="4"/>
        <v>Incentives-Total</v>
      </c>
      <c r="G22" s="79" t="s">
        <v>26</v>
      </c>
      <c r="H22" s="420" t="s">
        <v>227</v>
      </c>
      <c r="I22" s="419">
        <v>0</v>
      </c>
      <c r="J22" s="419">
        <v>196</v>
      </c>
      <c r="K22" s="419">
        <v>313</v>
      </c>
      <c r="L22" s="419">
        <v>520</v>
      </c>
      <c r="M22" s="419">
        <v>587</v>
      </c>
      <c r="N22" s="419">
        <v>624</v>
      </c>
      <c r="O22" s="419">
        <v>1395</v>
      </c>
      <c r="P22" s="419">
        <v>4492</v>
      </c>
      <c r="Q22" s="419">
        <v>2797</v>
      </c>
      <c r="R22" s="419">
        <v>879</v>
      </c>
      <c r="S22" s="419">
        <v>1797</v>
      </c>
      <c r="T22" s="419">
        <v>3736</v>
      </c>
      <c r="U22" s="419">
        <v>17336</v>
      </c>
      <c r="V22">
        <f t="shared" si="3"/>
        <v>2240</v>
      </c>
      <c r="X22" t="str">
        <f t="shared" si="5"/>
        <v>Incentives-Total</v>
      </c>
      <c r="Y22" s="79" t="s">
        <v>26</v>
      </c>
      <c r="Z22" s="420" t="s">
        <v>227</v>
      </c>
      <c r="AA22" s="419">
        <v>0</v>
      </c>
      <c r="AB22" s="419">
        <v>801</v>
      </c>
      <c r="AC22" s="419">
        <v>859</v>
      </c>
      <c r="AD22" s="419">
        <v>177</v>
      </c>
      <c r="AE22" s="419">
        <v>2000</v>
      </c>
      <c r="AF22" s="419">
        <v>1399</v>
      </c>
      <c r="AG22" s="419">
        <v>808</v>
      </c>
      <c r="AH22" s="419">
        <v>2407</v>
      </c>
      <c r="AI22" s="419">
        <v>991</v>
      </c>
      <c r="AJ22" s="419">
        <v>1000</v>
      </c>
      <c r="AK22" s="419">
        <v>3563</v>
      </c>
      <c r="AL22" s="419">
        <v>5193</v>
      </c>
      <c r="AM22" s="419">
        <v>19198</v>
      </c>
    </row>
    <row r="23" spans="1:39">
      <c r="A23" t="s">
        <v>192</v>
      </c>
      <c r="B23" s="213">
        <f>IFERROR(VLOOKUP(A23,F:V,16,FALSE),0)</f>
        <v>0</v>
      </c>
      <c r="C23" s="213">
        <f>IFERROR(VLOOKUP(B23,G:W,16,FALSE),0)</f>
        <v>0</v>
      </c>
      <c r="D23" s="213">
        <f t="shared" si="2"/>
        <v>0</v>
      </c>
      <c r="F23" s="276" t="str">
        <f t="shared" si="4"/>
        <v>Incentives-Custom - Private</v>
      </c>
      <c r="G23" s="79" t="s">
        <v>26</v>
      </c>
      <c r="H23" s="247" t="s">
        <v>51</v>
      </c>
      <c r="I23">
        <v>0</v>
      </c>
      <c r="J23">
        <v>184</v>
      </c>
      <c r="K23">
        <v>313</v>
      </c>
      <c r="L23">
        <v>520</v>
      </c>
      <c r="M23">
        <v>556</v>
      </c>
      <c r="N23">
        <v>571</v>
      </c>
      <c r="O23">
        <v>1395</v>
      </c>
      <c r="P23">
        <v>4476</v>
      </c>
      <c r="Q23">
        <v>2524</v>
      </c>
      <c r="R23">
        <v>820</v>
      </c>
      <c r="S23">
        <v>1511</v>
      </c>
      <c r="T23">
        <v>3539</v>
      </c>
      <c r="U23" s="419">
        <v>16409</v>
      </c>
      <c r="V23">
        <f t="shared" si="3"/>
        <v>2144</v>
      </c>
      <c r="X23" s="276" t="str">
        <f t="shared" si="5"/>
        <v>Incentives-Custom - Private</v>
      </c>
      <c r="Y23" s="79" t="s">
        <v>26</v>
      </c>
      <c r="Z23" s="247" t="s">
        <v>51</v>
      </c>
      <c r="AA23">
        <v>0</v>
      </c>
      <c r="AB23">
        <v>801</v>
      </c>
      <c r="AC23">
        <v>859</v>
      </c>
      <c r="AD23">
        <v>177</v>
      </c>
      <c r="AE23">
        <v>1908</v>
      </c>
      <c r="AF23">
        <v>1352</v>
      </c>
      <c r="AG23">
        <v>708</v>
      </c>
      <c r="AH23">
        <v>2221</v>
      </c>
      <c r="AI23">
        <v>891</v>
      </c>
      <c r="AJ23">
        <v>900</v>
      </c>
      <c r="AK23">
        <v>3366</v>
      </c>
      <c r="AL23">
        <v>5015</v>
      </c>
      <c r="AM23" s="419">
        <v>18198</v>
      </c>
    </row>
    <row r="24" spans="1:39">
      <c r="A24" t="s">
        <v>195</v>
      </c>
      <c r="B24" s="213">
        <f t="shared" ref="B24:B45" si="6">VLOOKUP(A24,F:V,16,FALSE)</f>
        <v>50683</v>
      </c>
      <c r="C24" s="213">
        <f t="shared" ref="C24:C45" si="7">VLOOKUP(A24,F:V,17,FALSE)</f>
        <v>2584</v>
      </c>
      <c r="D24" s="213">
        <f t="shared" si="2"/>
        <v>50682</v>
      </c>
      <c r="E24" s="431"/>
      <c r="F24" s="276" t="str">
        <f t="shared" si="4"/>
        <v>Incentives-Custom - Public Sector</v>
      </c>
      <c r="G24" s="79" t="s">
        <v>26</v>
      </c>
      <c r="H24" s="247" t="s">
        <v>236</v>
      </c>
      <c r="I24">
        <v>0</v>
      </c>
      <c r="J24">
        <v>12</v>
      </c>
      <c r="K24">
        <v>0</v>
      </c>
      <c r="L24">
        <v>0</v>
      </c>
      <c r="M24">
        <v>31</v>
      </c>
      <c r="N24">
        <v>53</v>
      </c>
      <c r="O24">
        <v>0</v>
      </c>
      <c r="P24">
        <v>16</v>
      </c>
      <c r="Q24">
        <v>273</v>
      </c>
      <c r="R24">
        <v>59</v>
      </c>
      <c r="S24">
        <v>286</v>
      </c>
      <c r="T24">
        <v>197</v>
      </c>
      <c r="U24" s="419">
        <v>927</v>
      </c>
      <c r="V24">
        <f t="shared" si="3"/>
        <v>96</v>
      </c>
      <c r="X24" s="276" t="str">
        <f t="shared" si="5"/>
        <v>Incentives-Custom - Public Sector</v>
      </c>
      <c r="Y24" s="79" t="s">
        <v>26</v>
      </c>
      <c r="Z24" s="247" t="s">
        <v>236</v>
      </c>
      <c r="AA24">
        <v>0</v>
      </c>
      <c r="AB24">
        <v>0</v>
      </c>
      <c r="AC24">
        <v>0</v>
      </c>
      <c r="AD24">
        <v>0</v>
      </c>
      <c r="AE24">
        <v>92</v>
      </c>
      <c r="AF24">
        <v>47</v>
      </c>
      <c r="AG24">
        <v>100</v>
      </c>
      <c r="AH24">
        <v>186</v>
      </c>
      <c r="AI24">
        <v>100</v>
      </c>
      <c r="AJ24">
        <v>100</v>
      </c>
      <c r="AK24">
        <v>197</v>
      </c>
      <c r="AL24">
        <v>178</v>
      </c>
      <c r="AM24" s="419">
        <v>1000</v>
      </c>
    </row>
    <row r="25" spans="1:39">
      <c r="A25" t="s">
        <v>148</v>
      </c>
      <c r="B25" s="213">
        <f t="shared" si="6"/>
        <v>21330</v>
      </c>
      <c r="C25" s="213">
        <f t="shared" si="7"/>
        <v>8694</v>
      </c>
      <c r="D25" s="213">
        <f t="shared" si="2"/>
        <v>20471</v>
      </c>
      <c r="E25" s="431"/>
      <c r="F25" t="str">
        <f t="shared" si="4"/>
        <v>Midstream/Upstream-Total</v>
      </c>
      <c r="G25" s="79" t="s">
        <v>31</v>
      </c>
      <c r="H25" s="420" t="s">
        <v>227</v>
      </c>
      <c r="I25" s="419">
        <v>11237</v>
      </c>
      <c r="J25" s="419">
        <v>11274</v>
      </c>
      <c r="K25" s="419">
        <v>14798</v>
      </c>
      <c r="L25" s="419">
        <v>30142</v>
      </c>
      <c r="M25" s="419">
        <v>26038</v>
      </c>
      <c r="N25" s="419">
        <v>16228</v>
      </c>
      <c r="O25" s="419">
        <v>9800</v>
      </c>
      <c r="P25" s="419">
        <v>15872</v>
      </c>
      <c r="Q25" s="419">
        <v>13734</v>
      </c>
      <c r="R25" s="419">
        <v>8675</v>
      </c>
      <c r="S25" s="419">
        <v>5198</v>
      </c>
      <c r="T25" s="419">
        <v>4052</v>
      </c>
      <c r="U25" s="419">
        <v>167048</v>
      </c>
      <c r="V25">
        <f t="shared" si="3"/>
        <v>109717</v>
      </c>
      <c r="X25" t="str">
        <f t="shared" si="5"/>
        <v>Midstream/Upstream-Total</v>
      </c>
      <c r="Y25" s="79" t="s">
        <v>31</v>
      </c>
      <c r="Z25" s="420" t="s">
        <v>227</v>
      </c>
      <c r="AA25" s="419">
        <v>6282</v>
      </c>
      <c r="AB25" s="419">
        <v>7450</v>
      </c>
      <c r="AC25" s="419">
        <v>10851</v>
      </c>
      <c r="AD25" s="419">
        <v>12663</v>
      </c>
      <c r="AE25" s="419">
        <v>12666</v>
      </c>
      <c r="AF25" s="419">
        <v>13880</v>
      </c>
      <c r="AG25" s="419">
        <v>17390</v>
      </c>
      <c r="AH25" s="419">
        <v>26269</v>
      </c>
      <c r="AI25" s="419">
        <v>26473</v>
      </c>
      <c r="AJ25" s="419">
        <v>15460.000000000002</v>
      </c>
      <c r="AK25" s="419">
        <v>3572</v>
      </c>
      <c r="AL25" s="419">
        <v>5085</v>
      </c>
      <c r="AM25" s="419">
        <v>158041</v>
      </c>
    </row>
    <row r="26" spans="1:39">
      <c r="A26" s="433" t="s">
        <v>237</v>
      </c>
      <c r="B26" s="213">
        <f t="shared" si="6"/>
        <v>4251.63</v>
      </c>
      <c r="C26" s="213">
        <f t="shared" si="7"/>
        <v>2019.31</v>
      </c>
      <c r="D26" s="213">
        <f t="shared" si="2"/>
        <v>4684.6400000000003</v>
      </c>
      <c r="E26" s="431"/>
      <c r="F26" s="276" t="str">
        <f t="shared" si="4"/>
        <v>Midstream/Upstream-Private</v>
      </c>
      <c r="G26" s="79" t="s">
        <v>31</v>
      </c>
      <c r="H26" s="247" t="s">
        <v>234</v>
      </c>
      <c r="I26">
        <v>7771</v>
      </c>
      <c r="J26">
        <v>8758</v>
      </c>
      <c r="K26">
        <v>12178</v>
      </c>
      <c r="L26">
        <v>25655</v>
      </c>
      <c r="M26">
        <v>24095</v>
      </c>
      <c r="N26">
        <v>14426</v>
      </c>
      <c r="O26">
        <v>8492</v>
      </c>
      <c r="P26">
        <v>10357</v>
      </c>
      <c r="Q26">
        <v>8593</v>
      </c>
      <c r="R26">
        <v>7522</v>
      </c>
      <c r="S26">
        <v>4679</v>
      </c>
      <c r="T26">
        <v>2981</v>
      </c>
      <c r="U26" s="419">
        <v>135507</v>
      </c>
      <c r="V26">
        <f t="shared" si="3"/>
        <v>92883</v>
      </c>
      <c r="X26" s="276" t="str">
        <f t="shared" si="5"/>
        <v>Midstream/Upstream-Private</v>
      </c>
      <c r="Y26" s="79" t="s">
        <v>31</v>
      </c>
      <c r="Z26" s="247" t="s">
        <v>234</v>
      </c>
      <c r="AA26">
        <v>5342</v>
      </c>
      <c r="AB26">
        <v>6336</v>
      </c>
      <c r="AC26">
        <v>9234</v>
      </c>
      <c r="AD26">
        <v>10782</v>
      </c>
      <c r="AE26">
        <v>10781</v>
      </c>
      <c r="AF26">
        <v>11814</v>
      </c>
      <c r="AG26">
        <v>14796.999999999998</v>
      </c>
      <c r="AH26">
        <v>22345</v>
      </c>
      <c r="AI26">
        <v>22521</v>
      </c>
      <c r="AJ26">
        <v>13159.000000000002</v>
      </c>
      <c r="AK26">
        <v>3053</v>
      </c>
      <c r="AL26">
        <v>4335</v>
      </c>
      <c r="AM26" s="419">
        <v>134499</v>
      </c>
    </row>
    <row r="27" spans="1:39">
      <c r="A27" s="433" t="s">
        <v>238</v>
      </c>
      <c r="B27" s="213">
        <f t="shared" si="6"/>
        <v>250040.62999999995</v>
      </c>
      <c r="C27" s="213">
        <f t="shared" si="7"/>
        <v>137672.5</v>
      </c>
      <c r="D27" s="213">
        <f t="shared" si="2"/>
        <v>265641.12</v>
      </c>
      <c r="E27" s="431"/>
      <c r="F27" s="276" t="str">
        <f t="shared" si="4"/>
        <v>Midstream/Upstream-Public</v>
      </c>
      <c r="G27" s="79" t="s">
        <v>31</v>
      </c>
      <c r="H27" s="247" t="s">
        <v>235</v>
      </c>
      <c r="I27">
        <v>3466</v>
      </c>
      <c r="J27">
        <v>2516</v>
      </c>
      <c r="K27">
        <v>2620</v>
      </c>
      <c r="L27">
        <v>4487</v>
      </c>
      <c r="M27">
        <v>1943</v>
      </c>
      <c r="N27">
        <v>1802</v>
      </c>
      <c r="O27">
        <v>1308</v>
      </c>
      <c r="P27">
        <v>5515</v>
      </c>
      <c r="Q27">
        <v>5141</v>
      </c>
      <c r="R27">
        <v>1153</v>
      </c>
      <c r="S27">
        <v>519</v>
      </c>
      <c r="T27">
        <v>1071</v>
      </c>
      <c r="U27" s="419">
        <v>31541</v>
      </c>
      <c r="V27">
        <f t="shared" si="3"/>
        <v>16834</v>
      </c>
      <c r="X27" s="276" t="str">
        <f t="shared" si="5"/>
        <v>Midstream/Upstream-Public</v>
      </c>
      <c r="Y27" s="79" t="s">
        <v>31</v>
      </c>
      <c r="Z27" s="247" t="s">
        <v>235</v>
      </c>
      <c r="AA27">
        <v>940</v>
      </c>
      <c r="AB27">
        <v>1114</v>
      </c>
      <c r="AC27">
        <v>1617</v>
      </c>
      <c r="AD27">
        <v>1881</v>
      </c>
      <c r="AE27">
        <v>1885</v>
      </c>
      <c r="AF27">
        <v>2066</v>
      </c>
      <c r="AG27">
        <v>2593</v>
      </c>
      <c r="AH27">
        <v>3924</v>
      </c>
      <c r="AI27">
        <v>3952</v>
      </c>
      <c r="AJ27">
        <v>2301</v>
      </c>
      <c r="AK27">
        <v>519</v>
      </c>
      <c r="AL27">
        <v>750</v>
      </c>
      <c r="AM27" s="419">
        <v>23542</v>
      </c>
    </row>
    <row r="28" spans="1:39">
      <c r="A28" s="433" t="s">
        <v>239</v>
      </c>
      <c r="B28" s="213">
        <f t="shared" si="6"/>
        <v>17472.84</v>
      </c>
      <c r="C28" s="213">
        <f t="shared" si="7"/>
        <v>9837.4600000000009</v>
      </c>
      <c r="D28" s="213">
        <f t="shared" si="2"/>
        <v>31627.550000000003</v>
      </c>
      <c r="E28" s="431"/>
      <c r="F28" t="str">
        <f t="shared" si="4"/>
        <v>New Construction - Bus/Pub-Total</v>
      </c>
      <c r="G28" s="79" t="s">
        <v>240</v>
      </c>
      <c r="H28" s="420" t="s">
        <v>227</v>
      </c>
      <c r="I28" s="419">
        <v>213</v>
      </c>
      <c r="J28" s="419">
        <v>30</v>
      </c>
      <c r="K28" s="419">
        <v>106</v>
      </c>
      <c r="L28" s="419">
        <v>246</v>
      </c>
      <c r="M28" s="419">
        <v>1430</v>
      </c>
      <c r="N28" s="419">
        <v>433</v>
      </c>
      <c r="O28" s="419">
        <v>613</v>
      </c>
      <c r="P28" s="419">
        <v>385</v>
      </c>
      <c r="Q28" s="419">
        <v>296</v>
      </c>
      <c r="R28" s="419">
        <v>663</v>
      </c>
      <c r="S28" s="419">
        <v>54</v>
      </c>
      <c r="T28" s="419">
        <v>95</v>
      </c>
      <c r="U28" s="419">
        <v>4564</v>
      </c>
      <c r="V28">
        <f t="shared" si="3"/>
        <v>2458</v>
      </c>
      <c r="X28" t="str">
        <f t="shared" si="5"/>
        <v>New Construction - Bus/Pub-Total</v>
      </c>
      <c r="Y28" s="79" t="s">
        <v>240</v>
      </c>
      <c r="Z28" s="420" t="s">
        <v>227</v>
      </c>
      <c r="AA28" s="419">
        <v>0</v>
      </c>
      <c r="AB28" s="419">
        <v>509</v>
      </c>
      <c r="AC28" s="419">
        <v>870</v>
      </c>
      <c r="AD28" s="419">
        <v>633</v>
      </c>
      <c r="AE28" s="419">
        <v>1031</v>
      </c>
      <c r="AF28" s="419">
        <v>104</v>
      </c>
      <c r="AG28" s="419">
        <v>635</v>
      </c>
      <c r="AH28" s="419">
        <v>103</v>
      </c>
      <c r="AI28" s="419">
        <v>333</v>
      </c>
      <c r="AJ28" s="419">
        <v>443</v>
      </c>
      <c r="AK28" s="419">
        <v>196</v>
      </c>
      <c r="AL28" s="419">
        <v>543</v>
      </c>
      <c r="AM28" s="419">
        <v>5400</v>
      </c>
    </row>
    <row r="29" spans="1:39">
      <c r="A29" t="s">
        <v>142</v>
      </c>
      <c r="B29" s="213">
        <f t="shared" si="6"/>
        <v>1769.6499999999999</v>
      </c>
      <c r="C29" s="213">
        <f t="shared" si="7"/>
        <v>1289.9000000000001</v>
      </c>
      <c r="D29" s="213">
        <f t="shared" si="2"/>
        <v>2164.7799999999997</v>
      </c>
      <c r="E29" s="431"/>
      <c r="F29" s="276" t="str">
        <f t="shared" si="4"/>
        <v>New Construction - Bus/Pub-Private</v>
      </c>
      <c r="G29" s="79" t="s">
        <v>240</v>
      </c>
      <c r="H29" s="247" t="s">
        <v>234</v>
      </c>
      <c r="I29">
        <v>176</v>
      </c>
      <c r="J29">
        <v>0</v>
      </c>
      <c r="K29">
        <v>92</v>
      </c>
      <c r="L29">
        <v>246</v>
      </c>
      <c r="M29">
        <v>1430</v>
      </c>
      <c r="N29">
        <v>293</v>
      </c>
      <c r="O29">
        <v>613</v>
      </c>
      <c r="P29">
        <v>217</v>
      </c>
      <c r="Q29">
        <v>169</v>
      </c>
      <c r="R29">
        <v>438</v>
      </c>
      <c r="S29">
        <v>54</v>
      </c>
      <c r="T29">
        <v>95</v>
      </c>
      <c r="U29" s="419">
        <v>3823</v>
      </c>
      <c r="V29">
        <f t="shared" si="3"/>
        <v>2237</v>
      </c>
      <c r="X29" s="276" t="str">
        <f t="shared" si="5"/>
        <v>New Construction - Bus/Pub-Private</v>
      </c>
      <c r="Y29" s="79" t="s">
        <v>240</v>
      </c>
      <c r="Z29" s="247" t="s">
        <v>234</v>
      </c>
      <c r="AA29">
        <v>0</v>
      </c>
      <c r="AB29">
        <v>294</v>
      </c>
      <c r="AC29">
        <v>856</v>
      </c>
      <c r="AD29">
        <v>633</v>
      </c>
      <c r="AE29">
        <v>937</v>
      </c>
      <c r="AF29">
        <v>104</v>
      </c>
      <c r="AG29">
        <v>566</v>
      </c>
      <c r="AH29">
        <v>96</v>
      </c>
      <c r="AI29">
        <v>233</v>
      </c>
      <c r="AJ29">
        <v>212</v>
      </c>
      <c r="AK29">
        <v>26</v>
      </c>
      <c r="AL29">
        <v>543</v>
      </c>
      <c r="AM29" s="419">
        <v>4500</v>
      </c>
    </row>
    <row r="30" spans="1:39">
      <c r="A30" t="s">
        <v>178</v>
      </c>
      <c r="B30" s="213">
        <f t="shared" si="6"/>
        <v>3660.01</v>
      </c>
      <c r="C30" s="213">
        <f t="shared" si="7"/>
        <v>2391.65</v>
      </c>
      <c r="D30" s="213">
        <f t="shared" si="2"/>
        <v>3461.46</v>
      </c>
      <c r="E30" s="431"/>
      <c r="F30" s="276" t="str">
        <f t="shared" si="4"/>
        <v>New Construction - Bus/Pub-Public</v>
      </c>
      <c r="G30" s="79" t="s">
        <v>240</v>
      </c>
      <c r="H30" s="247" t="s">
        <v>235</v>
      </c>
      <c r="I30">
        <v>37</v>
      </c>
      <c r="J30">
        <v>30</v>
      </c>
      <c r="K30">
        <v>14</v>
      </c>
      <c r="L30">
        <v>0</v>
      </c>
      <c r="M30">
        <v>0</v>
      </c>
      <c r="N30">
        <v>140</v>
      </c>
      <c r="O30">
        <v>0</v>
      </c>
      <c r="P30">
        <v>168</v>
      </c>
      <c r="Q30">
        <v>127</v>
      </c>
      <c r="R30">
        <v>225</v>
      </c>
      <c r="S30">
        <v>0</v>
      </c>
      <c r="T30">
        <v>0</v>
      </c>
      <c r="U30" s="419">
        <v>741</v>
      </c>
      <c r="V30">
        <f t="shared" si="3"/>
        <v>221</v>
      </c>
      <c r="X30" s="276" t="str">
        <f t="shared" si="5"/>
        <v>New Construction - Bus/Pub-Public</v>
      </c>
      <c r="Y30" s="79" t="s">
        <v>240</v>
      </c>
      <c r="Z30" s="247" t="s">
        <v>235</v>
      </c>
      <c r="AB30">
        <v>215</v>
      </c>
      <c r="AC30">
        <v>14</v>
      </c>
      <c r="AE30">
        <v>94</v>
      </c>
      <c r="AG30">
        <v>69</v>
      </c>
      <c r="AH30">
        <v>7</v>
      </c>
      <c r="AI30">
        <v>100</v>
      </c>
      <c r="AJ30">
        <v>231</v>
      </c>
      <c r="AK30">
        <v>170</v>
      </c>
      <c r="AM30" s="419">
        <v>900</v>
      </c>
    </row>
    <row r="31" spans="1:39">
      <c r="A31" t="s">
        <v>145</v>
      </c>
      <c r="B31" s="213">
        <f t="shared" si="6"/>
        <v>297.84000000000003</v>
      </c>
      <c r="C31" s="213">
        <f t="shared" si="7"/>
        <v>124.28</v>
      </c>
      <c r="D31" s="213">
        <f t="shared" si="2"/>
        <v>333.33000000000004</v>
      </c>
      <c r="E31" s="431"/>
      <c r="F31" t="str">
        <f t="shared" si="4"/>
        <v>Targeted Systems-Total</v>
      </c>
      <c r="G31" s="79" t="s">
        <v>241</v>
      </c>
      <c r="H31" s="420" t="s">
        <v>227</v>
      </c>
      <c r="I31" s="419">
        <v>5588</v>
      </c>
      <c r="J31" s="419">
        <v>2972</v>
      </c>
      <c r="K31" s="419">
        <v>4627</v>
      </c>
      <c r="L31" s="419">
        <v>4506</v>
      </c>
      <c r="M31" s="419">
        <v>5504</v>
      </c>
      <c r="N31" s="419">
        <v>10675</v>
      </c>
      <c r="O31" s="419">
        <v>6180</v>
      </c>
      <c r="P31" s="419">
        <v>5171</v>
      </c>
      <c r="Q31" s="419">
        <v>5991</v>
      </c>
      <c r="R31" s="419">
        <v>8908</v>
      </c>
      <c r="S31" s="419">
        <v>13763</v>
      </c>
      <c r="T31" s="419">
        <v>14899</v>
      </c>
      <c r="U31" s="419">
        <v>88784</v>
      </c>
      <c r="V31">
        <f t="shared" si="3"/>
        <v>33872</v>
      </c>
      <c r="X31" t="str">
        <f t="shared" si="5"/>
        <v>Targeted Systems-Total</v>
      </c>
      <c r="Y31" s="79" t="s">
        <v>241</v>
      </c>
      <c r="Z31" s="420" t="s">
        <v>227</v>
      </c>
      <c r="AA31" s="419">
        <v>984.1</v>
      </c>
      <c r="AB31" s="419">
        <v>2272.3000000000002</v>
      </c>
      <c r="AC31" s="419">
        <v>3624.3</v>
      </c>
      <c r="AD31" s="419">
        <v>4489.5</v>
      </c>
      <c r="AE31" s="419">
        <v>6011.6</v>
      </c>
      <c r="AF31" s="419">
        <v>8772.2000000000007</v>
      </c>
      <c r="AG31" s="419">
        <v>7504</v>
      </c>
      <c r="AH31" s="419">
        <v>6141</v>
      </c>
      <c r="AI31" s="419">
        <v>6193.1</v>
      </c>
      <c r="AJ31" s="419">
        <v>11223.2</v>
      </c>
      <c r="AK31" s="419">
        <v>17446.299999999996</v>
      </c>
      <c r="AL31" s="419">
        <v>14518.400000000001</v>
      </c>
      <c r="AM31" s="419">
        <v>89180</v>
      </c>
    </row>
    <row r="32" spans="1:39">
      <c r="A32" t="s">
        <v>173</v>
      </c>
      <c r="B32" s="213">
        <f t="shared" si="6"/>
        <v>290782</v>
      </c>
      <c r="C32" s="213">
        <f t="shared" si="7"/>
        <v>137865</v>
      </c>
      <c r="D32" s="213">
        <f t="shared" si="2"/>
        <v>204572</v>
      </c>
      <c r="E32" s="431"/>
      <c r="F32" s="276" t="str">
        <f t="shared" si="4"/>
        <v>Targeted Systems-Industrial Systems</v>
      </c>
      <c r="G32" s="79" t="s">
        <v>241</v>
      </c>
      <c r="H32" s="247" t="s">
        <v>33</v>
      </c>
      <c r="I32">
        <v>5286</v>
      </c>
      <c r="J32">
        <v>2379</v>
      </c>
      <c r="K32">
        <v>3363</v>
      </c>
      <c r="L32">
        <v>3386</v>
      </c>
      <c r="M32">
        <v>4853</v>
      </c>
      <c r="N32">
        <v>3514</v>
      </c>
      <c r="O32">
        <v>2960</v>
      </c>
      <c r="P32">
        <v>4115</v>
      </c>
      <c r="Q32">
        <v>2974</v>
      </c>
      <c r="R32">
        <v>3826</v>
      </c>
      <c r="S32">
        <v>8475</v>
      </c>
      <c r="T32">
        <v>9605</v>
      </c>
      <c r="U32" s="419">
        <v>54736</v>
      </c>
      <c r="V32">
        <f t="shared" si="3"/>
        <v>22781</v>
      </c>
      <c r="X32" s="276" t="str">
        <f t="shared" si="5"/>
        <v>Targeted Systems-Industrial Systems</v>
      </c>
      <c r="Y32" s="79" t="s">
        <v>241</v>
      </c>
      <c r="Z32" s="247" t="s">
        <v>33</v>
      </c>
      <c r="AA32">
        <v>640</v>
      </c>
      <c r="AB32">
        <v>1240</v>
      </c>
      <c r="AC32">
        <v>2592</v>
      </c>
      <c r="AD32">
        <v>2769</v>
      </c>
      <c r="AE32">
        <v>3947</v>
      </c>
      <c r="AF32">
        <v>4643</v>
      </c>
      <c r="AG32">
        <v>4063</v>
      </c>
      <c r="AH32">
        <v>2700</v>
      </c>
      <c r="AI32">
        <v>2408</v>
      </c>
      <c r="AJ32">
        <v>7094</v>
      </c>
      <c r="AK32">
        <v>12972.999999999998</v>
      </c>
      <c r="AL32">
        <v>9701</v>
      </c>
      <c r="AM32" s="419">
        <v>54770</v>
      </c>
    </row>
    <row r="33" spans="1:39">
      <c r="A33" s="432" t="s">
        <v>242</v>
      </c>
      <c r="B33" s="213">
        <f t="shared" si="6"/>
        <v>93571</v>
      </c>
      <c r="C33" s="213">
        <f t="shared" si="7"/>
        <v>44162</v>
      </c>
      <c r="D33" s="213">
        <f t="shared" si="2"/>
        <v>113325</v>
      </c>
      <c r="E33" s="431"/>
      <c r="F33" s="276" t="str">
        <f t="shared" si="4"/>
        <v>Targeted Systems-Retro-Commissioning - Private</v>
      </c>
      <c r="G33" s="79" t="s">
        <v>241</v>
      </c>
      <c r="H33" s="247" t="s">
        <v>243</v>
      </c>
      <c r="I33">
        <v>132</v>
      </c>
      <c r="J33">
        <v>376</v>
      </c>
      <c r="K33">
        <v>938</v>
      </c>
      <c r="L33">
        <v>930</v>
      </c>
      <c r="M33">
        <v>465</v>
      </c>
      <c r="N33">
        <v>6027</v>
      </c>
      <c r="O33">
        <v>1229</v>
      </c>
      <c r="P33">
        <v>675</v>
      </c>
      <c r="Q33">
        <v>2224</v>
      </c>
      <c r="R33">
        <v>2518</v>
      </c>
      <c r="S33">
        <v>3700</v>
      </c>
      <c r="T33">
        <v>3785</v>
      </c>
      <c r="U33" s="419">
        <v>22999</v>
      </c>
      <c r="V33">
        <f t="shared" si="3"/>
        <v>8868</v>
      </c>
      <c r="X33" s="276" t="str">
        <f t="shared" si="5"/>
        <v>Targeted Systems-Retro-Commissioning - Private</v>
      </c>
      <c r="Y33" s="79" t="s">
        <v>241</v>
      </c>
      <c r="Z33" s="247" t="s">
        <v>243</v>
      </c>
      <c r="AA33">
        <v>253.89</v>
      </c>
      <c r="AB33">
        <v>761.67</v>
      </c>
      <c r="AC33">
        <v>761.67</v>
      </c>
      <c r="AD33">
        <v>1269.45</v>
      </c>
      <c r="AE33">
        <v>1523.34</v>
      </c>
      <c r="AF33">
        <v>3046.68</v>
      </c>
      <c r="AG33">
        <v>2538.9</v>
      </c>
      <c r="AH33">
        <v>2538.9</v>
      </c>
      <c r="AI33">
        <v>2792.79</v>
      </c>
      <c r="AJ33">
        <v>3046.68</v>
      </c>
      <c r="AK33">
        <v>3300.5699999999997</v>
      </c>
      <c r="AL33">
        <v>3554.46</v>
      </c>
      <c r="AM33" s="419">
        <v>25389</v>
      </c>
    </row>
    <row r="34" spans="1:39">
      <c r="A34" s="432" t="s">
        <v>244</v>
      </c>
      <c r="B34" s="213">
        <f t="shared" si="6"/>
        <v>4999.9399999999996</v>
      </c>
      <c r="C34" s="213">
        <f t="shared" si="7"/>
        <v>2209.83</v>
      </c>
      <c r="D34" s="213">
        <f t="shared" si="2"/>
        <v>16172.54</v>
      </c>
      <c r="E34" s="431"/>
      <c r="F34" s="276" t="str">
        <f t="shared" si="4"/>
        <v>Targeted Systems-Retro-Commissioning - Public</v>
      </c>
      <c r="G34" s="79" t="s">
        <v>241</v>
      </c>
      <c r="H34" s="247" t="s">
        <v>245</v>
      </c>
      <c r="I34">
        <v>170</v>
      </c>
      <c r="J34">
        <v>217</v>
      </c>
      <c r="K34">
        <v>326</v>
      </c>
      <c r="L34">
        <v>190</v>
      </c>
      <c r="M34">
        <v>186</v>
      </c>
      <c r="N34">
        <v>1134</v>
      </c>
      <c r="O34">
        <v>1991</v>
      </c>
      <c r="P34">
        <v>381</v>
      </c>
      <c r="Q34">
        <v>793</v>
      </c>
      <c r="R34">
        <v>2564</v>
      </c>
      <c r="S34">
        <v>1588</v>
      </c>
      <c r="T34">
        <v>1509</v>
      </c>
      <c r="U34" s="419">
        <v>11049</v>
      </c>
      <c r="V34">
        <f t="shared" si="3"/>
        <v>2223</v>
      </c>
      <c r="X34" s="276" t="str">
        <f t="shared" si="5"/>
        <v>Targeted Systems-Retro-Commissioning - Public</v>
      </c>
      <c r="Y34" s="79" t="s">
        <v>241</v>
      </c>
      <c r="Z34" s="247" t="s">
        <v>245</v>
      </c>
      <c r="AA34">
        <v>90.21</v>
      </c>
      <c r="AB34">
        <v>270.63</v>
      </c>
      <c r="AC34">
        <v>270.63</v>
      </c>
      <c r="AD34">
        <v>451.05</v>
      </c>
      <c r="AE34">
        <v>541.26</v>
      </c>
      <c r="AF34">
        <v>1082.52</v>
      </c>
      <c r="AG34">
        <v>902.1</v>
      </c>
      <c r="AH34">
        <v>902.1</v>
      </c>
      <c r="AI34">
        <v>992.31</v>
      </c>
      <c r="AJ34">
        <v>1082.52</v>
      </c>
      <c r="AK34">
        <v>1172.73</v>
      </c>
      <c r="AL34">
        <v>1262.94</v>
      </c>
      <c r="AM34" s="419">
        <v>9021.0000000000018</v>
      </c>
    </row>
    <row r="35" spans="1:39">
      <c r="A35" s="275" t="s">
        <v>246</v>
      </c>
      <c r="B35" s="213">
        <f t="shared" si="6"/>
        <v>11887</v>
      </c>
      <c r="C35" s="213">
        <f t="shared" si="7"/>
        <v>5266</v>
      </c>
      <c r="D35" s="213">
        <f t="shared" si="2"/>
        <v>10739.970000000001</v>
      </c>
      <c r="E35" s="431"/>
      <c r="F35" t="str">
        <f t="shared" si="4"/>
        <v>-</v>
      </c>
      <c r="I35" s="419">
        <v>0</v>
      </c>
      <c r="J35" s="419">
        <v>0</v>
      </c>
      <c r="K35" s="419">
        <v>0</v>
      </c>
      <c r="L35" s="419">
        <v>1716</v>
      </c>
      <c r="M35" s="419">
        <v>4618</v>
      </c>
      <c r="N35" s="419">
        <v>3750</v>
      </c>
      <c r="O35" s="419">
        <v>5701</v>
      </c>
      <c r="P35" s="419">
        <v>15914.999999999998</v>
      </c>
      <c r="Q35" s="419">
        <v>10723</v>
      </c>
      <c r="R35" s="419">
        <v>27598</v>
      </c>
      <c r="S35" s="419">
        <v>5962</v>
      </c>
      <c r="T35" s="419">
        <v>5735</v>
      </c>
      <c r="U35" s="419">
        <v>81718</v>
      </c>
      <c r="V35">
        <f t="shared" si="3"/>
        <v>10084</v>
      </c>
      <c r="X35" t="str">
        <f t="shared" si="5"/>
        <v>-</v>
      </c>
      <c r="Z35" s="247"/>
      <c r="AA35" s="419">
        <v>0</v>
      </c>
      <c r="AB35" s="419">
        <v>0</v>
      </c>
      <c r="AC35" s="419">
        <v>955</v>
      </c>
      <c r="AD35" s="419">
        <v>2106</v>
      </c>
      <c r="AE35" s="419">
        <v>3750</v>
      </c>
      <c r="AF35" s="419">
        <v>3907</v>
      </c>
      <c r="AG35" s="419">
        <v>5599</v>
      </c>
      <c r="AH35" s="419">
        <v>14651</v>
      </c>
      <c r="AI35" s="419">
        <v>16109.000000000002</v>
      </c>
      <c r="AJ35" s="419">
        <v>9899</v>
      </c>
      <c r="AK35" s="419">
        <v>19005</v>
      </c>
      <c r="AL35" s="419">
        <v>5736</v>
      </c>
      <c r="AM35" s="419">
        <v>81717</v>
      </c>
    </row>
    <row r="36" spans="1:39">
      <c r="A36" s="434" t="s">
        <v>247</v>
      </c>
      <c r="B36" s="213">
        <f t="shared" si="6"/>
        <v>543</v>
      </c>
      <c r="C36" s="213">
        <f t="shared" si="7"/>
        <v>0</v>
      </c>
      <c r="D36" s="213">
        <f t="shared" si="2"/>
        <v>543.1</v>
      </c>
      <c r="E36" s="431"/>
      <c r="F36" t="str">
        <f t="shared" si="4"/>
        <v>Total-</v>
      </c>
      <c r="G36" s="418" t="s">
        <v>227</v>
      </c>
      <c r="H36" s="247"/>
      <c r="I36" s="419">
        <v>0</v>
      </c>
      <c r="J36" s="419">
        <v>0</v>
      </c>
      <c r="K36" s="419">
        <v>0</v>
      </c>
      <c r="L36" s="419">
        <v>0</v>
      </c>
      <c r="M36" s="419">
        <v>3750</v>
      </c>
      <c r="N36" s="419">
        <v>3750</v>
      </c>
      <c r="O36" s="419">
        <v>3750</v>
      </c>
      <c r="P36" s="419">
        <v>3750</v>
      </c>
      <c r="Q36" s="419">
        <v>3750</v>
      </c>
      <c r="R36" s="419">
        <v>3750</v>
      </c>
      <c r="S36" s="419">
        <v>3750</v>
      </c>
      <c r="T36" s="419">
        <v>4785</v>
      </c>
      <c r="U36" s="419">
        <v>31035</v>
      </c>
      <c r="V36">
        <f t="shared" si="3"/>
        <v>7500</v>
      </c>
      <c r="X36" t="str">
        <f t="shared" si="5"/>
        <v>Total-</v>
      </c>
      <c r="Y36" s="418" t="s">
        <v>227</v>
      </c>
      <c r="Z36" s="247"/>
      <c r="AA36" s="419">
        <v>0</v>
      </c>
      <c r="AB36" s="419">
        <v>0</v>
      </c>
      <c r="AC36" s="419">
        <v>0</v>
      </c>
      <c r="AD36" s="419">
        <v>0</v>
      </c>
      <c r="AE36" s="419">
        <v>3750</v>
      </c>
      <c r="AF36" s="419">
        <v>3750</v>
      </c>
      <c r="AG36" s="419">
        <v>3750</v>
      </c>
      <c r="AH36" s="419">
        <v>3750</v>
      </c>
      <c r="AI36" s="419">
        <v>3750</v>
      </c>
      <c r="AJ36" s="419">
        <v>3750</v>
      </c>
      <c r="AK36" s="419">
        <v>3750</v>
      </c>
      <c r="AL36" s="419">
        <v>4785</v>
      </c>
      <c r="AM36" s="419">
        <v>31035</v>
      </c>
    </row>
    <row r="37" spans="1:39">
      <c r="A37" s="275" t="s">
        <v>248</v>
      </c>
      <c r="B37" s="213">
        <f t="shared" si="6"/>
        <v>20092</v>
      </c>
      <c r="C37" s="213">
        <f t="shared" si="7"/>
        <v>6223</v>
      </c>
      <c r="D37" s="213">
        <f t="shared" si="2"/>
        <v>20510.480000000003</v>
      </c>
      <c r="E37" s="431"/>
      <c r="F37" t="str">
        <f t="shared" si="4"/>
        <v>Additional/Other Savings-Total</v>
      </c>
      <c r="G37" s="79" t="s">
        <v>249</v>
      </c>
      <c r="H37" s="420" t="s">
        <v>227</v>
      </c>
      <c r="I37" s="419">
        <v>0</v>
      </c>
      <c r="J37" s="419">
        <v>0</v>
      </c>
      <c r="K37" s="419">
        <v>0</v>
      </c>
      <c r="L37" s="419">
        <v>0</v>
      </c>
      <c r="M37" s="419">
        <v>0</v>
      </c>
      <c r="N37" s="419">
        <v>0</v>
      </c>
      <c r="O37" s="419">
        <v>0</v>
      </c>
      <c r="P37" s="419">
        <v>0</v>
      </c>
      <c r="Q37" s="419">
        <v>0</v>
      </c>
      <c r="R37" s="419">
        <v>0</v>
      </c>
      <c r="S37" s="419">
        <v>0</v>
      </c>
      <c r="T37" s="419">
        <v>1035</v>
      </c>
      <c r="U37" s="419">
        <v>1035</v>
      </c>
      <c r="V37">
        <f t="shared" si="3"/>
        <v>0</v>
      </c>
      <c r="X37" t="str">
        <f t="shared" si="5"/>
        <v>Additional/Other Savings-Total</v>
      </c>
      <c r="Y37" s="79" t="s">
        <v>249</v>
      </c>
      <c r="Z37" s="420" t="s">
        <v>227</v>
      </c>
      <c r="AA37" s="419"/>
      <c r="AB37" s="419"/>
      <c r="AC37" s="419"/>
      <c r="AD37" s="419"/>
      <c r="AE37" s="419"/>
      <c r="AF37" s="419"/>
      <c r="AG37" s="419"/>
      <c r="AH37" s="419"/>
      <c r="AI37" s="419"/>
      <c r="AJ37" s="419"/>
      <c r="AK37" s="419"/>
      <c r="AL37" s="419">
        <v>1035</v>
      </c>
      <c r="AM37" s="419">
        <v>1035</v>
      </c>
    </row>
    <row r="38" spans="1:39">
      <c r="A38" t="s">
        <v>136</v>
      </c>
      <c r="B38" s="213">
        <f t="shared" si="6"/>
        <v>4021</v>
      </c>
      <c r="C38" s="213">
        <f t="shared" si="7"/>
        <v>1360</v>
      </c>
      <c r="D38" s="213">
        <f t="shared" si="2"/>
        <v>4021.29</v>
      </c>
      <c r="E38" s="431"/>
      <c r="F38" s="276" t="str">
        <f t="shared" ref="F38:F70" si="8">G38&amp;"-"&amp;H38</f>
        <v>Additional/Other Savings-Weatherization Purchase Agreement - Nicor</v>
      </c>
      <c r="G38" s="79" t="s">
        <v>249</v>
      </c>
      <c r="H38" s="247" t="s">
        <v>250</v>
      </c>
      <c r="I38">
        <v>0</v>
      </c>
      <c r="J38">
        <v>0</v>
      </c>
      <c r="K38">
        <v>0</v>
      </c>
      <c r="L38">
        <v>0</v>
      </c>
      <c r="M38">
        <v>0</v>
      </c>
      <c r="N38">
        <v>0</v>
      </c>
      <c r="O38">
        <v>0</v>
      </c>
      <c r="P38">
        <v>0</v>
      </c>
      <c r="Q38">
        <v>0</v>
      </c>
      <c r="R38">
        <v>0</v>
      </c>
      <c r="S38">
        <v>0</v>
      </c>
      <c r="T38">
        <v>1035</v>
      </c>
      <c r="U38" s="419">
        <v>1035</v>
      </c>
      <c r="V38">
        <f t="shared" si="3"/>
        <v>0</v>
      </c>
      <c r="X38" s="276" t="str">
        <f t="shared" si="5"/>
        <v>Additional/Other Savings-Weatherization Purchase Agreement - Nicor</v>
      </c>
      <c r="Y38" s="79" t="s">
        <v>249</v>
      </c>
      <c r="Z38" s="247" t="s">
        <v>250</v>
      </c>
      <c r="AL38">
        <v>1035</v>
      </c>
      <c r="AM38" s="419">
        <v>1035</v>
      </c>
    </row>
    <row r="39" spans="1:39">
      <c r="A39" s="434" t="s">
        <v>251</v>
      </c>
      <c r="B39" s="213">
        <f t="shared" si="6"/>
        <v>1155</v>
      </c>
      <c r="C39" s="213">
        <f t="shared" si="7"/>
        <v>952</v>
      </c>
      <c r="D39" s="213">
        <f t="shared" si="2"/>
        <v>1156.4000000000001</v>
      </c>
      <c r="E39" s="431"/>
      <c r="F39" t="str">
        <f t="shared" si="8"/>
        <v>Portfolio Administration-Total</v>
      </c>
      <c r="G39" s="79" t="s">
        <v>252</v>
      </c>
      <c r="H39" s="420" t="s">
        <v>227</v>
      </c>
      <c r="I39" s="419">
        <v>0</v>
      </c>
      <c r="J39" s="419">
        <v>0</v>
      </c>
      <c r="K39" s="419">
        <v>0</v>
      </c>
      <c r="L39" s="419">
        <v>0</v>
      </c>
      <c r="M39" s="419">
        <v>3750</v>
      </c>
      <c r="N39" s="419">
        <v>3750</v>
      </c>
      <c r="O39" s="419">
        <v>3750</v>
      </c>
      <c r="P39" s="419">
        <v>3750</v>
      </c>
      <c r="Q39" s="419">
        <v>3750</v>
      </c>
      <c r="R39" s="419">
        <v>3750</v>
      </c>
      <c r="S39" s="419">
        <v>3750</v>
      </c>
      <c r="T39" s="419">
        <v>3750</v>
      </c>
      <c r="U39" s="419">
        <v>30000</v>
      </c>
      <c r="V39">
        <f t="shared" si="3"/>
        <v>7500</v>
      </c>
      <c r="X39" t="str">
        <f t="shared" si="5"/>
        <v>Portfolio Administration-Total</v>
      </c>
      <c r="Y39" s="79" t="s">
        <v>252</v>
      </c>
      <c r="Z39" s="420" t="s">
        <v>227</v>
      </c>
      <c r="AA39" s="419">
        <v>0</v>
      </c>
      <c r="AB39" s="419">
        <v>0</v>
      </c>
      <c r="AC39" s="419">
        <v>0</v>
      </c>
      <c r="AD39" s="419">
        <v>0</v>
      </c>
      <c r="AE39" s="419">
        <v>3750</v>
      </c>
      <c r="AF39" s="419">
        <v>3750</v>
      </c>
      <c r="AG39" s="419">
        <v>3750</v>
      </c>
      <c r="AH39" s="419">
        <v>3750</v>
      </c>
      <c r="AI39" s="419">
        <v>3750</v>
      </c>
      <c r="AJ39" s="419">
        <v>3750</v>
      </c>
      <c r="AK39" s="419">
        <v>3750</v>
      </c>
      <c r="AL39" s="419">
        <v>3750</v>
      </c>
      <c r="AM39" s="419">
        <v>30000</v>
      </c>
    </row>
    <row r="40" spans="1:39">
      <c r="A40" t="s">
        <v>164</v>
      </c>
      <c r="B40" s="213">
        <f t="shared" si="6"/>
        <v>7845.51</v>
      </c>
      <c r="C40" s="213">
        <f t="shared" si="7"/>
        <v>4441.3100000000004</v>
      </c>
      <c r="D40" s="213">
        <f t="shared" si="2"/>
        <v>8477</v>
      </c>
      <c r="E40" s="431"/>
      <c r="F40" s="276" t="str">
        <f t="shared" si="8"/>
        <v>Portfolio Administration-Lighting Carryover</v>
      </c>
      <c r="G40" s="79" t="s">
        <v>252</v>
      </c>
      <c r="H40" s="247" t="s">
        <v>204</v>
      </c>
      <c r="I40">
        <v>0</v>
      </c>
      <c r="J40">
        <v>0</v>
      </c>
      <c r="K40">
        <v>0</v>
      </c>
      <c r="L40">
        <v>0</v>
      </c>
      <c r="M40">
        <v>3750</v>
      </c>
      <c r="N40">
        <v>3750</v>
      </c>
      <c r="O40">
        <v>3750</v>
      </c>
      <c r="P40">
        <v>3750</v>
      </c>
      <c r="Q40">
        <v>3750</v>
      </c>
      <c r="R40">
        <v>3750</v>
      </c>
      <c r="S40">
        <v>3750</v>
      </c>
      <c r="T40">
        <v>3750</v>
      </c>
      <c r="U40" s="419">
        <v>30000</v>
      </c>
      <c r="V40">
        <f t="shared" si="3"/>
        <v>7500</v>
      </c>
      <c r="X40" s="276" t="str">
        <f t="shared" si="5"/>
        <v>Portfolio Administration-Lighting Carryover</v>
      </c>
      <c r="Y40" s="79" t="s">
        <v>252</v>
      </c>
      <c r="Z40" s="247" t="s">
        <v>204</v>
      </c>
      <c r="AE40">
        <v>3750</v>
      </c>
      <c r="AF40">
        <v>3750</v>
      </c>
      <c r="AG40">
        <v>3750</v>
      </c>
      <c r="AH40">
        <v>3750</v>
      </c>
      <c r="AI40">
        <v>3750</v>
      </c>
      <c r="AJ40">
        <v>3750</v>
      </c>
      <c r="AK40">
        <v>3750</v>
      </c>
      <c r="AL40">
        <v>3750</v>
      </c>
      <c r="AM40" s="419">
        <v>30000</v>
      </c>
    </row>
    <row r="41" spans="1:39">
      <c r="A41" t="s">
        <v>133</v>
      </c>
      <c r="B41" s="213">
        <f t="shared" si="6"/>
        <v>625.99999999999989</v>
      </c>
      <c r="C41" s="213">
        <f t="shared" si="7"/>
        <v>289.76</v>
      </c>
      <c r="D41" s="213">
        <f t="shared" si="2"/>
        <v>534</v>
      </c>
      <c r="E41" s="431"/>
      <c r="F41" t="str">
        <f t="shared" si="8"/>
        <v>Total-</v>
      </c>
      <c r="G41" s="418" t="s">
        <v>227</v>
      </c>
      <c r="H41" s="247"/>
      <c r="I41" s="419">
        <v>0</v>
      </c>
      <c r="J41" s="419">
        <v>0</v>
      </c>
      <c r="K41" s="419">
        <v>0</v>
      </c>
      <c r="L41" s="419">
        <v>1716</v>
      </c>
      <c r="M41" s="419">
        <v>868</v>
      </c>
      <c r="N41" s="419">
        <v>0</v>
      </c>
      <c r="O41" s="419">
        <v>1951</v>
      </c>
      <c r="P41" s="419">
        <v>12164.999999999998</v>
      </c>
      <c r="Q41" s="419">
        <v>6973</v>
      </c>
      <c r="R41" s="419">
        <v>23848</v>
      </c>
      <c r="S41" s="419">
        <v>2212</v>
      </c>
      <c r="T41" s="419">
        <v>950</v>
      </c>
      <c r="U41" s="419">
        <v>50683</v>
      </c>
      <c r="V41">
        <f t="shared" si="3"/>
        <v>2584</v>
      </c>
      <c r="X41" s="276" t="str">
        <f t="shared" si="5"/>
        <v>Portfolio Administration-R&amp;D</v>
      </c>
      <c r="Y41" s="79" t="s">
        <v>252</v>
      </c>
      <c r="Z41" s="247" t="s">
        <v>253</v>
      </c>
      <c r="AA41">
        <v>0</v>
      </c>
      <c r="AB41">
        <v>0</v>
      </c>
      <c r="AC41">
        <v>0</v>
      </c>
      <c r="AD41">
        <v>0</v>
      </c>
      <c r="AE41">
        <v>0</v>
      </c>
      <c r="AF41">
        <v>0</v>
      </c>
      <c r="AG41">
        <v>0</v>
      </c>
      <c r="AH41">
        <v>0</v>
      </c>
      <c r="AI41">
        <v>0</v>
      </c>
      <c r="AJ41">
        <v>0</v>
      </c>
      <c r="AK41">
        <v>0</v>
      </c>
      <c r="AL41">
        <v>0</v>
      </c>
      <c r="AM41" s="419">
        <v>0</v>
      </c>
    </row>
    <row r="42" spans="1:39">
      <c r="A42" s="430" t="s">
        <v>254</v>
      </c>
      <c r="B42" s="213">
        <f t="shared" si="6"/>
        <v>3789</v>
      </c>
      <c r="C42" s="213">
        <f t="shared" si="7"/>
        <v>1507</v>
      </c>
      <c r="D42" s="213">
        <f t="shared" si="2"/>
        <v>5944</v>
      </c>
      <c r="E42" s="431"/>
      <c r="F42" t="str">
        <f t="shared" si="8"/>
        <v>Voltage Optimization-Total</v>
      </c>
      <c r="G42" s="79" t="s">
        <v>196</v>
      </c>
      <c r="H42" s="420" t="s">
        <v>227</v>
      </c>
      <c r="I42" s="419">
        <v>0</v>
      </c>
      <c r="J42" s="419">
        <v>0</v>
      </c>
      <c r="K42" s="419">
        <v>0</v>
      </c>
      <c r="L42" s="419">
        <v>1716</v>
      </c>
      <c r="M42" s="419">
        <v>868</v>
      </c>
      <c r="N42" s="419">
        <v>0</v>
      </c>
      <c r="O42" s="419">
        <v>1951</v>
      </c>
      <c r="P42" s="419">
        <v>12164.999999999998</v>
      </c>
      <c r="Q42" s="419">
        <v>6973</v>
      </c>
      <c r="R42" s="419">
        <v>23848</v>
      </c>
      <c r="S42" s="419">
        <v>2212</v>
      </c>
      <c r="T42" s="419">
        <v>950</v>
      </c>
      <c r="U42" s="419">
        <v>50683</v>
      </c>
      <c r="V42">
        <f t="shared" si="3"/>
        <v>2584</v>
      </c>
      <c r="X42" t="str">
        <f t="shared" si="5"/>
        <v>Total-</v>
      </c>
      <c r="Y42" s="418" t="s">
        <v>227</v>
      </c>
      <c r="Z42" s="247"/>
      <c r="AA42" s="419">
        <v>0</v>
      </c>
      <c r="AB42" s="419">
        <v>0</v>
      </c>
      <c r="AC42" s="419">
        <v>955</v>
      </c>
      <c r="AD42" s="419">
        <v>2106</v>
      </c>
      <c r="AE42" s="419">
        <v>0</v>
      </c>
      <c r="AF42" s="419">
        <v>157</v>
      </c>
      <c r="AG42" s="419">
        <v>1849</v>
      </c>
      <c r="AH42" s="419">
        <v>10901</v>
      </c>
      <c r="AI42" s="419">
        <v>12359.000000000002</v>
      </c>
      <c r="AJ42" s="419">
        <v>6149</v>
      </c>
      <c r="AK42" s="419">
        <v>15255.000000000002</v>
      </c>
      <c r="AL42" s="419">
        <v>951</v>
      </c>
      <c r="AM42" s="419">
        <v>50682</v>
      </c>
    </row>
    <row r="43" spans="1:39">
      <c r="A43" s="275" t="s">
        <v>255</v>
      </c>
      <c r="B43" s="213">
        <f t="shared" si="6"/>
        <v>581</v>
      </c>
      <c r="C43" s="213">
        <f t="shared" si="7"/>
        <v>90</v>
      </c>
      <c r="D43" s="213">
        <f t="shared" si="2"/>
        <v>792.22</v>
      </c>
      <c r="E43" s="431"/>
      <c r="F43" s="276" t="str">
        <f t="shared" si="8"/>
        <v>Voltage Optimization-Voltage Optimization</v>
      </c>
      <c r="G43" s="79" t="s">
        <v>196</v>
      </c>
      <c r="H43" s="247" t="s">
        <v>196</v>
      </c>
      <c r="I43">
        <v>0</v>
      </c>
      <c r="J43">
        <v>0</v>
      </c>
      <c r="K43">
        <v>0</v>
      </c>
      <c r="L43">
        <v>1716</v>
      </c>
      <c r="M43">
        <v>868</v>
      </c>
      <c r="N43">
        <v>0</v>
      </c>
      <c r="O43">
        <v>1951</v>
      </c>
      <c r="P43">
        <v>12164.999999999998</v>
      </c>
      <c r="Q43">
        <v>6973</v>
      </c>
      <c r="R43">
        <v>23848</v>
      </c>
      <c r="S43">
        <v>2212</v>
      </c>
      <c r="T43">
        <v>950</v>
      </c>
      <c r="U43" s="419">
        <v>50683</v>
      </c>
      <c r="V43">
        <f t="shared" si="3"/>
        <v>2584</v>
      </c>
      <c r="X43" t="str">
        <f t="shared" si="5"/>
        <v>Voltage Optimization-Total</v>
      </c>
      <c r="Y43" s="79" t="s">
        <v>196</v>
      </c>
      <c r="Z43" s="420" t="s">
        <v>227</v>
      </c>
      <c r="AA43" s="419">
        <v>0</v>
      </c>
      <c r="AB43" s="419">
        <v>0</v>
      </c>
      <c r="AC43" s="419">
        <v>955</v>
      </c>
      <c r="AD43" s="419">
        <v>2106</v>
      </c>
      <c r="AE43" s="419">
        <v>0</v>
      </c>
      <c r="AF43" s="419">
        <v>157</v>
      </c>
      <c r="AG43" s="419">
        <v>1849</v>
      </c>
      <c r="AH43" s="419">
        <v>10901</v>
      </c>
      <c r="AI43" s="419">
        <v>12359.000000000002</v>
      </c>
      <c r="AJ43" s="419">
        <v>6149</v>
      </c>
      <c r="AK43" s="419">
        <v>15255.000000000002</v>
      </c>
      <c r="AL43" s="419">
        <v>951</v>
      </c>
      <c r="AM43" s="419">
        <v>50682</v>
      </c>
    </row>
    <row r="44" spans="1:39">
      <c r="A44" s="430" t="s">
        <v>256</v>
      </c>
      <c r="B44" s="213">
        <f t="shared" si="6"/>
        <v>2094</v>
      </c>
      <c r="C44" s="213">
        <f t="shared" si="7"/>
        <v>601</v>
      </c>
      <c r="D44" s="213">
        <f t="shared" si="2"/>
        <v>493.90999999999997</v>
      </c>
      <c r="E44" s="431"/>
      <c r="F44" t="str">
        <f t="shared" si="8"/>
        <v>-</v>
      </c>
      <c r="I44" s="419">
        <v>58563.9</v>
      </c>
      <c r="J44" s="419">
        <v>54745.649999999994</v>
      </c>
      <c r="K44" s="419">
        <v>83768.88</v>
      </c>
      <c r="L44" s="419">
        <v>79469.739999999991</v>
      </c>
      <c r="M44" s="419">
        <v>51417.38</v>
      </c>
      <c r="N44" s="419">
        <v>76155.450000000012</v>
      </c>
      <c r="O44" s="419">
        <v>59902.47</v>
      </c>
      <c r="P44" s="419">
        <v>77971.299999999988</v>
      </c>
      <c r="Q44" s="419">
        <v>77222.37000000001</v>
      </c>
      <c r="R44" s="419">
        <v>76196.389999999985</v>
      </c>
      <c r="S44" s="419">
        <v>68627.56</v>
      </c>
      <c r="T44" s="419">
        <v>63050.96</v>
      </c>
      <c r="U44" s="419">
        <v>827092.05</v>
      </c>
      <c r="V44">
        <f t="shared" si="3"/>
        <v>404121</v>
      </c>
      <c r="X44" s="276" t="str">
        <f t="shared" si="5"/>
        <v>Voltage Optimization-Voltage Optimization</v>
      </c>
      <c r="Y44" s="79" t="s">
        <v>196</v>
      </c>
      <c r="Z44" s="247" t="s">
        <v>196</v>
      </c>
      <c r="AA44">
        <v>0</v>
      </c>
      <c r="AB44">
        <v>0</v>
      </c>
      <c r="AC44">
        <v>955</v>
      </c>
      <c r="AD44">
        <v>2106</v>
      </c>
      <c r="AE44">
        <v>0</v>
      </c>
      <c r="AF44">
        <v>157</v>
      </c>
      <c r="AG44">
        <v>1849</v>
      </c>
      <c r="AH44">
        <v>10901</v>
      </c>
      <c r="AI44">
        <v>12359.000000000002</v>
      </c>
      <c r="AJ44">
        <v>6149</v>
      </c>
      <c r="AK44">
        <v>15255.000000000002</v>
      </c>
      <c r="AL44">
        <v>951</v>
      </c>
      <c r="AM44" s="419">
        <v>50682</v>
      </c>
    </row>
    <row r="45" spans="1:39">
      <c r="A45" t="s">
        <v>130</v>
      </c>
      <c r="B45" s="213">
        <f t="shared" si="6"/>
        <v>86283</v>
      </c>
      <c r="C45" s="213">
        <f t="shared" si="7"/>
        <v>37125</v>
      </c>
      <c r="D45" s="213">
        <f t="shared" si="2"/>
        <v>83334</v>
      </c>
      <c r="E45" s="431"/>
      <c r="F45" t="str">
        <f t="shared" si="8"/>
        <v>Total-</v>
      </c>
      <c r="G45" s="418" t="s">
        <v>227</v>
      </c>
      <c r="H45" s="247"/>
      <c r="I45" s="419">
        <v>49181.530000000006</v>
      </c>
      <c r="J45" s="419">
        <v>46752.399999999994</v>
      </c>
      <c r="K45" s="419">
        <v>74781.930000000008</v>
      </c>
      <c r="L45" s="419">
        <v>69948.26999999999</v>
      </c>
      <c r="M45" s="419">
        <v>41163.35</v>
      </c>
      <c r="N45" s="419">
        <v>64438.44999999999</v>
      </c>
      <c r="O45" s="419">
        <v>46473.200000000004</v>
      </c>
      <c r="P45" s="419">
        <v>61999.58</v>
      </c>
      <c r="Q45" s="419">
        <v>62707.109999999993</v>
      </c>
      <c r="R45" s="419">
        <v>62783.789999999994</v>
      </c>
      <c r="S45" s="419">
        <v>56373.969999999994</v>
      </c>
      <c r="T45" s="419">
        <v>51571.96</v>
      </c>
      <c r="U45" s="419">
        <v>688175.53999999992</v>
      </c>
      <c r="V45">
        <f t="shared" si="3"/>
        <v>346265.93</v>
      </c>
      <c r="X45" t="str">
        <f t="shared" si="5"/>
        <v>-</v>
      </c>
      <c r="Z45" s="247"/>
      <c r="AA45" s="419">
        <v>48006.61</v>
      </c>
      <c r="AB45" s="419">
        <v>62645.05</v>
      </c>
      <c r="AC45" s="419">
        <v>60314.759999999995</v>
      </c>
      <c r="AD45" s="419">
        <v>62884.33</v>
      </c>
      <c r="AE45" s="419">
        <v>67984.34</v>
      </c>
      <c r="AF45" s="419">
        <v>78979.899999999994</v>
      </c>
      <c r="AG45" s="419">
        <v>76200.98000000001</v>
      </c>
      <c r="AH45" s="419">
        <v>78740.09</v>
      </c>
      <c r="AI45" s="419">
        <v>74042.559999999998</v>
      </c>
      <c r="AJ45" s="419">
        <v>69705.62</v>
      </c>
      <c r="AK45" s="419">
        <v>69802</v>
      </c>
      <c r="AL45" s="419">
        <v>49693.55</v>
      </c>
      <c r="AM45" s="419">
        <v>798999.79</v>
      </c>
    </row>
    <row r="46" spans="1:39">
      <c r="A46" s="285" t="s">
        <v>257</v>
      </c>
      <c r="B46" s="445">
        <f>SUM(B2:B45)</f>
        <v>1632207.1600000001</v>
      </c>
      <c r="C46" s="445">
        <f t="shared" ref="C46:D46" si="9">SUM(C2:C45)</f>
        <v>713887.25000000012</v>
      </c>
      <c r="D46" s="445">
        <f t="shared" si="9"/>
        <v>1647494.06</v>
      </c>
      <c r="F46" t="str">
        <f t="shared" si="8"/>
        <v>Contractor/Midstream Rebates-Total</v>
      </c>
      <c r="G46" s="79" t="s">
        <v>258</v>
      </c>
      <c r="H46" s="420" t="s">
        <v>227</v>
      </c>
      <c r="I46" s="419">
        <v>1637</v>
      </c>
      <c r="J46" s="419">
        <v>1253</v>
      </c>
      <c r="K46" s="419">
        <v>1127</v>
      </c>
      <c r="L46" s="419">
        <v>1472</v>
      </c>
      <c r="M46" s="419">
        <v>1612</v>
      </c>
      <c r="N46" s="419">
        <v>1593</v>
      </c>
      <c r="O46" s="419">
        <v>2099</v>
      </c>
      <c r="P46" s="419">
        <v>1884</v>
      </c>
      <c r="Q46" s="419">
        <v>2586</v>
      </c>
      <c r="R46" s="419">
        <v>1730</v>
      </c>
      <c r="S46" s="419">
        <v>1987</v>
      </c>
      <c r="T46" s="419">
        <v>2350</v>
      </c>
      <c r="U46" s="419">
        <v>21330</v>
      </c>
      <c r="V46">
        <f t="shared" si="3"/>
        <v>8694</v>
      </c>
      <c r="X46" t="str">
        <f t="shared" si="5"/>
        <v>Total-</v>
      </c>
      <c r="Y46" s="418" t="s">
        <v>227</v>
      </c>
      <c r="Z46" s="247"/>
      <c r="AA46" s="419">
        <v>38847.200000000004</v>
      </c>
      <c r="AB46" s="419">
        <v>53314.54</v>
      </c>
      <c r="AC46" s="419">
        <v>50414.84</v>
      </c>
      <c r="AD46" s="419">
        <v>52886.75</v>
      </c>
      <c r="AE46" s="419">
        <v>56414.89</v>
      </c>
      <c r="AF46" s="419">
        <v>65303.869999999995</v>
      </c>
      <c r="AG46" s="419">
        <v>61835.01</v>
      </c>
      <c r="AH46" s="419">
        <v>64441.119999999995</v>
      </c>
      <c r="AI46" s="419">
        <v>61107.469999999994</v>
      </c>
      <c r="AJ46" s="419">
        <v>58869.95</v>
      </c>
      <c r="AK46" s="419">
        <v>59402.01</v>
      </c>
      <c r="AL46" s="419">
        <v>39615.770000000004</v>
      </c>
      <c r="AM46" s="419">
        <v>662453.42000000004</v>
      </c>
    </row>
    <row r="47" spans="1:39">
      <c r="A47" s="250"/>
      <c r="B47" s="250" t="s">
        <v>259</v>
      </c>
      <c r="C47" s="251" t="s">
        <v>260</v>
      </c>
      <c r="D47" s="435" t="s">
        <v>214</v>
      </c>
      <c r="F47" s="276" t="str">
        <f t="shared" si="8"/>
        <v>Contractor/Midstream Rebates-Contractor/Midstream Rebates</v>
      </c>
      <c r="G47" s="79" t="s">
        <v>258</v>
      </c>
      <c r="H47" s="247" t="s">
        <v>258</v>
      </c>
      <c r="I47">
        <v>1637</v>
      </c>
      <c r="J47">
        <v>1253</v>
      </c>
      <c r="K47">
        <v>1127</v>
      </c>
      <c r="L47">
        <v>1472</v>
      </c>
      <c r="M47">
        <v>1612</v>
      </c>
      <c r="N47">
        <v>1593</v>
      </c>
      <c r="O47">
        <v>2099</v>
      </c>
      <c r="P47">
        <v>1884</v>
      </c>
      <c r="Q47">
        <v>2586</v>
      </c>
      <c r="R47">
        <v>1730</v>
      </c>
      <c r="S47">
        <v>1987</v>
      </c>
      <c r="T47">
        <v>2350</v>
      </c>
      <c r="U47" s="419">
        <v>21330</v>
      </c>
      <c r="V47">
        <f t="shared" si="3"/>
        <v>8694</v>
      </c>
      <c r="X47" t="str">
        <f t="shared" si="5"/>
        <v>Contractor/Midstream Rebates-Total</v>
      </c>
      <c r="Y47" s="79" t="s">
        <v>258</v>
      </c>
      <c r="Z47" s="420" t="s">
        <v>227</v>
      </c>
      <c r="AA47" s="419">
        <v>1047</v>
      </c>
      <c r="AB47" s="419">
        <v>1061</v>
      </c>
      <c r="AC47" s="419">
        <v>1216</v>
      </c>
      <c r="AD47" s="419">
        <v>1372</v>
      </c>
      <c r="AE47" s="419">
        <v>1590</v>
      </c>
      <c r="AF47" s="419">
        <v>2217</v>
      </c>
      <c r="AG47" s="419">
        <v>2333</v>
      </c>
      <c r="AH47" s="419">
        <v>2517</v>
      </c>
      <c r="AI47" s="419">
        <v>2511</v>
      </c>
      <c r="AJ47" s="419">
        <v>2253</v>
      </c>
      <c r="AK47" s="419">
        <v>1298</v>
      </c>
      <c r="AL47" s="419">
        <v>1056</v>
      </c>
      <c r="AM47" s="419">
        <v>20471</v>
      </c>
    </row>
    <row r="48" spans="1:39">
      <c r="A48" t="s">
        <v>57</v>
      </c>
      <c r="B48" s="213">
        <f t="shared" ref="B48:B55" si="10">VLOOKUP(A48,F:V,16,FALSE)</f>
        <v>16348</v>
      </c>
      <c r="C48" s="213">
        <f t="shared" ref="C48:C55" si="11">VLOOKUP(A48,F:V,17,FALSE)</f>
        <v>10405</v>
      </c>
      <c r="D48" s="213">
        <f t="shared" ref="D48:D55" si="12">VLOOKUP(A48,X:AM,16,FALSE)</f>
        <v>16388</v>
      </c>
      <c r="F48" t="str">
        <f t="shared" si="8"/>
        <v>Product Distribution-Total</v>
      </c>
      <c r="G48" s="79" t="s">
        <v>123</v>
      </c>
      <c r="H48" s="420" t="s">
        <v>227</v>
      </c>
      <c r="I48" s="419">
        <v>18683.05</v>
      </c>
      <c r="J48" s="419">
        <v>22010.5</v>
      </c>
      <c r="K48" s="419">
        <v>27028.799999999999</v>
      </c>
      <c r="L48" s="419">
        <v>28233.269999999997</v>
      </c>
      <c r="M48" s="419">
        <v>24727.01</v>
      </c>
      <c r="N48" s="419">
        <v>30136.539999999997</v>
      </c>
      <c r="O48" s="419">
        <v>21367.239999999998</v>
      </c>
      <c r="P48" s="419">
        <v>25496.69</v>
      </c>
      <c r="Q48" s="419">
        <v>24749.75</v>
      </c>
      <c r="R48" s="419">
        <v>25090.37</v>
      </c>
      <c r="S48" s="419">
        <v>19760.079999999998</v>
      </c>
      <c r="T48" s="419">
        <v>6251.45</v>
      </c>
      <c r="U48" s="419">
        <v>273534.75</v>
      </c>
      <c r="V48">
        <f t="shared" si="3"/>
        <v>150819.16999999998</v>
      </c>
      <c r="X48" s="276" t="str">
        <f t="shared" si="5"/>
        <v>Contractor/Midstream Rebates-Contractor/Midstream Rebates</v>
      </c>
      <c r="Y48" s="79" t="s">
        <v>258</v>
      </c>
      <c r="Z48" s="247" t="s">
        <v>258</v>
      </c>
      <c r="AA48">
        <v>1047</v>
      </c>
      <c r="AB48">
        <v>1061</v>
      </c>
      <c r="AC48">
        <v>1216</v>
      </c>
      <c r="AD48">
        <v>1372</v>
      </c>
      <c r="AE48">
        <v>1590</v>
      </c>
      <c r="AF48">
        <v>2217</v>
      </c>
      <c r="AG48">
        <v>2333</v>
      </c>
      <c r="AH48">
        <v>2517</v>
      </c>
      <c r="AI48">
        <v>2511</v>
      </c>
      <c r="AJ48">
        <v>2253</v>
      </c>
      <c r="AK48">
        <v>1298</v>
      </c>
      <c r="AL48">
        <v>1056</v>
      </c>
      <c r="AM48" s="419">
        <v>20471</v>
      </c>
    </row>
    <row r="49" spans="1:39">
      <c r="A49" t="s">
        <v>156</v>
      </c>
      <c r="B49" s="213">
        <f t="shared" si="10"/>
        <v>41869.924570000003</v>
      </c>
      <c r="C49" s="213">
        <f t="shared" si="11"/>
        <v>17474.64516</v>
      </c>
      <c r="D49" s="213">
        <f t="shared" si="12"/>
        <v>41705.247759999998</v>
      </c>
      <c r="F49" s="276" t="str">
        <f t="shared" si="8"/>
        <v>Product Distribution-Elementary Education - IE</v>
      </c>
      <c r="G49" s="79" t="s">
        <v>123</v>
      </c>
      <c r="H49" s="247" t="s">
        <v>261</v>
      </c>
      <c r="I49">
        <v>0</v>
      </c>
      <c r="J49">
        <v>696.58</v>
      </c>
      <c r="K49">
        <v>887.69</v>
      </c>
      <c r="L49">
        <v>262.39999999999998</v>
      </c>
      <c r="M49">
        <v>172.64</v>
      </c>
      <c r="N49">
        <v>0</v>
      </c>
      <c r="O49">
        <v>0</v>
      </c>
      <c r="P49">
        <v>350.44</v>
      </c>
      <c r="Q49">
        <v>631.73</v>
      </c>
      <c r="R49">
        <v>294.61</v>
      </c>
      <c r="S49">
        <v>869.65</v>
      </c>
      <c r="T49">
        <v>85.89</v>
      </c>
      <c r="U49" s="419">
        <v>4251.63</v>
      </c>
      <c r="V49">
        <f t="shared" si="3"/>
        <v>2019.31</v>
      </c>
      <c r="X49" t="str">
        <f t="shared" si="5"/>
        <v>Product Distribution-Total</v>
      </c>
      <c r="Y49" s="79" t="s">
        <v>123</v>
      </c>
      <c r="Z49" s="420" t="s">
        <v>227</v>
      </c>
      <c r="AA49" s="419">
        <v>18338.990000000002</v>
      </c>
      <c r="AB49" s="419">
        <v>24574.62</v>
      </c>
      <c r="AC49" s="419">
        <v>24091.79</v>
      </c>
      <c r="AD49" s="419">
        <v>28704.04</v>
      </c>
      <c r="AE49" s="419">
        <v>28236.79</v>
      </c>
      <c r="AF49" s="419">
        <v>28567.299999999996</v>
      </c>
      <c r="AG49" s="419">
        <v>30484.54</v>
      </c>
      <c r="AH49" s="419">
        <v>31001.699999999997</v>
      </c>
      <c r="AI49" s="419">
        <v>26170.9</v>
      </c>
      <c r="AJ49" s="419">
        <v>29410.67</v>
      </c>
      <c r="AK49" s="419">
        <v>22401.68</v>
      </c>
      <c r="AL49" s="419">
        <v>12135.07</v>
      </c>
      <c r="AM49" s="419">
        <v>304118.08999999997</v>
      </c>
    </row>
    <row r="50" spans="1:39">
      <c r="A50" t="s">
        <v>185</v>
      </c>
      <c r="B50" s="213">
        <f t="shared" si="10"/>
        <v>7996.2241100000001</v>
      </c>
      <c r="C50" s="213">
        <f t="shared" si="11"/>
        <v>3735.83977</v>
      </c>
      <c r="D50" s="213">
        <f t="shared" si="12"/>
        <v>8089.6164419999877</v>
      </c>
      <c r="F50" s="276" t="str">
        <f t="shared" si="8"/>
        <v>Product Distribution-Food Bank</v>
      </c>
      <c r="G50" s="79" t="s">
        <v>123</v>
      </c>
      <c r="H50" s="247" t="s">
        <v>262</v>
      </c>
      <c r="I50">
        <v>18683.05</v>
      </c>
      <c r="J50">
        <v>19439.02</v>
      </c>
      <c r="K50">
        <v>22663.82</v>
      </c>
      <c r="L50">
        <v>25051.48</v>
      </c>
      <c r="M50">
        <v>22666.35</v>
      </c>
      <c r="N50">
        <v>29168.78</v>
      </c>
      <c r="O50">
        <v>20325.57</v>
      </c>
      <c r="P50">
        <v>23957.87</v>
      </c>
      <c r="Q50">
        <v>22972.71</v>
      </c>
      <c r="R50">
        <v>23487.059999999998</v>
      </c>
      <c r="S50">
        <v>16903.919999999998</v>
      </c>
      <c r="T50">
        <v>4721</v>
      </c>
      <c r="U50" s="419">
        <v>250040.62999999995</v>
      </c>
      <c r="V50">
        <f t="shared" si="3"/>
        <v>137672.5</v>
      </c>
      <c r="X50" s="276" t="str">
        <f t="shared" si="5"/>
        <v>Product Distribution-Elementary Education - IE</v>
      </c>
      <c r="Y50" s="79" t="s">
        <v>123</v>
      </c>
      <c r="Z50" s="247" t="s">
        <v>261</v>
      </c>
      <c r="AA50">
        <v>0</v>
      </c>
      <c r="AB50">
        <v>403.35</v>
      </c>
      <c r="AC50">
        <v>941.14</v>
      </c>
      <c r="AD50">
        <v>965.34</v>
      </c>
      <c r="AE50">
        <v>180.16</v>
      </c>
      <c r="AF50">
        <v>0</v>
      </c>
      <c r="AG50">
        <v>0</v>
      </c>
      <c r="AH50">
        <v>380.94</v>
      </c>
      <c r="AI50">
        <v>578.13</v>
      </c>
      <c r="AJ50">
        <v>798.62</v>
      </c>
      <c r="AK50">
        <v>392.14</v>
      </c>
      <c r="AL50">
        <v>44.82</v>
      </c>
      <c r="AM50" s="419">
        <v>4684.6400000000003</v>
      </c>
    </row>
    <row r="51" spans="1:39">
      <c r="A51" t="s">
        <v>153</v>
      </c>
      <c r="B51" s="213">
        <f t="shared" si="10"/>
        <v>1379.3680865999997</v>
      </c>
      <c r="C51" s="213">
        <f t="shared" si="11"/>
        <v>386.14415669999994</v>
      </c>
      <c r="D51" s="213">
        <f t="shared" si="12"/>
        <v>1722.4046853999998</v>
      </c>
      <c r="F51" s="276" t="str">
        <f t="shared" si="8"/>
        <v>Product Distribution-IE Kits</v>
      </c>
      <c r="G51" s="79" t="s">
        <v>123</v>
      </c>
      <c r="H51" s="247" t="s">
        <v>263</v>
      </c>
      <c r="I51">
        <v>0</v>
      </c>
      <c r="J51">
        <v>1743.34</v>
      </c>
      <c r="K51">
        <v>2841.86</v>
      </c>
      <c r="L51">
        <v>2569.62</v>
      </c>
      <c r="M51">
        <v>1714.88</v>
      </c>
      <c r="N51">
        <v>967.76</v>
      </c>
      <c r="O51">
        <v>1041.67</v>
      </c>
      <c r="P51">
        <v>1175.68</v>
      </c>
      <c r="Q51">
        <v>986.93</v>
      </c>
      <c r="R51">
        <v>1240.46</v>
      </c>
      <c r="S51">
        <v>1818.76</v>
      </c>
      <c r="T51">
        <v>1371.88</v>
      </c>
      <c r="U51" s="419">
        <v>17472.84</v>
      </c>
      <c r="V51">
        <f t="shared" si="3"/>
        <v>9837.4600000000009</v>
      </c>
      <c r="X51" s="276" t="str">
        <f t="shared" si="5"/>
        <v>Product Distribution-Food Bank</v>
      </c>
      <c r="Y51" s="79" t="s">
        <v>123</v>
      </c>
      <c r="Z51" s="247" t="s">
        <v>262</v>
      </c>
      <c r="AA51">
        <v>18338.990000000002</v>
      </c>
      <c r="AB51">
        <v>22235.119999999999</v>
      </c>
      <c r="AC51">
        <v>20429.12</v>
      </c>
      <c r="AD51">
        <v>24339.68</v>
      </c>
      <c r="AE51">
        <v>24838.690000000002</v>
      </c>
      <c r="AF51">
        <v>26051.499999999996</v>
      </c>
      <c r="AG51">
        <v>27645.670000000002</v>
      </c>
      <c r="AH51">
        <v>27636.829999999998</v>
      </c>
      <c r="AI51">
        <v>21719.54</v>
      </c>
      <c r="AJ51">
        <v>24491.25</v>
      </c>
      <c r="AK51">
        <v>18077.63</v>
      </c>
      <c r="AL51">
        <v>9837.1</v>
      </c>
      <c r="AM51" s="419">
        <v>265641.12</v>
      </c>
    </row>
    <row r="52" spans="1:39">
      <c r="A52" t="s">
        <v>180</v>
      </c>
      <c r="B52" s="213">
        <f t="shared" si="10"/>
        <v>110.8678446</v>
      </c>
      <c r="C52" s="213">
        <f t="shared" si="11"/>
        <v>23.90605</v>
      </c>
      <c r="D52" s="213">
        <f t="shared" si="12"/>
        <v>25.490000000000002</v>
      </c>
      <c r="F52" s="276" t="str">
        <f t="shared" si="8"/>
        <v>Product Distribution-Product Distribution - Market Rate</v>
      </c>
      <c r="G52" s="79" t="s">
        <v>123</v>
      </c>
      <c r="H52" s="247" t="s">
        <v>144</v>
      </c>
      <c r="I52">
        <v>0</v>
      </c>
      <c r="J52">
        <v>131.56</v>
      </c>
      <c r="K52">
        <v>635.42999999999995</v>
      </c>
      <c r="L52">
        <v>349.77</v>
      </c>
      <c r="M52">
        <v>173.14</v>
      </c>
      <c r="N52">
        <v>0</v>
      </c>
      <c r="O52">
        <v>0</v>
      </c>
      <c r="P52">
        <v>12.7</v>
      </c>
      <c r="Q52">
        <v>158.38</v>
      </c>
      <c r="R52">
        <v>68.239999999999995</v>
      </c>
      <c r="S52">
        <v>167.75</v>
      </c>
      <c r="T52">
        <v>72.680000000000007</v>
      </c>
      <c r="U52" s="419">
        <v>1769.6499999999999</v>
      </c>
      <c r="V52">
        <f t="shared" si="3"/>
        <v>1289.9000000000001</v>
      </c>
      <c r="X52" s="276" t="str">
        <f t="shared" si="5"/>
        <v>Product Distribution-IE Kits</v>
      </c>
      <c r="Y52" s="79" t="s">
        <v>123</v>
      </c>
      <c r="Z52" s="247" t="s">
        <v>263</v>
      </c>
      <c r="AA52">
        <v>0</v>
      </c>
      <c r="AB52">
        <v>1619.54</v>
      </c>
      <c r="AC52">
        <v>2374.48</v>
      </c>
      <c r="AD52">
        <v>3017.2099999999996</v>
      </c>
      <c r="AE52">
        <v>3011.2499999999995</v>
      </c>
      <c r="AF52">
        <v>2515.8000000000002</v>
      </c>
      <c r="AG52">
        <v>2838.87</v>
      </c>
      <c r="AH52">
        <v>2838.87</v>
      </c>
      <c r="AI52">
        <v>3656.4</v>
      </c>
      <c r="AJ52">
        <v>3871.6499999999996</v>
      </c>
      <c r="AK52">
        <v>3732.55</v>
      </c>
      <c r="AL52">
        <v>2150.9299999999998</v>
      </c>
      <c r="AM52" s="419">
        <v>31627.550000000003</v>
      </c>
    </row>
    <row r="53" spans="1:39">
      <c r="A53" t="s">
        <v>151</v>
      </c>
      <c r="B53" s="213">
        <f t="shared" si="10"/>
        <v>461.10646889999998</v>
      </c>
      <c r="C53" s="213">
        <f t="shared" si="11"/>
        <v>116.18160329999999</v>
      </c>
      <c r="D53" s="213">
        <f t="shared" si="12"/>
        <v>210</v>
      </c>
      <c r="F53" t="str">
        <f t="shared" si="8"/>
        <v>Residential New Construction-Total</v>
      </c>
      <c r="G53" s="79" t="s">
        <v>264</v>
      </c>
      <c r="H53" s="420" t="s">
        <v>227</v>
      </c>
      <c r="I53" s="419">
        <v>4.1500000000000004</v>
      </c>
      <c r="J53" s="419">
        <v>575.66999999999996</v>
      </c>
      <c r="K53" s="419">
        <v>342.18</v>
      </c>
      <c r="L53" s="419">
        <v>442.02</v>
      </c>
      <c r="M53" s="419">
        <v>225.17</v>
      </c>
      <c r="N53" s="419">
        <v>926.74</v>
      </c>
      <c r="O53" s="419">
        <v>70.87</v>
      </c>
      <c r="P53" s="419">
        <v>33.33</v>
      </c>
      <c r="Q53" s="419">
        <v>963.74</v>
      </c>
      <c r="R53" s="419">
        <v>273.87</v>
      </c>
      <c r="S53" s="419">
        <v>100.11000000000001</v>
      </c>
      <c r="T53" s="419">
        <v>0</v>
      </c>
      <c r="U53" s="419">
        <v>3957.85</v>
      </c>
      <c r="V53">
        <f t="shared" si="3"/>
        <v>2515.9300000000003</v>
      </c>
      <c r="X53" s="276" t="str">
        <f t="shared" si="5"/>
        <v>Product Distribution-Product Distribution - Market Rate</v>
      </c>
      <c r="Y53" s="79" t="s">
        <v>123</v>
      </c>
      <c r="Z53" s="247" t="s">
        <v>144</v>
      </c>
      <c r="AA53">
        <v>0</v>
      </c>
      <c r="AB53">
        <v>316.61</v>
      </c>
      <c r="AC53">
        <v>347.05</v>
      </c>
      <c r="AD53">
        <v>381.81</v>
      </c>
      <c r="AE53">
        <v>206.69</v>
      </c>
      <c r="AF53">
        <v>0</v>
      </c>
      <c r="AG53">
        <v>0</v>
      </c>
      <c r="AH53">
        <v>145.06</v>
      </c>
      <c r="AI53">
        <v>216.83</v>
      </c>
      <c r="AJ53">
        <v>249.15</v>
      </c>
      <c r="AK53">
        <v>199.36</v>
      </c>
      <c r="AL53">
        <v>102.22</v>
      </c>
      <c r="AM53" s="419">
        <v>2164.7799999999997</v>
      </c>
    </row>
    <row r="54" spans="1:39">
      <c r="A54" s="417" t="s">
        <v>265</v>
      </c>
      <c r="B54" s="213">
        <f t="shared" si="10"/>
        <v>4350.46155</v>
      </c>
      <c r="C54" s="213">
        <f t="shared" si="11"/>
        <v>643.09264000000007</v>
      </c>
      <c r="D54" s="213">
        <f t="shared" si="12"/>
        <v>7580.7156300000006</v>
      </c>
      <c r="F54" s="276" t="str">
        <f t="shared" si="8"/>
        <v>Residential New Construction-Affordable Housing New Construction</v>
      </c>
      <c r="G54" s="79" t="s">
        <v>264</v>
      </c>
      <c r="H54" s="247" t="s">
        <v>179</v>
      </c>
      <c r="I54">
        <v>0</v>
      </c>
      <c r="J54">
        <v>575.66999999999996</v>
      </c>
      <c r="K54">
        <v>318.66000000000003</v>
      </c>
      <c r="L54">
        <v>426.01</v>
      </c>
      <c r="M54">
        <v>191.42</v>
      </c>
      <c r="N54">
        <v>879.89</v>
      </c>
      <c r="O54">
        <v>45.22</v>
      </c>
      <c r="P54">
        <v>14.52</v>
      </c>
      <c r="Q54">
        <v>922.13</v>
      </c>
      <c r="R54">
        <v>197.2</v>
      </c>
      <c r="S54">
        <v>89.29</v>
      </c>
      <c r="T54">
        <v>0</v>
      </c>
      <c r="U54" s="419">
        <v>3660.01</v>
      </c>
      <c r="V54">
        <f t="shared" si="3"/>
        <v>2391.65</v>
      </c>
      <c r="X54" t="str">
        <f t="shared" si="5"/>
        <v>Residential New Construction-Total</v>
      </c>
      <c r="Y54" s="79" t="s">
        <v>264</v>
      </c>
      <c r="Z54" s="420" t="s">
        <v>227</v>
      </c>
      <c r="AA54" s="419">
        <v>432.99</v>
      </c>
      <c r="AB54" s="419">
        <v>1362.66</v>
      </c>
      <c r="AC54" s="419">
        <v>434.86</v>
      </c>
      <c r="AD54" s="419">
        <v>174.44</v>
      </c>
      <c r="AE54" s="419">
        <v>34.42</v>
      </c>
      <c r="AF54" s="419">
        <v>416.61</v>
      </c>
      <c r="AG54" s="419">
        <v>216.46</v>
      </c>
      <c r="AH54" s="419">
        <v>223.56</v>
      </c>
      <c r="AI54" s="419">
        <v>99.27000000000001</v>
      </c>
      <c r="AJ54" s="419">
        <v>120.89999999999999</v>
      </c>
      <c r="AK54" s="419">
        <v>197.9</v>
      </c>
      <c r="AL54" s="419">
        <v>80.72</v>
      </c>
      <c r="AM54" s="419">
        <v>3794.79</v>
      </c>
    </row>
    <row r="55" spans="1:39">
      <c r="A55" s="417" t="s">
        <v>266</v>
      </c>
      <c r="B55" s="213">
        <f t="shared" si="10"/>
        <v>5218.0211099999997</v>
      </c>
      <c r="C55" s="213">
        <f t="shared" si="11"/>
        <v>1594.7996499999999</v>
      </c>
      <c r="D55" s="213">
        <f t="shared" si="12"/>
        <v>4881.2330000000002</v>
      </c>
      <c r="F55" s="276" t="str">
        <f t="shared" si="8"/>
        <v>Residential New Construction-All-Electric New Construction</v>
      </c>
      <c r="G55" s="79" t="s">
        <v>264</v>
      </c>
      <c r="H55" s="247" t="s">
        <v>147</v>
      </c>
      <c r="I55">
        <v>4.1500000000000004</v>
      </c>
      <c r="J55">
        <v>0</v>
      </c>
      <c r="K55">
        <v>23.52</v>
      </c>
      <c r="L55">
        <v>16.010000000000002</v>
      </c>
      <c r="M55">
        <v>33.75</v>
      </c>
      <c r="N55">
        <v>46.85</v>
      </c>
      <c r="O55">
        <v>25.65</v>
      </c>
      <c r="P55">
        <v>18.809999999999999</v>
      </c>
      <c r="Q55">
        <v>41.61</v>
      </c>
      <c r="R55">
        <v>76.67</v>
      </c>
      <c r="S55">
        <v>10.82</v>
      </c>
      <c r="T55">
        <v>0</v>
      </c>
      <c r="U55" s="419">
        <v>297.84000000000003</v>
      </c>
      <c r="V55">
        <f t="shared" si="3"/>
        <v>124.28</v>
      </c>
      <c r="X55" s="276" t="str">
        <f t="shared" si="5"/>
        <v>Residential New Construction-Affordable Housing New Construction</v>
      </c>
      <c r="Y55" s="79" t="s">
        <v>264</v>
      </c>
      <c r="Z55" s="247" t="s">
        <v>179</v>
      </c>
      <c r="AA55">
        <v>432.99</v>
      </c>
      <c r="AB55">
        <v>1357.76</v>
      </c>
      <c r="AC55">
        <v>420.16</v>
      </c>
      <c r="AD55">
        <v>144.55000000000001</v>
      </c>
      <c r="AE55">
        <v>0</v>
      </c>
      <c r="AF55">
        <v>366.45</v>
      </c>
      <c r="AG55">
        <v>199.31</v>
      </c>
      <c r="AH55">
        <v>196.61</v>
      </c>
      <c r="AI55">
        <v>33.119999999999997</v>
      </c>
      <c r="AJ55">
        <v>108.77</v>
      </c>
      <c r="AK55">
        <v>150.49</v>
      </c>
      <c r="AL55">
        <v>51.25</v>
      </c>
      <c r="AM55" s="419">
        <v>3461.46</v>
      </c>
    </row>
    <row r="56" spans="1:39">
      <c r="A56" s="285" t="s">
        <v>267</v>
      </c>
      <c r="B56" s="445">
        <f>SUM(B48:B55)</f>
        <v>77733.973740100017</v>
      </c>
      <c r="C56" s="445">
        <f t="shared" ref="C56:D56" si="13">SUM(C48:C55)</f>
        <v>34379.60903</v>
      </c>
      <c r="D56" s="445">
        <f t="shared" si="13"/>
        <v>80602.707517400006</v>
      </c>
      <c r="E56" s="213"/>
      <c r="F56" t="str">
        <f t="shared" si="8"/>
        <v>Retail/Online-Total</v>
      </c>
      <c r="G56" s="79" t="s">
        <v>122</v>
      </c>
      <c r="H56" s="420" t="s">
        <v>227</v>
      </c>
      <c r="I56" s="419">
        <v>28857.33</v>
      </c>
      <c r="J56" s="419">
        <v>22913.23</v>
      </c>
      <c r="K56" s="419">
        <v>46283.95</v>
      </c>
      <c r="L56" s="419">
        <v>39800.979999999996</v>
      </c>
      <c r="M56" s="419">
        <v>14599.17</v>
      </c>
      <c r="N56" s="419">
        <v>31782.17</v>
      </c>
      <c r="O56" s="419">
        <v>22936.089999999997</v>
      </c>
      <c r="P56" s="419">
        <v>34585.56</v>
      </c>
      <c r="Q56" s="419">
        <v>34407.619999999995</v>
      </c>
      <c r="R56" s="419">
        <v>35689.550000000003</v>
      </c>
      <c r="S56" s="419">
        <v>34526.78</v>
      </c>
      <c r="T56" s="419">
        <v>42970.51</v>
      </c>
      <c r="U56" s="419">
        <v>389352.93999999994</v>
      </c>
      <c r="V56">
        <f t="shared" si="3"/>
        <v>184236.83000000002</v>
      </c>
      <c r="X56" s="276" t="str">
        <f t="shared" si="5"/>
        <v>Residential New Construction-All-Electric New Construction</v>
      </c>
      <c r="Y56" s="79" t="s">
        <v>264</v>
      </c>
      <c r="Z56" s="247" t="s">
        <v>147</v>
      </c>
      <c r="AA56">
        <v>0</v>
      </c>
      <c r="AB56">
        <v>4.9000000000000004</v>
      </c>
      <c r="AC56">
        <v>14.7</v>
      </c>
      <c r="AD56">
        <v>29.89</v>
      </c>
      <c r="AE56">
        <v>34.42</v>
      </c>
      <c r="AF56">
        <v>50.16</v>
      </c>
      <c r="AG56">
        <v>17.149999999999999</v>
      </c>
      <c r="AH56">
        <v>26.95</v>
      </c>
      <c r="AI56">
        <v>66.150000000000006</v>
      </c>
      <c r="AJ56">
        <v>12.13</v>
      </c>
      <c r="AK56">
        <v>47.41</v>
      </c>
      <c r="AL56">
        <v>29.47</v>
      </c>
      <c r="AM56" s="419">
        <v>333.33000000000004</v>
      </c>
    </row>
    <row r="57" spans="1:39">
      <c r="F57" s="276" t="str">
        <f t="shared" si="8"/>
        <v>Retail/Online-Retail - Income Eligible</v>
      </c>
      <c r="G57" s="79" t="s">
        <v>122</v>
      </c>
      <c r="H57" s="247" t="s">
        <v>175</v>
      </c>
      <c r="I57">
        <v>19016</v>
      </c>
      <c r="J57">
        <v>21351</v>
      </c>
      <c r="K57">
        <v>28161</v>
      </c>
      <c r="L57">
        <v>29657.999999999996</v>
      </c>
      <c r="M57">
        <v>15500</v>
      </c>
      <c r="N57">
        <v>24179</v>
      </c>
      <c r="O57">
        <v>15376.999999999998</v>
      </c>
      <c r="P57">
        <v>25601</v>
      </c>
      <c r="Q57">
        <v>24651</v>
      </c>
      <c r="R57">
        <v>25892</v>
      </c>
      <c r="S57">
        <v>27121.999999999996</v>
      </c>
      <c r="T57">
        <v>34274</v>
      </c>
      <c r="U57" s="419">
        <v>290782</v>
      </c>
      <c r="V57">
        <f t="shared" si="3"/>
        <v>137865</v>
      </c>
      <c r="X57" t="str">
        <f t="shared" si="5"/>
        <v>Retail/Online-Total</v>
      </c>
      <c r="Y57" s="79" t="s">
        <v>122</v>
      </c>
      <c r="Z57" s="420" t="s">
        <v>227</v>
      </c>
      <c r="AA57" s="419">
        <v>19028.22</v>
      </c>
      <c r="AB57" s="419">
        <v>26316.26</v>
      </c>
      <c r="AC57" s="419">
        <v>24672.19</v>
      </c>
      <c r="AD57" s="419">
        <v>22636.27</v>
      </c>
      <c r="AE57" s="419">
        <v>26553.68</v>
      </c>
      <c r="AF57" s="419">
        <v>34102.959999999999</v>
      </c>
      <c r="AG57" s="419">
        <v>28801.01</v>
      </c>
      <c r="AH57" s="419">
        <v>30698.86</v>
      </c>
      <c r="AI57" s="419">
        <v>32326.3</v>
      </c>
      <c r="AJ57" s="419">
        <v>27085.379999999997</v>
      </c>
      <c r="AK57" s="419">
        <v>35504.43</v>
      </c>
      <c r="AL57" s="419">
        <v>26343.98</v>
      </c>
      <c r="AM57" s="419">
        <v>334069.54000000004</v>
      </c>
    </row>
    <row r="58" spans="1:39">
      <c r="A58" s="484" t="s">
        <v>268</v>
      </c>
      <c r="F58" s="276" t="str">
        <f t="shared" si="8"/>
        <v>Retail/Online-Retail - Market Rate</v>
      </c>
      <c r="G58" s="79" t="s">
        <v>122</v>
      </c>
      <c r="H58" s="247" t="s">
        <v>269</v>
      </c>
      <c r="I58">
        <v>9477</v>
      </c>
      <c r="J58">
        <v>1272</v>
      </c>
      <c r="K58">
        <v>17815</v>
      </c>
      <c r="L58">
        <v>9588</v>
      </c>
      <c r="M58">
        <v>-1232</v>
      </c>
      <c r="N58">
        <v>7242</v>
      </c>
      <c r="O58">
        <v>6396</v>
      </c>
      <c r="P58">
        <v>8303</v>
      </c>
      <c r="Q58">
        <v>9475</v>
      </c>
      <c r="R58">
        <v>9444</v>
      </c>
      <c r="S58">
        <v>7171</v>
      </c>
      <c r="T58">
        <v>8620</v>
      </c>
      <c r="U58" s="419">
        <v>93571</v>
      </c>
      <c r="V58">
        <f t="shared" si="3"/>
        <v>44162</v>
      </c>
      <c r="X58" s="276" t="str">
        <f t="shared" si="5"/>
        <v>Retail/Online-Retail - Income Eligible</v>
      </c>
      <c r="Y58" s="79" t="s">
        <v>122</v>
      </c>
      <c r="Z58" s="247" t="s">
        <v>175</v>
      </c>
      <c r="AA58">
        <v>13296</v>
      </c>
      <c r="AB58">
        <v>18409</v>
      </c>
      <c r="AC58">
        <v>17386</v>
      </c>
      <c r="AD58">
        <v>13296</v>
      </c>
      <c r="AE58">
        <v>19432</v>
      </c>
      <c r="AF58">
        <v>18000</v>
      </c>
      <c r="AG58">
        <v>18409</v>
      </c>
      <c r="AH58">
        <v>18818</v>
      </c>
      <c r="AI58">
        <v>13296</v>
      </c>
      <c r="AJ58">
        <v>15340.999999999998</v>
      </c>
      <c r="AK58">
        <v>22500</v>
      </c>
      <c r="AL58">
        <v>16389</v>
      </c>
      <c r="AM58" s="419">
        <v>204572</v>
      </c>
    </row>
    <row r="59" spans="1:39">
      <c r="A59" s="458" t="s">
        <v>139</v>
      </c>
      <c r="B59" s="213">
        <f>B33+B34</f>
        <v>98570.94</v>
      </c>
      <c r="C59" s="213">
        <f>C33+C34</f>
        <v>46371.83</v>
      </c>
      <c r="D59" s="213">
        <f>D33+D34</f>
        <v>129497.54000000001</v>
      </c>
      <c r="F59" s="276" t="str">
        <f t="shared" si="8"/>
        <v>Retail/Online-Retail Products Platform</v>
      </c>
      <c r="G59" s="79" t="s">
        <v>122</v>
      </c>
      <c r="H59" s="247" t="s">
        <v>270</v>
      </c>
      <c r="I59">
        <v>364.33</v>
      </c>
      <c r="J59">
        <v>290.23</v>
      </c>
      <c r="K59">
        <v>307.95</v>
      </c>
      <c r="L59">
        <v>554.98</v>
      </c>
      <c r="M59">
        <v>331.17</v>
      </c>
      <c r="N59">
        <v>361.17</v>
      </c>
      <c r="O59">
        <v>1163.0899999999999</v>
      </c>
      <c r="P59">
        <v>681.56</v>
      </c>
      <c r="Q59">
        <v>281.62</v>
      </c>
      <c r="R59">
        <v>353.55</v>
      </c>
      <c r="S59">
        <v>233.78</v>
      </c>
      <c r="T59">
        <v>76.510000000000005</v>
      </c>
      <c r="U59" s="419">
        <v>4999.9399999999996</v>
      </c>
      <c r="V59">
        <f t="shared" si="3"/>
        <v>2209.83</v>
      </c>
      <c r="X59" s="276" t="str">
        <f t="shared" si="5"/>
        <v>Retail/Online-Retail - Market Rate</v>
      </c>
      <c r="Y59" s="79" t="s">
        <v>122</v>
      </c>
      <c r="Z59" s="247" t="s">
        <v>269</v>
      </c>
      <c r="AA59">
        <v>4525</v>
      </c>
      <c r="AB59">
        <v>6787</v>
      </c>
      <c r="AC59">
        <v>5995</v>
      </c>
      <c r="AD59">
        <v>8031</v>
      </c>
      <c r="AE59">
        <v>5769</v>
      </c>
      <c r="AF59">
        <v>14704.999999999998</v>
      </c>
      <c r="AG59">
        <v>8823</v>
      </c>
      <c r="AH59">
        <v>10520</v>
      </c>
      <c r="AI59">
        <v>17759</v>
      </c>
      <c r="AJ59">
        <v>10406</v>
      </c>
      <c r="AK59">
        <v>11311</v>
      </c>
      <c r="AL59">
        <v>8694</v>
      </c>
      <c r="AM59" s="419">
        <v>113325</v>
      </c>
    </row>
    <row r="60" spans="1:39" ht="30">
      <c r="A60" s="459" t="s">
        <v>161</v>
      </c>
      <c r="B60" s="213">
        <f>B42+B44</f>
        <v>5883</v>
      </c>
      <c r="C60" s="213">
        <f>C42+C44</f>
        <v>2108</v>
      </c>
      <c r="D60" s="213">
        <f>D42+D44</f>
        <v>6437.91</v>
      </c>
      <c r="F60" t="str">
        <f t="shared" si="8"/>
        <v>Total-</v>
      </c>
      <c r="G60" s="418" t="s">
        <v>227</v>
      </c>
      <c r="H60" s="247"/>
      <c r="I60" s="419">
        <v>2737.37</v>
      </c>
      <c r="J60" s="419">
        <v>2134.25</v>
      </c>
      <c r="K60" s="419">
        <v>3275.95</v>
      </c>
      <c r="L60" s="419">
        <v>4236.47</v>
      </c>
      <c r="M60" s="419">
        <v>4469.03</v>
      </c>
      <c r="N60" s="419">
        <v>3877</v>
      </c>
      <c r="O60" s="419">
        <v>4434.2700000000004</v>
      </c>
      <c r="P60" s="419">
        <v>6905.72</v>
      </c>
      <c r="Q60" s="419">
        <v>7037.2599999999993</v>
      </c>
      <c r="R60" s="419">
        <v>6169.6</v>
      </c>
      <c r="S60" s="419">
        <v>4795.5899999999992</v>
      </c>
      <c r="T60" s="419">
        <v>2561</v>
      </c>
      <c r="U60" s="419">
        <v>52633.509999999995</v>
      </c>
      <c r="V60">
        <f t="shared" si="3"/>
        <v>20730.07</v>
      </c>
      <c r="X60" s="276" t="str">
        <f t="shared" si="5"/>
        <v>Retail/Online-Retail Products Platform</v>
      </c>
      <c r="Y60" s="79" t="s">
        <v>122</v>
      </c>
      <c r="Z60" s="247" t="s">
        <v>270</v>
      </c>
      <c r="AA60">
        <v>1207.22</v>
      </c>
      <c r="AB60">
        <v>1120.26</v>
      </c>
      <c r="AC60">
        <v>1291.19</v>
      </c>
      <c r="AD60">
        <v>1309.27</v>
      </c>
      <c r="AE60">
        <v>1352.68</v>
      </c>
      <c r="AF60">
        <v>1397.96</v>
      </c>
      <c r="AG60">
        <v>1569.01</v>
      </c>
      <c r="AH60">
        <v>1360.86</v>
      </c>
      <c r="AI60">
        <v>1271.3</v>
      </c>
      <c r="AJ60">
        <v>1338.38</v>
      </c>
      <c r="AK60">
        <v>1693.43</v>
      </c>
      <c r="AL60">
        <v>1260.98</v>
      </c>
      <c r="AM60" s="419">
        <v>16172.54</v>
      </c>
    </row>
    <row r="61" spans="1:39" ht="30">
      <c r="A61" s="460" t="s">
        <v>167</v>
      </c>
      <c r="B61" s="213">
        <f>B37+B43+B35</f>
        <v>32560</v>
      </c>
      <c r="C61" s="213">
        <f>C37+C43+C35</f>
        <v>11579</v>
      </c>
      <c r="D61" s="213">
        <f>D37+D43+D35</f>
        <v>32042.670000000006</v>
      </c>
      <c r="F61" t="str">
        <f t="shared" si="8"/>
        <v>Multi-Family Upgrades-Total</v>
      </c>
      <c r="G61" s="79" t="s">
        <v>121</v>
      </c>
      <c r="H61" s="420" t="s">
        <v>227</v>
      </c>
      <c r="I61" s="419">
        <v>1298</v>
      </c>
      <c r="J61" s="419">
        <v>1043</v>
      </c>
      <c r="K61" s="419">
        <v>2194</v>
      </c>
      <c r="L61" s="419">
        <v>3189</v>
      </c>
      <c r="M61" s="419">
        <v>3455</v>
      </c>
      <c r="N61" s="419">
        <v>2622</v>
      </c>
      <c r="O61" s="419">
        <v>3298</v>
      </c>
      <c r="P61" s="419">
        <v>5534</v>
      </c>
      <c r="Q61" s="419">
        <v>5717</v>
      </c>
      <c r="R61" s="419">
        <v>4648</v>
      </c>
      <c r="S61" s="419">
        <v>3214</v>
      </c>
      <c r="T61" s="419">
        <v>1486</v>
      </c>
      <c r="U61" s="419">
        <v>37698</v>
      </c>
      <c r="V61">
        <f t="shared" si="3"/>
        <v>13801</v>
      </c>
      <c r="X61" t="str">
        <f t="shared" si="5"/>
        <v>Total-</v>
      </c>
      <c r="Y61" s="418" t="s">
        <v>227</v>
      </c>
      <c r="Z61" s="247"/>
      <c r="AA61" s="419">
        <v>2195.4100000000003</v>
      </c>
      <c r="AB61" s="419">
        <v>3065.5099999999998</v>
      </c>
      <c r="AC61" s="419">
        <v>3488.9199999999996</v>
      </c>
      <c r="AD61" s="419">
        <v>4300.58</v>
      </c>
      <c r="AE61" s="419">
        <v>5137.45</v>
      </c>
      <c r="AF61" s="419">
        <v>6043.03</v>
      </c>
      <c r="AG61" s="419">
        <v>5782.9699999999993</v>
      </c>
      <c r="AH61" s="419">
        <v>5788.9699999999993</v>
      </c>
      <c r="AI61" s="419">
        <v>5950.09</v>
      </c>
      <c r="AJ61" s="419">
        <v>4854.67</v>
      </c>
      <c r="AK61" s="419">
        <v>4141.99</v>
      </c>
      <c r="AL61" s="419">
        <v>2462.7799999999997</v>
      </c>
      <c r="AM61" s="419">
        <v>53212.37</v>
      </c>
    </row>
    <row r="62" spans="1:39">
      <c r="A62" s="461" t="s">
        <v>170</v>
      </c>
      <c r="B62" s="213">
        <f>B39+B36</f>
        <v>1698</v>
      </c>
      <c r="C62" s="213">
        <f>C39+C36</f>
        <v>952</v>
      </c>
      <c r="D62" s="213">
        <f>D39+D36</f>
        <v>1699.5</v>
      </c>
      <c r="F62" s="276" t="str">
        <f t="shared" si="8"/>
        <v>Multi-Family Upgrades-Heat Pump - IE</v>
      </c>
      <c r="G62" s="79" t="s">
        <v>121</v>
      </c>
      <c r="H62" s="247" t="s">
        <v>271</v>
      </c>
      <c r="I62">
        <v>774</v>
      </c>
      <c r="J62">
        <v>604</v>
      </c>
      <c r="K62">
        <v>1084</v>
      </c>
      <c r="L62">
        <v>652</v>
      </c>
      <c r="M62">
        <v>1491</v>
      </c>
      <c r="N62">
        <v>661</v>
      </c>
      <c r="O62">
        <v>542</v>
      </c>
      <c r="P62">
        <v>1381</v>
      </c>
      <c r="Q62">
        <v>1483</v>
      </c>
      <c r="R62">
        <v>1442</v>
      </c>
      <c r="S62">
        <v>1381</v>
      </c>
      <c r="T62">
        <v>392</v>
      </c>
      <c r="U62" s="419">
        <v>11887</v>
      </c>
      <c r="V62">
        <f t="shared" si="3"/>
        <v>5266</v>
      </c>
      <c r="X62" t="str">
        <f t="shared" si="5"/>
        <v>Multi-Family Upgrades-Total</v>
      </c>
      <c r="Y62" s="79" t="s">
        <v>121</v>
      </c>
      <c r="Z62" s="420" t="s">
        <v>227</v>
      </c>
      <c r="AA62" s="419">
        <v>1247.68</v>
      </c>
      <c r="AB62" s="419">
        <v>1716.29</v>
      </c>
      <c r="AC62" s="419">
        <v>2008.6999999999998</v>
      </c>
      <c r="AD62" s="419">
        <v>2819.91</v>
      </c>
      <c r="AE62" s="419">
        <v>3942.33</v>
      </c>
      <c r="AF62" s="419">
        <v>4801.91</v>
      </c>
      <c r="AG62" s="419">
        <v>4558.24</v>
      </c>
      <c r="AH62" s="419">
        <v>4210.24</v>
      </c>
      <c r="AI62" s="419">
        <v>4439.3600000000006</v>
      </c>
      <c r="AJ62" s="419">
        <v>3332.6099999999997</v>
      </c>
      <c r="AK62" s="419">
        <v>2668.91</v>
      </c>
      <c r="AL62" s="419">
        <v>1225.06</v>
      </c>
      <c r="AM62" s="419">
        <v>36971.240000000005</v>
      </c>
    </row>
    <row r="63" spans="1:39" ht="30">
      <c r="A63" s="462" t="s">
        <v>176</v>
      </c>
      <c r="B63" s="213">
        <f>B26+B27+B28</f>
        <v>271765.09999999998</v>
      </c>
      <c r="C63" s="213">
        <f>C26+C27+C28</f>
        <v>149529.26999999999</v>
      </c>
      <c r="D63" s="213">
        <f>D26+D27+D28</f>
        <v>301953.31</v>
      </c>
      <c r="F63" s="276" t="str">
        <f t="shared" si="8"/>
        <v>Multi-Family Upgrades-Heat Pump - PH</v>
      </c>
      <c r="G63" s="79" t="s">
        <v>121</v>
      </c>
      <c r="H63" s="247" t="s">
        <v>272</v>
      </c>
      <c r="I63">
        <v>0</v>
      </c>
      <c r="J63">
        <v>0</v>
      </c>
      <c r="K63">
        <v>0</v>
      </c>
      <c r="L63">
        <v>0</v>
      </c>
      <c r="M63">
        <v>0</v>
      </c>
      <c r="N63">
        <v>0</v>
      </c>
      <c r="O63">
        <v>0</v>
      </c>
      <c r="P63">
        <v>109</v>
      </c>
      <c r="Q63">
        <v>109</v>
      </c>
      <c r="R63">
        <v>109</v>
      </c>
      <c r="S63">
        <v>109</v>
      </c>
      <c r="T63">
        <v>107</v>
      </c>
      <c r="U63" s="419">
        <v>543</v>
      </c>
      <c r="V63">
        <f t="shared" si="3"/>
        <v>0</v>
      </c>
      <c r="X63" s="276" t="str">
        <f t="shared" si="5"/>
        <v>Multi-Family Upgrades-Heat Pump - IE</v>
      </c>
      <c r="Y63" s="79" t="s">
        <v>121</v>
      </c>
      <c r="Z63" s="247" t="s">
        <v>271</v>
      </c>
      <c r="AA63">
        <v>422.6</v>
      </c>
      <c r="AB63">
        <v>393.12</v>
      </c>
      <c r="AC63">
        <v>196.56</v>
      </c>
      <c r="AD63">
        <v>491.4</v>
      </c>
      <c r="AE63">
        <v>1284.06</v>
      </c>
      <c r="AF63">
        <v>1284.06</v>
      </c>
      <c r="AG63">
        <v>1234.92</v>
      </c>
      <c r="AH63">
        <v>1234.92</v>
      </c>
      <c r="AI63">
        <v>1339.61</v>
      </c>
      <c r="AJ63">
        <v>1339.61</v>
      </c>
      <c r="AK63">
        <v>958.91</v>
      </c>
      <c r="AL63">
        <v>560.20000000000005</v>
      </c>
      <c r="AM63" s="419">
        <v>10739.970000000001</v>
      </c>
    </row>
    <row r="64" spans="1:39" ht="30">
      <c r="A64" s="463" t="s">
        <v>182</v>
      </c>
      <c r="B64" s="252">
        <f>B54+B55</f>
        <v>9568.4826599999997</v>
      </c>
      <c r="C64" s="252">
        <f>C54+C55</f>
        <v>2237.8922899999998</v>
      </c>
      <c r="D64" s="252">
        <f>D54+D55</f>
        <v>12461.948630000001</v>
      </c>
      <c r="F64" s="276" t="str">
        <f t="shared" si="8"/>
        <v>Multi-Family Upgrades-Income Eligible</v>
      </c>
      <c r="G64" s="79" t="s">
        <v>121</v>
      </c>
      <c r="H64" s="247" t="s">
        <v>273</v>
      </c>
      <c r="I64">
        <v>333</v>
      </c>
      <c r="J64">
        <v>279</v>
      </c>
      <c r="K64">
        <v>911</v>
      </c>
      <c r="L64">
        <v>2178</v>
      </c>
      <c r="M64">
        <v>1331</v>
      </c>
      <c r="N64">
        <v>1191</v>
      </c>
      <c r="O64">
        <v>2088</v>
      </c>
      <c r="P64">
        <v>3396</v>
      </c>
      <c r="Q64">
        <v>3552</v>
      </c>
      <c r="R64">
        <v>2589</v>
      </c>
      <c r="S64">
        <v>1398</v>
      </c>
      <c r="T64">
        <v>846</v>
      </c>
      <c r="U64" s="419">
        <v>20092</v>
      </c>
      <c r="V64">
        <f t="shared" si="3"/>
        <v>6223</v>
      </c>
      <c r="X64" s="276" t="str">
        <f t="shared" si="5"/>
        <v>Multi-Family Upgrades-Heat Pump - PH</v>
      </c>
      <c r="Y64" s="79" t="s">
        <v>121</v>
      </c>
      <c r="Z64" s="247" t="s">
        <v>272</v>
      </c>
      <c r="AA64">
        <v>0</v>
      </c>
      <c r="AB64">
        <v>0</v>
      </c>
      <c r="AC64">
        <v>0</v>
      </c>
      <c r="AD64">
        <v>0</v>
      </c>
      <c r="AE64">
        <v>54.31</v>
      </c>
      <c r="AF64">
        <v>54.31</v>
      </c>
      <c r="AG64">
        <v>108.62</v>
      </c>
      <c r="AH64">
        <v>108.62</v>
      </c>
      <c r="AI64">
        <v>108.62</v>
      </c>
      <c r="AJ64">
        <v>54.31</v>
      </c>
      <c r="AK64">
        <v>54.31</v>
      </c>
      <c r="AL64">
        <v>0</v>
      </c>
      <c r="AM64" s="419">
        <v>543.1</v>
      </c>
    </row>
    <row r="65" spans="1:39">
      <c r="A65" s="524" t="s">
        <v>274</v>
      </c>
      <c r="B65" s="213">
        <f>B6+B7</f>
        <v>22964</v>
      </c>
      <c r="C65" s="213">
        <f>C6+C7</f>
        <v>7496</v>
      </c>
      <c r="D65" s="213">
        <f>D6+D7</f>
        <v>60999.999999999985</v>
      </c>
      <c r="F65" s="276" t="str">
        <f t="shared" si="8"/>
        <v>Multi-Family Upgrades-Market Rate</v>
      </c>
      <c r="G65" s="79" t="s">
        <v>121</v>
      </c>
      <c r="H65" s="247" t="s">
        <v>275</v>
      </c>
      <c r="I65">
        <v>151</v>
      </c>
      <c r="J65">
        <v>123</v>
      </c>
      <c r="K65">
        <v>199</v>
      </c>
      <c r="L65">
        <v>290</v>
      </c>
      <c r="M65">
        <v>266</v>
      </c>
      <c r="N65">
        <v>331</v>
      </c>
      <c r="O65">
        <v>393</v>
      </c>
      <c r="P65">
        <v>620</v>
      </c>
      <c r="Q65">
        <v>560</v>
      </c>
      <c r="R65">
        <v>480</v>
      </c>
      <c r="S65">
        <v>401</v>
      </c>
      <c r="T65">
        <v>207</v>
      </c>
      <c r="U65" s="419">
        <v>4021</v>
      </c>
      <c r="V65">
        <f t="shared" si="3"/>
        <v>1360</v>
      </c>
      <c r="X65" s="276" t="str">
        <f t="shared" si="5"/>
        <v>Multi-Family Upgrades-Income Eligible</v>
      </c>
      <c r="Y65" s="79" t="s">
        <v>121</v>
      </c>
      <c r="Z65" s="247" t="s">
        <v>273</v>
      </c>
      <c r="AA65">
        <v>706.74</v>
      </c>
      <c r="AB65">
        <v>1065.8</v>
      </c>
      <c r="AC65">
        <v>1494.31</v>
      </c>
      <c r="AD65">
        <v>1768.46</v>
      </c>
      <c r="AE65">
        <v>2003.94</v>
      </c>
      <c r="AF65">
        <v>2705.02</v>
      </c>
      <c r="AG65">
        <v>2414.4499999999998</v>
      </c>
      <c r="AH65">
        <v>2149.3000000000002</v>
      </c>
      <c r="AI65">
        <v>2249.7600000000002</v>
      </c>
      <c r="AJ65">
        <v>1782.43</v>
      </c>
      <c r="AK65">
        <v>1553.65</v>
      </c>
      <c r="AL65">
        <v>616.62</v>
      </c>
      <c r="AM65" s="419">
        <v>20510.480000000003</v>
      </c>
    </row>
    <row r="66" spans="1:39">
      <c r="F66" s="276" t="str">
        <f t="shared" si="8"/>
        <v>Multi-Family Upgrades-Public Housing</v>
      </c>
      <c r="G66" s="79" t="s">
        <v>121</v>
      </c>
      <c r="H66" s="247" t="s">
        <v>276</v>
      </c>
      <c r="I66">
        <v>40</v>
      </c>
      <c r="J66">
        <v>37</v>
      </c>
      <c r="K66">
        <v>0</v>
      </c>
      <c r="L66">
        <v>69</v>
      </c>
      <c r="M66">
        <v>367</v>
      </c>
      <c r="N66">
        <v>439</v>
      </c>
      <c r="O66">
        <v>275</v>
      </c>
      <c r="P66">
        <v>28</v>
      </c>
      <c r="Q66">
        <v>13</v>
      </c>
      <c r="R66">
        <v>28</v>
      </c>
      <c r="S66">
        <v>-75</v>
      </c>
      <c r="T66">
        <v>-66</v>
      </c>
      <c r="U66" s="419">
        <v>1155</v>
      </c>
      <c r="V66">
        <f t="shared" si="3"/>
        <v>952</v>
      </c>
      <c r="X66" s="276"/>
      <c r="Y66" s="79"/>
      <c r="Z66" s="247"/>
      <c r="AM66" s="419"/>
    </row>
    <row r="67" spans="1:39">
      <c r="A67" s="285" t="s">
        <v>277</v>
      </c>
      <c r="B67" s="445">
        <f>B46+B56</f>
        <v>1709941.1337401001</v>
      </c>
      <c r="C67" s="445">
        <f>C46+C56</f>
        <v>748266.85903000017</v>
      </c>
      <c r="D67" s="445">
        <f>D46+D56</f>
        <v>1728096.7675174</v>
      </c>
      <c r="F67" s="64" t="str">
        <f t="shared" si="8"/>
        <v>Single-Family Upgrades-Total</v>
      </c>
      <c r="G67" s="79" t="s">
        <v>120</v>
      </c>
      <c r="H67" s="519" t="s">
        <v>227</v>
      </c>
      <c r="I67" s="285">
        <v>1284.3700000000001</v>
      </c>
      <c r="J67" s="285">
        <v>1042.25</v>
      </c>
      <c r="K67" s="285">
        <v>1008.95</v>
      </c>
      <c r="L67" s="285">
        <v>985.47</v>
      </c>
      <c r="M67" s="285">
        <v>912.03</v>
      </c>
      <c r="N67" s="285">
        <v>1005</v>
      </c>
      <c r="O67" s="285">
        <v>761.27</v>
      </c>
      <c r="P67" s="285">
        <v>1031.7199999999998</v>
      </c>
      <c r="Q67" s="285">
        <v>1009.26</v>
      </c>
      <c r="R67" s="285">
        <v>1072.5999999999999</v>
      </c>
      <c r="S67" s="285">
        <v>1247.5899999999999</v>
      </c>
      <c r="T67" s="285">
        <v>900</v>
      </c>
      <c r="U67" s="522">
        <v>12260.510000000002</v>
      </c>
      <c r="V67">
        <f t="shared" si="3"/>
        <v>6238.07</v>
      </c>
      <c r="X67" s="276" t="str">
        <f t="shared" si="5"/>
        <v>Multi-Family Upgrades-Market Rate</v>
      </c>
      <c r="Y67" s="79" t="s">
        <v>121</v>
      </c>
      <c r="Z67" s="247" t="s">
        <v>275</v>
      </c>
      <c r="AA67">
        <v>78.010000000000005</v>
      </c>
      <c r="AB67">
        <v>199.87</v>
      </c>
      <c r="AC67">
        <v>277.89</v>
      </c>
      <c r="AD67">
        <v>480.18</v>
      </c>
      <c r="AE67">
        <v>558.20000000000005</v>
      </c>
      <c r="AF67">
        <v>599.62</v>
      </c>
      <c r="AG67">
        <v>638.63</v>
      </c>
      <c r="AH67">
        <v>555.78</v>
      </c>
      <c r="AI67">
        <v>599.62</v>
      </c>
      <c r="AJ67">
        <v>14.52</v>
      </c>
      <c r="AK67">
        <v>12.1</v>
      </c>
      <c r="AL67">
        <v>6.87</v>
      </c>
      <c r="AM67" s="419">
        <v>4021.29</v>
      </c>
    </row>
    <row r="68" spans="1:39">
      <c r="A68" s="285" t="s">
        <v>278</v>
      </c>
      <c r="B68" s="445">
        <f>SUM(B2:B5,B8:B25,B29:B32,B38,B40:B41,B45,B48:B53,B59:B65)</f>
        <v>1709941.1337401003</v>
      </c>
      <c r="C68" s="445">
        <f t="shared" ref="C68:D68" si="14">SUM(C2:C5,C8:C25,C29:C32,C38,C40:C41,C45,C48:C53,C59:C65)</f>
        <v>748266.85903000005</v>
      </c>
      <c r="D68" s="445">
        <f t="shared" si="14"/>
        <v>1728096.7675173997</v>
      </c>
      <c r="F68" s="276" t="str">
        <f t="shared" si="8"/>
        <v>Single-Family Upgrades-Home Energy Assessment - IE</v>
      </c>
      <c r="G68" s="79" t="s">
        <v>120</v>
      </c>
      <c r="H68" s="520" t="s">
        <v>279</v>
      </c>
      <c r="I68" s="521">
        <v>1038.49</v>
      </c>
      <c r="J68" s="521">
        <v>763.92</v>
      </c>
      <c r="K68" s="521">
        <v>767.76</v>
      </c>
      <c r="L68" s="521">
        <v>731.97</v>
      </c>
      <c r="M68" s="521">
        <v>531.16999999999996</v>
      </c>
      <c r="N68" s="521">
        <v>608</v>
      </c>
      <c r="O68" s="521">
        <v>428.02</v>
      </c>
      <c r="P68" s="521">
        <v>604.91999999999996</v>
      </c>
      <c r="Q68" s="521">
        <v>508.4</v>
      </c>
      <c r="R68" s="521">
        <v>578.54999999999995</v>
      </c>
      <c r="S68" s="521">
        <v>740.31</v>
      </c>
      <c r="T68" s="521">
        <v>544</v>
      </c>
      <c r="U68" s="521">
        <v>7845.51</v>
      </c>
      <c r="V68">
        <f t="shared" ref="V68:V77" si="15">SUM(I68:N68)</f>
        <v>4441.3100000000004</v>
      </c>
      <c r="X68" s="276" t="str">
        <f t="shared" si="5"/>
        <v>Multi-Family Upgrades-Public Housing</v>
      </c>
      <c r="Y68" s="79" t="s">
        <v>121</v>
      </c>
      <c r="Z68" s="247" t="s">
        <v>276</v>
      </c>
      <c r="AA68">
        <v>40.33</v>
      </c>
      <c r="AB68">
        <v>57.5</v>
      </c>
      <c r="AC68">
        <v>39.94</v>
      </c>
      <c r="AD68">
        <v>79.87</v>
      </c>
      <c r="AE68">
        <v>41.82</v>
      </c>
      <c r="AF68">
        <v>158.9</v>
      </c>
      <c r="AG68">
        <v>161.62</v>
      </c>
      <c r="AH68">
        <v>161.62</v>
      </c>
      <c r="AI68">
        <v>141.75</v>
      </c>
      <c r="AJ68">
        <v>141.74</v>
      </c>
      <c r="AK68">
        <v>89.94</v>
      </c>
      <c r="AL68">
        <v>41.37</v>
      </c>
      <c r="AM68" s="419">
        <v>1156.4000000000001</v>
      </c>
    </row>
    <row r="69" spans="1:39" ht="15.75" thickBot="1">
      <c r="F69" s="276" t="str">
        <f t="shared" si="8"/>
        <v>Single-Family Upgrades-Home Energy Assessment - MR</v>
      </c>
      <c r="G69" s="79" t="s">
        <v>120</v>
      </c>
      <c r="H69" s="247" t="s">
        <v>280</v>
      </c>
      <c r="I69">
        <v>58.88</v>
      </c>
      <c r="J69">
        <v>71.33</v>
      </c>
      <c r="K69">
        <v>45.19</v>
      </c>
      <c r="L69">
        <v>28.5</v>
      </c>
      <c r="M69">
        <v>39.86</v>
      </c>
      <c r="N69">
        <v>46</v>
      </c>
      <c r="O69">
        <v>47.25</v>
      </c>
      <c r="P69">
        <v>52.8</v>
      </c>
      <c r="Q69">
        <v>47.86</v>
      </c>
      <c r="R69">
        <v>47.05</v>
      </c>
      <c r="S69">
        <v>49.28</v>
      </c>
      <c r="T69">
        <v>92</v>
      </c>
      <c r="U69" s="419">
        <v>625.99999999999989</v>
      </c>
      <c r="V69">
        <f t="shared" si="15"/>
        <v>289.76</v>
      </c>
      <c r="X69" t="str">
        <f t="shared" si="5"/>
        <v>Single-Family Upgrades-Total</v>
      </c>
      <c r="Y69" s="79" t="s">
        <v>120</v>
      </c>
      <c r="Z69" s="420" t="s">
        <v>227</v>
      </c>
      <c r="AA69" s="419">
        <v>829</v>
      </c>
      <c r="AB69" s="419">
        <v>1181</v>
      </c>
      <c r="AC69" s="419">
        <v>1312</v>
      </c>
      <c r="AD69" s="419">
        <v>1357</v>
      </c>
      <c r="AE69" s="419">
        <v>1116</v>
      </c>
      <c r="AF69" s="419">
        <v>1162</v>
      </c>
      <c r="AG69" s="419">
        <v>1106</v>
      </c>
      <c r="AH69" s="419">
        <v>1460</v>
      </c>
      <c r="AI69" s="419">
        <v>1392</v>
      </c>
      <c r="AJ69" s="419">
        <v>1438</v>
      </c>
      <c r="AK69" s="419">
        <v>1389</v>
      </c>
      <c r="AL69" s="419">
        <v>1213</v>
      </c>
      <c r="AM69" s="419">
        <v>14955</v>
      </c>
    </row>
    <row r="70" spans="1:39">
      <c r="A70" s="485" t="s">
        <v>281</v>
      </c>
      <c r="B70" s="491" t="b">
        <f>B68=B67</f>
        <v>1</v>
      </c>
      <c r="C70" s="491" t="b">
        <f>C68=C67</f>
        <v>1</v>
      </c>
      <c r="D70" s="492" t="b">
        <f>D68=D67</f>
        <v>1</v>
      </c>
      <c r="F70" s="276" t="str">
        <f t="shared" si="8"/>
        <v>Single-Family Upgrades-Income Eligible Retrofits</v>
      </c>
      <c r="G70" s="79" t="s">
        <v>120</v>
      </c>
      <c r="H70" s="247" t="s">
        <v>282</v>
      </c>
      <c r="I70">
        <v>187</v>
      </c>
      <c r="J70">
        <v>207</v>
      </c>
      <c r="K70">
        <v>196</v>
      </c>
      <c r="L70">
        <v>225</v>
      </c>
      <c r="M70">
        <v>341</v>
      </c>
      <c r="N70">
        <v>351</v>
      </c>
      <c r="O70">
        <v>286</v>
      </c>
      <c r="P70">
        <v>374</v>
      </c>
      <c r="Q70">
        <v>453</v>
      </c>
      <c r="R70">
        <v>447</v>
      </c>
      <c r="S70">
        <v>458</v>
      </c>
      <c r="T70">
        <v>264</v>
      </c>
      <c r="U70" s="419">
        <v>3789</v>
      </c>
      <c r="V70">
        <f t="shared" si="15"/>
        <v>1507</v>
      </c>
      <c r="X70" s="276" t="str">
        <f t="shared" si="5"/>
        <v>Single-Family Upgrades-Home Energy Assessment - IE</v>
      </c>
      <c r="Y70" s="79" t="s">
        <v>120</v>
      </c>
      <c r="Z70" s="247" t="s">
        <v>279</v>
      </c>
      <c r="AA70">
        <v>540</v>
      </c>
      <c r="AB70">
        <v>836</v>
      </c>
      <c r="AC70">
        <v>766</v>
      </c>
      <c r="AD70">
        <v>722</v>
      </c>
      <c r="AE70">
        <v>581</v>
      </c>
      <c r="AF70">
        <v>591</v>
      </c>
      <c r="AG70">
        <v>561</v>
      </c>
      <c r="AH70">
        <v>865</v>
      </c>
      <c r="AI70">
        <v>772</v>
      </c>
      <c r="AJ70">
        <v>782</v>
      </c>
      <c r="AK70">
        <v>744</v>
      </c>
      <c r="AL70">
        <v>717</v>
      </c>
      <c r="AM70" s="419">
        <v>8477</v>
      </c>
    </row>
    <row r="71" spans="1:39" ht="15.75" thickBot="1">
      <c r="A71" s="488" t="s">
        <v>283</v>
      </c>
      <c r="B71" s="493" t="b">
        <f>B68='1- Ex Ante Results'!G117-'1- Ex Ante Results'!G115</f>
        <v>1</v>
      </c>
      <c r="C71" s="493" t="b">
        <f>C68=('1- Ex Ante Results'!D117-'1- Ex Ante Results'!D115)</f>
        <v>1</v>
      </c>
      <c r="D71" s="494" t="b">
        <f>D68=('1- Ex Ante Results'!E117-'1- Ex Ante Results'!E115)</f>
        <v>1</v>
      </c>
      <c r="F71" s="64" t="str">
        <f t="shared" ref="F71:F77" si="16">G71&amp;"-"&amp;H71</f>
        <v>Whole Home Electric-Total</v>
      </c>
      <c r="G71" s="79" t="s">
        <v>284</v>
      </c>
      <c r="H71" s="519" t="s">
        <v>227</v>
      </c>
      <c r="I71" s="285">
        <v>155</v>
      </c>
      <c r="J71" s="285">
        <v>49</v>
      </c>
      <c r="K71" s="285">
        <v>73</v>
      </c>
      <c r="L71" s="285">
        <v>62</v>
      </c>
      <c r="M71" s="285">
        <v>102</v>
      </c>
      <c r="N71" s="285">
        <v>250</v>
      </c>
      <c r="O71" s="285">
        <v>375</v>
      </c>
      <c r="P71" s="285">
        <v>340</v>
      </c>
      <c r="Q71" s="285">
        <v>311</v>
      </c>
      <c r="R71" s="285">
        <v>449</v>
      </c>
      <c r="S71" s="285">
        <v>334</v>
      </c>
      <c r="T71" s="285">
        <v>175</v>
      </c>
      <c r="U71" s="522">
        <v>2675</v>
      </c>
      <c r="V71">
        <f t="shared" si="15"/>
        <v>691</v>
      </c>
      <c r="X71" s="276" t="str">
        <f t="shared" ref="X71:X78" si="17">Y71&amp;"-"&amp;Z71</f>
        <v>Single-Family Upgrades-Home Energy Assessment - MR</v>
      </c>
      <c r="Y71" s="79" t="s">
        <v>120</v>
      </c>
      <c r="Z71" s="247" t="s">
        <v>280</v>
      </c>
      <c r="AA71">
        <v>38</v>
      </c>
      <c r="AB71">
        <v>47</v>
      </c>
      <c r="AC71">
        <v>40</v>
      </c>
      <c r="AD71">
        <v>45</v>
      </c>
      <c r="AE71">
        <v>31</v>
      </c>
      <c r="AF71">
        <v>53</v>
      </c>
      <c r="AG71">
        <v>23</v>
      </c>
      <c r="AH71">
        <v>43</v>
      </c>
      <c r="AI71">
        <v>34</v>
      </c>
      <c r="AJ71">
        <v>53</v>
      </c>
      <c r="AK71">
        <v>76</v>
      </c>
      <c r="AL71">
        <v>51</v>
      </c>
      <c r="AM71" s="419">
        <v>534</v>
      </c>
    </row>
    <row r="72" spans="1:39">
      <c r="F72" s="276" t="str">
        <f t="shared" si="16"/>
        <v>Whole Home Electric-Multi-Family IE (non-fuel switch)</v>
      </c>
      <c r="G72" s="79" t="s">
        <v>284</v>
      </c>
      <c r="H72" s="520" t="s">
        <v>285</v>
      </c>
      <c r="I72" s="419">
        <v>77</v>
      </c>
      <c r="J72" s="419">
        <v>0</v>
      </c>
      <c r="K72" s="419">
        <v>0</v>
      </c>
      <c r="L72" s="419">
        <v>0</v>
      </c>
      <c r="M72" s="419">
        <v>0</v>
      </c>
      <c r="N72" s="419">
        <v>13</v>
      </c>
      <c r="O72" s="419">
        <v>12</v>
      </c>
      <c r="P72" s="419">
        <v>0</v>
      </c>
      <c r="Q72" s="419">
        <v>62</v>
      </c>
      <c r="R72" s="419">
        <v>232</v>
      </c>
      <c r="S72" s="419">
        <v>126</v>
      </c>
      <c r="T72" s="419">
        <v>59</v>
      </c>
      <c r="U72" s="419">
        <v>581</v>
      </c>
      <c r="V72">
        <f t="shared" si="15"/>
        <v>90</v>
      </c>
      <c r="X72" s="276" t="str">
        <f t="shared" si="17"/>
        <v>Single-Family Upgrades-Income Eligible Retrofits</v>
      </c>
      <c r="Y72" s="79" t="s">
        <v>120</v>
      </c>
      <c r="Z72" s="247" t="s">
        <v>282</v>
      </c>
      <c r="AA72">
        <v>251</v>
      </c>
      <c r="AB72">
        <v>298</v>
      </c>
      <c r="AC72">
        <v>506</v>
      </c>
      <c r="AD72">
        <v>590</v>
      </c>
      <c r="AE72">
        <v>504</v>
      </c>
      <c r="AF72">
        <v>518</v>
      </c>
      <c r="AG72">
        <v>522</v>
      </c>
      <c r="AH72">
        <v>552</v>
      </c>
      <c r="AI72">
        <v>586</v>
      </c>
      <c r="AJ72">
        <v>603</v>
      </c>
      <c r="AK72">
        <v>569</v>
      </c>
      <c r="AL72">
        <v>445</v>
      </c>
      <c r="AM72" s="419">
        <v>5944</v>
      </c>
    </row>
    <row r="73" spans="1:39">
      <c r="B73" s="213"/>
      <c r="F73" s="276" t="str">
        <f t="shared" si="16"/>
        <v>Whole Home Electric-Single-Family IE (non-fuel switch)</v>
      </c>
      <c r="G73" s="79" t="s">
        <v>284</v>
      </c>
      <c r="H73" s="247" t="s">
        <v>286</v>
      </c>
      <c r="I73">
        <v>78</v>
      </c>
      <c r="J73">
        <v>49</v>
      </c>
      <c r="K73">
        <v>73</v>
      </c>
      <c r="L73">
        <v>62</v>
      </c>
      <c r="M73">
        <v>102</v>
      </c>
      <c r="N73">
        <v>237</v>
      </c>
      <c r="O73">
        <v>363</v>
      </c>
      <c r="P73">
        <v>340</v>
      </c>
      <c r="Q73">
        <v>249</v>
      </c>
      <c r="R73">
        <v>217</v>
      </c>
      <c r="S73">
        <v>208</v>
      </c>
      <c r="T73">
        <v>116</v>
      </c>
      <c r="U73" s="419">
        <v>2094</v>
      </c>
      <c r="V73">
        <f t="shared" si="15"/>
        <v>601</v>
      </c>
      <c r="X73" t="str">
        <f t="shared" si="17"/>
        <v>Whole Home Electric-Total</v>
      </c>
      <c r="Y73" s="79" t="s">
        <v>284</v>
      </c>
      <c r="Z73" s="420" t="s">
        <v>227</v>
      </c>
      <c r="AA73" s="419">
        <v>118.72999999999999</v>
      </c>
      <c r="AB73" s="419">
        <v>168.22</v>
      </c>
      <c r="AC73" s="419">
        <v>168.22</v>
      </c>
      <c r="AD73" s="419">
        <v>123.67</v>
      </c>
      <c r="AE73" s="419">
        <v>79.12</v>
      </c>
      <c r="AF73" s="419">
        <v>79.12</v>
      </c>
      <c r="AG73" s="419">
        <v>118.72999999999999</v>
      </c>
      <c r="AH73" s="419">
        <v>118.72999999999999</v>
      </c>
      <c r="AI73" s="419">
        <v>118.72999999999999</v>
      </c>
      <c r="AJ73" s="419">
        <v>84.06</v>
      </c>
      <c r="AK73" s="419">
        <v>84.080000000000013</v>
      </c>
      <c r="AL73" s="419">
        <v>24.72</v>
      </c>
      <c r="AM73" s="419">
        <v>1286.1300000000001</v>
      </c>
    </row>
    <row r="74" spans="1:39">
      <c r="F74" s="64" t="str">
        <f t="shared" si="16"/>
        <v>Total-</v>
      </c>
      <c r="G74" s="79" t="s">
        <v>227</v>
      </c>
      <c r="H74" s="247"/>
      <c r="I74">
        <v>6645</v>
      </c>
      <c r="J74">
        <v>5859</v>
      </c>
      <c r="K74">
        <v>5711</v>
      </c>
      <c r="L74">
        <v>5285</v>
      </c>
      <c r="M74">
        <v>5785</v>
      </c>
      <c r="N74">
        <v>7840</v>
      </c>
      <c r="O74">
        <v>8995</v>
      </c>
      <c r="P74">
        <v>9066</v>
      </c>
      <c r="Q74">
        <v>7478</v>
      </c>
      <c r="R74">
        <v>7243</v>
      </c>
      <c r="S74">
        <v>7458</v>
      </c>
      <c r="T74">
        <v>8918</v>
      </c>
      <c r="U74" s="419">
        <v>86283</v>
      </c>
      <c r="V74">
        <f t="shared" si="15"/>
        <v>37125</v>
      </c>
      <c r="X74" s="276" t="str">
        <f t="shared" si="17"/>
        <v>Whole Home Electric-Multi-Family IE (non-fuel switch)</v>
      </c>
      <c r="Y74" s="79" t="s">
        <v>284</v>
      </c>
      <c r="Z74" s="247" t="s">
        <v>285</v>
      </c>
      <c r="AA74">
        <v>79.22</v>
      </c>
      <c r="AB74">
        <v>118.83</v>
      </c>
      <c r="AC74">
        <v>118.83</v>
      </c>
      <c r="AD74">
        <v>79.22</v>
      </c>
      <c r="AE74">
        <v>39.61</v>
      </c>
      <c r="AF74">
        <v>39.61</v>
      </c>
      <c r="AG74">
        <v>79.22</v>
      </c>
      <c r="AH74">
        <v>79.22</v>
      </c>
      <c r="AI74">
        <v>79.22</v>
      </c>
      <c r="AJ74">
        <v>39.61</v>
      </c>
      <c r="AK74">
        <v>39.630000000000003</v>
      </c>
      <c r="AL74">
        <v>0</v>
      </c>
      <c r="AM74" s="419">
        <v>792.22</v>
      </c>
    </row>
    <row r="75" spans="1:39">
      <c r="F75" t="str">
        <f t="shared" si="16"/>
        <v>Behavior - Res/IE-Total</v>
      </c>
      <c r="G75" s="418" t="s">
        <v>287</v>
      </c>
      <c r="H75" s="519" t="s">
        <v>227</v>
      </c>
      <c r="I75" s="419">
        <v>6645</v>
      </c>
      <c r="J75" s="419">
        <v>5859</v>
      </c>
      <c r="K75" s="419">
        <v>5711</v>
      </c>
      <c r="L75" s="419">
        <v>5285</v>
      </c>
      <c r="M75" s="419">
        <v>5785</v>
      </c>
      <c r="N75" s="419">
        <v>7840</v>
      </c>
      <c r="O75" s="419">
        <v>8995</v>
      </c>
      <c r="P75" s="419">
        <v>9066</v>
      </c>
      <c r="Q75" s="419">
        <v>7478</v>
      </c>
      <c r="R75" s="419">
        <v>7243</v>
      </c>
      <c r="S75" s="419">
        <v>7458</v>
      </c>
      <c r="T75" s="419">
        <v>8918</v>
      </c>
      <c r="U75" s="419">
        <v>86283</v>
      </c>
      <c r="V75">
        <f t="shared" si="15"/>
        <v>37125</v>
      </c>
      <c r="X75" s="276" t="str">
        <f t="shared" si="17"/>
        <v>Whole Home Electric-Single-Family IE (non-fuel switch)</v>
      </c>
      <c r="Y75" s="79" t="s">
        <v>284</v>
      </c>
      <c r="Z75" s="247" t="s">
        <v>286</v>
      </c>
      <c r="AA75">
        <v>39.51</v>
      </c>
      <c r="AB75">
        <v>49.39</v>
      </c>
      <c r="AC75">
        <v>49.39</v>
      </c>
      <c r="AD75">
        <v>44.45</v>
      </c>
      <c r="AE75">
        <v>39.51</v>
      </c>
      <c r="AF75">
        <v>39.51</v>
      </c>
      <c r="AG75">
        <v>39.51</v>
      </c>
      <c r="AH75">
        <v>39.51</v>
      </c>
      <c r="AI75">
        <v>39.51</v>
      </c>
      <c r="AJ75">
        <v>44.45</v>
      </c>
      <c r="AK75">
        <v>44.45</v>
      </c>
      <c r="AL75">
        <v>24.72</v>
      </c>
      <c r="AM75" s="419">
        <v>493.90999999999997</v>
      </c>
    </row>
    <row r="76" spans="1:39">
      <c r="F76" s="276" t="str">
        <f t="shared" si="16"/>
        <v>Behavior - Res/IE-Home Energy Report</v>
      </c>
      <c r="G76" s="79" t="s">
        <v>287</v>
      </c>
      <c r="H76" s="520" t="s">
        <v>288</v>
      </c>
      <c r="I76" s="521">
        <v>6645</v>
      </c>
      <c r="J76" s="521">
        <v>5859</v>
      </c>
      <c r="K76" s="521">
        <v>5711</v>
      </c>
      <c r="L76" s="521">
        <v>5285</v>
      </c>
      <c r="M76" s="521">
        <v>5785</v>
      </c>
      <c r="N76" s="521">
        <v>7840</v>
      </c>
      <c r="O76" s="521">
        <v>8995</v>
      </c>
      <c r="P76" s="521">
        <v>9066</v>
      </c>
      <c r="Q76" s="521">
        <v>7478</v>
      </c>
      <c r="R76" s="521">
        <v>7243</v>
      </c>
      <c r="S76" s="521">
        <v>7458</v>
      </c>
      <c r="T76" s="521">
        <v>8918</v>
      </c>
      <c r="U76" s="521">
        <v>86283</v>
      </c>
      <c r="V76">
        <f t="shared" si="15"/>
        <v>37125</v>
      </c>
      <c r="X76" t="str">
        <f t="shared" si="17"/>
        <v>Total-</v>
      </c>
      <c r="Y76" s="418" t="s">
        <v>227</v>
      </c>
      <c r="Z76" s="247"/>
      <c r="AA76" s="419">
        <v>6964</v>
      </c>
      <c r="AB76" s="419">
        <v>6265</v>
      </c>
      <c r="AC76" s="419">
        <v>6411</v>
      </c>
      <c r="AD76" s="419">
        <v>5697</v>
      </c>
      <c r="AE76" s="419">
        <v>6432</v>
      </c>
      <c r="AF76" s="419">
        <v>7633</v>
      </c>
      <c r="AG76" s="419">
        <v>8583</v>
      </c>
      <c r="AH76" s="419">
        <v>8510</v>
      </c>
      <c r="AI76" s="419">
        <v>6985</v>
      </c>
      <c r="AJ76" s="419">
        <v>5981</v>
      </c>
      <c r="AK76" s="419">
        <v>6258</v>
      </c>
      <c r="AL76" s="419">
        <v>7615</v>
      </c>
      <c r="AM76" s="419">
        <v>83334</v>
      </c>
    </row>
    <row r="77" spans="1:39">
      <c r="F77" s="64" t="str">
        <f t="shared" si="16"/>
        <v>-</v>
      </c>
      <c r="G77" s="79"/>
      <c r="H77" s="247"/>
      <c r="I77" s="285">
        <v>103246.41999999998</v>
      </c>
      <c r="J77" s="285">
        <v>91361.75</v>
      </c>
      <c r="K77" s="285">
        <v>125502.6</v>
      </c>
      <c r="L77" s="285">
        <v>143157.28999999998</v>
      </c>
      <c r="M77" s="285">
        <v>115719.49</v>
      </c>
      <c r="N77" s="285">
        <v>134899.69999999998</v>
      </c>
      <c r="O77" s="285">
        <v>112172.99999999999</v>
      </c>
      <c r="P77" s="285">
        <v>153101.25</v>
      </c>
      <c r="Q77" s="285">
        <v>165307.99999999997</v>
      </c>
      <c r="R77" s="285">
        <v>172992.21000000005</v>
      </c>
      <c r="S77" s="285">
        <v>147147.59999999998</v>
      </c>
      <c r="T77" s="285">
        <v>167597.84999999998</v>
      </c>
      <c r="U77" s="522">
        <v>1632207.16</v>
      </c>
      <c r="V77">
        <f t="shared" si="15"/>
        <v>713887.25</v>
      </c>
      <c r="X77" t="str">
        <f t="shared" si="17"/>
        <v>Behavior - Res/IE-Total</v>
      </c>
      <c r="Y77" s="79" t="s">
        <v>287</v>
      </c>
      <c r="Z77" s="420" t="s">
        <v>227</v>
      </c>
      <c r="AA77" s="419">
        <v>6964</v>
      </c>
      <c r="AB77" s="419">
        <v>6265</v>
      </c>
      <c r="AC77" s="419">
        <v>6411</v>
      </c>
      <c r="AD77" s="419">
        <v>5697</v>
      </c>
      <c r="AE77" s="419">
        <v>6432</v>
      </c>
      <c r="AF77" s="419">
        <v>7633</v>
      </c>
      <c r="AG77" s="419">
        <v>8583</v>
      </c>
      <c r="AH77" s="419">
        <v>8510</v>
      </c>
      <c r="AI77" s="419">
        <v>6985</v>
      </c>
      <c r="AJ77" s="419">
        <v>5981</v>
      </c>
      <c r="AK77" s="419">
        <v>6258</v>
      </c>
      <c r="AL77" s="419">
        <v>7615</v>
      </c>
      <c r="AM77" s="419">
        <v>83334</v>
      </c>
    </row>
    <row r="78" spans="1:39">
      <c r="I78" s="419"/>
      <c r="J78" s="419"/>
      <c r="K78" s="419"/>
      <c r="L78" s="419"/>
      <c r="M78" s="419"/>
      <c r="N78" s="419"/>
      <c r="O78" s="419"/>
      <c r="P78" s="419"/>
      <c r="Q78" s="419"/>
      <c r="R78" s="419"/>
      <c r="S78" s="419"/>
      <c r="T78" s="419"/>
      <c r="U78" s="419"/>
      <c r="V78" s="523"/>
      <c r="X78" t="str">
        <f t="shared" si="17"/>
        <v>Behavior - Res/IE-Home Energy Report</v>
      </c>
      <c r="Y78" s="79" t="s">
        <v>287</v>
      </c>
      <c r="Z78" s="247" t="s">
        <v>288</v>
      </c>
      <c r="AA78">
        <v>6964</v>
      </c>
      <c r="AB78">
        <v>6265</v>
      </c>
      <c r="AC78">
        <v>6411</v>
      </c>
      <c r="AD78">
        <v>5697</v>
      </c>
      <c r="AE78">
        <v>6432</v>
      </c>
      <c r="AF78">
        <v>7633</v>
      </c>
      <c r="AG78">
        <v>8583</v>
      </c>
      <c r="AH78">
        <v>8510</v>
      </c>
      <c r="AI78">
        <v>6985</v>
      </c>
      <c r="AJ78">
        <v>5981</v>
      </c>
      <c r="AK78">
        <v>6258</v>
      </c>
      <c r="AL78">
        <v>7615</v>
      </c>
      <c r="AM78" s="419">
        <v>83334</v>
      </c>
    </row>
    <row r="79" spans="1:39">
      <c r="G79" s="430"/>
      <c r="H79" s="430"/>
      <c r="I79" s="426" t="s">
        <v>215</v>
      </c>
      <c r="J79" s="426" t="s">
        <v>216</v>
      </c>
      <c r="K79" s="426" t="s">
        <v>217</v>
      </c>
      <c r="L79" s="426" t="s">
        <v>218</v>
      </c>
      <c r="M79" s="426" t="s">
        <v>219</v>
      </c>
      <c r="N79" s="426" t="s">
        <v>220</v>
      </c>
      <c r="O79" s="426" t="s">
        <v>221</v>
      </c>
      <c r="P79" s="426" t="s">
        <v>222</v>
      </c>
      <c r="Q79" s="426" t="s">
        <v>223</v>
      </c>
      <c r="R79" s="426" t="s">
        <v>224</v>
      </c>
      <c r="S79" s="426" t="s">
        <v>225</v>
      </c>
      <c r="T79" s="426" t="s">
        <v>226</v>
      </c>
      <c r="U79" s="427" t="s">
        <v>227</v>
      </c>
      <c r="Z79" s="247"/>
      <c r="AA79" s="419">
        <v>62917.43</v>
      </c>
      <c r="AB79" s="419">
        <v>89368.94</v>
      </c>
      <c r="AC79" s="419">
        <v>98303.48</v>
      </c>
      <c r="AD79" s="419">
        <v>110334.72</v>
      </c>
      <c r="AE79" s="419">
        <v>127826.06</v>
      </c>
      <c r="AF79" s="419">
        <v>145668.82</v>
      </c>
      <c r="AG79" s="419">
        <v>151019.62</v>
      </c>
      <c r="AH79" s="419">
        <v>174518.69</v>
      </c>
      <c r="AI79" s="419">
        <v>178149.15</v>
      </c>
      <c r="AJ79" s="419">
        <v>167020.94</v>
      </c>
      <c r="AK79" s="419">
        <v>181023.84999999998</v>
      </c>
      <c r="AL79" s="419">
        <v>161342.35999999999</v>
      </c>
      <c r="AM79" s="419">
        <v>1647494.06</v>
      </c>
    </row>
    <row r="80" spans="1:39">
      <c r="G80" s="428" t="s">
        <v>228</v>
      </c>
      <c r="H80" s="428" t="s">
        <v>229</v>
      </c>
      <c r="I80" s="428" t="s">
        <v>289</v>
      </c>
      <c r="J80" s="428" t="s">
        <v>289</v>
      </c>
      <c r="K80" s="428" t="s">
        <v>289</v>
      </c>
      <c r="L80" s="428" t="s">
        <v>289</v>
      </c>
      <c r="M80" s="428" t="s">
        <v>289</v>
      </c>
      <c r="N80" s="428" t="s">
        <v>289</v>
      </c>
      <c r="O80" s="428" t="s">
        <v>289</v>
      </c>
      <c r="P80" s="428" t="s">
        <v>289</v>
      </c>
      <c r="Q80" s="428" t="s">
        <v>289</v>
      </c>
      <c r="R80" s="428" t="s">
        <v>289</v>
      </c>
      <c r="S80" s="428" t="s">
        <v>289</v>
      </c>
      <c r="T80" s="428" t="s">
        <v>289</v>
      </c>
      <c r="U80" s="429" t="s">
        <v>289</v>
      </c>
      <c r="V80" s="429" t="s">
        <v>231</v>
      </c>
      <c r="Y80" s="312"/>
      <c r="Z80" s="312"/>
      <c r="AA80" s="441" t="s">
        <v>215</v>
      </c>
      <c r="AB80" s="441" t="s">
        <v>216</v>
      </c>
      <c r="AC80" s="441" t="s">
        <v>217</v>
      </c>
      <c r="AD80" s="441" t="s">
        <v>218</v>
      </c>
      <c r="AE80" s="441" t="s">
        <v>219</v>
      </c>
      <c r="AF80" s="441" t="s">
        <v>220</v>
      </c>
      <c r="AG80" s="441" t="s">
        <v>221</v>
      </c>
      <c r="AH80" s="441" t="s">
        <v>222</v>
      </c>
      <c r="AI80" s="441" t="s">
        <v>223</v>
      </c>
      <c r="AJ80" s="441" t="s">
        <v>224</v>
      </c>
      <c r="AK80" s="441" t="s">
        <v>225</v>
      </c>
      <c r="AL80" s="441" t="s">
        <v>226</v>
      </c>
      <c r="AM80" s="442" t="s">
        <v>227</v>
      </c>
    </row>
    <row r="81" spans="6:39">
      <c r="F81" t="str">
        <f t="shared" ref="F81:F99" si="18">G81&amp;"-"&amp;H81</f>
        <v>-</v>
      </c>
      <c r="H81" s="247"/>
      <c r="I81" s="419">
        <v>1417</v>
      </c>
      <c r="J81" s="419">
        <v>108</v>
      </c>
      <c r="K81" s="419">
        <v>2097</v>
      </c>
      <c r="L81" s="419">
        <v>1515</v>
      </c>
      <c r="M81" s="419">
        <v>3014</v>
      </c>
      <c r="N81" s="419">
        <v>2254</v>
      </c>
      <c r="O81" s="419">
        <v>1328</v>
      </c>
      <c r="P81" s="419">
        <v>1362</v>
      </c>
      <c r="Q81" s="419">
        <v>875</v>
      </c>
      <c r="R81" s="419">
        <v>933</v>
      </c>
      <c r="S81" s="419">
        <v>993</v>
      </c>
      <c r="T81" s="419">
        <v>452</v>
      </c>
      <c r="U81" s="419">
        <v>16348</v>
      </c>
      <c r="V81">
        <f>SUM(I81:N81)</f>
        <v>10405</v>
      </c>
      <c r="Y81" s="443" t="s">
        <v>228</v>
      </c>
      <c r="Z81" s="443" t="s">
        <v>229</v>
      </c>
      <c r="AA81" s="443" t="s">
        <v>290</v>
      </c>
      <c r="AB81" s="443" t="s">
        <v>290</v>
      </c>
      <c r="AC81" s="443" t="s">
        <v>290</v>
      </c>
      <c r="AD81" s="443" t="s">
        <v>290</v>
      </c>
      <c r="AE81" s="443" t="s">
        <v>290</v>
      </c>
      <c r="AF81" s="443" t="s">
        <v>290</v>
      </c>
      <c r="AG81" s="443" t="s">
        <v>290</v>
      </c>
      <c r="AH81" s="443" t="s">
        <v>290</v>
      </c>
      <c r="AI81" s="443" t="s">
        <v>290</v>
      </c>
      <c r="AJ81" s="443" t="s">
        <v>290</v>
      </c>
      <c r="AK81" s="443" t="s">
        <v>290</v>
      </c>
      <c r="AL81" s="443" t="s">
        <v>290</v>
      </c>
      <c r="AM81" s="444" t="s">
        <v>290</v>
      </c>
    </row>
    <row r="82" spans="6:39">
      <c r="F82" t="str">
        <f t="shared" si="18"/>
        <v>Total-</v>
      </c>
      <c r="G82" s="418" t="s">
        <v>227</v>
      </c>
      <c r="H82" s="247"/>
      <c r="I82" s="419">
        <v>1417</v>
      </c>
      <c r="J82" s="419">
        <v>108</v>
      </c>
      <c r="K82" s="419">
        <v>2097</v>
      </c>
      <c r="L82" s="419">
        <v>1515</v>
      </c>
      <c r="M82" s="419">
        <v>3014</v>
      </c>
      <c r="N82" s="419">
        <v>2254</v>
      </c>
      <c r="O82" s="419">
        <v>1328</v>
      </c>
      <c r="P82" s="419">
        <v>1362</v>
      </c>
      <c r="Q82" s="419">
        <v>875</v>
      </c>
      <c r="R82" s="419">
        <v>933</v>
      </c>
      <c r="S82" s="419">
        <v>993</v>
      </c>
      <c r="T82" s="419">
        <v>452</v>
      </c>
      <c r="U82" s="419">
        <v>16348</v>
      </c>
      <c r="V82">
        <f t="shared" ref="V82:V99" si="19">SUM(I82:N82)</f>
        <v>10405</v>
      </c>
      <c r="X82" t="str">
        <f t="shared" ref="X82:X100" si="20">Y82&amp;"-"&amp;Z82</f>
        <v>-</v>
      </c>
      <c r="Z82" s="247"/>
      <c r="AA82" s="419">
        <v>462</v>
      </c>
      <c r="AB82" s="419">
        <v>469</v>
      </c>
      <c r="AC82" s="419">
        <v>922</v>
      </c>
      <c r="AD82" s="419">
        <v>1116</v>
      </c>
      <c r="AE82" s="419">
        <v>1569</v>
      </c>
      <c r="AF82" s="419">
        <v>1294</v>
      </c>
      <c r="AG82" s="419">
        <v>1328</v>
      </c>
      <c r="AH82" s="419">
        <v>1362</v>
      </c>
      <c r="AI82" s="419">
        <v>2719</v>
      </c>
      <c r="AJ82" s="419">
        <v>2702</v>
      </c>
      <c r="AK82" s="419">
        <v>1993</v>
      </c>
      <c r="AL82" s="419">
        <v>452</v>
      </c>
      <c r="AM82" s="419">
        <v>16388</v>
      </c>
    </row>
    <row r="83" spans="6:39">
      <c r="F83" t="str">
        <f>G83&amp;"-"&amp;H83&amp;"-Electrification"</f>
        <v>Midstream/Upstream-Total-Electrification</v>
      </c>
      <c r="G83" s="79" t="s">
        <v>31</v>
      </c>
      <c r="H83" s="420" t="s">
        <v>227</v>
      </c>
      <c r="I83" s="419">
        <v>1417</v>
      </c>
      <c r="J83" s="419">
        <v>108</v>
      </c>
      <c r="K83" s="419">
        <v>2097</v>
      </c>
      <c r="L83" s="419">
        <v>1515</v>
      </c>
      <c r="M83" s="419">
        <v>3014</v>
      </c>
      <c r="N83" s="419">
        <v>2254</v>
      </c>
      <c r="O83" s="419">
        <v>1328</v>
      </c>
      <c r="P83" s="419">
        <v>1362</v>
      </c>
      <c r="Q83" s="419">
        <v>875</v>
      </c>
      <c r="R83" s="419">
        <v>933</v>
      </c>
      <c r="S83" s="419">
        <v>993</v>
      </c>
      <c r="T83" s="419">
        <v>452</v>
      </c>
      <c r="U83" s="419">
        <v>16348</v>
      </c>
      <c r="V83">
        <f t="shared" si="19"/>
        <v>10405</v>
      </c>
      <c r="X83" t="str">
        <f t="shared" si="20"/>
        <v>Total-</v>
      </c>
      <c r="Y83" s="418" t="s">
        <v>227</v>
      </c>
      <c r="Z83" s="247"/>
      <c r="AA83" s="419">
        <v>462</v>
      </c>
      <c r="AB83" s="419">
        <v>469</v>
      </c>
      <c r="AC83" s="419">
        <v>922</v>
      </c>
      <c r="AD83" s="419">
        <v>1116</v>
      </c>
      <c r="AE83" s="419">
        <v>1569</v>
      </c>
      <c r="AF83" s="419">
        <v>1294</v>
      </c>
      <c r="AG83" s="419">
        <v>1328</v>
      </c>
      <c r="AH83" s="419">
        <v>1362</v>
      </c>
      <c r="AI83" s="419">
        <v>2719</v>
      </c>
      <c r="AJ83" s="419">
        <v>2702</v>
      </c>
      <c r="AK83" s="419">
        <v>1993</v>
      </c>
      <c r="AL83" s="419">
        <v>452</v>
      </c>
      <c r="AM83" s="419">
        <v>16388</v>
      </c>
    </row>
    <row r="84" spans="6:39">
      <c r="F84" s="276" t="str">
        <f t="shared" ref="F84:F98" si="21">G84&amp;"-"&amp;H84&amp;"-Electrification"</f>
        <v>Midstream/Upstream-Private-Electrification</v>
      </c>
      <c r="G84" s="79" t="s">
        <v>31</v>
      </c>
      <c r="H84" s="247" t="s">
        <v>234</v>
      </c>
      <c r="I84">
        <v>1417</v>
      </c>
      <c r="J84">
        <v>108</v>
      </c>
      <c r="K84">
        <v>2097</v>
      </c>
      <c r="L84">
        <v>1515</v>
      </c>
      <c r="M84">
        <v>3014</v>
      </c>
      <c r="N84">
        <v>2254</v>
      </c>
      <c r="O84">
        <v>1328</v>
      </c>
      <c r="P84">
        <v>1362</v>
      </c>
      <c r="Q84">
        <v>875</v>
      </c>
      <c r="R84">
        <v>933</v>
      </c>
      <c r="S84">
        <v>993</v>
      </c>
      <c r="T84">
        <v>452</v>
      </c>
      <c r="U84" s="419">
        <v>16348</v>
      </c>
      <c r="V84">
        <f t="shared" si="19"/>
        <v>10405</v>
      </c>
      <c r="X84" t="str">
        <f>Y84&amp;"-"&amp;Z84&amp;"-Electrification"</f>
        <v>Midstream/Upstream-Total-Electrification</v>
      </c>
      <c r="Y84" s="79" t="s">
        <v>31</v>
      </c>
      <c r="Z84" s="420" t="s">
        <v>227</v>
      </c>
      <c r="AA84" s="419">
        <v>462</v>
      </c>
      <c r="AB84" s="419">
        <v>469</v>
      </c>
      <c r="AC84" s="419">
        <v>922</v>
      </c>
      <c r="AD84" s="419">
        <v>1116</v>
      </c>
      <c r="AE84" s="419">
        <v>1569</v>
      </c>
      <c r="AF84" s="419">
        <v>1294</v>
      </c>
      <c r="AG84" s="419">
        <v>1328</v>
      </c>
      <c r="AH84" s="419">
        <v>1362</v>
      </c>
      <c r="AI84" s="419">
        <v>2719</v>
      </c>
      <c r="AJ84" s="419">
        <v>2702</v>
      </c>
      <c r="AK84" s="419">
        <v>1993</v>
      </c>
      <c r="AL84" s="419">
        <v>452</v>
      </c>
      <c r="AM84" s="419">
        <v>16388</v>
      </c>
    </row>
    <row r="85" spans="6:39">
      <c r="F85" t="str">
        <f t="shared" si="21"/>
        <v>--Electrification</v>
      </c>
      <c r="H85" s="247"/>
      <c r="I85" s="419">
        <v>4200.7675987999992</v>
      </c>
      <c r="J85" s="419">
        <v>3271.5845599999998</v>
      </c>
      <c r="K85" s="419">
        <v>3644.6469974000006</v>
      </c>
      <c r="L85" s="419">
        <v>3896.9566404000002</v>
      </c>
      <c r="M85" s="419">
        <v>4043.9919394000003</v>
      </c>
      <c r="N85" s="419">
        <v>4916.6612939999986</v>
      </c>
      <c r="O85" s="419">
        <v>5099.8720936000009</v>
      </c>
      <c r="P85" s="419">
        <v>5081.6912709999988</v>
      </c>
      <c r="Q85" s="419">
        <v>8232.5874909999984</v>
      </c>
      <c r="R85" s="419">
        <v>8138.3964359999982</v>
      </c>
      <c r="S85" s="419">
        <v>5724.3735378999982</v>
      </c>
      <c r="T85" s="419">
        <v>5134.4438805999998</v>
      </c>
      <c r="U85" s="419">
        <v>61385.973740099995</v>
      </c>
      <c r="V85">
        <f t="shared" si="19"/>
        <v>23974.609029999996</v>
      </c>
      <c r="X85" s="276" t="str">
        <f t="shared" ref="X85:X99" si="22">Y85&amp;"-"&amp;Z85&amp;"-Electrification"</f>
        <v>Midstream/Upstream-Private-Electrification</v>
      </c>
      <c r="Y85" s="79" t="s">
        <v>31</v>
      </c>
      <c r="Z85" s="247" t="s">
        <v>234</v>
      </c>
      <c r="AA85">
        <v>462</v>
      </c>
      <c r="AB85">
        <v>469</v>
      </c>
      <c r="AC85">
        <v>922</v>
      </c>
      <c r="AD85">
        <v>1116</v>
      </c>
      <c r="AE85">
        <v>1569</v>
      </c>
      <c r="AF85">
        <v>1294</v>
      </c>
      <c r="AG85">
        <v>1328</v>
      </c>
      <c r="AH85">
        <v>1362</v>
      </c>
      <c r="AI85">
        <v>2719</v>
      </c>
      <c r="AJ85">
        <v>2702</v>
      </c>
      <c r="AK85">
        <v>1993</v>
      </c>
      <c r="AL85">
        <v>452</v>
      </c>
      <c r="AM85" s="419">
        <v>16388</v>
      </c>
    </row>
    <row r="86" spans="6:39">
      <c r="F86" t="str">
        <f t="shared" si="21"/>
        <v>Total--Electrification</v>
      </c>
      <c r="G86" s="418" t="s">
        <v>227</v>
      </c>
      <c r="H86" s="247"/>
      <c r="I86" s="419">
        <v>3335.6338687999996</v>
      </c>
      <c r="J86" s="419">
        <v>3063.1159600000001</v>
      </c>
      <c r="K86" s="419">
        <v>3513.9395973999999</v>
      </c>
      <c r="L86" s="419">
        <v>3718.6699204000001</v>
      </c>
      <c r="M86" s="419">
        <v>3790.4392494000008</v>
      </c>
      <c r="N86" s="419">
        <v>4314.9181439999993</v>
      </c>
      <c r="O86" s="419">
        <v>4048.9818536000002</v>
      </c>
      <c r="P86" s="419">
        <v>4254.9180409999981</v>
      </c>
      <c r="Q86" s="419">
        <v>7384.0990309999988</v>
      </c>
      <c r="R86" s="419">
        <v>5695.5251459999999</v>
      </c>
      <c r="S86" s="419">
        <v>4234.9873478999998</v>
      </c>
      <c r="T86" s="419">
        <v>4462.2629205999992</v>
      </c>
      <c r="U86" s="419">
        <v>51817.491080100001</v>
      </c>
      <c r="V86">
        <f t="shared" si="19"/>
        <v>21736.71674</v>
      </c>
      <c r="X86" t="str">
        <f t="shared" si="22"/>
        <v>--Electrification</v>
      </c>
      <c r="Z86" s="247"/>
      <c r="AA86" s="419">
        <v>4014.73704</v>
      </c>
      <c r="AB86" s="419">
        <v>6062.7754000000004</v>
      </c>
      <c r="AC86" s="419">
        <v>5739.6797100000003</v>
      </c>
      <c r="AD86" s="419">
        <v>4670.7940159999962</v>
      </c>
      <c r="AE86" s="419">
        <v>4173.8824224</v>
      </c>
      <c r="AF86" s="419">
        <v>6521.6411939999998</v>
      </c>
      <c r="AG86" s="419">
        <v>6539.3566174999996</v>
      </c>
      <c r="AH86" s="419">
        <v>7039.309565999999</v>
      </c>
      <c r="AI86" s="419">
        <v>6680.159095</v>
      </c>
      <c r="AJ86" s="419">
        <v>5734.8965265000006</v>
      </c>
      <c r="AK86" s="419">
        <v>4301.2981450000007</v>
      </c>
      <c r="AL86" s="419">
        <v>2736.1777849999989</v>
      </c>
      <c r="AM86" s="419">
        <v>64214.707517399998</v>
      </c>
    </row>
    <row r="87" spans="6:39">
      <c r="F87" t="str">
        <f t="shared" si="21"/>
        <v>Contractor/Midstream Rebates-Total-Electrification</v>
      </c>
      <c r="G87" s="79" t="s">
        <v>258</v>
      </c>
      <c r="H87" s="420" t="s">
        <v>227</v>
      </c>
      <c r="I87" s="419">
        <v>3296.1544399999993</v>
      </c>
      <c r="J87" s="419">
        <v>2487.42119</v>
      </c>
      <c r="K87" s="419">
        <v>2382.6991899999998</v>
      </c>
      <c r="L87" s="419">
        <v>2980.5003500000003</v>
      </c>
      <c r="M87" s="419">
        <v>3151.1944699999995</v>
      </c>
      <c r="N87" s="419">
        <v>3176.6755199999998</v>
      </c>
      <c r="O87" s="419">
        <v>3820.73992</v>
      </c>
      <c r="P87" s="419">
        <v>4060.4927499999994</v>
      </c>
      <c r="Q87" s="419">
        <v>5245.3688199999997</v>
      </c>
      <c r="R87" s="419">
        <v>4717.6372899999997</v>
      </c>
      <c r="S87" s="419">
        <v>2211.0811699999995</v>
      </c>
      <c r="T87" s="419">
        <v>4339.95946</v>
      </c>
      <c r="U87" s="419">
        <v>41869.924570000003</v>
      </c>
      <c r="V87">
        <f t="shared" si="19"/>
        <v>17474.64516</v>
      </c>
      <c r="X87" t="str">
        <f t="shared" si="22"/>
        <v>Total--Electrification</v>
      </c>
      <c r="Y87" s="418" t="s">
        <v>227</v>
      </c>
      <c r="Z87" s="247"/>
      <c r="AA87" s="419">
        <v>2865.8890300000003</v>
      </c>
      <c r="AB87" s="419">
        <v>4437.1467899999989</v>
      </c>
      <c r="AC87" s="419">
        <v>4114.0511000000006</v>
      </c>
      <c r="AD87" s="419">
        <v>3473.1319759999969</v>
      </c>
      <c r="AE87" s="419">
        <v>3404.1576423999995</v>
      </c>
      <c r="AF87" s="419">
        <v>5751.9164140000003</v>
      </c>
      <c r="AG87" s="419">
        <v>5390.5086074999999</v>
      </c>
      <c r="AH87" s="419">
        <v>5890.4615559999984</v>
      </c>
      <c r="AI87" s="419">
        <v>5531.3110849999994</v>
      </c>
      <c r="AJ87" s="419">
        <v>4916.3577165000006</v>
      </c>
      <c r="AK87" s="419">
        <v>3484.7593349999997</v>
      </c>
      <c r="AL87" s="419">
        <v>2493.067634999999</v>
      </c>
      <c r="AM87" s="419">
        <v>51752.758887399999</v>
      </c>
    </row>
    <row r="88" spans="6:39">
      <c r="F88" s="276" t="str">
        <f t="shared" si="21"/>
        <v>Contractor/Midstream Rebates-Contractor/Midstream Rebates-Electrification</v>
      </c>
      <c r="G88" s="79" t="s">
        <v>258</v>
      </c>
      <c r="H88" s="247" t="s">
        <v>258</v>
      </c>
      <c r="I88">
        <v>3296.1544399999993</v>
      </c>
      <c r="J88">
        <v>2487.42119</v>
      </c>
      <c r="K88">
        <v>2382.6991899999998</v>
      </c>
      <c r="L88">
        <v>2980.5003500000003</v>
      </c>
      <c r="M88">
        <v>3151.1944699999995</v>
      </c>
      <c r="N88">
        <v>3176.6755199999998</v>
      </c>
      <c r="O88">
        <v>3820.73992</v>
      </c>
      <c r="P88">
        <v>4060.4927499999994</v>
      </c>
      <c r="Q88">
        <v>5245.3688199999997</v>
      </c>
      <c r="R88">
        <v>4717.6372899999997</v>
      </c>
      <c r="S88">
        <v>2211.0811699999995</v>
      </c>
      <c r="T88">
        <v>4339.95946</v>
      </c>
      <c r="U88" s="419">
        <v>41869.924570000003</v>
      </c>
      <c r="V88">
        <f t="shared" si="19"/>
        <v>17474.64516</v>
      </c>
      <c r="X88" t="str">
        <f t="shared" si="22"/>
        <v>Contractor/Midstream Rebates-Total-Electrification</v>
      </c>
      <c r="Y88" s="79" t="s">
        <v>258</v>
      </c>
      <c r="Z88" s="420" t="s">
        <v>227</v>
      </c>
      <c r="AA88" s="419">
        <v>2157.6889500000002</v>
      </c>
      <c r="AB88" s="419">
        <v>2169.9594599999996</v>
      </c>
      <c r="AC88" s="419">
        <v>2489.8995299999997</v>
      </c>
      <c r="AD88" s="419">
        <v>2808.5758100000003</v>
      </c>
      <c r="AE88" s="419">
        <v>3213.3282399999998</v>
      </c>
      <c r="AF88" s="419">
        <v>4498.5163599999996</v>
      </c>
      <c r="AG88" s="419">
        <v>4712.73992</v>
      </c>
      <c r="AH88" s="419">
        <v>5086.4927499999994</v>
      </c>
      <c r="AI88" s="419">
        <v>5126.3688199999997</v>
      </c>
      <c r="AJ88" s="419">
        <v>4575.6372899999997</v>
      </c>
      <c r="AK88" s="419">
        <v>2696.0811699999995</v>
      </c>
      <c r="AL88" s="419">
        <v>2169.9594599999996</v>
      </c>
      <c r="AM88" s="419">
        <v>41705.247759999998</v>
      </c>
    </row>
    <row r="89" spans="6:39">
      <c r="F89" t="str">
        <f t="shared" si="21"/>
        <v>Residential New Construction-Total-Electrification</v>
      </c>
      <c r="G89" s="79" t="s">
        <v>264</v>
      </c>
      <c r="H89" s="420" t="s">
        <v>227</v>
      </c>
      <c r="I89" s="419">
        <v>26.279428800000002</v>
      </c>
      <c r="J89" s="419">
        <v>567.82476999999994</v>
      </c>
      <c r="K89" s="419">
        <v>1103.8204073999998</v>
      </c>
      <c r="L89" s="419">
        <v>715.13949039999989</v>
      </c>
      <c r="M89" s="419">
        <v>580.89017459999991</v>
      </c>
      <c r="N89" s="419">
        <v>1128.0296555</v>
      </c>
      <c r="O89" s="419">
        <v>182.26494</v>
      </c>
      <c r="P89" s="419">
        <v>134.49121500000001</v>
      </c>
      <c r="Q89" s="419">
        <v>2072.5404800000001</v>
      </c>
      <c r="R89" s="419">
        <v>913.24829</v>
      </c>
      <c r="S89" s="419">
        <v>1951.0633449000002</v>
      </c>
      <c r="T89" s="419">
        <v>0</v>
      </c>
      <c r="U89" s="419">
        <v>9375.5921965999987</v>
      </c>
      <c r="V89">
        <f t="shared" si="19"/>
        <v>4121.9839266999988</v>
      </c>
      <c r="X89" s="276" t="str">
        <f t="shared" si="22"/>
        <v>Contractor/Midstream Rebates-Contractor/Midstream Rebates-Electrification</v>
      </c>
      <c r="Y89" s="79" t="s">
        <v>258</v>
      </c>
      <c r="Z89" s="247" t="s">
        <v>258</v>
      </c>
      <c r="AA89">
        <v>2157.6889500000002</v>
      </c>
      <c r="AB89">
        <v>2169.9594599999996</v>
      </c>
      <c r="AC89">
        <v>2489.8995299999997</v>
      </c>
      <c r="AD89">
        <v>2808.5758100000003</v>
      </c>
      <c r="AE89">
        <v>3213.3282399999998</v>
      </c>
      <c r="AF89">
        <v>4498.5163599999996</v>
      </c>
      <c r="AG89">
        <v>4712.73992</v>
      </c>
      <c r="AH89">
        <v>5086.4927499999994</v>
      </c>
      <c r="AI89">
        <v>5126.3688199999997</v>
      </c>
      <c r="AJ89">
        <v>4575.6372899999997</v>
      </c>
      <c r="AK89">
        <v>2696.0811699999995</v>
      </c>
      <c r="AL89">
        <v>2169.9594599999996</v>
      </c>
      <c r="AM89" s="419">
        <v>41705.247759999998</v>
      </c>
    </row>
    <row r="90" spans="6:39">
      <c r="F90" s="276" t="str">
        <f t="shared" si="21"/>
        <v>Residential New Construction-Affordable Housing New Construction-Electrification</v>
      </c>
      <c r="G90" s="79" t="s">
        <v>264</v>
      </c>
      <c r="H90" s="247" t="s">
        <v>179</v>
      </c>
      <c r="I90">
        <v>0</v>
      </c>
      <c r="J90">
        <v>567.82476999999994</v>
      </c>
      <c r="K90">
        <v>1040.9884499999998</v>
      </c>
      <c r="L90">
        <v>666.34640000000002</v>
      </c>
      <c r="M90">
        <v>459.54560999999995</v>
      </c>
      <c r="N90">
        <v>1001.13454</v>
      </c>
      <c r="O90">
        <v>39.04674</v>
      </c>
      <c r="P90">
        <v>45.707160000000002</v>
      </c>
      <c r="Q90">
        <v>1870.5282999999997</v>
      </c>
      <c r="R90">
        <v>551.88805000000002</v>
      </c>
      <c r="S90">
        <v>1753.2140899999997</v>
      </c>
      <c r="T90">
        <v>0</v>
      </c>
      <c r="U90" s="419">
        <v>7996.2241100000001</v>
      </c>
      <c r="V90">
        <f t="shared" si="19"/>
        <v>3735.83977</v>
      </c>
      <c r="X90" t="str">
        <f t="shared" si="22"/>
        <v>Residential New Construction-Total-Electrification</v>
      </c>
      <c r="Y90" s="79" t="s">
        <v>264</v>
      </c>
      <c r="Z90" s="420" t="s">
        <v>227</v>
      </c>
      <c r="AA90" s="419">
        <v>698.13007999999991</v>
      </c>
      <c r="AB90" s="419">
        <v>2252.2773299999994</v>
      </c>
      <c r="AC90" s="419">
        <v>1610.84157</v>
      </c>
      <c r="AD90" s="419">
        <v>647.9661659999947</v>
      </c>
      <c r="AE90" s="419">
        <v>177.68940240000001</v>
      </c>
      <c r="AF90" s="419">
        <v>1223.820054</v>
      </c>
      <c r="AG90" s="419">
        <v>659.0786875</v>
      </c>
      <c r="AH90" s="419">
        <v>782.05880599999989</v>
      </c>
      <c r="AI90" s="419">
        <v>370.27226500000006</v>
      </c>
      <c r="AJ90" s="419">
        <v>319.46042649999998</v>
      </c>
      <c r="AK90" s="419">
        <v>764.84816500000011</v>
      </c>
      <c r="AL90" s="419">
        <v>305.57817499999999</v>
      </c>
      <c r="AM90" s="419">
        <v>9812.0211273999921</v>
      </c>
    </row>
    <row r="91" spans="6:39">
      <c r="F91" s="276" t="str">
        <f t="shared" si="21"/>
        <v>Residential New Construction-All-Electric New Construction-Electrification</v>
      </c>
      <c r="G91" s="79" t="s">
        <v>264</v>
      </c>
      <c r="H91" s="247" t="s">
        <v>147</v>
      </c>
      <c r="I91">
        <v>26.279428800000002</v>
      </c>
      <c r="J91">
        <v>0</v>
      </c>
      <c r="K91">
        <v>62.8319574</v>
      </c>
      <c r="L91">
        <v>48.793090400000011</v>
      </c>
      <c r="M91">
        <v>121.34456459999998</v>
      </c>
      <c r="N91">
        <v>126.89511549999997</v>
      </c>
      <c r="O91">
        <v>143.2182</v>
      </c>
      <c r="P91">
        <v>88.784054999999995</v>
      </c>
      <c r="Q91">
        <v>202.01218</v>
      </c>
      <c r="R91">
        <v>361.36024000000003</v>
      </c>
      <c r="S91">
        <v>197.84925490000003</v>
      </c>
      <c r="T91">
        <v>0</v>
      </c>
      <c r="U91" s="419">
        <v>1379.3680865999997</v>
      </c>
      <c r="V91">
        <f t="shared" si="19"/>
        <v>386.14415669999994</v>
      </c>
      <c r="X91" s="276" t="str">
        <f t="shared" si="22"/>
        <v>Residential New Construction-Affordable Housing New Construction-Electrification</v>
      </c>
      <c r="Y91" s="79" t="s">
        <v>264</v>
      </c>
      <c r="Z91" s="247" t="s">
        <v>179</v>
      </c>
      <c r="AA91">
        <v>698.13007999999991</v>
      </c>
      <c r="AB91">
        <v>2228.9435299999996</v>
      </c>
      <c r="AC91">
        <v>1540.8401699999999</v>
      </c>
      <c r="AD91">
        <v>501.92936999999438</v>
      </c>
      <c r="AE91">
        <v>0</v>
      </c>
      <c r="AF91">
        <v>975.34837999999991</v>
      </c>
      <c r="AG91">
        <v>569.30872750000003</v>
      </c>
      <c r="AH91">
        <v>644.23439000000008</v>
      </c>
      <c r="AI91">
        <v>21.244325000000003</v>
      </c>
      <c r="AJ91">
        <v>255.17540750000001</v>
      </c>
      <c r="AK91">
        <v>525.95388700000001</v>
      </c>
      <c r="AL91">
        <v>128.50817499999999</v>
      </c>
      <c r="AM91" s="419">
        <v>8089.6164419999877</v>
      </c>
    </row>
    <row r="92" spans="6:39">
      <c r="F92" t="str">
        <f t="shared" si="21"/>
        <v>Retail/Online-Total-Electrification</v>
      </c>
      <c r="G92" s="79" t="s">
        <v>122</v>
      </c>
      <c r="H92" s="420" t="s">
        <v>227</v>
      </c>
      <c r="I92" s="419">
        <v>13.2</v>
      </c>
      <c r="J92" s="419">
        <v>7.87</v>
      </c>
      <c r="K92" s="419">
        <v>27.42</v>
      </c>
      <c r="L92" s="419">
        <v>23.030079999999998</v>
      </c>
      <c r="M92" s="419">
        <v>58.354604799999997</v>
      </c>
      <c r="N92" s="419">
        <v>10.212968499999999</v>
      </c>
      <c r="O92" s="419">
        <v>45.976993599999993</v>
      </c>
      <c r="P92" s="419">
        <v>59.934075999999997</v>
      </c>
      <c r="Q92" s="419">
        <v>66.189730999999995</v>
      </c>
      <c r="R92" s="419">
        <v>64.639566000000002</v>
      </c>
      <c r="S92" s="419">
        <v>72.842832999999999</v>
      </c>
      <c r="T92" s="419">
        <v>122.30346059999999</v>
      </c>
      <c r="U92" s="419">
        <v>571.97431349999999</v>
      </c>
      <c r="V92">
        <f t="shared" si="19"/>
        <v>140.0876533</v>
      </c>
      <c r="X92" s="276" t="str">
        <f t="shared" si="22"/>
        <v>Residential New Construction-All-Electric New Construction-Electrification</v>
      </c>
      <c r="Y92" s="79" t="s">
        <v>264</v>
      </c>
      <c r="Z92" s="247" t="s">
        <v>147</v>
      </c>
      <c r="AA92">
        <v>0</v>
      </c>
      <c r="AB92">
        <v>23.3338</v>
      </c>
      <c r="AC92">
        <v>70.00139999999999</v>
      </c>
      <c r="AD92">
        <v>146.03679600000001</v>
      </c>
      <c r="AE92">
        <v>177.68940240000001</v>
      </c>
      <c r="AF92">
        <v>248.47167400000001</v>
      </c>
      <c r="AG92">
        <v>89.769959999999998</v>
      </c>
      <c r="AH92">
        <v>137.82441599999999</v>
      </c>
      <c r="AI92">
        <v>349.02793999999994</v>
      </c>
      <c r="AJ92">
        <v>64.285019000000005</v>
      </c>
      <c r="AK92">
        <v>238.89427799999993</v>
      </c>
      <c r="AL92">
        <v>177.07</v>
      </c>
      <c r="AM92" s="419">
        <v>1722.4046853999998</v>
      </c>
    </row>
    <row r="93" spans="6:39">
      <c r="F93" s="276" t="str">
        <f t="shared" si="21"/>
        <v>Retail/Online-Retail - Income Eligible-Electrification</v>
      </c>
      <c r="G93" s="79" t="s">
        <v>122</v>
      </c>
      <c r="H93" s="247" t="s">
        <v>175</v>
      </c>
      <c r="I93">
        <v>2</v>
      </c>
      <c r="J93">
        <v>2</v>
      </c>
      <c r="K93">
        <v>10.6</v>
      </c>
      <c r="L93">
        <v>-1.90211</v>
      </c>
      <c r="M93">
        <v>9.9761000000000006</v>
      </c>
      <c r="N93">
        <v>1.2320599999999999</v>
      </c>
      <c r="O93">
        <v>7.63096</v>
      </c>
      <c r="P93">
        <v>13.88955</v>
      </c>
      <c r="Q93">
        <v>14.68435</v>
      </c>
      <c r="R93">
        <v>11.3706</v>
      </c>
      <c r="S93">
        <v>13.286100000000001</v>
      </c>
      <c r="T93">
        <v>26.1002346</v>
      </c>
      <c r="U93" s="419">
        <v>110.8678446</v>
      </c>
      <c r="V93">
        <f t="shared" si="19"/>
        <v>23.90605</v>
      </c>
      <c r="X93" t="str">
        <f t="shared" si="22"/>
        <v>Retail/Online-Total-Electrification</v>
      </c>
      <c r="Y93" s="79" t="s">
        <v>122</v>
      </c>
      <c r="Z93" s="420" t="s">
        <v>227</v>
      </c>
      <c r="AA93" s="419">
        <v>10.07</v>
      </c>
      <c r="AB93" s="419">
        <v>14.91</v>
      </c>
      <c r="AC93" s="419">
        <v>13.31</v>
      </c>
      <c r="AD93" s="419">
        <v>16.59</v>
      </c>
      <c r="AE93" s="419">
        <v>13.14</v>
      </c>
      <c r="AF93" s="419">
        <v>29.58</v>
      </c>
      <c r="AG93" s="419">
        <v>18.689999999999998</v>
      </c>
      <c r="AH93" s="419">
        <v>21.91</v>
      </c>
      <c r="AI93" s="419">
        <v>34.669999999999995</v>
      </c>
      <c r="AJ93" s="419">
        <v>21.26</v>
      </c>
      <c r="AK93" s="419">
        <v>23.830000000000002</v>
      </c>
      <c r="AL93" s="419">
        <v>17.53</v>
      </c>
      <c r="AM93" s="419">
        <v>235.49</v>
      </c>
    </row>
    <row r="94" spans="6:39">
      <c r="F94" s="276" t="str">
        <f t="shared" si="21"/>
        <v>Retail/Online-Retail - Market Rate-Electrification</v>
      </c>
      <c r="G94" s="79" t="s">
        <v>122</v>
      </c>
      <c r="H94" s="247" t="s">
        <v>269</v>
      </c>
      <c r="I94">
        <v>11.2</v>
      </c>
      <c r="J94">
        <v>5.87</v>
      </c>
      <c r="K94">
        <v>16.82</v>
      </c>
      <c r="L94">
        <v>24.932189999999999</v>
      </c>
      <c r="M94">
        <v>48.378504799999995</v>
      </c>
      <c r="N94">
        <v>8.9809085</v>
      </c>
      <c r="O94">
        <v>38.346033599999998</v>
      </c>
      <c r="P94">
        <v>46.044526000000005</v>
      </c>
      <c r="Q94">
        <v>51.505381</v>
      </c>
      <c r="R94">
        <v>53.268965999999999</v>
      </c>
      <c r="S94">
        <v>59.556732999999994</v>
      </c>
      <c r="T94">
        <v>96.203226000000001</v>
      </c>
      <c r="U94" s="419">
        <v>461.10646889999998</v>
      </c>
      <c r="V94">
        <f t="shared" si="19"/>
        <v>116.18160329999999</v>
      </c>
      <c r="X94" s="276" t="str">
        <f t="shared" si="22"/>
        <v>Retail/Online-Retail - Income Eligible-Electrification</v>
      </c>
      <c r="Y94" s="79" t="s">
        <v>122</v>
      </c>
      <c r="Z94" s="247" t="s">
        <v>175</v>
      </c>
      <c r="AA94">
        <v>1.66</v>
      </c>
      <c r="AB94">
        <v>2.29</v>
      </c>
      <c r="AC94">
        <v>2.17</v>
      </c>
      <c r="AD94">
        <v>1.66</v>
      </c>
      <c r="AE94">
        <v>2.42</v>
      </c>
      <c r="AF94">
        <v>2.2400000000000002</v>
      </c>
      <c r="AG94">
        <v>2.29</v>
      </c>
      <c r="AH94">
        <v>2.35</v>
      </c>
      <c r="AI94">
        <v>1.66</v>
      </c>
      <c r="AJ94">
        <v>1.91</v>
      </c>
      <c r="AK94">
        <v>2.8</v>
      </c>
      <c r="AL94">
        <v>2.04</v>
      </c>
      <c r="AM94" s="419">
        <v>25.490000000000002</v>
      </c>
    </row>
    <row r="95" spans="6:39">
      <c r="F95" t="str">
        <f t="shared" si="21"/>
        <v>Total--Electrification</v>
      </c>
      <c r="G95" s="418" t="s">
        <v>227</v>
      </c>
      <c r="H95" s="247"/>
      <c r="I95" s="419">
        <v>865.13373000000001</v>
      </c>
      <c r="J95" s="419">
        <v>208.46859999999998</v>
      </c>
      <c r="K95" s="419">
        <v>130.70740000000001</v>
      </c>
      <c r="L95" s="419">
        <v>178.28672</v>
      </c>
      <c r="M95" s="419">
        <v>253.55269000000004</v>
      </c>
      <c r="N95" s="419">
        <v>601.74315000000001</v>
      </c>
      <c r="O95" s="419">
        <v>1050.8902399999997</v>
      </c>
      <c r="P95" s="419">
        <v>826.77323000000001</v>
      </c>
      <c r="Q95" s="419">
        <v>848.48846000000003</v>
      </c>
      <c r="R95" s="419">
        <v>2442.8712899999991</v>
      </c>
      <c r="S95" s="419">
        <v>1489.3861899999999</v>
      </c>
      <c r="T95" s="419">
        <v>672.18095999999991</v>
      </c>
      <c r="U95" s="419">
        <v>9568.4826599999997</v>
      </c>
      <c r="V95">
        <f t="shared" si="19"/>
        <v>2237.8922899999998</v>
      </c>
      <c r="X95" s="276" t="str">
        <f t="shared" si="22"/>
        <v>Retail/Online-Retail - Market Rate-Electrification</v>
      </c>
      <c r="Y95" s="79" t="s">
        <v>122</v>
      </c>
      <c r="Z95" s="247" t="s">
        <v>269</v>
      </c>
      <c r="AA95">
        <v>8.41</v>
      </c>
      <c r="AB95">
        <v>12.62</v>
      </c>
      <c r="AC95">
        <v>11.14</v>
      </c>
      <c r="AD95">
        <v>14.93</v>
      </c>
      <c r="AE95">
        <v>10.72</v>
      </c>
      <c r="AF95">
        <v>27.34</v>
      </c>
      <c r="AG95">
        <v>16.399999999999999</v>
      </c>
      <c r="AH95">
        <v>19.559999999999999</v>
      </c>
      <c r="AI95">
        <v>33.01</v>
      </c>
      <c r="AJ95">
        <v>19.350000000000001</v>
      </c>
      <c r="AK95">
        <v>21.03</v>
      </c>
      <c r="AL95">
        <v>15.49</v>
      </c>
      <c r="AM95" s="419">
        <v>210</v>
      </c>
    </row>
    <row r="96" spans="6:39">
      <c r="F96" t="str">
        <f t="shared" si="21"/>
        <v>Whole Home Electric-Total-Electrification</v>
      </c>
      <c r="G96" s="79" t="s">
        <v>284</v>
      </c>
      <c r="H96" s="420" t="s">
        <v>227</v>
      </c>
      <c r="I96" s="419">
        <v>865.13373000000001</v>
      </c>
      <c r="J96" s="419">
        <v>208.46859999999998</v>
      </c>
      <c r="K96" s="419">
        <v>130.70740000000001</v>
      </c>
      <c r="L96" s="419">
        <v>178.28672</v>
      </c>
      <c r="M96" s="419">
        <v>253.55269000000004</v>
      </c>
      <c r="N96" s="419">
        <v>601.74315000000001</v>
      </c>
      <c r="O96" s="419">
        <v>1050.8902399999997</v>
      </c>
      <c r="P96" s="419">
        <v>826.77323000000001</v>
      </c>
      <c r="Q96" s="419">
        <v>848.48846000000003</v>
      </c>
      <c r="R96" s="419">
        <v>2442.8712899999991</v>
      </c>
      <c r="S96" s="419">
        <v>1489.3861899999999</v>
      </c>
      <c r="T96" s="419">
        <v>672.18095999999991</v>
      </c>
      <c r="U96" s="419">
        <v>9568.4826599999997</v>
      </c>
      <c r="V96">
        <f t="shared" si="19"/>
        <v>2237.8922899999998</v>
      </c>
      <c r="X96" t="str">
        <f t="shared" si="22"/>
        <v>Total--Electrification</v>
      </c>
      <c r="Y96" s="418" t="s">
        <v>227</v>
      </c>
      <c r="Z96" s="247"/>
      <c r="AA96" s="419">
        <v>1148.8480099999999</v>
      </c>
      <c r="AB96" s="419">
        <v>1625.6286099999998</v>
      </c>
      <c r="AC96" s="419">
        <v>1625.6286099999998</v>
      </c>
      <c r="AD96" s="419">
        <v>1197.6620399999999</v>
      </c>
      <c r="AE96" s="419">
        <v>769.72478000000001</v>
      </c>
      <c r="AF96" s="419">
        <v>769.72478000000001</v>
      </c>
      <c r="AG96" s="419">
        <v>1148.8480099999999</v>
      </c>
      <c r="AH96" s="419">
        <v>1148.8480099999999</v>
      </c>
      <c r="AI96" s="419">
        <v>1148.8480099999999</v>
      </c>
      <c r="AJ96" s="419">
        <v>818.53881000000001</v>
      </c>
      <c r="AK96" s="419">
        <v>816.53881000000001</v>
      </c>
      <c r="AL96" s="419">
        <v>243.11014999999998</v>
      </c>
      <c r="AM96" s="419">
        <v>12461.948629999999</v>
      </c>
    </row>
    <row r="97" spans="6:39">
      <c r="F97" s="276" t="str">
        <f t="shared" si="21"/>
        <v>Whole Home Electric-Multi-Family Electrification IE (fuel-switch)-Electrification</v>
      </c>
      <c r="G97" s="79" t="s">
        <v>284</v>
      </c>
      <c r="H97" s="247" t="s">
        <v>291</v>
      </c>
      <c r="I97">
        <v>566.65561000000002</v>
      </c>
      <c r="J97">
        <v>0</v>
      </c>
      <c r="K97">
        <v>8.1974099999999979</v>
      </c>
      <c r="L97">
        <v>0</v>
      </c>
      <c r="M97">
        <v>0</v>
      </c>
      <c r="N97">
        <v>68.239620000000002</v>
      </c>
      <c r="O97">
        <v>164.46353999999999</v>
      </c>
      <c r="P97">
        <v>0</v>
      </c>
      <c r="Q97">
        <v>214.99299999999997</v>
      </c>
      <c r="R97">
        <v>1901.2504799999997</v>
      </c>
      <c r="S97">
        <v>975.19766999999979</v>
      </c>
      <c r="T97">
        <v>451.46421999999984</v>
      </c>
      <c r="U97" s="419">
        <v>4350.46155</v>
      </c>
      <c r="V97">
        <f t="shared" si="19"/>
        <v>643.09264000000007</v>
      </c>
      <c r="X97" t="str">
        <f t="shared" si="22"/>
        <v>Whole Home Electric-Total-Electrification</v>
      </c>
      <c r="Y97" s="79" t="s">
        <v>284</v>
      </c>
      <c r="Z97" s="420" t="s">
        <v>227</v>
      </c>
      <c r="AA97" s="419">
        <v>1148.8480099999999</v>
      </c>
      <c r="AB97" s="419">
        <v>1625.6286099999998</v>
      </c>
      <c r="AC97" s="419">
        <v>1625.6286099999998</v>
      </c>
      <c r="AD97" s="419">
        <v>1197.6620399999999</v>
      </c>
      <c r="AE97" s="419">
        <v>769.72478000000001</v>
      </c>
      <c r="AF97" s="419">
        <v>769.72478000000001</v>
      </c>
      <c r="AG97" s="419">
        <v>1148.8480099999999</v>
      </c>
      <c r="AH97" s="419">
        <v>1148.8480099999999</v>
      </c>
      <c r="AI97" s="419">
        <v>1148.8480099999999</v>
      </c>
      <c r="AJ97" s="419">
        <v>818.53881000000001</v>
      </c>
      <c r="AK97" s="419">
        <v>816.53881000000001</v>
      </c>
      <c r="AL97" s="419">
        <v>243.11014999999998</v>
      </c>
      <c r="AM97" s="419">
        <v>12461.948629999999</v>
      </c>
    </row>
    <row r="98" spans="6:39">
      <c r="F98" s="276" t="str">
        <f t="shared" si="21"/>
        <v>Whole Home Electric-Single-Family Electrification IE (fuel switch)-Electrification</v>
      </c>
      <c r="G98" s="79" t="s">
        <v>284</v>
      </c>
      <c r="H98" s="247" t="s">
        <v>292</v>
      </c>
      <c r="I98">
        <v>298.47811999999999</v>
      </c>
      <c r="J98">
        <v>208.46859999999998</v>
      </c>
      <c r="K98">
        <v>122.50999</v>
      </c>
      <c r="L98">
        <v>178.28672</v>
      </c>
      <c r="M98">
        <v>253.55269000000004</v>
      </c>
      <c r="N98">
        <v>533.50352999999996</v>
      </c>
      <c r="O98">
        <v>886.42669999999987</v>
      </c>
      <c r="P98">
        <v>826.77323000000001</v>
      </c>
      <c r="Q98">
        <v>633.49546000000009</v>
      </c>
      <c r="R98">
        <v>541.62081000000001</v>
      </c>
      <c r="S98">
        <v>514.18851999999993</v>
      </c>
      <c r="T98">
        <v>220.71674000000002</v>
      </c>
      <c r="U98" s="419">
        <v>5218.0211099999997</v>
      </c>
      <c r="V98">
        <f t="shared" si="19"/>
        <v>1594.7996499999999</v>
      </c>
      <c r="X98" s="276" t="str">
        <f t="shared" si="22"/>
        <v>Whole Home Electric-Multi-Family Electrification IE (fuel-switch)-Electrification</v>
      </c>
      <c r="Y98" s="79" t="s">
        <v>284</v>
      </c>
      <c r="Z98" s="247" t="s">
        <v>291</v>
      </c>
      <c r="AA98">
        <v>758.26576999999997</v>
      </c>
      <c r="AB98">
        <v>1137.40831</v>
      </c>
      <c r="AC98">
        <v>1137.40831</v>
      </c>
      <c r="AD98">
        <v>758.26576999999997</v>
      </c>
      <c r="AE98">
        <v>379.14254000000005</v>
      </c>
      <c r="AF98">
        <v>379.14254000000005</v>
      </c>
      <c r="AG98">
        <v>758.26576999999997</v>
      </c>
      <c r="AH98">
        <v>758.26576999999997</v>
      </c>
      <c r="AI98">
        <v>758.26576999999997</v>
      </c>
      <c r="AJ98">
        <v>379.14254000000005</v>
      </c>
      <c r="AK98">
        <v>377.14254000000005</v>
      </c>
      <c r="AL98">
        <v>0</v>
      </c>
      <c r="AM98" s="419">
        <v>7580.7156300000006</v>
      </c>
    </row>
    <row r="99" spans="6:39">
      <c r="F99" t="str">
        <f t="shared" si="18"/>
        <v>-</v>
      </c>
      <c r="H99" s="247"/>
      <c r="I99" s="419">
        <v>5617.7675987999992</v>
      </c>
      <c r="J99" s="419">
        <v>3379.5845599999993</v>
      </c>
      <c r="K99" s="419">
        <v>5741.6469974000011</v>
      </c>
      <c r="L99" s="419">
        <v>5411.9566403999997</v>
      </c>
      <c r="M99" s="419">
        <v>7057.9919393999999</v>
      </c>
      <c r="N99" s="419">
        <v>7170.6612939999986</v>
      </c>
      <c r="O99" s="419">
        <v>6427.8720936000009</v>
      </c>
      <c r="P99" s="419">
        <v>6443.6912709999997</v>
      </c>
      <c r="Q99" s="419">
        <v>9107.5874909999984</v>
      </c>
      <c r="R99" s="419">
        <v>9071.3964359999991</v>
      </c>
      <c r="S99" s="419">
        <v>6717.3735378999991</v>
      </c>
      <c r="T99" s="419">
        <v>5586.4438805999998</v>
      </c>
      <c r="U99" s="419">
        <v>77733.973740099987</v>
      </c>
      <c r="V99">
        <f t="shared" si="19"/>
        <v>34379.60903</v>
      </c>
      <c r="X99" s="276" t="str">
        <f t="shared" si="22"/>
        <v>Whole Home Electric-Single-Family Electrification IE (fuel switch)-Electrification</v>
      </c>
      <c r="Y99" s="79" t="s">
        <v>284</v>
      </c>
      <c r="Z99" s="247" t="s">
        <v>292</v>
      </c>
      <c r="AA99">
        <v>390.58223999999996</v>
      </c>
      <c r="AB99">
        <v>488.22029999999995</v>
      </c>
      <c r="AC99">
        <v>488.22029999999995</v>
      </c>
      <c r="AD99">
        <v>439.39626999999996</v>
      </c>
      <c r="AE99">
        <v>390.58223999999996</v>
      </c>
      <c r="AF99">
        <v>390.58223999999996</v>
      </c>
      <c r="AG99">
        <v>390.58223999999996</v>
      </c>
      <c r="AH99">
        <v>390.58223999999996</v>
      </c>
      <c r="AI99">
        <v>390.58223999999996</v>
      </c>
      <c r="AJ99">
        <v>439.39626999999996</v>
      </c>
      <c r="AK99">
        <v>439.39626999999996</v>
      </c>
      <c r="AL99">
        <v>243.11014999999998</v>
      </c>
      <c r="AM99" s="419">
        <v>4881.2330000000002</v>
      </c>
    </row>
    <row r="100" spans="6:39">
      <c r="X100" t="str">
        <f t="shared" si="20"/>
        <v>-</v>
      </c>
      <c r="Z100" s="247"/>
      <c r="AA100" s="419">
        <v>4476.73704</v>
      </c>
      <c r="AB100" s="419">
        <v>6531.7754000000004</v>
      </c>
      <c r="AC100" s="419">
        <v>6661.6797100000003</v>
      </c>
      <c r="AD100" s="419">
        <v>5786.7940159999962</v>
      </c>
      <c r="AE100" s="419">
        <v>5742.8824224</v>
      </c>
      <c r="AF100" s="419">
        <v>7815.6411939999998</v>
      </c>
      <c r="AG100" s="419">
        <v>7867.3566174999996</v>
      </c>
      <c r="AH100" s="419">
        <v>8401.3095659999999</v>
      </c>
      <c r="AI100" s="419">
        <v>9399.1590949999991</v>
      </c>
      <c r="AJ100" s="419">
        <v>8436.8965265000006</v>
      </c>
      <c r="AK100" s="419">
        <v>6294.2981450000007</v>
      </c>
      <c r="AL100" s="419">
        <v>3188.1777849999989</v>
      </c>
      <c r="AM100" s="419">
        <v>80602.707517400006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387E-0456-4DC6-A195-1E0A11745E5B}">
  <sheetPr codeName="Sheet7">
    <tabColor rgb="FFFFFF00"/>
  </sheetPr>
  <dimension ref="A1:BH158"/>
  <sheetViews>
    <sheetView topLeftCell="A128" workbookViewId="0">
      <selection activeCell="E138" sqref="E138"/>
    </sheetView>
  </sheetViews>
  <sheetFormatPr defaultRowHeight="15"/>
  <cols>
    <col min="1" max="1" width="15.42578125" customWidth="1"/>
    <col min="2" max="2" width="19.7109375" customWidth="1"/>
    <col min="3" max="3" width="29.140625" bestFit="1" customWidth="1"/>
    <col min="4" max="4" width="19.7109375" bestFit="1" customWidth="1"/>
    <col min="5" max="5" width="36.28515625" customWidth="1"/>
    <col min="6" max="6" width="14.85546875" customWidth="1"/>
    <col min="7" max="7" width="19.7109375" bestFit="1" customWidth="1"/>
    <col min="8" max="8" width="18.5703125" customWidth="1"/>
    <col min="9" max="9" width="48" bestFit="1" customWidth="1"/>
  </cols>
  <sheetData>
    <row r="1" spans="1:9" ht="15.75" thickBot="1">
      <c r="A1" s="240"/>
      <c r="B1" s="240"/>
      <c r="C1" s="240"/>
      <c r="D1" s="240">
        <v>1</v>
      </c>
      <c r="E1" s="240">
        <v>2</v>
      </c>
      <c r="F1" s="240">
        <v>18</v>
      </c>
      <c r="G1" s="240">
        <v>62</v>
      </c>
      <c r="H1" s="240">
        <v>78</v>
      </c>
    </row>
    <row r="2" spans="1:9" ht="30.75" thickBot="1">
      <c r="A2" s="214"/>
      <c r="B2" s="214"/>
      <c r="C2" s="214"/>
      <c r="D2" s="214"/>
      <c r="E2" s="214"/>
      <c r="F2" s="243" t="s">
        <v>293</v>
      </c>
      <c r="G2" s="241" t="s">
        <v>294</v>
      </c>
      <c r="H2" s="242" t="s">
        <v>231</v>
      </c>
    </row>
    <row r="3" spans="1:9" ht="24.6" customHeight="1" thickBot="1">
      <c r="A3" s="336" t="s">
        <v>295</v>
      </c>
      <c r="B3" s="336" t="s">
        <v>296</v>
      </c>
      <c r="C3" s="337" t="s">
        <v>297</v>
      </c>
      <c r="D3" s="337" t="s">
        <v>298</v>
      </c>
      <c r="E3" s="337" t="s">
        <v>299</v>
      </c>
      <c r="F3" s="272" t="s">
        <v>300</v>
      </c>
      <c r="G3" s="405" t="s">
        <v>300</v>
      </c>
      <c r="H3" s="244" t="s">
        <v>301</v>
      </c>
    </row>
    <row r="4" spans="1:9">
      <c r="A4" s="338">
        <v>486</v>
      </c>
      <c r="B4" s="338">
        <v>79449</v>
      </c>
      <c r="C4" s="339" t="s">
        <v>302</v>
      </c>
      <c r="D4" s="340" t="s">
        <v>303</v>
      </c>
      <c r="E4" s="341" t="s">
        <v>134</v>
      </c>
      <c r="F4" s="391">
        <v>452197</v>
      </c>
      <c r="G4" s="391">
        <v>318617</v>
      </c>
      <c r="H4" s="406">
        <v>153900.62</v>
      </c>
      <c r="I4" t="s">
        <v>304</v>
      </c>
    </row>
    <row r="5" spans="1:9">
      <c r="A5" s="338">
        <v>486</v>
      </c>
      <c r="B5" s="338">
        <v>79449</v>
      </c>
      <c r="C5" s="339" t="s">
        <v>302</v>
      </c>
      <c r="D5" s="340" t="s">
        <v>305</v>
      </c>
      <c r="E5" s="341" t="s">
        <v>137</v>
      </c>
      <c r="F5" s="391">
        <v>1759045.9902110987</v>
      </c>
      <c r="G5" s="391">
        <v>1758490</v>
      </c>
      <c r="H5" s="406">
        <v>645243.1</v>
      </c>
      <c r="I5" t="s">
        <v>304</v>
      </c>
    </row>
    <row r="6" spans="1:9">
      <c r="A6" s="338">
        <v>486</v>
      </c>
      <c r="B6" s="338">
        <v>79449</v>
      </c>
      <c r="C6" s="339" t="s">
        <v>302</v>
      </c>
      <c r="D6" s="340" t="s">
        <v>306</v>
      </c>
      <c r="E6" s="341" t="s">
        <v>307</v>
      </c>
      <c r="F6" s="391">
        <v>3077633.5500000003</v>
      </c>
      <c r="G6" s="391">
        <v>3017257.9999999995</v>
      </c>
      <c r="H6" s="406">
        <v>1487378.63</v>
      </c>
      <c r="I6" t="s">
        <v>308</v>
      </c>
    </row>
    <row r="7" spans="1:9">
      <c r="A7" s="338">
        <v>486</v>
      </c>
      <c r="B7" s="338">
        <v>79449</v>
      </c>
      <c r="C7" s="339" t="s">
        <v>302</v>
      </c>
      <c r="D7" s="340" t="s">
        <v>309</v>
      </c>
      <c r="E7" s="341" t="s">
        <v>310</v>
      </c>
      <c r="F7" s="391">
        <v>26850238.429538622</v>
      </c>
      <c r="G7" s="391">
        <v>24961038</v>
      </c>
      <c r="H7" s="406">
        <v>8405096.8100000005</v>
      </c>
      <c r="I7" t="s">
        <v>308</v>
      </c>
    </row>
    <row r="8" spans="1:9">
      <c r="A8" s="338">
        <v>486</v>
      </c>
      <c r="B8" s="338">
        <v>79449</v>
      </c>
      <c r="C8" s="339" t="s">
        <v>302</v>
      </c>
      <c r="D8" s="340" t="s">
        <v>311</v>
      </c>
      <c r="E8" s="341" t="s">
        <v>312</v>
      </c>
      <c r="F8" s="391">
        <v>7330000</v>
      </c>
      <c r="G8" s="391">
        <v>7330000</v>
      </c>
      <c r="H8" s="406">
        <v>2427100</v>
      </c>
      <c r="I8" t="s">
        <v>308</v>
      </c>
    </row>
    <row r="9" spans="1:9">
      <c r="A9" s="338">
        <v>486</v>
      </c>
      <c r="B9" s="338">
        <v>79449</v>
      </c>
      <c r="C9" s="339" t="s">
        <v>302</v>
      </c>
      <c r="D9" s="340" t="s">
        <v>313</v>
      </c>
      <c r="E9" s="341" t="s">
        <v>162</v>
      </c>
      <c r="F9" s="391">
        <v>27185400</v>
      </c>
      <c r="G9" s="391">
        <v>23735632</v>
      </c>
      <c r="H9" s="406">
        <v>9091625.3499999996</v>
      </c>
      <c r="I9" t="s">
        <v>304</v>
      </c>
    </row>
    <row r="10" spans="1:9" ht="25.5">
      <c r="A10" s="338">
        <v>486</v>
      </c>
      <c r="B10" s="338">
        <v>79449</v>
      </c>
      <c r="C10" s="339" t="s">
        <v>302</v>
      </c>
      <c r="D10" s="340" t="s">
        <v>314</v>
      </c>
      <c r="E10" s="339" t="s">
        <v>165</v>
      </c>
      <c r="F10" s="391">
        <v>4715140</v>
      </c>
      <c r="G10" s="391">
        <v>4446694</v>
      </c>
      <c r="H10" s="406">
        <v>2245884.2600000002</v>
      </c>
      <c r="I10" t="s">
        <v>304</v>
      </c>
    </row>
    <row r="11" spans="1:9">
      <c r="A11" s="338">
        <v>486</v>
      </c>
      <c r="B11" s="338">
        <v>79449</v>
      </c>
      <c r="C11" s="339" t="s">
        <v>302</v>
      </c>
      <c r="D11" s="340" t="s">
        <v>315</v>
      </c>
      <c r="E11" s="341" t="s">
        <v>316</v>
      </c>
      <c r="F11" s="391">
        <v>0</v>
      </c>
      <c r="G11" s="391">
        <v>0</v>
      </c>
      <c r="H11" s="406">
        <v>0</v>
      </c>
      <c r="I11" t="s">
        <v>308</v>
      </c>
    </row>
    <row r="12" spans="1:9">
      <c r="A12" s="338">
        <v>486</v>
      </c>
      <c r="B12" s="338">
        <v>79449</v>
      </c>
      <c r="C12" s="339" t="s">
        <v>302</v>
      </c>
      <c r="D12" s="340" t="s">
        <v>317</v>
      </c>
      <c r="E12" s="339" t="s">
        <v>318</v>
      </c>
      <c r="F12" s="391">
        <v>7889511.5019448008</v>
      </c>
      <c r="G12" s="391">
        <v>6239139</v>
      </c>
      <c r="H12" s="406">
        <v>1388671.59</v>
      </c>
      <c r="I12" t="s">
        <v>308</v>
      </c>
    </row>
    <row r="13" spans="1:9">
      <c r="A13" s="338">
        <v>486</v>
      </c>
      <c r="B13" s="338">
        <v>79449</v>
      </c>
      <c r="C13" s="339" t="s">
        <v>302</v>
      </c>
      <c r="D13" s="340" t="s">
        <v>319</v>
      </c>
      <c r="E13" s="339" t="s">
        <v>320</v>
      </c>
      <c r="F13" s="391">
        <v>7208035.9669396272</v>
      </c>
      <c r="G13" s="391">
        <v>8847170</v>
      </c>
      <c r="H13" s="406">
        <v>2934179.97</v>
      </c>
      <c r="I13" t="s">
        <v>308</v>
      </c>
    </row>
    <row r="14" spans="1:9">
      <c r="A14" s="342">
        <v>486</v>
      </c>
      <c r="B14" s="342">
        <v>79449</v>
      </c>
      <c r="C14" s="343" t="s">
        <v>302</v>
      </c>
      <c r="D14" s="344" t="s">
        <v>321</v>
      </c>
      <c r="E14" s="345"/>
      <c r="F14" s="273">
        <v>86467202.438634157</v>
      </c>
      <c r="G14" s="273">
        <v>80654038</v>
      </c>
      <c r="H14" s="407">
        <v>28779080.330000002</v>
      </c>
    </row>
    <row r="15" spans="1:9">
      <c r="A15" s="338">
        <v>486</v>
      </c>
      <c r="B15" s="338">
        <v>79458</v>
      </c>
      <c r="C15" s="339" t="s">
        <v>322</v>
      </c>
      <c r="D15" s="340" t="s">
        <v>323</v>
      </c>
      <c r="E15" s="339" t="s">
        <v>143</v>
      </c>
      <c r="F15" s="392">
        <v>370199.99999999994</v>
      </c>
      <c r="G15" s="392">
        <v>368236.67</v>
      </c>
      <c r="H15" s="408">
        <v>262764.61</v>
      </c>
      <c r="I15" t="s">
        <v>304</v>
      </c>
    </row>
    <row r="16" spans="1:9">
      <c r="A16" s="338">
        <v>486</v>
      </c>
      <c r="B16" s="338">
        <v>79458</v>
      </c>
      <c r="C16" s="339" t="s">
        <v>322</v>
      </c>
      <c r="D16" s="340" t="s">
        <v>324</v>
      </c>
      <c r="E16" s="339" t="s">
        <v>325</v>
      </c>
      <c r="F16" s="393">
        <v>12921371</v>
      </c>
      <c r="G16" s="392">
        <v>10534114.229999999</v>
      </c>
      <c r="H16" s="408">
        <v>4289984.3099999996</v>
      </c>
      <c r="I16" t="s">
        <v>308</v>
      </c>
    </row>
    <row r="17" spans="1:9">
      <c r="A17" s="338">
        <v>486</v>
      </c>
      <c r="B17" s="338">
        <v>79458</v>
      </c>
      <c r="C17" s="339" t="s">
        <v>322</v>
      </c>
      <c r="D17" s="340" t="s">
        <v>326</v>
      </c>
      <c r="E17" s="339" t="s">
        <v>179</v>
      </c>
      <c r="F17" s="392">
        <v>1562675.5199999998</v>
      </c>
      <c r="G17" s="392">
        <v>1393574.9200000004</v>
      </c>
      <c r="H17" s="408">
        <v>775536.38</v>
      </c>
      <c r="I17" t="s">
        <v>304</v>
      </c>
    </row>
    <row r="18" spans="1:9">
      <c r="A18" s="338">
        <v>486</v>
      </c>
      <c r="B18" s="338">
        <v>79458</v>
      </c>
      <c r="C18" s="339" t="s">
        <v>322</v>
      </c>
      <c r="D18" s="340" t="s">
        <v>327</v>
      </c>
      <c r="E18" s="339" t="s">
        <v>149</v>
      </c>
      <c r="F18" s="392">
        <v>3392817</v>
      </c>
      <c r="G18" s="392">
        <v>3711551.2399999998</v>
      </c>
      <c r="H18" s="408">
        <v>1430973.49</v>
      </c>
      <c r="I18" t="s">
        <v>304</v>
      </c>
    </row>
    <row r="19" spans="1:9">
      <c r="A19" s="338">
        <v>486</v>
      </c>
      <c r="B19" s="338">
        <v>79458</v>
      </c>
      <c r="C19" s="339" t="s">
        <v>322</v>
      </c>
      <c r="D19" s="340" t="s">
        <v>328</v>
      </c>
      <c r="E19" s="339" t="s">
        <v>177</v>
      </c>
      <c r="F19" s="392">
        <v>17767045.98</v>
      </c>
      <c r="G19" s="392">
        <v>16284757.989999998</v>
      </c>
      <c r="H19" s="408">
        <v>8239721.4399999995</v>
      </c>
      <c r="I19" t="s">
        <v>304</v>
      </c>
    </row>
    <row r="20" spans="1:9">
      <c r="A20" s="338">
        <v>486</v>
      </c>
      <c r="B20" s="338">
        <v>79458</v>
      </c>
      <c r="C20" s="339" t="s">
        <v>322</v>
      </c>
      <c r="D20" s="340" t="s">
        <v>329</v>
      </c>
      <c r="E20" s="339" t="s">
        <v>146</v>
      </c>
      <c r="F20" s="392">
        <v>173323.16</v>
      </c>
      <c r="G20" s="392">
        <v>190391.7</v>
      </c>
      <c r="H20" s="408">
        <v>51228.68</v>
      </c>
      <c r="I20" t="s">
        <v>304</v>
      </c>
    </row>
    <row r="21" spans="1:9">
      <c r="A21" s="338">
        <v>486</v>
      </c>
      <c r="B21" s="338">
        <v>79458</v>
      </c>
      <c r="C21" s="339" t="s">
        <v>322</v>
      </c>
      <c r="D21" s="340" t="s">
        <v>330</v>
      </c>
      <c r="E21" s="339" t="s">
        <v>331</v>
      </c>
      <c r="F21" s="393">
        <v>0</v>
      </c>
      <c r="G21" s="392">
        <v>-228249.86</v>
      </c>
      <c r="H21" s="408">
        <v>-236149.87</v>
      </c>
      <c r="I21" t="s">
        <v>308</v>
      </c>
    </row>
    <row r="22" spans="1:9">
      <c r="A22" s="338">
        <v>486</v>
      </c>
      <c r="B22" s="338">
        <v>79458</v>
      </c>
      <c r="C22" s="339" t="s">
        <v>322</v>
      </c>
      <c r="D22" s="346" t="s">
        <v>332</v>
      </c>
      <c r="E22" s="347" t="s">
        <v>333</v>
      </c>
      <c r="F22" s="392">
        <v>0</v>
      </c>
      <c r="G22" s="392">
        <v>0</v>
      </c>
      <c r="H22" s="408">
        <v>0</v>
      </c>
      <c r="I22" t="s">
        <v>308</v>
      </c>
    </row>
    <row r="23" spans="1:9">
      <c r="A23" s="348">
        <v>486</v>
      </c>
      <c r="B23" s="348">
        <v>79458</v>
      </c>
      <c r="C23" s="347" t="s">
        <v>322</v>
      </c>
      <c r="D23" s="346" t="s">
        <v>334</v>
      </c>
      <c r="E23" s="347" t="s">
        <v>174</v>
      </c>
      <c r="F23" s="392">
        <v>22660950</v>
      </c>
      <c r="G23" s="392">
        <v>31691579.590000004</v>
      </c>
      <c r="H23" s="408">
        <v>13783900.449999999</v>
      </c>
      <c r="I23" t="s">
        <v>304</v>
      </c>
    </row>
    <row r="24" spans="1:9">
      <c r="A24" s="338">
        <v>486</v>
      </c>
      <c r="B24" s="338">
        <v>79458</v>
      </c>
      <c r="C24" s="339" t="s">
        <v>322</v>
      </c>
      <c r="D24" s="340" t="s">
        <v>335</v>
      </c>
      <c r="E24" s="339" t="s">
        <v>157</v>
      </c>
      <c r="F24" s="393">
        <v>8088516</v>
      </c>
      <c r="G24" s="392">
        <v>7584507.9100000001</v>
      </c>
      <c r="H24" s="408">
        <v>2909328.0599999996</v>
      </c>
      <c r="I24" t="s">
        <v>304</v>
      </c>
    </row>
    <row r="25" spans="1:9">
      <c r="A25" s="349">
        <v>486</v>
      </c>
      <c r="B25" s="349">
        <v>79458</v>
      </c>
      <c r="C25" s="350" t="s">
        <v>322</v>
      </c>
      <c r="D25" s="351" t="s">
        <v>336</v>
      </c>
      <c r="E25" s="350" t="s">
        <v>337</v>
      </c>
      <c r="F25" s="392">
        <v>0</v>
      </c>
      <c r="G25" s="392">
        <v>0</v>
      </c>
      <c r="H25" s="408">
        <v>0</v>
      </c>
    </row>
    <row r="26" spans="1:9">
      <c r="A26" s="338">
        <v>486</v>
      </c>
      <c r="B26" s="338">
        <v>79458</v>
      </c>
      <c r="C26" s="339" t="s">
        <v>322</v>
      </c>
      <c r="D26" s="340" t="s">
        <v>338</v>
      </c>
      <c r="E26" s="339" t="s">
        <v>154</v>
      </c>
      <c r="F26" s="392">
        <v>977176.78000000014</v>
      </c>
      <c r="G26" s="392">
        <v>963417.16000000015</v>
      </c>
      <c r="H26" s="408">
        <v>245651.43</v>
      </c>
      <c r="I26" t="s">
        <v>304</v>
      </c>
    </row>
    <row r="27" spans="1:9">
      <c r="A27" s="349">
        <v>486</v>
      </c>
      <c r="B27" s="349">
        <v>79458</v>
      </c>
      <c r="C27" s="350" t="s">
        <v>322</v>
      </c>
      <c r="D27" s="351" t="s">
        <v>339</v>
      </c>
      <c r="E27" s="350" t="s">
        <v>340</v>
      </c>
      <c r="F27" s="392">
        <v>0</v>
      </c>
      <c r="G27" s="392">
        <v>0</v>
      </c>
      <c r="H27" s="408">
        <v>0</v>
      </c>
    </row>
    <row r="28" spans="1:9">
      <c r="A28" s="338">
        <v>486</v>
      </c>
      <c r="B28" s="338">
        <v>79458</v>
      </c>
      <c r="C28" s="339" t="s">
        <v>322</v>
      </c>
      <c r="D28" s="340" t="s">
        <v>341</v>
      </c>
      <c r="E28" s="339" t="s">
        <v>186</v>
      </c>
      <c r="F28" s="393">
        <v>3736549.44</v>
      </c>
      <c r="G28" s="392">
        <v>3251611.59</v>
      </c>
      <c r="H28" s="408">
        <v>1809574.5</v>
      </c>
      <c r="I28" t="s">
        <v>304</v>
      </c>
    </row>
    <row r="29" spans="1:9">
      <c r="A29" s="349">
        <v>486</v>
      </c>
      <c r="B29" s="349">
        <v>79458</v>
      </c>
      <c r="C29" s="350" t="s">
        <v>322</v>
      </c>
      <c r="D29" s="351" t="s">
        <v>342</v>
      </c>
      <c r="E29" s="350" t="s">
        <v>343</v>
      </c>
      <c r="F29" s="392">
        <v>0</v>
      </c>
      <c r="G29" s="392">
        <v>0</v>
      </c>
      <c r="H29" s="408">
        <v>0</v>
      </c>
    </row>
    <row r="30" spans="1:9">
      <c r="A30" s="338">
        <v>486</v>
      </c>
      <c r="B30" s="338">
        <v>79458</v>
      </c>
      <c r="C30" s="339" t="s">
        <v>322</v>
      </c>
      <c r="D30" s="340" t="s">
        <v>344</v>
      </c>
      <c r="E30" s="339" t="s">
        <v>270</v>
      </c>
      <c r="F30" s="393">
        <v>1900152</v>
      </c>
      <c r="G30" s="392">
        <v>1962418.01</v>
      </c>
      <c r="H30" s="408">
        <v>884080.84</v>
      </c>
      <c r="I30" t="s">
        <v>308</v>
      </c>
    </row>
    <row r="31" spans="1:9">
      <c r="A31" s="338">
        <v>486</v>
      </c>
      <c r="B31" s="338">
        <v>79458</v>
      </c>
      <c r="C31" s="339" t="s">
        <v>322</v>
      </c>
      <c r="D31" s="346" t="s">
        <v>345</v>
      </c>
      <c r="E31" s="347" t="s">
        <v>346</v>
      </c>
      <c r="F31" s="392">
        <v>0</v>
      </c>
      <c r="G31" s="392">
        <v>0</v>
      </c>
      <c r="H31" s="408">
        <v>0</v>
      </c>
    </row>
    <row r="32" spans="1:9">
      <c r="A32" s="352">
        <v>486</v>
      </c>
      <c r="B32" s="352">
        <v>79458</v>
      </c>
      <c r="C32" s="353" t="s">
        <v>322</v>
      </c>
      <c r="D32" s="344" t="s">
        <v>321</v>
      </c>
      <c r="E32" s="353"/>
      <c r="F32" s="394">
        <v>73550776.879999995</v>
      </c>
      <c r="G32" s="394">
        <v>77707911.149999991</v>
      </c>
      <c r="H32" s="407">
        <v>34446594.32</v>
      </c>
    </row>
    <row r="33" spans="1:9">
      <c r="A33" s="338">
        <v>486</v>
      </c>
      <c r="B33" s="338">
        <v>79460</v>
      </c>
      <c r="C33" s="339" t="s">
        <v>347</v>
      </c>
      <c r="D33" s="340" t="s">
        <v>348</v>
      </c>
      <c r="E33" s="339" t="s">
        <v>188</v>
      </c>
      <c r="F33" s="392">
        <v>1450000</v>
      </c>
      <c r="G33" s="392">
        <v>1364679</v>
      </c>
      <c r="H33" s="408">
        <v>23733.319999999996</v>
      </c>
      <c r="I33" t="s">
        <v>304</v>
      </c>
    </row>
    <row r="34" spans="1:9">
      <c r="A34" s="338">
        <v>486</v>
      </c>
      <c r="B34" s="338">
        <v>79460</v>
      </c>
      <c r="C34" s="339" t="s">
        <v>347</v>
      </c>
      <c r="D34" s="340" t="s">
        <v>349</v>
      </c>
      <c r="E34" s="339" t="s">
        <v>150</v>
      </c>
      <c r="F34" s="392">
        <v>350000</v>
      </c>
      <c r="G34" s="392">
        <v>264704</v>
      </c>
      <c r="H34" s="408">
        <v>8462.9500000000007</v>
      </c>
      <c r="I34" t="s">
        <v>304</v>
      </c>
    </row>
    <row r="35" spans="1:9" ht="25.5">
      <c r="A35" s="338">
        <v>486</v>
      </c>
      <c r="B35" s="338">
        <v>79460</v>
      </c>
      <c r="C35" s="339" t="s">
        <v>347</v>
      </c>
      <c r="D35" s="340" t="s">
        <v>350</v>
      </c>
      <c r="E35" s="339" t="s">
        <v>351</v>
      </c>
      <c r="F35" s="392">
        <v>4000000</v>
      </c>
      <c r="G35" s="392">
        <v>3035398</v>
      </c>
      <c r="H35" s="408">
        <v>2101952.02</v>
      </c>
      <c r="I35" t="s">
        <v>352</v>
      </c>
    </row>
    <row r="36" spans="1:9" ht="25.5">
      <c r="A36" s="338">
        <v>486</v>
      </c>
      <c r="B36" s="338">
        <v>79460</v>
      </c>
      <c r="C36" s="339" t="s">
        <v>347</v>
      </c>
      <c r="D36" s="340" t="s">
        <v>353</v>
      </c>
      <c r="E36" s="339" t="s">
        <v>316</v>
      </c>
      <c r="F36" s="392">
        <v>6114426.3600000022</v>
      </c>
      <c r="G36" s="392">
        <v>6132534</v>
      </c>
      <c r="H36" s="408">
        <v>3081036.7</v>
      </c>
      <c r="I36" t="s">
        <v>308</v>
      </c>
    </row>
    <row r="37" spans="1:9" ht="25.5">
      <c r="A37" s="352">
        <v>486</v>
      </c>
      <c r="B37" s="352">
        <v>79460</v>
      </c>
      <c r="C37" s="353" t="s">
        <v>347</v>
      </c>
      <c r="D37" s="354" t="s">
        <v>354</v>
      </c>
      <c r="E37" s="353"/>
      <c r="F37" s="394">
        <v>11914426.359999999</v>
      </c>
      <c r="G37" s="273">
        <v>10797315</v>
      </c>
      <c r="H37" s="407">
        <v>5215184.99</v>
      </c>
    </row>
    <row r="38" spans="1:9">
      <c r="A38" s="355">
        <v>486</v>
      </c>
      <c r="B38" s="356"/>
      <c r="C38" s="357" t="s">
        <v>355</v>
      </c>
      <c r="D38" s="358" t="s">
        <v>354</v>
      </c>
      <c r="E38" s="357"/>
      <c r="F38" s="395">
        <v>0</v>
      </c>
      <c r="G38" s="395">
        <v>0</v>
      </c>
      <c r="H38" s="409">
        <v>0</v>
      </c>
    </row>
    <row r="39" spans="1:9" ht="25.5">
      <c r="A39" s="359">
        <v>486</v>
      </c>
      <c r="B39" s="360">
        <v>69450</v>
      </c>
      <c r="C39" s="361" t="s">
        <v>356</v>
      </c>
      <c r="D39" s="362" t="s">
        <v>354</v>
      </c>
      <c r="E39" s="361"/>
      <c r="F39" s="396">
        <v>2986842.9792340002</v>
      </c>
      <c r="G39" s="396">
        <v>3336546.2041511191</v>
      </c>
      <c r="H39" s="410">
        <v>1956495.03</v>
      </c>
    </row>
    <row r="40" spans="1:9">
      <c r="A40" s="363">
        <v>486</v>
      </c>
      <c r="B40" s="364" t="s">
        <v>357</v>
      </c>
      <c r="C40" s="365" t="s">
        <v>358</v>
      </c>
      <c r="D40" s="366" t="s">
        <v>354</v>
      </c>
      <c r="E40" s="367"/>
      <c r="F40" s="397">
        <v>174919248.65786815</v>
      </c>
      <c r="G40" s="397">
        <v>172495810.35415113</v>
      </c>
      <c r="H40" s="411">
        <v>70397354.670000002</v>
      </c>
    </row>
    <row r="41" spans="1:9">
      <c r="A41" s="338">
        <v>499</v>
      </c>
      <c r="B41" s="338">
        <v>75909</v>
      </c>
      <c r="C41" s="339" t="s">
        <v>359</v>
      </c>
      <c r="D41" s="340" t="s">
        <v>360</v>
      </c>
      <c r="E41" s="339" t="s">
        <v>42</v>
      </c>
      <c r="F41" s="391">
        <v>50000.159999999996</v>
      </c>
      <c r="G41" s="391">
        <v>50553.83</v>
      </c>
      <c r="H41" s="406">
        <v>19763.23</v>
      </c>
      <c r="I41" t="s">
        <v>304</v>
      </c>
    </row>
    <row r="42" spans="1:9">
      <c r="A42" s="338">
        <v>499</v>
      </c>
      <c r="B42" s="338">
        <v>75909</v>
      </c>
      <c r="C42" s="339" t="s">
        <v>359</v>
      </c>
      <c r="D42" s="340" t="s">
        <v>361</v>
      </c>
      <c r="E42" s="339" t="s">
        <v>47</v>
      </c>
      <c r="F42" s="391">
        <v>52245460.34980616</v>
      </c>
      <c r="G42" s="391">
        <v>46992926.443275042</v>
      </c>
      <c r="H42" s="406">
        <v>18611865</v>
      </c>
      <c r="I42" t="s">
        <v>304</v>
      </c>
    </row>
    <row r="43" spans="1:9">
      <c r="A43" s="338">
        <v>499</v>
      </c>
      <c r="B43" s="338">
        <v>75909</v>
      </c>
      <c r="C43" s="339" t="s">
        <v>359</v>
      </c>
      <c r="D43" s="340" t="s">
        <v>362</v>
      </c>
      <c r="E43" s="339" t="s">
        <v>86</v>
      </c>
      <c r="F43" s="391">
        <v>8617596.0536671877</v>
      </c>
      <c r="G43" s="391">
        <v>15806274.792907443</v>
      </c>
      <c r="H43" s="406">
        <v>6281549.1499999994</v>
      </c>
      <c r="I43" t="s">
        <v>304</v>
      </c>
    </row>
    <row r="44" spans="1:9">
      <c r="A44" s="338">
        <v>499</v>
      </c>
      <c r="B44" s="338">
        <v>75909</v>
      </c>
      <c r="C44" s="339" t="s">
        <v>359</v>
      </c>
      <c r="D44" s="340" t="s">
        <v>363</v>
      </c>
      <c r="E44" s="339" t="s">
        <v>30</v>
      </c>
      <c r="F44" s="391">
        <v>65320140.918375</v>
      </c>
      <c r="G44" s="391">
        <v>66778443.002887517</v>
      </c>
      <c r="H44" s="406">
        <v>27147249.620000005</v>
      </c>
      <c r="I44" t="s">
        <v>304</v>
      </c>
    </row>
    <row r="45" spans="1:9">
      <c r="A45" s="338">
        <v>499</v>
      </c>
      <c r="B45" s="338">
        <v>75909</v>
      </c>
      <c r="C45" s="339" t="s">
        <v>359</v>
      </c>
      <c r="D45" s="340" t="s">
        <v>364</v>
      </c>
      <c r="E45" s="339" t="s">
        <v>92</v>
      </c>
      <c r="F45" s="391">
        <v>12434193.359999998</v>
      </c>
      <c r="G45" s="391">
        <v>16149328.2937012</v>
      </c>
      <c r="H45" s="406">
        <v>3675200.5600000005</v>
      </c>
      <c r="I45" t="s">
        <v>304</v>
      </c>
    </row>
    <row r="46" spans="1:9">
      <c r="A46" s="338">
        <v>499</v>
      </c>
      <c r="B46" s="338">
        <v>75909</v>
      </c>
      <c r="C46" s="339" t="s">
        <v>359</v>
      </c>
      <c r="D46" s="368" t="s">
        <v>365</v>
      </c>
      <c r="E46" s="369" t="s">
        <v>366</v>
      </c>
      <c r="F46" s="391">
        <v>0</v>
      </c>
      <c r="G46" s="391">
        <v>0</v>
      </c>
      <c r="H46" s="406">
        <v>0</v>
      </c>
    </row>
    <row r="47" spans="1:9">
      <c r="A47" s="338">
        <v>499</v>
      </c>
      <c r="B47" s="338">
        <v>75909</v>
      </c>
      <c r="C47" s="339" t="s">
        <v>359</v>
      </c>
      <c r="D47" s="368" t="s">
        <v>367</v>
      </c>
      <c r="E47" s="369" t="s">
        <v>368</v>
      </c>
      <c r="F47" s="391">
        <v>0</v>
      </c>
      <c r="G47" s="391">
        <v>0</v>
      </c>
      <c r="H47" s="406">
        <v>0</v>
      </c>
    </row>
    <row r="48" spans="1:9">
      <c r="A48" s="352">
        <v>499</v>
      </c>
      <c r="B48" s="352">
        <v>75909</v>
      </c>
      <c r="C48" s="353" t="s">
        <v>359</v>
      </c>
      <c r="D48" s="354" t="s">
        <v>354</v>
      </c>
      <c r="E48" s="353"/>
      <c r="F48" s="394">
        <v>138667390.84184834</v>
      </c>
      <c r="G48" s="394">
        <v>145777526.36277121</v>
      </c>
      <c r="H48" s="407">
        <v>55735627.560000002</v>
      </c>
    </row>
    <row r="49" spans="1:9">
      <c r="A49" s="348">
        <v>499</v>
      </c>
      <c r="B49" s="348">
        <v>86277</v>
      </c>
      <c r="C49" s="347" t="s">
        <v>369</v>
      </c>
      <c r="D49" s="346" t="s">
        <v>370</v>
      </c>
      <c r="E49" s="347" t="s">
        <v>79</v>
      </c>
      <c r="F49" s="392">
        <v>5307948</v>
      </c>
      <c r="G49" s="392">
        <v>5691788.9804999987</v>
      </c>
      <c r="H49" s="408">
        <v>1813226.3499999999</v>
      </c>
      <c r="I49" t="s">
        <v>304</v>
      </c>
    </row>
    <row r="50" spans="1:9">
      <c r="A50" s="348">
        <v>499</v>
      </c>
      <c r="B50" s="348">
        <v>86277</v>
      </c>
      <c r="C50" s="347" t="s">
        <v>369</v>
      </c>
      <c r="D50" s="346" t="s">
        <v>371</v>
      </c>
      <c r="E50" s="347" t="s">
        <v>115</v>
      </c>
      <c r="F50" s="392">
        <v>809052.00000000012</v>
      </c>
      <c r="G50" s="392">
        <v>809052.00249999994</v>
      </c>
      <c r="H50" s="408">
        <v>242152.95</v>
      </c>
      <c r="I50" t="s">
        <v>304</v>
      </c>
    </row>
    <row r="51" spans="1:9" ht="30">
      <c r="A51" s="348">
        <v>499</v>
      </c>
      <c r="B51" s="348">
        <v>86277</v>
      </c>
      <c r="C51" s="347" t="s">
        <v>369</v>
      </c>
      <c r="D51" s="346" t="s">
        <v>372</v>
      </c>
      <c r="E51" s="347" t="s">
        <v>373</v>
      </c>
      <c r="F51" s="392">
        <v>1900000</v>
      </c>
      <c r="G51" s="392">
        <v>848326.4099999998</v>
      </c>
      <c r="H51" s="408">
        <v>454674.44</v>
      </c>
      <c r="I51" t="s">
        <v>352</v>
      </c>
    </row>
    <row r="52" spans="1:9" ht="30">
      <c r="A52" s="348">
        <v>499</v>
      </c>
      <c r="B52" s="348">
        <v>86277</v>
      </c>
      <c r="C52" s="347" t="s">
        <v>369</v>
      </c>
      <c r="D52" s="346" t="s">
        <v>374</v>
      </c>
      <c r="E52" s="347" t="s">
        <v>375</v>
      </c>
      <c r="F52" s="392">
        <v>1100000</v>
      </c>
      <c r="G52" s="392">
        <v>848326.40999999992</v>
      </c>
      <c r="H52" s="408">
        <v>454674.43</v>
      </c>
      <c r="I52" t="s">
        <v>352</v>
      </c>
    </row>
    <row r="53" spans="1:9">
      <c r="A53" s="348">
        <v>499</v>
      </c>
      <c r="B53" s="348">
        <v>86277</v>
      </c>
      <c r="C53" s="347" t="s">
        <v>369</v>
      </c>
      <c r="D53" s="346" t="s">
        <v>376</v>
      </c>
      <c r="E53" s="347" t="s">
        <v>77</v>
      </c>
      <c r="F53" s="274">
        <v>168615</v>
      </c>
      <c r="G53" s="274">
        <v>136048.43</v>
      </c>
      <c r="H53" s="408">
        <v>34432.44</v>
      </c>
      <c r="I53" t="s">
        <v>308</v>
      </c>
    </row>
    <row r="54" spans="1:9">
      <c r="A54" s="348">
        <v>499</v>
      </c>
      <c r="B54" s="348">
        <v>86277</v>
      </c>
      <c r="C54" s="347" t="s">
        <v>369</v>
      </c>
      <c r="D54" s="346" t="s">
        <v>377</v>
      </c>
      <c r="E54" s="347" t="s">
        <v>113</v>
      </c>
      <c r="F54" s="274">
        <v>56385</v>
      </c>
      <c r="G54" s="274">
        <v>45526.520000000004</v>
      </c>
      <c r="H54" s="408">
        <v>11656.949999999999</v>
      </c>
      <c r="I54" t="s">
        <v>308</v>
      </c>
    </row>
    <row r="55" spans="1:9" ht="30">
      <c r="A55" s="348">
        <v>499</v>
      </c>
      <c r="B55" s="348">
        <v>86277</v>
      </c>
      <c r="C55" s="347" t="s">
        <v>369</v>
      </c>
      <c r="D55" s="346" t="s">
        <v>378</v>
      </c>
      <c r="E55" s="347" t="s">
        <v>379</v>
      </c>
      <c r="F55" s="274">
        <v>0</v>
      </c>
      <c r="G55" s="274">
        <v>0</v>
      </c>
      <c r="H55" s="408">
        <v>0</v>
      </c>
    </row>
    <row r="56" spans="1:9">
      <c r="A56" s="348">
        <v>499</v>
      </c>
      <c r="B56" s="348">
        <v>86277</v>
      </c>
      <c r="C56" s="347" t="s">
        <v>369</v>
      </c>
      <c r="D56" s="346" t="s">
        <v>380</v>
      </c>
      <c r="E56" s="347" t="s">
        <v>381</v>
      </c>
      <c r="F56" s="274">
        <v>75000</v>
      </c>
      <c r="G56" s="274">
        <v>0</v>
      </c>
      <c r="H56" s="408">
        <v>0</v>
      </c>
      <c r="I56" t="s">
        <v>308</v>
      </c>
    </row>
    <row r="57" spans="1:9">
      <c r="A57" s="348">
        <v>499</v>
      </c>
      <c r="B57" s="348">
        <v>86277</v>
      </c>
      <c r="C57" s="347" t="s">
        <v>369</v>
      </c>
      <c r="D57" s="346" t="s">
        <v>382</v>
      </c>
      <c r="E57" s="347" t="s">
        <v>383</v>
      </c>
      <c r="F57" s="274">
        <v>75000</v>
      </c>
      <c r="G57" s="274">
        <v>0</v>
      </c>
      <c r="H57" s="408">
        <v>0</v>
      </c>
      <c r="I57" t="s">
        <v>308</v>
      </c>
    </row>
    <row r="58" spans="1:9">
      <c r="A58" s="352">
        <v>499</v>
      </c>
      <c r="B58" s="352">
        <v>86277</v>
      </c>
      <c r="C58" s="353" t="s">
        <v>369</v>
      </c>
      <c r="D58" s="354" t="s">
        <v>321</v>
      </c>
      <c r="E58" s="353"/>
      <c r="F58" s="394">
        <v>9492000</v>
      </c>
      <c r="G58" s="394">
        <v>8379068.7529999986</v>
      </c>
      <c r="H58" s="407">
        <v>3010817.56</v>
      </c>
    </row>
    <row r="59" spans="1:9">
      <c r="A59" s="348">
        <v>499</v>
      </c>
      <c r="B59" s="348">
        <v>75911</v>
      </c>
      <c r="C59" s="347" t="s">
        <v>384</v>
      </c>
      <c r="D59" s="346" t="s">
        <v>385</v>
      </c>
      <c r="E59" s="347" t="s">
        <v>60</v>
      </c>
      <c r="F59" s="392">
        <v>16800000</v>
      </c>
      <c r="G59" s="392">
        <v>15545659.610000005</v>
      </c>
      <c r="H59" s="408">
        <v>6509111.0600000005</v>
      </c>
      <c r="I59" t="s">
        <v>304</v>
      </c>
    </row>
    <row r="60" spans="1:9">
      <c r="A60" s="338">
        <v>499</v>
      </c>
      <c r="B60" s="338">
        <v>75911</v>
      </c>
      <c r="C60" s="339" t="s">
        <v>384</v>
      </c>
      <c r="D60" s="340" t="s">
        <v>386</v>
      </c>
      <c r="E60" s="339" t="s">
        <v>66</v>
      </c>
      <c r="F60" s="392">
        <v>8186968</v>
      </c>
      <c r="G60" s="392">
        <v>7928726.5699999966</v>
      </c>
      <c r="H60" s="408">
        <v>3270783.14</v>
      </c>
      <c r="I60" t="s">
        <v>304</v>
      </c>
    </row>
    <row r="61" spans="1:9" ht="25.5">
      <c r="A61" s="338">
        <v>499</v>
      </c>
      <c r="B61" s="338">
        <v>75911</v>
      </c>
      <c r="C61" s="339" t="s">
        <v>384</v>
      </c>
      <c r="D61" s="340" t="s">
        <v>387</v>
      </c>
      <c r="E61" s="339" t="s">
        <v>102</v>
      </c>
      <c r="F61" s="392">
        <v>2066927.3800000001</v>
      </c>
      <c r="G61" s="392">
        <v>1981621.06</v>
      </c>
      <c r="H61" s="408">
        <v>747110.45</v>
      </c>
      <c r="I61" t="s">
        <v>304</v>
      </c>
    </row>
    <row r="62" spans="1:9">
      <c r="A62" s="338">
        <v>499</v>
      </c>
      <c r="B62" s="338">
        <v>75911</v>
      </c>
      <c r="C62" s="339" t="s">
        <v>384</v>
      </c>
      <c r="D62" s="340" t="s">
        <v>388</v>
      </c>
      <c r="E62" s="339" t="s">
        <v>50</v>
      </c>
      <c r="F62" s="392">
        <v>10489969.439999998</v>
      </c>
      <c r="G62" s="392">
        <v>10511733.918306369</v>
      </c>
      <c r="H62" s="408">
        <v>1822906.4899999998</v>
      </c>
      <c r="I62" t="s">
        <v>304</v>
      </c>
    </row>
    <row r="63" spans="1:9">
      <c r="A63" s="338">
        <v>499</v>
      </c>
      <c r="B63" s="338">
        <v>75911</v>
      </c>
      <c r="C63" s="339" t="s">
        <v>384</v>
      </c>
      <c r="D63" s="340" t="s">
        <v>389</v>
      </c>
      <c r="E63" s="339" t="s">
        <v>89</v>
      </c>
      <c r="F63" s="392">
        <v>511194.00761267921</v>
      </c>
      <c r="G63" s="392">
        <v>495988.85722321551</v>
      </c>
      <c r="H63" s="408">
        <v>47985.86</v>
      </c>
      <c r="I63" t="s">
        <v>304</v>
      </c>
    </row>
    <row r="64" spans="1:9">
      <c r="A64" s="338">
        <v>499</v>
      </c>
      <c r="B64" s="338">
        <v>75911</v>
      </c>
      <c r="C64" s="339" t="s">
        <v>384</v>
      </c>
      <c r="D64" s="340" t="s">
        <v>390</v>
      </c>
      <c r="E64" s="339" t="s">
        <v>63</v>
      </c>
      <c r="F64" s="392">
        <v>8889999.5999999996</v>
      </c>
      <c r="G64" s="392">
        <v>8171109.3599999994</v>
      </c>
      <c r="H64" s="408">
        <v>3224455.5599999996</v>
      </c>
      <c r="I64" t="s">
        <v>304</v>
      </c>
    </row>
    <row r="65" spans="1:9">
      <c r="A65" s="338">
        <v>499</v>
      </c>
      <c r="B65" s="338">
        <v>75911</v>
      </c>
      <c r="C65" s="339" t="s">
        <v>384</v>
      </c>
      <c r="D65" s="340" t="s">
        <v>391</v>
      </c>
      <c r="E65" s="339" t="s">
        <v>99</v>
      </c>
      <c r="F65" s="392">
        <v>3170000.4</v>
      </c>
      <c r="G65" s="392">
        <v>3358125.25</v>
      </c>
      <c r="H65" s="408">
        <v>1089323.8599999999</v>
      </c>
      <c r="I65" t="s">
        <v>304</v>
      </c>
    </row>
    <row r="66" spans="1:9">
      <c r="A66" s="338">
        <v>499</v>
      </c>
      <c r="B66" s="338">
        <v>75911</v>
      </c>
      <c r="C66" s="339" t="s">
        <v>384</v>
      </c>
      <c r="D66" s="340" t="s">
        <v>392</v>
      </c>
      <c r="E66" s="339" t="s">
        <v>393</v>
      </c>
      <c r="F66" s="392">
        <v>50000.159999999996</v>
      </c>
      <c r="G66" s="392">
        <v>50000.28</v>
      </c>
      <c r="H66" s="408">
        <v>19868.28</v>
      </c>
      <c r="I66" s="417" t="s">
        <v>394</v>
      </c>
    </row>
    <row r="67" spans="1:9">
      <c r="A67" s="338">
        <v>499</v>
      </c>
      <c r="B67" s="338">
        <v>75911</v>
      </c>
      <c r="C67" s="339" t="s">
        <v>384</v>
      </c>
      <c r="D67" s="340" t="s">
        <v>395</v>
      </c>
      <c r="E67" s="339" t="s">
        <v>55</v>
      </c>
      <c r="F67" s="392">
        <v>33495270.607185762</v>
      </c>
      <c r="G67" s="392">
        <v>32503940.634582829</v>
      </c>
      <c r="H67" s="408">
        <v>20235196.629999999</v>
      </c>
      <c r="I67" t="s">
        <v>304</v>
      </c>
    </row>
    <row r="68" spans="1:9">
      <c r="A68" s="338">
        <v>499</v>
      </c>
      <c r="B68" s="338">
        <v>75911</v>
      </c>
      <c r="C68" s="339" t="s">
        <v>384</v>
      </c>
      <c r="D68" s="340" t="s">
        <v>396</v>
      </c>
      <c r="E68" s="339" t="s">
        <v>95</v>
      </c>
      <c r="F68" s="392">
        <v>5152075.5406859824</v>
      </c>
      <c r="G68" s="392">
        <v>7202688.8477622038</v>
      </c>
      <c r="H68" s="408">
        <v>2660146.75</v>
      </c>
      <c r="I68" t="s">
        <v>304</v>
      </c>
    </row>
    <row r="69" spans="1:9">
      <c r="A69" s="338">
        <v>499</v>
      </c>
      <c r="B69" s="338">
        <v>75911</v>
      </c>
      <c r="C69" s="339" t="s">
        <v>384</v>
      </c>
      <c r="D69" s="340" t="s">
        <v>397</v>
      </c>
      <c r="E69" s="339" t="s">
        <v>69</v>
      </c>
      <c r="F69" s="392">
        <v>2460107.4999999995</v>
      </c>
      <c r="G69" s="392">
        <v>2260401.9863928002</v>
      </c>
      <c r="H69" s="408">
        <v>1332219.2500000002</v>
      </c>
      <c r="I69" t="s">
        <v>304</v>
      </c>
    </row>
    <row r="70" spans="1:9" ht="25.5">
      <c r="A70" s="338">
        <v>499</v>
      </c>
      <c r="B70" s="338">
        <v>75911</v>
      </c>
      <c r="C70" s="339" t="s">
        <v>384</v>
      </c>
      <c r="D70" s="340" t="s">
        <v>398</v>
      </c>
      <c r="E70" s="339" t="s">
        <v>105</v>
      </c>
      <c r="F70" s="392">
        <v>445250.875</v>
      </c>
      <c r="G70" s="392">
        <v>428317.66440000007</v>
      </c>
      <c r="H70" s="408">
        <v>136847.31</v>
      </c>
      <c r="I70" t="s">
        <v>304</v>
      </c>
    </row>
    <row r="71" spans="1:9">
      <c r="A71" s="338">
        <v>499</v>
      </c>
      <c r="B71" s="338">
        <v>75911</v>
      </c>
      <c r="C71" s="339" t="s">
        <v>384</v>
      </c>
      <c r="D71" s="340" t="s">
        <v>399</v>
      </c>
      <c r="E71" s="339" t="s">
        <v>74</v>
      </c>
      <c r="F71" s="392">
        <v>592310.89</v>
      </c>
      <c r="G71" s="392">
        <v>592310.41</v>
      </c>
      <c r="H71" s="408">
        <v>161132.03</v>
      </c>
      <c r="I71" t="s">
        <v>304</v>
      </c>
    </row>
    <row r="72" spans="1:9">
      <c r="A72" s="338">
        <v>499</v>
      </c>
      <c r="B72" s="338">
        <v>75911</v>
      </c>
      <c r="C72" s="339" t="s">
        <v>384</v>
      </c>
      <c r="D72" s="340" t="s">
        <v>400</v>
      </c>
      <c r="E72" s="339" t="s">
        <v>110</v>
      </c>
      <c r="F72" s="392">
        <v>30798.129999999997</v>
      </c>
      <c r="G72" s="392">
        <v>30798.2575</v>
      </c>
      <c r="H72" s="408">
        <v>23121.039999999997</v>
      </c>
      <c r="I72" t="s">
        <v>304</v>
      </c>
    </row>
    <row r="73" spans="1:9">
      <c r="A73" s="338">
        <v>499</v>
      </c>
      <c r="B73" s="338">
        <v>75911</v>
      </c>
      <c r="C73" s="339" t="s">
        <v>384</v>
      </c>
      <c r="D73" s="368" t="s">
        <v>401</v>
      </c>
      <c r="E73" s="369" t="s">
        <v>402</v>
      </c>
      <c r="F73" s="392">
        <v>0</v>
      </c>
      <c r="G73" s="392">
        <v>0</v>
      </c>
      <c r="H73" s="408">
        <v>0</v>
      </c>
    </row>
    <row r="74" spans="1:9">
      <c r="A74" s="338">
        <v>499</v>
      </c>
      <c r="B74" s="338">
        <v>75911</v>
      </c>
      <c r="C74" s="339" t="s">
        <v>384</v>
      </c>
      <c r="D74" s="368" t="s">
        <v>403</v>
      </c>
      <c r="E74" s="369" t="s">
        <v>404</v>
      </c>
      <c r="F74" s="392">
        <v>0</v>
      </c>
      <c r="G74" s="392">
        <v>0</v>
      </c>
      <c r="H74" s="408">
        <v>0</v>
      </c>
    </row>
    <row r="75" spans="1:9" ht="25.5">
      <c r="A75" s="338">
        <v>499</v>
      </c>
      <c r="B75" s="338">
        <v>75911</v>
      </c>
      <c r="C75" s="339" t="s">
        <v>384</v>
      </c>
      <c r="D75" s="368" t="s">
        <v>405</v>
      </c>
      <c r="E75" s="369" t="s">
        <v>406</v>
      </c>
      <c r="F75" s="392">
        <v>0</v>
      </c>
      <c r="G75" s="392">
        <v>0</v>
      </c>
      <c r="H75" s="408">
        <v>0</v>
      </c>
    </row>
    <row r="76" spans="1:9">
      <c r="A76" s="338">
        <v>499</v>
      </c>
      <c r="B76" s="338">
        <v>75911</v>
      </c>
      <c r="C76" s="339" t="s">
        <v>384</v>
      </c>
      <c r="D76" s="368" t="s">
        <v>407</v>
      </c>
      <c r="E76" s="369" t="s">
        <v>408</v>
      </c>
      <c r="F76" s="392">
        <v>0</v>
      </c>
      <c r="G76" s="392">
        <v>0</v>
      </c>
      <c r="H76" s="408">
        <v>0</v>
      </c>
    </row>
    <row r="77" spans="1:9">
      <c r="A77" s="352">
        <v>499</v>
      </c>
      <c r="B77" s="352">
        <v>75911</v>
      </c>
      <c r="C77" s="353" t="s">
        <v>384</v>
      </c>
      <c r="D77" s="354" t="s">
        <v>354</v>
      </c>
      <c r="E77" s="353"/>
      <c r="F77" s="394">
        <v>92340872.530484438</v>
      </c>
      <c r="G77" s="394">
        <v>91061422.7061674</v>
      </c>
      <c r="H77" s="407">
        <v>41280207.709999993</v>
      </c>
    </row>
    <row r="78" spans="1:9">
      <c r="A78" s="338">
        <v>499</v>
      </c>
      <c r="B78" s="338">
        <v>75913</v>
      </c>
      <c r="C78" s="339" t="s">
        <v>409</v>
      </c>
      <c r="D78" s="340" t="s">
        <v>410</v>
      </c>
      <c r="E78" s="339" t="s">
        <v>71</v>
      </c>
      <c r="F78" s="392">
        <v>840044.6399999999</v>
      </c>
      <c r="G78" s="392">
        <v>737955.99999999988</v>
      </c>
      <c r="H78" s="408">
        <v>368782.18</v>
      </c>
      <c r="I78" t="s">
        <v>304</v>
      </c>
    </row>
    <row r="79" spans="1:9">
      <c r="A79" s="338">
        <v>499</v>
      </c>
      <c r="B79" s="338">
        <v>75913</v>
      </c>
      <c r="C79" s="339" t="s">
        <v>409</v>
      </c>
      <c r="D79" s="340" t="s">
        <v>411</v>
      </c>
      <c r="E79" s="339" t="s">
        <v>107</v>
      </c>
      <c r="F79" s="392">
        <v>209955.35999999996</v>
      </c>
      <c r="G79" s="392">
        <v>218135.91999999995</v>
      </c>
      <c r="H79" s="408">
        <v>117752.1</v>
      </c>
      <c r="I79" t="s">
        <v>304</v>
      </c>
    </row>
    <row r="80" spans="1:9">
      <c r="A80" s="338">
        <v>499</v>
      </c>
      <c r="B80" s="338">
        <v>75913</v>
      </c>
      <c r="C80" s="339" t="s">
        <v>409</v>
      </c>
      <c r="D80" s="346" t="s">
        <v>412</v>
      </c>
      <c r="E80" s="339" t="s">
        <v>413</v>
      </c>
      <c r="F80" s="392">
        <v>57185</v>
      </c>
      <c r="G80" s="392">
        <v>47421.97</v>
      </c>
      <c r="H80" s="408">
        <v>30094.799999999996</v>
      </c>
      <c r="I80" t="s">
        <v>352</v>
      </c>
    </row>
    <row r="81" spans="1:9">
      <c r="A81" s="338">
        <v>499</v>
      </c>
      <c r="B81" s="338">
        <v>75913</v>
      </c>
      <c r="C81" s="339" t="s">
        <v>409</v>
      </c>
      <c r="D81" s="346" t="s">
        <v>414</v>
      </c>
      <c r="E81" s="339" t="s">
        <v>415</v>
      </c>
      <c r="F81" s="274">
        <v>514673</v>
      </c>
      <c r="G81" s="392">
        <v>506051.29999999993</v>
      </c>
      <c r="H81" s="408">
        <v>218134.85</v>
      </c>
      <c r="I81" t="s">
        <v>352</v>
      </c>
    </row>
    <row r="82" spans="1:9" ht="25.5">
      <c r="A82" s="338">
        <v>499</v>
      </c>
      <c r="B82" s="338">
        <v>75913</v>
      </c>
      <c r="C82" s="339" t="s">
        <v>409</v>
      </c>
      <c r="D82" t="s">
        <v>416</v>
      </c>
      <c r="E82" s="339" t="s">
        <v>417</v>
      </c>
      <c r="F82" s="274">
        <v>0</v>
      </c>
      <c r="G82" s="392"/>
      <c r="H82" s="408">
        <v>0</v>
      </c>
    </row>
    <row r="83" spans="1:9">
      <c r="A83" s="348">
        <v>499</v>
      </c>
      <c r="B83" s="348">
        <v>75913</v>
      </c>
      <c r="C83" s="347" t="s">
        <v>409</v>
      </c>
      <c r="D83" s="340" t="s">
        <v>418</v>
      </c>
      <c r="E83" s="339" t="s">
        <v>419</v>
      </c>
      <c r="F83" s="398">
        <v>0</v>
      </c>
      <c r="G83" s="398">
        <v>0</v>
      </c>
      <c r="H83" s="406">
        <v>0</v>
      </c>
    </row>
    <row r="84" spans="1:9">
      <c r="A84" s="352">
        <v>499</v>
      </c>
      <c r="B84" s="352">
        <v>75913</v>
      </c>
      <c r="C84" s="353" t="s">
        <v>409</v>
      </c>
      <c r="D84" s="354" t="s">
        <v>354</v>
      </c>
      <c r="E84" s="353"/>
      <c r="F84" s="273">
        <v>1621858</v>
      </c>
      <c r="G84" s="273">
        <v>1509565.1900000002</v>
      </c>
      <c r="H84" s="407">
        <v>734763.93</v>
      </c>
    </row>
    <row r="85" spans="1:9">
      <c r="A85" s="355">
        <v>499</v>
      </c>
      <c r="B85" s="356">
        <v>75909</v>
      </c>
      <c r="C85" s="357" t="s">
        <v>355</v>
      </c>
      <c r="D85" s="358" t="s">
        <v>354</v>
      </c>
      <c r="E85" s="357"/>
      <c r="F85" s="395">
        <v>-15263129.999999996</v>
      </c>
      <c r="G85" s="395">
        <v>-12752050.094255198</v>
      </c>
      <c r="H85" s="409">
        <v>0</v>
      </c>
    </row>
    <row r="86" spans="1:9">
      <c r="A86" s="359">
        <v>499</v>
      </c>
      <c r="B86" s="360">
        <v>69450</v>
      </c>
      <c r="C86" s="361" t="s">
        <v>420</v>
      </c>
      <c r="D86" s="362" t="s">
        <v>354</v>
      </c>
      <c r="E86" s="361"/>
      <c r="F86" s="396">
        <v>6041397.8772050012</v>
      </c>
      <c r="G86" s="396">
        <v>5454137.451125307</v>
      </c>
      <c r="H86" s="410">
        <v>2584499.2799999993</v>
      </c>
    </row>
    <row r="87" spans="1:9">
      <c r="A87" s="363">
        <v>499</v>
      </c>
      <c r="B87" s="364" t="s">
        <v>357</v>
      </c>
      <c r="C87" s="365" t="s">
        <v>421</v>
      </c>
      <c r="D87" s="366" t="s">
        <v>354</v>
      </c>
      <c r="E87" s="367"/>
      <c r="F87" s="399">
        <v>232900389.2495378</v>
      </c>
      <c r="G87" s="399">
        <v>239429670.36880872</v>
      </c>
      <c r="H87" s="411">
        <v>103345916.03999999</v>
      </c>
    </row>
    <row r="88" spans="1:9" ht="15.75">
      <c r="A88" s="370"/>
      <c r="B88" s="371" t="s">
        <v>357</v>
      </c>
      <c r="C88" s="372" t="s">
        <v>422</v>
      </c>
      <c r="D88" s="372" t="s">
        <v>354</v>
      </c>
      <c r="E88" s="372"/>
      <c r="F88" s="400">
        <v>407819637.90740591</v>
      </c>
      <c r="G88" s="400">
        <v>411925480.72295976</v>
      </c>
      <c r="H88" s="412">
        <v>173743270.70999998</v>
      </c>
    </row>
    <row r="89" spans="1:9">
      <c r="A89" s="338">
        <v>500</v>
      </c>
      <c r="B89" s="338">
        <v>56017</v>
      </c>
      <c r="C89" s="339" t="s">
        <v>423</v>
      </c>
      <c r="D89" s="340" t="s">
        <v>424</v>
      </c>
      <c r="E89" s="339" t="s">
        <v>425</v>
      </c>
      <c r="F89" s="398">
        <v>2598640</v>
      </c>
      <c r="G89" s="398">
        <v>2598639.7000000002</v>
      </c>
      <c r="H89" s="406">
        <v>2434679.5</v>
      </c>
      <c r="I89" t="s">
        <v>352</v>
      </c>
    </row>
    <row r="90" spans="1:9">
      <c r="A90" s="338">
        <v>500</v>
      </c>
      <c r="B90" s="338">
        <v>56017</v>
      </c>
      <c r="C90" s="339" t="s">
        <v>423</v>
      </c>
      <c r="D90" s="340" t="s">
        <v>426</v>
      </c>
      <c r="E90" s="339" t="s">
        <v>427</v>
      </c>
      <c r="F90" s="398">
        <v>5394552</v>
      </c>
      <c r="G90" s="398">
        <v>5394554.9000000004</v>
      </c>
      <c r="H90" s="406">
        <v>2284938.9</v>
      </c>
      <c r="I90" t="s">
        <v>352</v>
      </c>
    </row>
    <row r="91" spans="1:9">
      <c r="A91" s="338">
        <v>500</v>
      </c>
      <c r="B91" s="338">
        <v>56017</v>
      </c>
      <c r="C91" s="339" t="s">
        <v>423</v>
      </c>
      <c r="D91" s="340" t="s">
        <v>428</v>
      </c>
      <c r="E91" s="339" t="s">
        <v>429</v>
      </c>
      <c r="F91" s="398">
        <v>555000</v>
      </c>
      <c r="G91" s="398">
        <v>555000</v>
      </c>
      <c r="H91" s="406">
        <v>0</v>
      </c>
      <c r="I91" t="s">
        <v>352</v>
      </c>
    </row>
    <row r="92" spans="1:9">
      <c r="A92" s="338">
        <v>500</v>
      </c>
      <c r="B92" s="338">
        <v>56017</v>
      </c>
      <c r="C92" s="339" t="s">
        <v>423</v>
      </c>
      <c r="D92" s="340" t="s">
        <v>430</v>
      </c>
      <c r="E92" s="339" t="s">
        <v>431</v>
      </c>
      <c r="F92" s="398">
        <v>180000</v>
      </c>
      <c r="G92" s="398">
        <v>90025</v>
      </c>
      <c r="H92" s="406">
        <v>26450</v>
      </c>
      <c r="I92" t="s">
        <v>352</v>
      </c>
    </row>
    <row r="93" spans="1:9">
      <c r="A93" s="352">
        <v>500</v>
      </c>
      <c r="B93" s="352">
        <v>56017</v>
      </c>
      <c r="C93" s="353" t="s">
        <v>423</v>
      </c>
      <c r="D93" s="354" t="s">
        <v>354</v>
      </c>
      <c r="E93" s="353"/>
      <c r="F93" s="394">
        <v>8728192</v>
      </c>
      <c r="G93" s="394">
        <v>8638219.5999999996</v>
      </c>
      <c r="H93" s="407">
        <v>4746068.3999999994</v>
      </c>
    </row>
    <row r="94" spans="1:9">
      <c r="A94" s="352">
        <v>500</v>
      </c>
      <c r="B94" s="352">
        <v>56017</v>
      </c>
      <c r="C94" s="353" t="s">
        <v>432</v>
      </c>
      <c r="D94" s="354" t="s">
        <v>433</v>
      </c>
      <c r="E94" s="373" t="s">
        <v>434</v>
      </c>
      <c r="F94" s="394">
        <v>815999.9999996</v>
      </c>
      <c r="G94" s="394">
        <v>852694.12999960012</v>
      </c>
      <c r="H94" s="407">
        <v>626207.59</v>
      </c>
    </row>
    <row r="95" spans="1:9">
      <c r="A95" s="352">
        <v>500</v>
      </c>
      <c r="B95" s="352">
        <v>56017</v>
      </c>
      <c r="C95" s="353" t="s">
        <v>435</v>
      </c>
      <c r="D95" s="354" t="s">
        <v>436</v>
      </c>
      <c r="E95" s="373" t="s">
        <v>437</v>
      </c>
      <c r="F95" s="394">
        <v>309999.99999199994</v>
      </c>
      <c r="G95" s="394">
        <v>238869.11332800001</v>
      </c>
      <c r="H95" s="407">
        <v>41538.959999999999</v>
      </c>
    </row>
    <row r="96" spans="1:9">
      <c r="A96" s="338">
        <v>500</v>
      </c>
      <c r="B96" s="338">
        <v>56017</v>
      </c>
      <c r="C96" s="339" t="s">
        <v>253</v>
      </c>
      <c r="D96" s="340" t="s">
        <v>438</v>
      </c>
      <c r="E96" s="339" t="s">
        <v>439</v>
      </c>
      <c r="F96" s="398">
        <v>6306050.0299999956</v>
      </c>
      <c r="G96" s="398">
        <v>6251886.2266666656</v>
      </c>
      <c r="H96" s="408">
        <v>3094279.3499999996</v>
      </c>
    </row>
    <row r="97" spans="1:9" ht="25.5">
      <c r="A97" s="338">
        <v>500</v>
      </c>
      <c r="B97" s="338">
        <v>56017</v>
      </c>
      <c r="C97" s="339" t="s">
        <v>440</v>
      </c>
      <c r="D97" s="340" t="s">
        <v>441</v>
      </c>
      <c r="E97" s="339" t="s">
        <v>442</v>
      </c>
      <c r="F97" s="398">
        <v>2000000</v>
      </c>
      <c r="G97" s="398">
        <v>1661120.72</v>
      </c>
      <c r="H97" s="408">
        <v>553883.84</v>
      </c>
    </row>
    <row r="98" spans="1:9" ht="25.5">
      <c r="A98" s="338">
        <v>500</v>
      </c>
      <c r="B98" s="338">
        <v>56017</v>
      </c>
      <c r="C98" s="339" t="s">
        <v>440</v>
      </c>
      <c r="D98" s="340" t="s">
        <v>443</v>
      </c>
      <c r="E98" s="339" t="s">
        <v>442</v>
      </c>
      <c r="F98" s="398">
        <v>0</v>
      </c>
      <c r="G98" s="398">
        <v>-3248.2599999997765</v>
      </c>
      <c r="H98" s="408">
        <v>0</v>
      </c>
    </row>
    <row r="99" spans="1:9" ht="25.5">
      <c r="A99" s="338">
        <v>500</v>
      </c>
      <c r="B99" s="338">
        <v>56017</v>
      </c>
      <c r="C99" s="339" t="s">
        <v>440</v>
      </c>
      <c r="D99" s="340" t="s">
        <v>444</v>
      </c>
      <c r="E99" s="339" t="s">
        <v>442</v>
      </c>
      <c r="F99" s="398">
        <v>493950</v>
      </c>
      <c r="G99" s="398">
        <v>521641.5</v>
      </c>
      <c r="H99" s="408">
        <v>255171.5</v>
      </c>
    </row>
    <row r="100" spans="1:9" ht="25.5">
      <c r="A100" s="352">
        <v>500</v>
      </c>
      <c r="B100" s="352">
        <v>56017</v>
      </c>
      <c r="C100" s="353" t="s">
        <v>253</v>
      </c>
      <c r="D100" s="354" t="s">
        <v>354</v>
      </c>
      <c r="E100" s="354" t="s">
        <v>193</v>
      </c>
      <c r="F100" s="394">
        <v>8800000.0299999937</v>
      </c>
      <c r="G100" s="394">
        <v>8431400.1866666656</v>
      </c>
      <c r="H100" s="407">
        <v>3903334.6900000004</v>
      </c>
      <c r="I100" t="s">
        <v>304</v>
      </c>
    </row>
    <row r="101" spans="1:9">
      <c r="A101" s="338">
        <v>500</v>
      </c>
      <c r="B101" s="338">
        <v>56017</v>
      </c>
      <c r="C101" s="339" t="s">
        <v>445</v>
      </c>
      <c r="D101" s="340" t="s">
        <v>446</v>
      </c>
      <c r="E101" s="339" t="s">
        <v>447</v>
      </c>
      <c r="F101" s="398">
        <v>49999.999999999993</v>
      </c>
      <c r="G101" s="398">
        <v>45890.52</v>
      </c>
      <c r="H101" s="408">
        <v>15431.52</v>
      </c>
    </row>
    <row r="102" spans="1:9" ht="30">
      <c r="A102" s="348">
        <v>500</v>
      </c>
      <c r="B102" s="348">
        <v>56017</v>
      </c>
      <c r="C102" s="347" t="s">
        <v>445</v>
      </c>
      <c r="D102" s="346" t="s">
        <v>448</v>
      </c>
      <c r="E102" s="347" t="s">
        <v>449</v>
      </c>
      <c r="F102" s="274">
        <v>49999.999999999993</v>
      </c>
      <c r="G102" s="274">
        <v>36373.990000000005</v>
      </c>
      <c r="H102" s="408">
        <v>14031.56</v>
      </c>
    </row>
    <row r="103" spans="1:9">
      <c r="A103" s="338">
        <v>500</v>
      </c>
      <c r="B103" s="338">
        <v>56017</v>
      </c>
      <c r="C103" s="339" t="s">
        <v>450</v>
      </c>
      <c r="D103" s="340" t="s">
        <v>451</v>
      </c>
      <c r="E103" s="339" t="s">
        <v>452</v>
      </c>
      <c r="F103" s="398">
        <v>512600</v>
      </c>
      <c r="G103" s="398">
        <v>415069.5</v>
      </c>
      <c r="H103" s="408">
        <v>193609</v>
      </c>
    </row>
    <row r="104" spans="1:9">
      <c r="A104" s="338">
        <v>500</v>
      </c>
      <c r="B104" s="338">
        <v>56017</v>
      </c>
      <c r="C104" s="339" t="s">
        <v>453</v>
      </c>
      <c r="D104" s="340" t="s">
        <v>454</v>
      </c>
      <c r="E104" s="339" t="s">
        <v>453</v>
      </c>
      <c r="F104" s="398">
        <v>0</v>
      </c>
      <c r="G104" s="398">
        <v>0</v>
      </c>
      <c r="H104" s="408">
        <v>0</v>
      </c>
    </row>
    <row r="105" spans="1:9">
      <c r="A105" s="352">
        <v>500</v>
      </c>
      <c r="B105" s="352">
        <v>56017</v>
      </c>
      <c r="C105" s="353" t="s">
        <v>455</v>
      </c>
      <c r="D105" s="354" t="s">
        <v>354</v>
      </c>
      <c r="E105" s="354" t="s">
        <v>456</v>
      </c>
      <c r="F105" s="394">
        <v>612600</v>
      </c>
      <c r="G105" s="394">
        <v>497334.00999999995</v>
      </c>
      <c r="H105" s="407">
        <v>223072.08000000002</v>
      </c>
    </row>
    <row r="106" spans="1:9">
      <c r="A106" s="355">
        <v>500</v>
      </c>
      <c r="B106" s="356"/>
      <c r="C106" s="357" t="s">
        <v>355</v>
      </c>
      <c r="D106" s="358" t="s">
        <v>354</v>
      </c>
      <c r="E106" s="357"/>
      <c r="F106" s="395">
        <v>0</v>
      </c>
      <c r="G106" s="395">
        <v>0</v>
      </c>
      <c r="H106" s="409">
        <v>0</v>
      </c>
    </row>
    <row r="107" spans="1:9">
      <c r="A107" s="359">
        <v>500</v>
      </c>
      <c r="B107" s="360">
        <v>69450</v>
      </c>
      <c r="C107" s="361" t="s">
        <v>457</v>
      </c>
      <c r="D107" s="362" t="s">
        <v>354</v>
      </c>
      <c r="E107" s="361"/>
      <c r="F107" s="396">
        <v>2160203.780671</v>
      </c>
      <c r="G107" s="396">
        <v>2026037.0404328138</v>
      </c>
      <c r="H107" s="410">
        <v>902607.09000000008</v>
      </c>
    </row>
    <row r="108" spans="1:9">
      <c r="A108" s="363">
        <v>500</v>
      </c>
      <c r="B108" s="364" t="s">
        <v>357</v>
      </c>
      <c r="C108" s="365" t="s">
        <v>458</v>
      </c>
      <c r="D108" s="366" t="s">
        <v>354</v>
      </c>
      <c r="E108" s="367"/>
      <c r="F108" s="399">
        <v>21426995.810662597</v>
      </c>
      <c r="G108" s="399">
        <v>20684554.080427077</v>
      </c>
      <c r="H108" s="411">
        <v>10442828.810000001</v>
      </c>
    </row>
    <row r="109" spans="1:9">
      <c r="A109" s="338">
        <v>522</v>
      </c>
      <c r="B109" s="338">
        <v>56017</v>
      </c>
      <c r="C109" s="339" t="s">
        <v>459</v>
      </c>
      <c r="D109" s="340" t="s">
        <v>460</v>
      </c>
      <c r="E109" s="339" t="s">
        <v>461</v>
      </c>
      <c r="F109" s="398">
        <v>1270000</v>
      </c>
      <c r="G109" s="398">
        <v>764477.35</v>
      </c>
      <c r="H109" s="408">
        <v>403391.35</v>
      </c>
    </row>
    <row r="110" spans="1:9">
      <c r="A110" s="338">
        <v>522</v>
      </c>
      <c r="B110" s="338">
        <v>56017</v>
      </c>
      <c r="C110" s="339" t="s">
        <v>459</v>
      </c>
      <c r="D110" s="340" t="s">
        <v>462</v>
      </c>
      <c r="E110" s="339" t="s">
        <v>463</v>
      </c>
      <c r="F110" s="398">
        <v>1541216.0000000002</v>
      </c>
      <c r="G110" s="398">
        <v>1521174.2133333331</v>
      </c>
      <c r="H110" s="408">
        <v>747583.71</v>
      </c>
    </row>
    <row r="111" spans="1:9">
      <c r="A111" s="338">
        <v>522</v>
      </c>
      <c r="B111" s="338">
        <v>56017</v>
      </c>
      <c r="C111" s="339" t="s">
        <v>459</v>
      </c>
      <c r="D111" s="340" t="s">
        <v>464</v>
      </c>
      <c r="E111" s="339" t="s">
        <v>465</v>
      </c>
      <c r="F111" s="398">
        <v>247784</v>
      </c>
      <c r="G111" s="398">
        <v>107007.1</v>
      </c>
      <c r="H111" s="408">
        <v>13375.800000000003</v>
      </c>
    </row>
    <row r="112" spans="1:9">
      <c r="A112" s="352">
        <v>522</v>
      </c>
      <c r="B112" s="352">
        <v>56017</v>
      </c>
      <c r="C112" s="353" t="s">
        <v>459</v>
      </c>
      <c r="D112" s="354" t="s">
        <v>354</v>
      </c>
      <c r="E112" s="353"/>
      <c r="F112" s="394">
        <v>3059000</v>
      </c>
      <c r="G112" s="394">
        <v>2392658.6633333336</v>
      </c>
      <c r="H112" s="407">
        <v>1164350.8599999999</v>
      </c>
    </row>
    <row r="113" spans="1:8">
      <c r="A113" s="338">
        <v>522</v>
      </c>
      <c r="B113" s="338">
        <v>56017</v>
      </c>
      <c r="C113" s="339" t="s">
        <v>466</v>
      </c>
      <c r="D113" s="340" t="s">
        <v>467</v>
      </c>
      <c r="E113" s="339" t="s">
        <v>468</v>
      </c>
      <c r="F113" s="398">
        <v>2322100.8000000003</v>
      </c>
      <c r="G113" s="398">
        <v>2354238.02</v>
      </c>
      <c r="H113" s="408">
        <v>1075419</v>
      </c>
    </row>
    <row r="114" spans="1:8">
      <c r="A114" s="338">
        <v>522</v>
      </c>
      <c r="B114" s="338">
        <v>56017</v>
      </c>
      <c r="C114" s="339" t="s">
        <v>466</v>
      </c>
      <c r="D114" s="340" t="s">
        <v>469</v>
      </c>
      <c r="E114" s="339" t="s">
        <v>470</v>
      </c>
      <c r="F114" s="398">
        <v>6547497.2300000004</v>
      </c>
      <c r="G114" s="398">
        <v>6513902.3966666665</v>
      </c>
      <c r="H114" s="408">
        <v>2994665.13</v>
      </c>
    </row>
    <row r="115" spans="1:8">
      <c r="A115" s="338">
        <v>522</v>
      </c>
      <c r="B115" s="338">
        <v>56017</v>
      </c>
      <c r="C115" s="339" t="s">
        <v>466</v>
      </c>
      <c r="D115" s="340" t="s">
        <v>471</v>
      </c>
      <c r="E115" s="339" t="s">
        <v>472</v>
      </c>
      <c r="F115" s="398">
        <v>131244</v>
      </c>
      <c r="G115" s="398">
        <v>122886.94</v>
      </c>
      <c r="H115" s="408">
        <v>53011.770000000004</v>
      </c>
    </row>
    <row r="116" spans="1:8">
      <c r="A116" s="352">
        <v>522</v>
      </c>
      <c r="B116" s="352">
        <v>56017</v>
      </c>
      <c r="C116" s="353" t="s">
        <v>466</v>
      </c>
      <c r="D116" s="354" t="s">
        <v>354</v>
      </c>
      <c r="E116" s="373"/>
      <c r="F116" s="394">
        <v>9000842.0300000012</v>
      </c>
      <c r="G116" s="394">
        <v>8991027.3566666655</v>
      </c>
      <c r="H116" s="407">
        <v>4123095.9</v>
      </c>
    </row>
    <row r="117" spans="1:8">
      <c r="A117" s="338">
        <v>522</v>
      </c>
      <c r="B117" s="338">
        <v>56017</v>
      </c>
      <c r="C117" s="339" t="s">
        <v>473</v>
      </c>
      <c r="D117" s="340" t="s">
        <v>464</v>
      </c>
      <c r="E117" s="339" t="s">
        <v>474</v>
      </c>
      <c r="F117" s="398">
        <v>0</v>
      </c>
      <c r="G117" s="398">
        <v>0</v>
      </c>
      <c r="H117" s="408">
        <v>0</v>
      </c>
    </row>
    <row r="118" spans="1:8">
      <c r="A118" s="338">
        <v>522</v>
      </c>
      <c r="B118" s="338">
        <v>56017</v>
      </c>
      <c r="C118" s="339" t="s">
        <v>473</v>
      </c>
      <c r="D118" s="340"/>
      <c r="E118" s="339"/>
      <c r="F118" s="398">
        <v>0</v>
      </c>
      <c r="G118" s="398">
        <v>0</v>
      </c>
      <c r="H118" s="408">
        <v>0</v>
      </c>
    </row>
    <row r="119" spans="1:8">
      <c r="A119" s="352">
        <v>522</v>
      </c>
      <c r="B119" s="352">
        <v>56017</v>
      </c>
      <c r="C119" s="353" t="s">
        <v>475</v>
      </c>
      <c r="D119" s="354" t="s">
        <v>354</v>
      </c>
      <c r="E119" s="373"/>
      <c r="F119" s="394">
        <v>0</v>
      </c>
      <c r="G119" s="394">
        <v>0</v>
      </c>
      <c r="H119" s="407">
        <v>0</v>
      </c>
    </row>
    <row r="120" spans="1:8">
      <c r="A120" s="338">
        <v>522</v>
      </c>
      <c r="B120" s="338">
        <v>56017</v>
      </c>
      <c r="C120" s="339" t="s">
        <v>476</v>
      </c>
      <c r="D120" s="340" t="s">
        <v>477</v>
      </c>
      <c r="E120" s="339" t="s">
        <v>478</v>
      </c>
      <c r="F120" s="398">
        <v>1999999.9999999998</v>
      </c>
      <c r="G120" s="398">
        <v>61000</v>
      </c>
      <c r="H120" s="408">
        <v>50000</v>
      </c>
    </row>
    <row r="121" spans="1:8">
      <c r="A121" s="338">
        <v>522</v>
      </c>
      <c r="B121" s="338">
        <v>56017</v>
      </c>
      <c r="C121" s="339" t="s">
        <v>476</v>
      </c>
      <c r="D121" s="374" t="s">
        <v>479</v>
      </c>
      <c r="E121" s="339" t="s">
        <v>480</v>
      </c>
      <c r="F121" s="398">
        <v>100000.00000000001</v>
      </c>
      <c r="G121" s="398">
        <v>61246.85</v>
      </c>
      <c r="H121" s="408">
        <v>24146.73</v>
      </c>
    </row>
    <row r="122" spans="1:8">
      <c r="A122" s="352">
        <v>522</v>
      </c>
      <c r="B122" s="352">
        <v>56017</v>
      </c>
      <c r="C122" s="353" t="s">
        <v>481</v>
      </c>
      <c r="D122" s="354" t="s">
        <v>354</v>
      </c>
      <c r="E122" s="354" t="s">
        <v>482</v>
      </c>
      <c r="F122" s="394">
        <v>2100000</v>
      </c>
      <c r="G122" s="394">
        <v>122246.85</v>
      </c>
      <c r="H122" s="407">
        <v>74146.73</v>
      </c>
    </row>
    <row r="123" spans="1:8">
      <c r="A123" s="338">
        <v>522</v>
      </c>
      <c r="B123" s="338">
        <v>56017</v>
      </c>
      <c r="C123" s="339" t="s">
        <v>483</v>
      </c>
      <c r="D123" s="340" t="s">
        <v>484</v>
      </c>
      <c r="E123" s="339" t="s">
        <v>485</v>
      </c>
      <c r="F123" s="398">
        <v>364309.25</v>
      </c>
      <c r="G123" s="398">
        <v>376913.79</v>
      </c>
      <c r="H123" s="406">
        <v>200983.12999999998</v>
      </c>
    </row>
    <row r="124" spans="1:8" ht="25.5">
      <c r="A124" s="352">
        <v>522</v>
      </c>
      <c r="B124" s="352">
        <v>56017</v>
      </c>
      <c r="C124" s="353" t="s">
        <v>486</v>
      </c>
      <c r="D124" s="354" t="s">
        <v>354</v>
      </c>
      <c r="E124" s="353"/>
      <c r="F124" s="394">
        <v>364309.25</v>
      </c>
      <c r="G124" s="394">
        <v>376913.79</v>
      </c>
      <c r="H124" s="407">
        <v>200983.12999999998</v>
      </c>
    </row>
    <row r="125" spans="1:8">
      <c r="A125" s="355">
        <v>522</v>
      </c>
      <c r="B125" s="356"/>
      <c r="C125" s="357" t="s">
        <v>355</v>
      </c>
      <c r="D125" s="358" t="s">
        <v>354</v>
      </c>
      <c r="E125" s="357"/>
      <c r="F125" s="395">
        <v>0</v>
      </c>
      <c r="G125" s="395">
        <v>0</v>
      </c>
      <c r="H125" s="407">
        <v>0</v>
      </c>
    </row>
    <row r="126" spans="1:8">
      <c r="A126" s="359">
        <v>522</v>
      </c>
      <c r="B126" s="360">
        <v>69450</v>
      </c>
      <c r="C126" s="361" t="s">
        <v>487</v>
      </c>
      <c r="D126" s="362" t="s">
        <v>354</v>
      </c>
      <c r="E126" s="361"/>
      <c r="F126" s="396">
        <v>3244127.0238660001</v>
      </c>
      <c r="G126" s="396">
        <v>2508561.1685475437</v>
      </c>
      <c r="H126" s="410">
        <v>1544031.06</v>
      </c>
    </row>
    <row r="127" spans="1:8">
      <c r="A127" s="363">
        <v>522</v>
      </c>
      <c r="B127" s="364" t="s">
        <v>357</v>
      </c>
      <c r="C127" s="365" t="s">
        <v>488</v>
      </c>
      <c r="D127" s="366" t="s">
        <v>354</v>
      </c>
      <c r="E127" s="367"/>
      <c r="F127" s="399">
        <v>17768278.303865999</v>
      </c>
      <c r="G127" s="399">
        <v>14391407.828547545</v>
      </c>
      <c r="H127" s="411">
        <v>7106607.6799999997</v>
      </c>
    </row>
    <row r="128" spans="1:8" ht="30">
      <c r="A128" s="375">
        <v>881</v>
      </c>
      <c r="B128" s="376">
        <v>69450</v>
      </c>
      <c r="C128" s="377" t="s">
        <v>489</v>
      </c>
      <c r="D128" s="378" t="s">
        <v>354</v>
      </c>
      <c r="E128" s="379"/>
      <c r="F128" s="401">
        <v>0</v>
      </c>
      <c r="G128" s="401">
        <v>13469.39</v>
      </c>
      <c r="H128" s="413">
        <v>13469.39</v>
      </c>
    </row>
    <row r="129" spans="1:8" ht="15.75">
      <c r="A129" s="380" t="s">
        <v>357</v>
      </c>
      <c r="B129" s="371">
        <v>56017</v>
      </c>
      <c r="C129" s="372" t="s">
        <v>490</v>
      </c>
      <c r="D129" s="372" t="s">
        <v>354</v>
      </c>
      <c r="E129" s="372"/>
      <c r="F129" s="400">
        <v>39195274.114528589</v>
      </c>
      <c r="G129" s="400">
        <v>35089431.298974618</v>
      </c>
      <c r="H129" s="412">
        <v>17562905.879999999</v>
      </c>
    </row>
    <row r="130" spans="1:8" ht="15.75">
      <c r="A130" s="372" t="s">
        <v>491</v>
      </c>
      <c r="B130" s="372"/>
      <c r="C130" s="372"/>
      <c r="D130" s="372"/>
      <c r="E130" s="372"/>
      <c r="F130" s="402">
        <v>447014912.02193451</v>
      </c>
      <c r="G130" s="402">
        <v>447014912.02193439</v>
      </c>
      <c r="H130" s="414">
        <v>191306176.59</v>
      </c>
    </row>
    <row r="131" spans="1:8">
      <c r="A131" s="381"/>
      <c r="B131" s="341"/>
      <c r="C131" s="382"/>
      <c r="D131" s="383"/>
      <c r="E131" s="382"/>
      <c r="F131" s="391"/>
      <c r="G131" s="391"/>
      <c r="H131" s="406"/>
    </row>
    <row r="132" spans="1:8" ht="25.5">
      <c r="A132" s="384">
        <v>499</v>
      </c>
      <c r="B132" s="385">
        <v>56193</v>
      </c>
      <c r="C132" s="386" t="s">
        <v>492</v>
      </c>
      <c r="D132" s="387" t="s">
        <v>354</v>
      </c>
      <c r="E132" s="388" t="s">
        <v>493</v>
      </c>
      <c r="F132" s="403">
        <v>0</v>
      </c>
      <c r="G132" s="403">
        <v>0</v>
      </c>
      <c r="H132" s="415">
        <v>0</v>
      </c>
    </row>
    <row r="133" spans="1:8" ht="15.75">
      <c r="A133" s="370" t="s">
        <v>494</v>
      </c>
      <c r="B133" s="372"/>
      <c r="C133" s="372"/>
      <c r="D133" s="372"/>
      <c r="E133" s="372"/>
      <c r="F133" s="404">
        <v>447014912.02193451</v>
      </c>
      <c r="G133" s="404">
        <v>447014912.02193439</v>
      </c>
      <c r="H133" s="416">
        <v>191306176.59</v>
      </c>
    </row>
    <row r="134" spans="1:8" ht="15.75">
      <c r="A134" s="389"/>
      <c r="B134" s="389"/>
      <c r="C134" s="389"/>
      <c r="D134" s="389"/>
      <c r="E134" s="389"/>
      <c r="F134" s="390"/>
      <c r="G134" s="390"/>
      <c r="H134" s="390"/>
    </row>
    <row r="135" spans="1:8">
      <c r="E135" s="484" t="s">
        <v>268</v>
      </c>
    </row>
    <row r="136" spans="1:8" ht="45">
      <c r="E136" s="246" t="s">
        <v>140</v>
      </c>
      <c r="F136" s="213">
        <f>F16+F21+F30+F22</f>
        <v>14821523</v>
      </c>
      <c r="G136" s="213">
        <f t="shared" ref="G136:H136" si="0">G16+G21+G30+G22</f>
        <v>12268282.379999999</v>
      </c>
      <c r="H136" s="213">
        <f t="shared" si="0"/>
        <v>4937915.2799999993</v>
      </c>
    </row>
    <row r="137" spans="1:8">
      <c r="E137" s="270" t="s">
        <v>168</v>
      </c>
      <c r="F137" s="213">
        <f>F153-F155</f>
        <v>33865238.429538622</v>
      </c>
      <c r="G137" s="213">
        <f t="shared" ref="G137:H137" si="1">G153-G155</f>
        <v>31976038</v>
      </c>
      <c r="H137" s="213">
        <f t="shared" si="1"/>
        <v>10769196.810000001</v>
      </c>
    </row>
    <row r="138" spans="1:8">
      <c r="E138" s="270" t="s">
        <v>171</v>
      </c>
      <c r="F138" s="335">
        <f>F154+F155</f>
        <v>3392633.5500000003</v>
      </c>
      <c r="G138" s="335">
        <f t="shared" ref="G138:H138" si="2">G154+G155</f>
        <v>3332257.9999999995</v>
      </c>
      <c r="H138" s="335">
        <f t="shared" si="2"/>
        <v>1550378.63</v>
      </c>
    </row>
    <row r="139" spans="1:8" ht="30">
      <c r="E139" s="246" t="s">
        <v>183</v>
      </c>
      <c r="F139" s="213">
        <f>F12+F13</f>
        <v>15097547.468884427</v>
      </c>
      <c r="G139" s="213">
        <f t="shared" ref="G139:H139" si="3">G12+G13</f>
        <v>15086309</v>
      </c>
      <c r="H139" s="213">
        <f t="shared" si="3"/>
        <v>4322851.5600000005</v>
      </c>
    </row>
    <row r="140" spans="1:8" ht="30">
      <c r="E140" s="246" t="s">
        <v>131</v>
      </c>
      <c r="F140" s="335">
        <f>F11+F36</f>
        <v>6114426.3600000022</v>
      </c>
      <c r="G140" s="335">
        <f t="shared" ref="G140:H140" si="4">G11+G36</f>
        <v>6132534</v>
      </c>
      <c r="H140" s="335">
        <f t="shared" si="4"/>
        <v>3081036.7</v>
      </c>
    </row>
    <row r="141" spans="1:8" ht="30">
      <c r="E141" s="246" t="s">
        <v>197</v>
      </c>
      <c r="F141" s="335">
        <f>F56+F57</f>
        <v>150000</v>
      </c>
      <c r="G141" s="335">
        <f>G56+G57</f>
        <v>0</v>
      </c>
      <c r="H141" s="335">
        <f>H56+H57</f>
        <v>0</v>
      </c>
    </row>
    <row r="142" spans="1:8">
      <c r="E142" s="285" t="s">
        <v>277</v>
      </c>
      <c r="F142" s="445">
        <f>SUM(F14,F32,F33:F34,F36,F41:F45,F49:F50,F53:F54,F56:F57,F59:F65,F67:F72,F78:F79,F89:F90,F100)</f>
        <v>423225860.92096698</v>
      </c>
      <c r="G142" s="445">
        <f>SUM(G14,G32,G33:G34,G36,G41:G45,G49:G50,G53:G54,G56:G57,G59:G65,G67:G72,G78:G79,G89:G90,G100)</f>
        <v>426975917.57860518</v>
      </c>
      <c r="H142" s="445">
        <f>SUM(H14,H32,H33:H34,H36,H41:H45,H49:H50,H53:H54,H56:H57,H59:H65,H67:H72,H78:H79,H89:H90,H100)</f>
        <v>174545830.67000005</v>
      </c>
    </row>
    <row r="143" spans="1:8">
      <c r="E143" s="285" t="s">
        <v>278</v>
      </c>
      <c r="F143" s="445">
        <f>SUM(F4:F5,F9:F10,F15,F17:F20,F23:F28,F33:F34,F41:F45,F49:F50,F59:F65,F67:F72,F78:F79,F89:F90,F100,F135:F141,F53:F54)</f>
        <v>423225860.92096692</v>
      </c>
      <c r="G143" s="445">
        <f t="shared" ref="G143:H143" si="5">SUM(G4:G5,G9:G10,G15,G17:G20,G23:G28,G33:G34,G41:G45,G49:G50,G59:G65,G67:G72,G78:G79,G89:G90,G100,G135:G141,G53:G54)</f>
        <v>426975917.57860529</v>
      </c>
      <c r="H143" s="445">
        <f t="shared" si="5"/>
        <v>174545830.66999999</v>
      </c>
    </row>
    <row r="144" spans="1:8">
      <c r="E144" s="285"/>
      <c r="F144" s="445"/>
      <c r="G144" s="445"/>
      <c r="H144" s="445"/>
    </row>
    <row r="145" spans="3:60">
      <c r="E145" s="285" t="s">
        <v>495</v>
      </c>
      <c r="F145" s="445">
        <f>SUM(F14,F32,F33:F34,F36,F48,F49:F50,F53:F54,F56:F57,F59:F65,F67:F72,F78:F79,F100)</f>
        <v>415232668.92096698</v>
      </c>
      <c r="G145" s="445">
        <f t="shared" ref="G145:H145" si="6">SUM(G14,G32,G33:G34,G36,G48,G49:G50,G53:G54,G56:G57,G59:G65,G67:G72,G78:G79,G100)</f>
        <v>418982722.97860527</v>
      </c>
      <c r="H145" s="445">
        <f t="shared" si="6"/>
        <v>169826212.27000004</v>
      </c>
    </row>
    <row r="146" spans="3:60" ht="15.75" thickBot="1">
      <c r="E146" s="285"/>
      <c r="G146" s="213"/>
    </row>
    <row r="147" spans="3:60">
      <c r="E147" s="485" t="s">
        <v>281</v>
      </c>
      <c r="F147" s="486" t="b">
        <f>F143=F142</f>
        <v>1</v>
      </c>
      <c r="G147" s="486" t="b">
        <f>G143=G142</f>
        <v>1</v>
      </c>
      <c r="H147" s="487" t="b">
        <f>H143=H142</f>
        <v>1</v>
      </c>
    </row>
    <row r="148" spans="3:60" ht="15.75" thickBot="1">
      <c r="E148" s="488" t="s">
        <v>496</v>
      </c>
      <c r="F148" s="489" t="b">
        <f>F145='1- Ex Ante Results'!L117</f>
        <v>1</v>
      </c>
      <c r="G148" s="489" t="b">
        <f>G145='1- Ex Ante Results'!M117</f>
        <v>1</v>
      </c>
      <c r="H148" s="490" t="b">
        <f>H145='1- Ex Ante Results'!I117</f>
        <v>1</v>
      </c>
    </row>
    <row r="149" spans="3:60">
      <c r="E149" s="285"/>
      <c r="F149" s="285"/>
      <c r="G149" s="285"/>
      <c r="H149" s="285"/>
    </row>
    <row r="150" spans="3:60">
      <c r="E150" s="456" t="s">
        <v>497</v>
      </c>
      <c r="F150" s="213">
        <f>F89+F90+F91+F92</f>
        <v>8728192</v>
      </c>
      <c r="G150" s="213">
        <f t="shared" ref="G150:H150" si="7">G89+G90+G91+G92</f>
        <v>8638219.6000000015</v>
      </c>
      <c r="H150" s="213">
        <f t="shared" si="7"/>
        <v>4746068.4000000004</v>
      </c>
    </row>
    <row r="151" spans="3:60">
      <c r="E151" s="457" t="s">
        <v>498</v>
      </c>
      <c r="F151" s="335">
        <f>SUM(F51:F52,F80:F81,F35)</f>
        <v>7571858</v>
      </c>
      <c r="G151" s="335">
        <f t="shared" ref="G151:H151" si="8">SUM(G51:G52,G80:G81,G35)</f>
        <v>5285524.09</v>
      </c>
      <c r="H151" s="335">
        <f t="shared" si="8"/>
        <v>3259530.54</v>
      </c>
    </row>
    <row r="153" spans="3:60" ht="30">
      <c r="C153" s="541" t="s">
        <v>499</v>
      </c>
      <c r="D153" s="541"/>
      <c r="E153" s="455" t="s">
        <v>500</v>
      </c>
      <c r="F153" s="213">
        <f>F7+F8</f>
        <v>34180238.429538622</v>
      </c>
      <c r="G153" s="213">
        <f t="shared" ref="G153:H153" si="9">G7+G8</f>
        <v>32291038</v>
      </c>
      <c r="H153" s="213">
        <f t="shared" si="9"/>
        <v>10832196.810000001</v>
      </c>
    </row>
    <row r="154" spans="3:60">
      <c r="C154" s="541" t="s">
        <v>501</v>
      </c>
      <c r="D154" s="541"/>
      <c r="E154" s="455" t="s">
        <v>307</v>
      </c>
      <c r="F154" s="335">
        <f>F6</f>
        <v>3077633.5500000003</v>
      </c>
      <c r="G154" s="335">
        <f>G6</f>
        <v>3017257.9999999995</v>
      </c>
      <c r="H154" s="335">
        <f>H6</f>
        <v>1487378.63</v>
      </c>
    </row>
    <row r="155" spans="3:60">
      <c r="E155" s="446" t="s">
        <v>502</v>
      </c>
      <c r="F155" s="483">
        <f>R158</f>
        <v>315000</v>
      </c>
      <c r="G155" s="483">
        <f>BH158</f>
        <v>315000</v>
      </c>
      <c r="H155" s="483">
        <f>SUM(AV158:BA158)</f>
        <v>63000</v>
      </c>
    </row>
    <row r="156" spans="3:60" ht="15.75" thickBot="1"/>
    <row r="157" spans="3:60" ht="45.75" thickBot="1">
      <c r="E157" s="473" t="s">
        <v>503</v>
      </c>
      <c r="F157" s="474">
        <v>45658</v>
      </c>
      <c r="G157" s="474">
        <v>45689</v>
      </c>
      <c r="H157" s="474">
        <v>45717</v>
      </c>
      <c r="I157" s="474">
        <v>45748</v>
      </c>
      <c r="J157" s="474">
        <v>45778</v>
      </c>
      <c r="K157" s="474">
        <v>45833</v>
      </c>
      <c r="L157" s="474">
        <v>45839</v>
      </c>
      <c r="M157" s="474">
        <v>45870</v>
      </c>
      <c r="N157" s="474">
        <v>45901</v>
      </c>
      <c r="O157" s="474">
        <v>45931</v>
      </c>
      <c r="P157" s="474">
        <v>45962</v>
      </c>
      <c r="Q157" s="474">
        <v>45992</v>
      </c>
      <c r="R157" s="475" t="s">
        <v>504</v>
      </c>
      <c r="S157" s="476"/>
      <c r="T157" s="477">
        <v>45658</v>
      </c>
      <c r="U157" s="477">
        <v>45689</v>
      </c>
      <c r="V157" s="477">
        <v>45717</v>
      </c>
      <c r="W157" s="477">
        <v>45748</v>
      </c>
      <c r="X157" s="477">
        <v>45778</v>
      </c>
      <c r="Y157" s="477">
        <v>45809</v>
      </c>
      <c r="Z157" s="477">
        <v>45839</v>
      </c>
      <c r="AA157" s="477">
        <v>45870</v>
      </c>
      <c r="AB157" s="477">
        <v>45901</v>
      </c>
      <c r="AC157" s="477">
        <v>45931</v>
      </c>
      <c r="AD157" s="477">
        <v>45962</v>
      </c>
      <c r="AE157" s="477">
        <v>45992</v>
      </c>
      <c r="AF157" s="477" t="s">
        <v>300</v>
      </c>
      <c r="AG157" s="478"/>
      <c r="AH157" s="479">
        <v>45658</v>
      </c>
      <c r="AI157" s="479">
        <v>45689</v>
      </c>
      <c r="AJ157" s="479">
        <v>45717</v>
      </c>
      <c r="AK157" s="479">
        <v>45748</v>
      </c>
      <c r="AL157" s="479">
        <v>45778</v>
      </c>
      <c r="AM157" s="479">
        <v>45809</v>
      </c>
      <c r="AN157" s="479">
        <v>45839</v>
      </c>
      <c r="AO157" s="479">
        <v>45870</v>
      </c>
      <c r="AP157" s="479">
        <v>45901</v>
      </c>
      <c r="AQ157" s="479">
        <v>45931</v>
      </c>
      <c r="AR157" s="479">
        <v>45962</v>
      </c>
      <c r="AS157" s="479">
        <v>45992</v>
      </c>
      <c r="AT157" s="480" t="s">
        <v>300</v>
      </c>
      <c r="AU157" s="481"/>
      <c r="AV157" s="482">
        <v>45658</v>
      </c>
      <c r="AW157" s="482">
        <v>45689</v>
      </c>
      <c r="AX157" s="482">
        <v>45717</v>
      </c>
      <c r="AY157" s="482">
        <v>45748</v>
      </c>
      <c r="AZ157" s="482">
        <v>45778</v>
      </c>
      <c r="BA157" s="482">
        <v>45809</v>
      </c>
      <c r="BB157" s="482">
        <v>45839</v>
      </c>
      <c r="BC157" s="482">
        <v>45870</v>
      </c>
      <c r="BD157" s="482">
        <v>45901</v>
      </c>
      <c r="BE157" s="482">
        <v>45931</v>
      </c>
      <c r="BF157" s="482">
        <v>45962</v>
      </c>
      <c r="BG157" s="482">
        <v>45992</v>
      </c>
      <c r="BH157" s="405" t="s">
        <v>300</v>
      </c>
    </row>
    <row r="158" spans="3:60" ht="22.5">
      <c r="C158" s="541" t="s">
        <v>505</v>
      </c>
      <c r="D158" s="541"/>
      <c r="E158" s="464" t="s">
        <v>506</v>
      </c>
      <c r="F158" s="465">
        <v>0</v>
      </c>
      <c r="G158" s="465">
        <v>0</v>
      </c>
      <c r="H158" s="465">
        <v>0</v>
      </c>
      <c r="I158" s="465">
        <v>0</v>
      </c>
      <c r="J158" s="465">
        <v>31500</v>
      </c>
      <c r="K158" s="525">
        <v>31500</v>
      </c>
      <c r="L158" s="465">
        <v>63000</v>
      </c>
      <c r="M158" s="465">
        <v>63000</v>
      </c>
      <c r="N158" s="465">
        <v>63000</v>
      </c>
      <c r="O158" s="465">
        <v>31500</v>
      </c>
      <c r="P158" s="465">
        <v>31500</v>
      </c>
      <c r="Q158" s="465">
        <v>0</v>
      </c>
      <c r="R158" s="466">
        <f>SUM(F158:Q158)</f>
        <v>315000</v>
      </c>
      <c r="S158" s="467"/>
      <c r="T158" s="468">
        <v>0</v>
      </c>
      <c r="U158" s="468">
        <v>0</v>
      </c>
      <c r="V158" s="468">
        <v>0</v>
      </c>
      <c r="W158" s="469"/>
      <c r="X158" s="469"/>
      <c r="Y158" s="469"/>
      <c r="Z158" s="469"/>
      <c r="AA158" s="469"/>
      <c r="AB158" s="469"/>
      <c r="AC158" s="469"/>
      <c r="AD158" s="469"/>
      <c r="AE158" s="469"/>
      <c r="AF158" s="469">
        <f t="shared" ref="AF158" si="10">SUM(T158:AE158)</f>
        <v>0</v>
      </c>
      <c r="AG158" s="467"/>
      <c r="AH158" s="470">
        <f t="shared" ref="AH158:AI158" si="11">T158</f>
        <v>0</v>
      </c>
      <c r="AI158" s="470">
        <f t="shared" si="11"/>
        <v>0</v>
      </c>
      <c r="AJ158" s="471">
        <v>0</v>
      </c>
      <c r="AK158" s="465">
        <v>0</v>
      </c>
      <c r="AL158" s="465">
        <v>31500</v>
      </c>
      <c r="AM158" s="465">
        <v>31500</v>
      </c>
      <c r="AN158" s="465">
        <v>63000</v>
      </c>
      <c r="AO158" s="465">
        <v>63000</v>
      </c>
      <c r="AP158" s="465">
        <v>63000</v>
      </c>
      <c r="AQ158" s="465">
        <v>31500</v>
      </c>
      <c r="AR158" s="465">
        <v>31500</v>
      </c>
      <c r="AS158" s="465">
        <v>0</v>
      </c>
      <c r="AT158" s="466">
        <f t="shared" ref="AT158" si="12">SUM(AH158:AS158)</f>
        <v>315000</v>
      </c>
      <c r="AU158" s="472"/>
      <c r="AV158" s="469">
        <f t="shared" ref="AV158:AX158" si="13">T158</f>
        <v>0</v>
      </c>
      <c r="AW158" s="469">
        <f t="shared" si="13"/>
        <v>0</v>
      </c>
      <c r="AX158" s="469">
        <f t="shared" si="13"/>
        <v>0</v>
      </c>
      <c r="AY158" s="469">
        <f t="shared" ref="AY158:BG158" si="14">AK158</f>
        <v>0</v>
      </c>
      <c r="AZ158" s="469">
        <f t="shared" si="14"/>
        <v>31500</v>
      </c>
      <c r="BA158" s="469">
        <f t="shared" si="14"/>
        <v>31500</v>
      </c>
      <c r="BB158" s="469">
        <f t="shared" si="14"/>
        <v>63000</v>
      </c>
      <c r="BC158" s="469">
        <f t="shared" si="14"/>
        <v>63000</v>
      </c>
      <c r="BD158" s="469">
        <f t="shared" si="14"/>
        <v>63000</v>
      </c>
      <c r="BE158" s="469">
        <f t="shared" si="14"/>
        <v>31500</v>
      </c>
      <c r="BF158" s="469">
        <f t="shared" si="14"/>
        <v>31500</v>
      </c>
      <c r="BG158" s="469">
        <f t="shared" si="14"/>
        <v>0</v>
      </c>
      <c r="BH158" s="466">
        <f t="shared" ref="BH158" si="15">SUM(AV158:BG158)</f>
        <v>315000</v>
      </c>
    </row>
  </sheetData>
  <mergeCells count="3">
    <mergeCell ref="C153:D153"/>
    <mergeCell ref="C154:D154"/>
    <mergeCell ref="C158:D158"/>
  </mergeCells>
  <phoneticPr fontId="29" type="noConversion"/>
  <conditionalFormatting sqref="D121">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4D10-3FDD-4FAD-A229-E8DF46938261}">
  <sheetPr filterMode="1"/>
  <dimension ref="B1:R243"/>
  <sheetViews>
    <sheetView workbookViewId="0"/>
  </sheetViews>
  <sheetFormatPr defaultRowHeight="15"/>
  <cols>
    <col min="2" max="2" width="85.7109375" bestFit="1" customWidth="1"/>
    <col min="3" max="3" width="14" style="20" bestFit="1" customWidth="1"/>
    <col min="4" max="4" width="12.5703125" bestFit="1" customWidth="1"/>
    <col min="5" max="13" width="9.140625" customWidth="1"/>
    <col min="14" max="14" width="13.5703125" customWidth="1"/>
    <col min="15" max="17" width="9.140625" customWidth="1"/>
    <col min="18" max="18" width="13.5703125" customWidth="1"/>
  </cols>
  <sheetData>
    <row r="1" spans="2:18" ht="15.75" thickBot="1">
      <c r="N1" s="288">
        <v>266240010.56222898</v>
      </c>
      <c r="R1" s="307">
        <v>434772939.33974743</v>
      </c>
    </row>
    <row r="2" spans="2:18" ht="15.75" thickBot="1">
      <c r="B2" s="285" t="s">
        <v>297</v>
      </c>
      <c r="C2" s="328" t="s">
        <v>299</v>
      </c>
      <c r="D2" s="285" t="s">
        <v>507</v>
      </c>
      <c r="E2" s="286">
        <v>45292</v>
      </c>
      <c r="F2" s="286">
        <v>45323</v>
      </c>
      <c r="G2" s="286">
        <v>45352</v>
      </c>
      <c r="H2" s="286">
        <v>45383</v>
      </c>
      <c r="I2" s="286">
        <v>45413</v>
      </c>
      <c r="J2" s="286">
        <v>45444</v>
      </c>
      <c r="K2" s="286">
        <v>45474</v>
      </c>
      <c r="L2" s="286">
        <v>45505</v>
      </c>
      <c r="M2" s="286">
        <v>45536</v>
      </c>
      <c r="N2" s="308" t="s">
        <v>508</v>
      </c>
      <c r="O2" s="286">
        <v>45566</v>
      </c>
      <c r="P2" s="286">
        <v>45597</v>
      </c>
      <c r="Q2" s="286">
        <v>45627</v>
      </c>
      <c r="R2" s="308" t="s">
        <v>509</v>
      </c>
    </row>
    <row r="3" spans="2:18" ht="81" hidden="1">
      <c r="B3" t="s">
        <v>275</v>
      </c>
      <c r="C3" s="313" t="s">
        <v>134</v>
      </c>
      <c r="D3" s="283" t="s">
        <v>135</v>
      </c>
      <c r="E3" s="287">
        <v>15683.41</v>
      </c>
      <c r="F3" s="287">
        <v>57143.97</v>
      </c>
      <c r="G3" s="287">
        <v>18504.36</v>
      </c>
      <c r="H3" s="287">
        <v>32112.09</v>
      </c>
      <c r="I3" s="287">
        <v>22503.200000000001</v>
      </c>
      <c r="J3" s="287">
        <v>29347.73</v>
      </c>
      <c r="K3" s="287">
        <v>78019.490000000005</v>
      </c>
      <c r="L3" s="287">
        <v>21172.26</v>
      </c>
      <c r="M3" s="287">
        <v>33477.950000000004</v>
      </c>
      <c r="N3" s="288">
        <v>307964.46000000002</v>
      </c>
      <c r="O3" s="287">
        <v>61076</v>
      </c>
      <c r="P3" s="287">
        <v>64653</v>
      </c>
      <c r="Q3" s="287">
        <v>54323.049999999988</v>
      </c>
      <c r="R3" s="288">
        <v>488016.51</v>
      </c>
    </row>
    <row r="4" spans="2:18" ht="40.5" hidden="1">
      <c r="B4" t="s">
        <v>275</v>
      </c>
      <c r="C4" s="313" t="s">
        <v>137</v>
      </c>
      <c r="D4" s="283" t="s">
        <v>138</v>
      </c>
      <c r="E4" s="287">
        <v>46623.950000000004</v>
      </c>
      <c r="F4" s="287">
        <v>59471.95</v>
      </c>
      <c r="G4" s="287">
        <v>108406.6</v>
      </c>
      <c r="H4" s="287">
        <v>202042.95</v>
      </c>
      <c r="I4" s="287">
        <v>202685.36</v>
      </c>
      <c r="J4" s="287">
        <v>239909.53</v>
      </c>
      <c r="K4" s="287">
        <v>211706.33000000002</v>
      </c>
      <c r="L4" s="287">
        <v>377979.20999999996</v>
      </c>
      <c r="M4" s="287">
        <v>202207.41</v>
      </c>
      <c r="N4" s="288">
        <v>1651033.29</v>
      </c>
      <c r="O4" s="287">
        <v>318637.14227272727</v>
      </c>
      <c r="P4" s="287">
        <v>447649.39437218185</v>
      </c>
      <c r="Q4" s="287">
        <v>375368.94439285737</v>
      </c>
      <c r="R4" s="288">
        <v>2792688.7710377667</v>
      </c>
    </row>
    <row r="5" spans="2:18" ht="54" hidden="1">
      <c r="B5" t="s">
        <v>510</v>
      </c>
      <c r="C5" s="313" t="s">
        <v>307</v>
      </c>
      <c r="D5" s="283" t="s">
        <v>172</v>
      </c>
      <c r="E5" s="287">
        <v>63281.490000000005</v>
      </c>
      <c r="F5" s="287">
        <v>235173.76000000001</v>
      </c>
      <c r="G5" s="287">
        <v>181408.04</v>
      </c>
      <c r="H5" s="287">
        <v>30507.260000000002</v>
      </c>
      <c r="I5" s="287">
        <v>42642.66</v>
      </c>
      <c r="J5" s="287">
        <v>34456.67</v>
      </c>
      <c r="K5" s="287">
        <v>140815.97</v>
      </c>
      <c r="L5" s="287">
        <v>158887.67999999999</v>
      </c>
      <c r="M5" s="287">
        <v>95555.63</v>
      </c>
      <c r="N5" s="288">
        <v>982729.16</v>
      </c>
      <c r="O5" s="287">
        <v>184533.9236792</v>
      </c>
      <c r="P5" s="287">
        <v>112711.50185080001</v>
      </c>
      <c r="Q5" s="287">
        <v>557455.67632839968</v>
      </c>
      <c r="R5" s="288">
        <v>1837430.2618584</v>
      </c>
    </row>
    <row r="6" spans="2:18" ht="54" hidden="1">
      <c r="B6" t="s">
        <v>510</v>
      </c>
      <c r="C6" s="313" t="s">
        <v>310</v>
      </c>
      <c r="D6" s="283" t="s">
        <v>169</v>
      </c>
      <c r="E6" s="287">
        <v>1973325.26</v>
      </c>
      <c r="F6" s="287">
        <v>817429.21</v>
      </c>
      <c r="G6" s="287">
        <v>2537311.94</v>
      </c>
      <c r="H6" s="287">
        <v>2254699.79</v>
      </c>
      <c r="I6" s="287">
        <v>2572291.79</v>
      </c>
      <c r="J6" s="287">
        <v>2085584.29</v>
      </c>
      <c r="K6" s="287">
        <v>1915315.1600000001</v>
      </c>
      <c r="L6" s="287">
        <v>2843656.27</v>
      </c>
      <c r="M6" s="287">
        <v>2119419.5099999998</v>
      </c>
      <c r="N6" s="288">
        <v>19119033.219999999</v>
      </c>
      <c r="O6" s="287">
        <v>2110913</v>
      </c>
      <c r="P6" s="287">
        <v>2291222</v>
      </c>
      <c r="Q6" s="287">
        <v>2232693.7511118203</v>
      </c>
      <c r="R6" s="288">
        <v>25753861.971111819</v>
      </c>
    </row>
    <row r="7" spans="2:18" ht="54" hidden="1">
      <c r="B7" t="s">
        <v>510</v>
      </c>
      <c r="C7" s="313" t="s">
        <v>312</v>
      </c>
      <c r="D7" s="283" t="s">
        <v>169</v>
      </c>
      <c r="E7" s="287">
        <v>18000</v>
      </c>
      <c r="F7" s="287">
        <v>151200</v>
      </c>
      <c r="G7" s="287">
        <v>151200</v>
      </c>
      <c r="H7" s="287">
        <v>378800</v>
      </c>
      <c r="I7" s="287">
        <v>415800</v>
      </c>
      <c r="J7" s="287">
        <v>271300</v>
      </c>
      <c r="K7" s="287">
        <v>378000</v>
      </c>
      <c r="L7" s="287">
        <v>327900</v>
      </c>
      <c r="M7" s="287">
        <v>1141100</v>
      </c>
      <c r="N7" s="288">
        <v>3233300</v>
      </c>
      <c r="O7" s="287">
        <v>1373400</v>
      </c>
      <c r="P7" s="287">
        <v>844200</v>
      </c>
      <c r="Q7" s="287">
        <v>660700</v>
      </c>
      <c r="R7" s="288">
        <v>6111600</v>
      </c>
    </row>
    <row r="8" spans="2:18" ht="67.5" hidden="1">
      <c r="B8" t="s">
        <v>510</v>
      </c>
      <c r="C8" s="313" t="s">
        <v>162</v>
      </c>
      <c r="D8" s="283" t="s">
        <v>163</v>
      </c>
      <c r="E8" s="287">
        <v>1056949.7</v>
      </c>
      <c r="F8" s="287">
        <v>821502.45000000007</v>
      </c>
      <c r="G8" s="287">
        <v>1161449.95</v>
      </c>
      <c r="H8" s="287">
        <v>1566518.8</v>
      </c>
      <c r="I8" s="287">
        <v>1650232.5000000002</v>
      </c>
      <c r="J8" s="287">
        <v>1848087.1300000001</v>
      </c>
      <c r="K8" s="287">
        <v>2833467.26</v>
      </c>
      <c r="L8" s="287">
        <v>3090645.0199999996</v>
      </c>
      <c r="M8" s="287">
        <v>2752606.65</v>
      </c>
      <c r="N8" s="288">
        <v>16781459.459999997</v>
      </c>
      <c r="O8" s="287">
        <v>2946429</v>
      </c>
      <c r="P8" s="287">
        <v>3270197</v>
      </c>
      <c r="Q8" s="287">
        <v>3282358.3500000015</v>
      </c>
      <c r="R8" s="288">
        <v>26280443.809999999</v>
      </c>
    </row>
    <row r="9" spans="2:18" ht="81" hidden="1">
      <c r="B9" t="s">
        <v>510</v>
      </c>
      <c r="C9" s="313" t="s">
        <v>165</v>
      </c>
      <c r="D9" s="283" t="s">
        <v>166</v>
      </c>
      <c r="E9" s="287">
        <v>416973.58</v>
      </c>
      <c r="F9" s="287">
        <v>412654.43000000005</v>
      </c>
      <c r="G9" s="287">
        <v>469699.65</v>
      </c>
      <c r="H9" s="287">
        <v>471822</v>
      </c>
      <c r="I9" s="287">
        <v>454684.64999999997</v>
      </c>
      <c r="J9" s="287">
        <v>485345.56000000006</v>
      </c>
      <c r="K9" s="287">
        <v>451226.05</v>
      </c>
      <c r="L9" s="287">
        <v>428167.10000000003</v>
      </c>
      <c r="M9" s="287">
        <v>432207.63</v>
      </c>
      <c r="N9" s="288">
        <v>4022780.65</v>
      </c>
      <c r="O9" s="287">
        <v>461172</v>
      </c>
      <c r="P9" s="287">
        <v>505071</v>
      </c>
      <c r="Q9" s="287">
        <v>323758.36999999918</v>
      </c>
      <c r="R9" s="288">
        <v>5312782.0199999996</v>
      </c>
    </row>
    <row r="10" spans="2:18" hidden="1">
      <c r="C10" s="313" t="s">
        <v>316</v>
      </c>
      <c r="E10" s="287">
        <v>0</v>
      </c>
      <c r="F10" s="287">
        <v>0</v>
      </c>
      <c r="G10" s="287">
        <v>0</v>
      </c>
      <c r="H10" s="287">
        <v>0</v>
      </c>
      <c r="I10" s="287">
        <v>0</v>
      </c>
      <c r="J10" s="287">
        <v>0</v>
      </c>
      <c r="K10" s="287">
        <v>0</v>
      </c>
      <c r="L10" s="287">
        <v>0</v>
      </c>
      <c r="M10" s="287">
        <v>0</v>
      </c>
      <c r="N10" s="288">
        <v>0</v>
      </c>
      <c r="O10" s="287">
        <v>0</v>
      </c>
      <c r="P10" s="287">
        <v>0</v>
      </c>
      <c r="Q10" s="287">
        <v>0</v>
      </c>
      <c r="R10" s="288">
        <v>0</v>
      </c>
    </row>
    <row r="11" spans="2:18" ht="108" hidden="1">
      <c r="B11" t="s">
        <v>510</v>
      </c>
      <c r="C11" s="313" t="s">
        <v>318</v>
      </c>
      <c r="D11" s="283" t="s">
        <v>184</v>
      </c>
      <c r="E11" s="287">
        <v>44657.14999999998</v>
      </c>
      <c r="F11" s="287">
        <v>50158.43</v>
      </c>
      <c r="G11" s="287">
        <v>56601.26</v>
      </c>
      <c r="H11" s="287">
        <v>52477.49</v>
      </c>
      <c r="I11" s="287">
        <v>66776.489999999991</v>
      </c>
      <c r="J11" s="287">
        <v>913541.69</v>
      </c>
      <c r="K11" s="287">
        <v>46242.659999999996</v>
      </c>
      <c r="L11" s="287">
        <v>79299.53</v>
      </c>
      <c r="M11" s="287">
        <v>108791.77</v>
      </c>
      <c r="N11" s="288">
        <v>1418546.4699999997</v>
      </c>
      <c r="O11" s="287">
        <v>85052.373855986734</v>
      </c>
      <c r="P11" s="287">
        <v>1155596.1510738565</v>
      </c>
      <c r="Q11" s="287">
        <v>1093553.7976571762</v>
      </c>
      <c r="R11" s="288">
        <v>3752748.7925870186</v>
      </c>
    </row>
    <row r="12" spans="2:18" ht="108" hidden="1">
      <c r="B12" t="s">
        <v>510</v>
      </c>
      <c r="C12" s="313" t="s">
        <v>320</v>
      </c>
      <c r="D12" s="283" t="s">
        <v>184</v>
      </c>
      <c r="E12" s="287">
        <v>50434.43</v>
      </c>
      <c r="F12" s="287">
        <v>208399.76</v>
      </c>
      <c r="G12" s="287">
        <v>278253.34000000003</v>
      </c>
      <c r="H12" s="287">
        <v>85417.44</v>
      </c>
      <c r="I12" s="287">
        <v>344844.47</v>
      </c>
      <c r="J12" s="287">
        <v>589906.92000000004</v>
      </c>
      <c r="K12" s="287">
        <v>692429.49</v>
      </c>
      <c r="L12" s="287">
        <v>756195.36</v>
      </c>
      <c r="M12" s="287">
        <v>764517.39</v>
      </c>
      <c r="N12" s="288">
        <v>3770398.5999999996</v>
      </c>
      <c r="O12" s="287">
        <v>673353.60401705117</v>
      </c>
      <c r="P12" s="287">
        <v>506438.16751408373</v>
      </c>
      <c r="Q12" s="287">
        <v>393207.80038738833</v>
      </c>
      <c r="R12" s="288">
        <v>5343398.1719185226</v>
      </c>
    </row>
    <row r="13" spans="2:18" hidden="1">
      <c r="B13" s="309"/>
      <c r="C13" s="320" t="s">
        <v>511</v>
      </c>
      <c r="D13" s="309"/>
      <c r="E13" s="310">
        <v>3685928.9700000007</v>
      </c>
      <c r="F13" s="310">
        <v>2813133.96</v>
      </c>
      <c r="G13" s="310">
        <v>4962835.1399999997</v>
      </c>
      <c r="H13" s="310">
        <v>5074397.82</v>
      </c>
      <c r="I13" s="310">
        <v>5772461.1200000001</v>
      </c>
      <c r="J13" s="310">
        <v>6497479.5199999996</v>
      </c>
      <c r="K13" s="310">
        <v>6747222.4100000001</v>
      </c>
      <c r="L13" s="310">
        <v>8083902.4299999997</v>
      </c>
      <c r="M13" s="310">
        <v>7649883.9399999995</v>
      </c>
      <c r="N13" s="311">
        <v>51287245.309999995</v>
      </c>
      <c r="O13" s="310">
        <v>8214567.0438249651</v>
      </c>
      <c r="P13" s="310">
        <v>9197738.2148109227</v>
      </c>
      <c r="Q13" s="310">
        <v>8973419.7398776431</v>
      </c>
      <c r="R13" s="310">
        <v>77672970.308513522</v>
      </c>
    </row>
    <row r="14" spans="2:18" ht="40.5" hidden="1">
      <c r="B14" t="s">
        <v>275</v>
      </c>
      <c r="C14" s="313" t="s">
        <v>143</v>
      </c>
      <c r="D14" s="283" t="s">
        <v>144</v>
      </c>
      <c r="E14" s="287">
        <v>0</v>
      </c>
      <c r="F14" s="287">
        <v>178088.15</v>
      </c>
      <c r="G14" s="287">
        <v>214401.1</v>
      </c>
      <c r="H14" s="287">
        <v>204176.05</v>
      </c>
      <c r="I14" s="287">
        <v>54838.299999999988</v>
      </c>
      <c r="J14" s="287">
        <v>0</v>
      </c>
      <c r="K14" s="287">
        <v>0</v>
      </c>
      <c r="L14" s="287">
        <v>78252.649999999994</v>
      </c>
      <c r="M14" s="287">
        <v>178505.7</v>
      </c>
      <c r="N14" s="288">
        <v>908261.95000000019</v>
      </c>
      <c r="O14" s="287">
        <v>46411.65</v>
      </c>
      <c r="P14" s="287">
        <v>34668.800000000003</v>
      </c>
      <c r="Q14" s="287">
        <v>-50947.650000000023</v>
      </c>
      <c r="R14" s="289">
        <v>938394.75000000023</v>
      </c>
    </row>
    <row r="15" spans="2:18" ht="121.5">
      <c r="B15" t="s">
        <v>275</v>
      </c>
      <c r="C15" s="313" t="s">
        <v>325</v>
      </c>
      <c r="D15" s="283" t="s">
        <v>141</v>
      </c>
      <c r="E15" s="287">
        <v>752007.6</v>
      </c>
      <c r="F15" s="287">
        <v>1165001.23</v>
      </c>
      <c r="G15" s="287">
        <v>1251765.6000000001</v>
      </c>
      <c r="H15" s="287">
        <v>-217891.14000000004</v>
      </c>
      <c r="I15" s="287">
        <v>1026549.42</v>
      </c>
      <c r="J15" s="287">
        <v>477482.82999999996</v>
      </c>
      <c r="K15" s="287">
        <v>615295.54</v>
      </c>
      <c r="L15" s="287">
        <v>678581.25</v>
      </c>
      <c r="M15" s="287">
        <v>504648.87000000005</v>
      </c>
      <c r="N15" s="288">
        <v>6253441.2000000002</v>
      </c>
      <c r="O15" s="287">
        <v>1138049</v>
      </c>
      <c r="P15" s="287">
        <v>570105</v>
      </c>
      <c r="Q15" s="287">
        <v>281706.12999999989</v>
      </c>
      <c r="R15" s="289">
        <v>8243301.3300000001</v>
      </c>
    </row>
    <row r="16" spans="2:18" ht="67.5" hidden="1">
      <c r="B16" t="s">
        <v>510</v>
      </c>
      <c r="C16" s="313" t="s">
        <v>179</v>
      </c>
      <c r="D16" s="283" t="s">
        <v>179</v>
      </c>
      <c r="E16" s="287">
        <v>75349.38</v>
      </c>
      <c r="F16" s="287">
        <v>175888.87999999998</v>
      </c>
      <c r="G16" s="287">
        <v>49611.21</v>
      </c>
      <c r="H16" s="287">
        <v>52849.21</v>
      </c>
      <c r="I16" s="287">
        <v>51977.8</v>
      </c>
      <c r="J16" s="287">
        <v>133976.13</v>
      </c>
      <c r="K16" s="287">
        <v>350385.04000000004</v>
      </c>
      <c r="L16" s="287">
        <v>22582.76</v>
      </c>
      <c r="M16" s="287">
        <v>579589.80000000005</v>
      </c>
      <c r="N16" s="288">
        <v>1492210.21</v>
      </c>
      <c r="O16" s="287">
        <v>294245</v>
      </c>
      <c r="P16" s="287">
        <v>128674</v>
      </c>
      <c r="Q16" s="287">
        <v>296779.20000000019</v>
      </c>
      <c r="R16" s="289">
        <v>2211908.41</v>
      </c>
    </row>
    <row r="17" spans="2:18" ht="67.5" hidden="1">
      <c r="B17" t="s">
        <v>275</v>
      </c>
      <c r="C17" s="313" t="s">
        <v>149</v>
      </c>
      <c r="D17" s="283" t="s">
        <v>126</v>
      </c>
      <c r="E17" s="287">
        <v>516874.73</v>
      </c>
      <c r="F17" s="287">
        <v>738119.72</v>
      </c>
      <c r="G17" s="287">
        <v>234323.66</v>
      </c>
      <c r="H17" s="287">
        <v>232114.88</v>
      </c>
      <c r="I17" s="287">
        <v>48856.710000000014</v>
      </c>
      <c r="J17" s="287">
        <v>158178.87</v>
      </c>
      <c r="K17" s="287">
        <v>300037.21000000002</v>
      </c>
      <c r="L17" s="287">
        <v>359758.37</v>
      </c>
      <c r="M17" s="287">
        <v>194443.99</v>
      </c>
      <c r="N17" s="288">
        <v>2782708.1399999997</v>
      </c>
      <c r="O17" s="287">
        <v>427140</v>
      </c>
      <c r="P17" s="287">
        <v>387022</v>
      </c>
      <c r="Q17" s="287">
        <v>521643.39000000025</v>
      </c>
      <c r="R17" s="289">
        <v>4118513.53</v>
      </c>
    </row>
    <row r="18" spans="2:18" ht="54" hidden="1">
      <c r="B18" t="s">
        <v>510</v>
      </c>
      <c r="C18" s="313" t="s">
        <v>177</v>
      </c>
      <c r="D18" s="283" t="s">
        <v>177</v>
      </c>
      <c r="E18" s="287">
        <v>807777.52</v>
      </c>
      <c r="F18" s="287">
        <v>1409135.8299999998</v>
      </c>
      <c r="G18" s="287">
        <v>1354259.7799999998</v>
      </c>
      <c r="H18" s="287">
        <v>1519112.01</v>
      </c>
      <c r="I18" s="287">
        <v>1515890.65</v>
      </c>
      <c r="J18" s="287">
        <v>1326898.04</v>
      </c>
      <c r="K18" s="287">
        <v>1225865.98</v>
      </c>
      <c r="L18" s="287">
        <v>1388216.61</v>
      </c>
      <c r="M18" s="287">
        <v>1513469.6800000002</v>
      </c>
      <c r="N18" s="288">
        <v>12060626.099999998</v>
      </c>
      <c r="O18" s="287">
        <v>1327194.51</v>
      </c>
      <c r="P18" s="287">
        <v>1392375.7300000002</v>
      </c>
      <c r="Q18" s="287">
        <v>477874.53000000102</v>
      </c>
      <c r="R18" s="289">
        <v>15258070.869999999</v>
      </c>
    </row>
    <row r="19" spans="2:18" ht="54" hidden="1">
      <c r="B19" t="s">
        <v>275</v>
      </c>
      <c r="C19" s="313" t="s">
        <v>146</v>
      </c>
      <c r="D19" s="283" t="s">
        <v>147</v>
      </c>
      <c r="E19" s="287">
        <v>2773.6099999999997</v>
      </c>
      <c r="F19" s="287">
        <v>5262.2699999999995</v>
      </c>
      <c r="G19" s="287">
        <v>5997.2000000000007</v>
      </c>
      <c r="H19" s="287">
        <v>21374.190000000002</v>
      </c>
      <c r="I19" s="287">
        <v>20208.75</v>
      </c>
      <c r="J19" s="287">
        <v>31249.1</v>
      </c>
      <c r="K19" s="287">
        <v>8423.5400000000009</v>
      </c>
      <c r="L19" s="287">
        <v>9982.92</v>
      </c>
      <c r="M19" s="287">
        <v>10617.810000000001</v>
      </c>
      <c r="N19" s="288">
        <v>115889.39</v>
      </c>
      <c r="O19" s="287">
        <v>28075</v>
      </c>
      <c r="P19" s="287">
        <v>6214</v>
      </c>
      <c r="Q19" s="287">
        <v>37072.19</v>
      </c>
      <c r="R19" s="289">
        <v>187250.58000000002</v>
      </c>
    </row>
    <row r="20" spans="2:18" ht="121.5">
      <c r="B20" t="s">
        <v>275</v>
      </c>
      <c r="C20" s="313" t="s">
        <v>331</v>
      </c>
      <c r="D20" s="283" t="s">
        <v>141</v>
      </c>
      <c r="E20" s="287">
        <v>23111.18</v>
      </c>
      <c r="F20" s="287">
        <v>152271.71000000002</v>
      </c>
      <c r="G20" s="287">
        <v>-66550.200000000012</v>
      </c>
      <c r="H20" s="287">
        <v>157086.54</v>
      </c>
      <c r="I20" s="287">
        <v>219091.19</v>
      </c>
      <c r="J20" s="287">
        <v>159784.97</v>
      </c>
      <c r="K20" s="287">
        <v>155944.37000000005</v>
      </c>
      <c r="L20" s="287">
        <v>155060.22000000003</v>
      </c>
      <c r="M20" s="287">
        <v>95130.11</v>
      </c>
      <c r="N20" s="288">
        <v>1050930.0900000001</v>
      </c>
      <c r="O20" s="287">
        <v>365876</v>
      </c>
      <c r="P20" s="287">
        <v>57245.919999999998</v>
      </c>
      <c r="Q20" s="287">
        <v>111399.8899999999</v>
      </c>
      <c r="R20" s="289">
        <v>1585451.9</v>
      </c>
    </row>
    <row r="21" spans="2:18" ht="121.5">
      <c r="B21" t="s">
        <v>275</v>
      </c>
      <c r="C21" s="313" t="s">
        <v>333</v>
      </c>
      <c r="D21" s="283" t="s">
        <v>141</v>
      </c>
      <c r="E21" s="287">
        <v>0</v>
      </c>
      <c r="F21" s="287">
        <v>0</v>
      </c>
      <c r="G21" s="287">
        <v>0</v>
      </c>
      <c r="H21" s="287">
        <v>0</v>
      </c>
      <c r="I21" s="287">
        <v>0</v>
      </c>
      <c r="J21" s="287">
        <v>13584.22</v>
      </c>
      <c r="K21" s="287">
        <v>-13584.22</v>
      </c>
      <c r="L21" s="287">
        <v>0</v>
      </c>
      <c r="M21" s="287">
        <v>0</v>
      </c>
      <c r="N21" s="288">
        <v>0</v>
      </c>
      <c r="O21" s="287">
        <v>0</v>
      </c>
      <c r="P21" s="287">
        <v>0</v>
      </c>
      <c r="Q21" s="287">
        <v>0</v>
      </c>
      <c r="R21" s="289">
        <v>0</v>
      </c>
    </row>
    <row r="22" spans="2:18" ht="40.5" hidden="1">
      <c r="B22" t="s">
        <v>510</v>
      </c>
      <c r="C22" s="313" t="s">
        <v>174</v>
      </c>
      <c r="D22" s="290" t="s">
        <v>175</v>
      </c>
      <c r="E22" s="274">
        <v>1540811.31</v>
      </c>
      <c r="F22" s="274">
        <v>1487881.9599999997</v>
      </c>
      <c r="G22" s="274">
        <v>2194118.3699999996</v>
      </c>
      <c r="H22" s="274">
        <v>2570130.2999999998</v>
      </c>
      <c r="I22" s="274">
        <v>1459477.91</v>
      </c>
      <c r="J22" s="274">
        <v>1632615.04</v>
      </c>
      <c r="K22" s="274">
        <v>1565753.34</v>
      </c>
      <c r="L22" s="274">
        <v>1928000.9100000001</v>
      </c>
      <c r="M22" s="274">
        <v>1814199.75</v>
      </c>
      <c r="N22" s="288">
        <v>16192988.889999997</v>
      </c>
      <c r="O22" s="274">
        <v>1121926</v>
      </c>
      <c r="P22" s="274">
        <v>1702643</v>
      </c>
      <c r="Q22" s="274">
        <v>3718034.1099999994</v>
      </c>
      <c r="R22" s="289">
        <v>22735591.999999996</v>
      </c>
    </row>
    <row r="23" spans="2:18" ht="67.5" hidden="1">
      <c r="B23" t="s">
        <v>275</v>
      </c>
      <c r="C23" s="313" t="s">
        <v>157</v>
      </c>
      <c r="D23" s="283" t="s">
        <v>158</v>
      </c>
      <c r="E23" s="274">
        <v>892250.52999999991</v>
      </c>
      <c r="F23" s="274">
        <v>1363690</v>
      </c>
      <c r="G23" s="274">
        <v>431042.66000000003</v>
      </c>
      <c r="H23" s="274">
        <v>998118.83</v>
      </c>
      <c r="I23" s="274">
        <v>501667.78</v>
      </c>
      <c r="J23" s="274">
        <v>595971.06999999995</v>
      </c>
      <c r="K23" s="274">
        <v>711682.1</v>
      </c>
      <c r="L23" s="274">
        <v>885597.36</v>
      </c>
      <c r="M23" s="274">
        <v>469808.39</v>
      </c>
      <c r="N23" s="288">
        <v>6849828.7199999997</v>
      </c>
      <c r="O23" s="274">
        <v>754023</v>
      </c>
      <c r="P23" s="274">
        <v>686672</v>
      </c>
      <c r="Q23" s="274">
        <v>328428.61000000127</v>
      </c>
      <c r="R23" s="289">
        <v>8618952.3300000019</v>
      </c>
    </row>
    <row r="24" spans="2:18" hidden="1">
      <c r="C24" s="313" t="s">
        <v>337</v>
      </c>
      <c r="D24" s="81"/>
      <c r="E24" s="287">
        <v>0</v>
      </c>
      <c r="F24" s="287">
        <v>0</v>
      </c>
      <c r="G24" s="287">
        <v>0</v>
      </c>
      <c r="H24" s="287">
        <v>0</v>
      </c>
      <c r="I24" s="287">
        <v>0</v>
      </c>
      <c r="J24" s="287">
        <v>0</v>
      </c>
      <c r="K24" s="287">
        <v>0</v>
      </c>
      <c r="L24" s="287">
        <v>0</v>
      </c>
      <c r="M24" s="287">
        <v>0</v>
      </c>
      <c r="N24" s="288">
        <v>0</v>
      </c>
      <c r="O24" s="287">
        <v>0</v>
      </c>
      <c r="P24" s="287">
        <v>0</v>
      </c>
      <c r="Q24" s="287">
        <v>0</v>
      </c>
      <c r="R24" s="289">
        <v>0</v>
      </c>
    </row>
    <row r="25" spans="2:18" ht="81" hidden="1">
      <c r="B25" t="s">
        <v>275</v>
      </c>
      <c r="C25" s="313" t="s">
        <v>154</v>
      </c>
      <c r="D25" s="283" t="s">
        <v>155</v>
      </c>
      <c r="E25" s="287">
        <v>12631.490000000002</v>
      </c>
      <c r="F25" s="287">
        <v>24730.32</v>
      </c>
      <c r="G25" s="287">
        <v>28856.98</v>
      </c>
      <c r="H25" s="287">
        <v>55035.14</v>
      </c>
      <c r="I25" s="287">
        <v>51681.57</v>
      </c>
      <c r="J25" s="287">
        <v>55370.86</v>
      </c>
      <c r="K25" s="287">
        <v>28012.7</v>
      </c>
      <c r="L25" s="287">
        <v>46302.380000000005</v>
      </c>
      <c r="M25" s="287">
        <v>63912.740000000005</v>
      </c>
      <c r="N25" s="288">
        <v>366534.18</v>
      </c>
      <c r="O25" s="287">
        <v>122814</v>
      </c>
      <c r="P25" s="287">
        <v>28502</v>
      </c>
      <c r="Q25" s="287">
        <v>207699.26</v>
      </c>
      <c r="R25" s="289">
        <v>725549.44</v>
      </c>
    </row>
    <row r="26" spans="2:18" hidden="1">
      <c r="C26" s="313" t="s">
        <v>340</v>
      </c>
      <c r="D26" s="290"/>
      <c r="E26" s="287">
        <v>0</v>
      </c>
      <c r="F26" s="287">
        <v>0</v>
      </c>
      <c r="G26" s="287">
        <v>0</v>
      </c>
      <c r="H26" s="287">
        <v>0</v>
      </c>
      <c r="I26" s="287">
        <v>0</v>
      </c>
      <c r="J26" s="287">
        <v>0</v>
      </c>
      <c r="K26" s="287">
        <v>0</v>
      </c>
      <c r="L26" s="287">
        <v>0</v>
      </c>
      <c r="M26" s="287">
        <v>0</v>
      </c>
      <c r="N26" s="288">
        <v>0</v>
      </c>
      <c r="O26" s="287">
        <v>0</v>
      </c>
      <c r="P26" s="287">
        <v>0</v>
      </c>
      <c r="Q26" s="287">
        <v>0</v>
      </c>
      <c r="R26" s="289">
        <v>0</v>
      </c>
    </row>
    <row r="27" spans="2:18" ht="94.5" hidden="1">
      <c r="B27" t="s">
        <v>510</v>
      </c>
      <c r="C27" s="313" t="s">
        <v>186</v>
      </c>
      <c r="D27" s="283" t="s">
        <v>187</v>
      </c>
      <c r="E27" s="287">
        <v>180855.49</v>
      </c>
      <c r="F27" s="287">
        <v>110736.61000000002</v>
      </c>
      <c r="G27" s="287">
        <v>75753.279999999999</v>
      </c>
      <c r="H27" s="287">
        <v>93954.16</v>
      </c>
      <c r="I27" s="287">
        <v>96273.89</v>
      </c>
      <c r="J27" s="287">
        <v>77479.14</v>
      </c>
      <c r="K27" s="287">
        <v>345018.82</v>
      </c>
      <c r="L27" s="287">
        <v>40147.1</v>
      </c>
      <c r="M27" s="287">
        <v>67633.11</v>
      </c>
      <c r="N27" s="288">
        <v>1087851.6000000001</v>
      </c>
      <c r="O27" s="287">
        <v>134191</v>
      </c>
      <c r="P27" s="287">
        <v>324746</v>
      </c>
      <c r="Q27" s="287">
        <v>860137.89000000013</v>
      </c>
      <c r="R27" s="289">
        <v>2406926.4900000002</v>
      </c>
    </row>
    <row r="28" spans="2:18" hidden="1">
      <c r="C28" s="313" t="s">
        <v>343</v>
      </c>
      <c r="D28" s="290"/>
      <c r="E28" s="287">
        <v>0</v>
      </c>
      <c r="F28" s="287">
        <v>0</v>
      </c>
      <c r="G28" s="287">
        <v>0</v>
      </c>
      <c r="H28" s="287">
        <v>0</v>
      </c>
      <c r="I28" s="287">
        <v>0</v>
      </c>
      <c r="J28" s="287">
        <v>0</v>
      </c>
      <c r="K28" s="287">
        <v>0</v>
      </c>
      <c r="L28" s="287">
        <v>0</v>
      </c>
      <c r="M28" s="287">
        <v>0</v>
      </c>
      <c r="N28" s="288">
        <v>0</v>
      </c>
      <c r="O28" s="287">
        <v>0</v>
      </c>
      <c r="P28" s="287">
        <v>0</v>
      </c>
      <c r="Q28" s="287">
        <v>0</v>
      </c>
      <c r="R28" s="289">
        <v>0</v>
      </c>
    </row>
    <row r="29" spans="2:18" ht="121.5">
      <c r="B29" t="s">
        <v>275</v>
      </c>
      <c r="C29" s="313" t="s">
        <v>512</v>
      </c>
      <c r="D29" s="283" t="s">
        <v>141</v>
      </c>
      <c r="E29" s="287">
        <v>0</v>
      </c>
      <c r="F29" s="287">
        <v>0</v>
      </c>
      <c r="G29" s="287">
        <v>0</v>
      </c>
      <c r="H29" s="287">
        <v>133715</v>
      </c>
      <c r="I29" s="287">
        <v>203547.90000000002</v>
      </c>
      <c r="J29" s="287">
        <v>9603.1799999999785</v>
      </c>
      <c r="K29" s="287">
        <v>185373.75</v>
      </c>
      <c r="L29" s="287">
        <v>203769.53</v>
      </c>
      <c r="M29" s="287">
        <v>101798.68</v>
      </c>
      <c r="N29" s="288">
        <v>837808.04</v>
      </c>
      <c r="O29" s="287">
        <v>173504</v>
      </c>
      <c r="P29" s="287">
        <v>165924</v>
      </c>
      <c r="Q29" s="287">
        <v>126489.32000000007</v>
      </c>
      <c r="R29" s="289">
        <v>1303725.3600000001</v>
      </c>
    </row>
    <row r="30" spans="2:18" hidden="1">
      <c r="C30" s="313" t="s">
        <v>346</v>
      </c>
      <c r="D30" s="290"/>
      <c r="E30" s="287">
        <v>0</v>
      </c>
      <c r="F30" s="287">
        <v>0</v>
      </c>
      <c r="G30" s="287">
        <v>0</v>
      </c>
      <c r="H30" s="287">
        <v>0</v>
      </c>
      <c r="I30" s="287">
        <v>0</v>
      </c>
      <c r="J30" s="287">
        <v>0</v>
      </c>
      <c r="K30" s="287">
        <v>0</v>
      </c>
      <c r="L30" s="287">
        <v>0</v>
      </c>
      <c r="M30" s="287">
        <v>0</v>
      </c>
      <c r="N30" s="288">
        <v>0</v>
      </c>
      <c r="O30" s="287">
        <v>0</v>
      </c>
      <c r="P30" s="287">
        <v>0</v>
      </c>
      <c r="Q30" s="287">
        <v>0</v>
      </c>
      <c r="R30" s="289">
        <v>0</v>
      </c>
    </row>
    <row r="31" spans="2:18" hidden="1">
      <c r="B31" s="309"/>
      <c r="C31" s="320" t="s">
        <v>511</v>
      </c>
      <c r="D31" s="309"/>
      <c r="E31" s="310">
        <v>4804442.8400000008</v>
      </c>
      <c r="F31" s="310">
        <v>6810806.6799999997</v>
      </c>
      <c r="G31" s="310">
        <v>5773579.6399999997</v>
      </c>
      <c r="H31" s="310">
        <v>5819775.1699999999</v>
      </c>
      <c r="I31" s="310">
        <v>5250061.87</v>
      </c>
      <c r="J31" s="310">
        <v>4672193.45</v>
      </c>
      <c r="K31" s="310">
        <v>5478208.1699999999</v>
      </c>
      <c r="L31" s="310">
        <v>5796252.0600000005</v>
      </c>
      <c r="M31" s="310">
        <v>5593758.6299999999</v>
      </c>
      <c r="N31" s="311">
        <v>49999078.510000005</v>
      </c>
      <c r="O31" s="310">
        <v>5933449.1600000001</v>
      </c>
      <c r="P31" s="310">
        <v>5484792.4500000002</v>
      </c>
      <c r="Q31" s="310">
        <v>6916316.8700000029</v>
      </c>
      <c r="R31" s="310">
        <v>68333636.99000001</v>
      </c>
    </row>
    <row r="32" spans="2:18" hidden="1">
      <c r="B32" t="s">
        <v>510</v>
      </c>
      <c r="C32" s="313" t="s">
        <v>188</v>
      </c>
      <c r="D32" s="283" t="s">
        <v>189</v>
      </c>
      <c r="E32" s="287">
        <v>11097.8</v>
      </c>
      <c r="F32" s="287">
        <v>8645.94</v>
      </c>
      <c r="G32" s="287">
        <v>9803.2900000000009</v>
      </c>
      <c r="H32" s="287">
        <v>40917.229999999996</v>
      </c>
      <c r="I32" s="287">
        <v>17921.102228999996</v>
      </c>
      <c r="J32" s="287">
        <v>44905.64</v>
      </c>
      <c r="K32" s="287">
        <v>14891.63</v>
      </c>
      <c r="L32" s="287">
        <v>35655.599999999999</v>
      </c>
      <c r="M32" s="287">
        <v>35872.869999999995</v>
      </c>
      <c r="N32" s="288">
        <v>219711.10222899998</v>
      </c>
      <c r="O32" s="287">
        <v>35384</v>
      </c>
      <c r="P32" s="287">
        <v>35329</v>
      </c>
      <c r="Q32" s="287">
        <v>1105499.1299999999</v>
      </c>
      <c r="R32" s="289">
        <v>1395923.232229</v>
      </c>
    </row>
    <row r="33" spans="2:18" ht="27" hidden="1">
      <c r="B33" t="s">
        <v>275</v>
      </c>
      <c r="C33" s="313" t="s">
        <v>150</v>
      </c>
      <c r="D33" s="283" t="s">
        <v>150</v>
      </c>
      <c r="E33" s="287">
        <v>11165.96</v>
      </c>
      <c r="F33" s="287">
        <v>8616.42</v>
      </c>
      <c r="G33" s="287">
        <v>6803.29</v>
      </c>
      <c r="H33" s="287">
        <v>39278.85</v>
      </c>
      <c r="I33" s="287">
        <v>19527.900000000001</v>
      </c>
      <c r="J33" s="287">
        <v>15532.05</v>
      </c>
      <c r="K33" s="287">
        <v>11859.92</v>
      </c>
      <c r="L33" s="287">
        <v>28672.91</v>
      </c>
      <c r="M33" s="287">
        <v>33598.829999999994</v>
      </c>
      <c r="N33" s="288">
        <v>175056.12999999998</v>
      </c>
      <c r="O33" s="287">
        <v>33900</v>
      </c>
      <c r="P33" s="287">
        <v>3482300</v>
      </c>
      <c r="Q33" s="287">
        <v>62870.169999999925</v>
      </c>
      <c r="R33" s="289">
        <v>3754126.3</v>
      </c>
    </row>
    <row r="34" spans="2:18" ht="81" hidden="1">
      <c r="B34" t="s">
        <v>513</v>
      </c>
      <c r="C34" s="313" t="s">
        <v>351</v>
      </c>
      <c r="D34" s="292" t="s">
        <v>498</v>
      </c>
      <c r="E34" s="287">
        <v>232568.14</v>
      </c>
      <c r="F34" s="287">
        <v>1061000</v>
      </c>
      <c r="G34" s="287">
        <v>1124100</v>
      </c>
      <c r="H34" s="287">
        <v>0</v>
      </c>
      <c r="I34" s="287">
        <v>0</v>
      </c>
      <c r="J34" s="287">
        <v>0</v>
      </c>
      <c r="K34" s="287">
        <v>20000</v>
      </c>
      <c r="L34" s="287">
        <v>-20000</v>
      </c>
      <c r="M34" s="287">
        <v>0</v>
      </c>
      <c r="N34" s="288">
        <v>2417668.14</v>
      </c>
      <c r="O34" s="287">
        <v>0</v>
      </c>
      <c r="P34" s="287">
        <v>2000000</v>
      </c>
      <c r="Q34" s="287">
        <v>0</v>
      </c>
      <c r="R34" s="289">
        <v>4417668.1400000006</v>
      </c>
    </row>
    <row r="35" spans="2:18" ht="67.5" hidden="1">
      <c r="B35" t="s">
        <v>275</v>
      </c>
      <c r="C35" s="313" t="s">
        <v>316</v>
      </c>
      <c r="D35" s="283" t="s">
        <v>132</v>
      </c>
      <c r="E35" s="287">
        <v>515823.33</v>
      </c>
      <c r="F35" s="287">
        <v>515823.33</v>
      </c>
      <c r="G35" s="287">
        <v>516023.33</v>
      </c>
      <c r="H35" s="287">
        <v>515823.33</v>
      </c>
      <c r="I35" s="287">
        <v>519897.53</v>
      </c>
      <c r="J35" s="287">
        <v>517850</v>
      </c>
      <c r="K35" s="287">
        <v>517762.93</v>
      </c>
      <c r="L35" s="287">
        <v>517793.5</v>
      </c>
      <c r="M35" s="287">
        <v>518356.81999999995</v>
      </c>
      <c r="N35" s="288">
        <v>4655154.1000000006</v>
      </c>
      <c r="O35" s="287">
        <v>517823.82</v>
      </c>
      <c r="P35" s="287">
        <v>517823.82</v>
      </c>
      <c r="Q35" s="287">
        <v>517836.82</v>
      </c>
      <c r="R35" s="289">
        <v>6208638.5600000015</v>
      </c>
    </row>
    <row r="36" spans="2:18" hidden="1">
      <c r="B36" s="309"/>
      <c r="C36" s="320" t="s">
        <v>511</v>
      </c>
      <c r="D36" s="309"/>
      <c r="E36" s="310">
        <v>770655.23</v>
      </c>
      <c r="F36" s="310">
        <v>1594085.6900000002</v>
      </c>
      <c r="G36" s="310">
        <v>1656729.9100000001</v>
      </c>
      <c r="H36" s="310">
        <v>596019.41</v>
      </c>
      <c r="I36" s="310">
        <v>557346.532229</v>
      </c>
      <c r="J36" s="310">
        <v>578287.68999999994</v>
      </c>
      <c r="K36" s="310">
        <v>564514.48</v>
      </c>
      <c r="L36" s="310">
        <v>562122.01</v>
      </c>
      <c r="M36" s="310">
        <v>587828.5199999999</v>
      </c>
      <c r="N36" s="311">
        <v>7467589.4722290002</v>
      </c>
      <c r="O36" s="310">
        <v>587107.82000000007</v>
      </c>
      <c r="P36" s="310">
        <v>6035452.8200000003</v>
      </c>
      <c r="Q36" s="310">
        <v>1686206.1199999999</v>
      </c>
      <c r="R36" s="310">
        <v>15776356.232229</v>
      </c>
    </row>
    <row r="37" spans="2:18" hidden="1">
      <c r="C37" s="314"/>
      <c r="D37" s="290"/>
      <c r="E37" s="293">
        <v>0</v>
      </c>
      <c r="F37" s="293">
        <v>0</v>
      </c>
      <c r="G37" s="293">
        <v>0</v>
      </c>
      <c r="H37" s="293">
        <v>0</v>
      </c>
      <c r="I37" s="293">
        <v>0</v>
      </c>
      <c r="J37" s="293">
        <v>0</v>
      </c>
      <c r="K37" s="293">
        <v>0</v>
      </c>
      <c r="L37" s="293">
        <v>0</v>
      </c>
      <c r="M37" s="293">
        <v>0</v>
      </c>
      <c r="N37" s="288">
        <v>0</v>
      </c>
      <c r="O37" s="293">
        <v>0</v>
      </c>
      <c r="P37" s="293">
        <v>0</v>
      </c>
      <c r="Q37" s="293">
        <v>0</v>
      </c>
      <c r="R37" s="293">
        <v>0</v>
      </c>
    </row>
    <row r="38" spans="2:18" hidden="1">
      <c r="B38" t="s">
        <v>514</v>
      </c>
      <c r="C38" s="315"/>
      <c r="D38" t="s">
        <v>514</v>
      </c>
      <c r="E38" s="294">
        <v>310106.48</v>
      </c>
      <c r="F38" s="294">
        <v>291884.89</v>
      </c>
      <c r="G38" s="294">
        <v>299197.87000000005</v>
      </c>
      <c r="H38" s="294">
        <v>311724.64000000007</v>
      </c>
      <c r="I38" s="294">
        <v>310308.38</v>
      </c>
      <c r="J38" s="294">
        <v>277487.73</v>
      </c>
      <c r="K38" s="294">
        <v>331050</v>
      </c>
      <c r="L38" s="294">
        <v>331345.72000000003</v>
      </c>
      <c r="M38" s="294">
        <v>316832.42000000022</v>
      </c>
      <c r="N38" s="288">
        <v>2779938.1300000008</v>
      </c>
      <c r="O38" s="294">
        <v>254662.18572679191</v>
      </c>
      <c r="P38" s="294">
        <v>206266.49961812043</v>
      </c>
      <c r="Q38" s="294">
        <v>193989</v>
      </c>
      <c r="R38" s="294">
        <v>3434855.8153449134</v>
      </c>
    </row>
    <row r="39" spans="2:18" hidden="1">
      <c r="B39" s="312"/>
      <c r="C39" s="320" t="s">
        <v>511</v>
      </c>
      <c r="D39" s="312"/>
      <c r="E39" s="295">
        <v>9571133.5200000014</v>
      </c>
      <c r="F39" s="295">
        <v>11509911.219999999</v>
      </c>
      <c r="G39" s="295">
        <v>12692342.559999999</v>
      </c>
      <c r="H39" s="295">
        <v>11801917.039999999</v>
      </c>
      <c r="I39" s="295">
        <v>11890177.902229</v>
      </c>
      <c r="J39" s="295">
        <v>12025448.390000001</v>
      </c>
      <c r="K39" s="295">
        <v>13120995.060000001</v>
      </c>
      <c r="L39" s="295">
        <v>14773622.220000001</v>
      </c>
      <c r="M39" s="295">
        <v>14148303.51</v>
      </c>
      <c r="N39" s="298">
        <v>111533851.42222901</v>
      </c>
      <c r="O39" s="295">
        <v>14989786.209551757</v>
      </c>
      <c r="P39" s="295">
        <v>20924249.984429043</v>
      </c>
      <c r="Q39" s="295">
        <v>17769931.729877643</v>
      </c>
      <c r="R39" s="296">
        <v>165217819.34608746</v>
      </c>
    </row>
    <row r="40" spans="2:18" ht="40.5" hidden="1">
      <c r="B40" t="s">
        <v>515</v>
      </c>
      <c r="C40" s="313" t="s">
        <v>42</v>
      </c>
      <c r="D40" s="283" t="s">
        <v>81</v>
      </c>
      <c r="E40" s="287">
        <v>2884.26</v>
      </c>
      <c r="F40" s="287">
        <v>2666.8</v>
      </c>
      <c r="G40" s="287">
        <v>2757.24</v>
      </c>
      <c r="H40" s="287">
        <v>2666.8</v>
      </c>
      <c r="I40" s="287">
        <v>10225.94</v>
      </c>
      <c r="J40" s="287">
        <v>8623.34</v>
      </c>
      <c r="K40" s="287">
        <v>10892.62</v>
      </c>
      <c r="L40" s="287">
        <v>9077.17</v>
      </c>
      <c r="M40" s="287">
        <v>8621.0400000000009</v>
      </c>
      <c r="N40" s="288">
        <v>58415.21</v>
      </c>
      <c r="O40" s="287">
        <v>0</v>
      </c>
      <c r="P40" s="287">
        <v>0</v>
      </c>
      <c r="Q40" s="287">
        <v>-8415.0400000000009</v>
      </c>
      <c r="R40" s="288">
        <v>50000.17</v>
      </c>
    </row>
    <row r="41" spans="2:18" ht="51.75" hidden="1">
      <c r="B41" t="s">
        <v>515</v>
      </c>
      <c r="C41" s="313" t="s">
        <v>47</v>
      </c>
      <c r="D41" s="284" t="s">
        <v>48</v>
      </c>
      <c r="E41" s="287">
        <v>2097087.5999999999</v>
      </c>
      <c r="F41" s="287">
        <v>6442321.2699999996</v>
      </c>
      <c r="G41" s="287">
        <v>3747536.92</v>
      </c>
      <c r="H41" s="287">
        <v>3429942.1699999995</v>
      </c>
      <c r="I41" s="287">
        <v>2817059.37</v>
      </c>
      <c r="J41" s="287">
        <v>5313859.7399999993</v>
      </c>
      <c r="K41" s="287">
        <v>3456526.63</v>
      </c>
      <c r="L41" s="287">
        <v>3626818.5100000002</v>
      </c>
      <c r="M41" s="287">
        <v>2897328.16</v>
      </c>
      <c r="N41" s="288">
        <v>33828480.369999997</v>
      </c>
      <c r="O41" s="287">
        <v>5526841</v>
      </c>
      <c r="P41" s="287">
        <v>4741587</v>
      </c>
      <c r="Q41" s="287">
        <v>6610869.840000011</v>
      </c>
      <c r="R41" s="288">
        <v>50707778.210000008</v>
      </c>
    </row>
    <row r="42" spans="2:18" ht="39" hidden="1">
      <c r="B42" t="s">
        <v>516</v>
      </c>
      <c r="C42" s="313" t="s">
        <v>86</v>
      </c>
      <c r="D42" s="284" t="s">
        <v>87</v>
      </c>
      <c r="E42" s="287">
        <v>809835.52000000002</v>
      </c>
      <c r="F42" s="287">
        <v>894005.14</v>
      </c>
      <c r="G42" s="287">
        <v>368429.49</v>
      </c>
      <c r="H42" s="287">
        <v>414293.05</v>
      </c>
      <c r="I42" s="287">
        <v>444753.9</v>
      </c>
      <c r="J42" s="287">
        <v>810780.81</v>
      </c>
      <c r="K42" s="287">
        <v>498398.47</v>
      </c>
      <c r="L42" s="287">
        <v>661874.15</v>
      </c>
      <c r="M42" s="287">
        <v>861129.48</v>
      </c>
      <c r="N42" s="288">
        <v>5763500.0099999998</v>
      </c>
      <c r="O42" s="287">
        <v>1365241</v>
      </c>
      <c r="P42" s="287">
        <v>2158421</v>
      </c>
      <c r="Q42" s="287">
        <v>2248528.5199999996</v>
      </c>
      <c r="R42" s="288">
        <v>11535690.529999999</v>
      </c>
    </row>
    <row r="43" spans="2:18" ht="40.5" hidden="1">
      <c r="B43" t="s">
        <v>515</v>
      </c>
      <c r="C43" s="313" t="s">
        <v>30</v>
      </c>
      <c r="D43" s="283" t="s">
        <v>53</v>
      </c>
      <c r="E43" s="287">
        <v>3338120.0300000003</v>
      </c>
      <c r="F43" s="287">
        <v>2721664.94</v>
      </c>
      <c r="G43" s="287">
        <v>3742371.8200000003</v>
      </c>
      <c r="H43" s="287">
        <v>3838983.6</v>
      </c>
      <c r="I43" s="287">
        <v>3945186.45</v>
      </c>
      <c r="J43" s="287">
        <v>3437124.9</v>
      </c>
      <c r="K43" s="287">
        <v>3350969.78</v>
      </c>
      <c r="L43" s="287">
        <v>3332579.9800000004</v>
      </c>
      <c r="M43" s="287">
        <v>4762676.34</v>
      </c>
      <c r="N43" s="288">
        <v>32469677.84</v>
      </c>
      <c r="O43" s="287">
        <v>4593722.32</v>
      </c>
      <c r="P43" s="287">
        <v>15135077.699999999</v>
      </c>
      <c r="Q43" s="287">
        <v>16244220.889999995</v>
      </c>
      <c r="R43" s="288">
        <v>68442698.75</v>
      </c>
    </row>
    <row r="44" spans="2:18" ht="40.5" hidden="1">
      <c r="B44" t="s">
        <v>516</v>
      </c>
      <c r="C44" s="313" t="s">
        <v>92</v>
      </c>
      <c r="D44" s="283" t="s">
        <v>93</v>
      </c>
      <c r="E44" s="287">
        <v>191535.44</v>
      </c>
      <c r="F44" s="287">
        <v>203311.61</v>
      </c>
      <c r="G44" s="287">
        <v>328772.69</v>
      </c>
      <c r="H44" s="287">
        <v>339173.83</v>
      </c>
      <c r="I44" s="287">
        <v>745463.11</v>
      </c>
      <c r="J44" s="287">
        <v>947305.52</v>
      </c>
      <c r="K44" s="287">
        <v>1259180.0599999998</v>
      </c>
      <c r="L44" s="287">
        <v>673281.79</v>
      </c>
      <c r="M44" s="287">
        <v>584748.45000000007</v>
      </c>
      <c r="N44" s="288">
        <v>5272772.5</v>
      </c>
      <c r="O44" s="287">
        <v>607632.08000000007</v>
      </c>
      <c r="P44" s="287">
        <v>1834065.56</v>
      </c>
      <c r="Q44" s="287">
        <v>1569436.5999999996</v>
      </c>
      <c r="R44" s="288">
        <v>9283906.7400000002</v>
      </c>
    </row>
    <row r="45" spans="2:18" hidden="1">
      <c r="C45" s="313" t="s">
        <v>366</v>
      </c>
      <c r="D45" s="290"/>
      <c r="E45" s="287">
        <v>0</v>
      </c>
      <c r="F45" s="287">
        <v>0</v>
      </c>
      <c r="G45" s="287">
        <v>0</v>
      </c>
      <c r="H45" s="287">
        <v>0</v>
      </c>
      <c r="I45" s="287">
        <v>0</v>
      </c>
      <c r="J45" s="287">
        <v>0</v>
      </c>
      <c r="K45" s="287">
        <v>0</v>
      </c>
      <c r="L45" s="287">
        <v>0</v>
      </c>
      <c r="M45" s="287">
        <v>0</v>
      </c>
      <c r="N45" s="288">
        <v>0</v>
      </c>
      <c r="O45" s="287">
        <v>0</v>
      </c>
      <c r="P45" s="287">
        <v>0</v>
      </c>
      <c r="Q45" s="287">
        <v>0</v>
      </c>
      <c r="R45" s="288">
        <v>0</v>
      </c>
    </row>
    <row r="46" spans="2:18" hidden="1">
      <c r="C46" s="313" t="s">
        <v>368</v>
      </c>
      <c r="D46" s="290"/>
      <c r="E46" s="287">
        <v>0</v>
      </c>
      <c r="F46" s="287">
        <v>0</v>
      </c>
      <c r="G46" s="287">
        <v>0</v>
      </c>
      <c r="H46" s="287">
        <v>0</v>
      </c>
      <c r="I46" s="287">
        <v>0</v>
      </c>
      <c r="J46" s="287">
        <v>0</v>
      </c>
      <c r="K46" s="287">
        <v>0</v>
      </c>
      <c r="L46" s="287">
        <v>0</v>
      </c>
      <c r="M46" s="287">
        <v>0</v>
      </c>
      <c r="N46" s="288">
        <v>0</v>
      </c>
      <c r="O46" s="287">
        <v>0</v>
      </c>
      <c r="P46" s="287">
        <v>0</v>
      </c>
      <c r="Q46" s="287">
        <v>0</v>
      </c>
      <c r="R46" s="288">
        <v>0</v>
      </c>
    </row>
    <row r="47" spans="2:18" hidden="1">
      <c r="B47" s="309"/>
      <c r="C47" s="320" t="s">
        <v>511</v>
      </c>
      <c r="D47" s="309"/>
      <c r="E47" s="310">
        <v>6439462.8500000006</v>
      </c>
      <c r="F47" s="310">
        <v>10263969.759999998</v>
      </c>
      <c r="G47" s="310">
        <v>8189868.1600000011</v>
      </c>
      <c r="H47" s="310">
        <v>8025059.4499999993</v>
      </c>
      <c r="I47" s="310">
        <v>7962688.7700000005</v>
      </c>
      <c r="J47" s="310">
        <v>10517694.309999999</v>
      </c>
      <c r="K47" s="310">
        <v>8575967.5600000005</v>
      </c>
      <c r="L47" s="310">
        <v>8303631.6000000006</v>
      </c>
      <c r="M47" s="310">
        <v>9114503.4699999988</v>
      </c>
      <c r="N47" s="311">
        <v>77392845.929999992</v>
      </c>
      <c r="O47" s="310">
        <v>12093436.4</v>
      </c>
      <c r="P47" s="310">
        <v>23869151.259999998</v>
      </c>
      <c r="Q47" s="310">
        <v>26664640.81000001</v>
      </c>
      <c r="R47" s="310">
        <v>140020074.40000001</v>
      </c>
    </row>
    <row r="48" spans="2:18" ht="40.5" hidden="1">
      <c r="B48" t="s">
        <v>515</v>
      </c>
      <c r="C48" s="313" t="s">
        <v>79</v>
      </c>
      <c r="D48" s="283" t="s">
        <v>80</v>
      </c>
      <c r="E48" s="287">
        <v>221673.35000000003</v>
      </c>
      <c r="F48" s="287">
        <v>711431.07000000007</v>
      </c>
      <c r="G48" s="287">
        <v>719713.22999999986</v>
      </c>
      <c r="H48" s="287">
        <v>569515.17000000004</v>
      </c>
      <c r="I48" s="287">
        <v>224140.38</v>
      </c>
      <c r="J48" s="287">
        <v>155693.89000000001</v>
      </c>
      <c r="K48" s="287">
        <v>646903.68000000005</v>
      </c>
      <c r="L48" s="287">
        <v>190133.34000000003</v>
      </c>
      <c r="M48" s="287">
        <v>170452.68</v>
      </c>
      <c r="N48" s="288">
        <v>3609656.79</v>
      </c>
      <c r="O48" s="287">
        <v>2106930.83</v>
      </c>
      <c r="P48" s="287">
        <v>758358.87</v>
      </c>
      <c r="Q48" s="287">
        <v>1198153.2999999998</v>
      </c>
      <c r="R48" s="288">
        <v>7673099.79</v>
      </c>
    </row>
    <row r="49" spans="2:18" ht="40.5" hidden="1">
      <c r="B49" t="s">
        <v>516</v>
      </c>
      <c r="C49" s="313" t="s">
        <v>115</v>
      </c>
      <c r="D49" s="283" t="s">
        <v>116</v>
      </c>
      <c r="E49" s="287">
        <v>-35382.560000000012</v>
      </c>
      <c r="F49" s="287">
        <v>474573.88000000006</v>
      </c>
      <c r="G49" s="287">
        <v>462585.76</v>
      </c>
      <c r="H49" s="287">
        <v>177667.08000000002</v>
      </c>
      <c r="I49" s="287">
        <v>-30789.859999999997</v>
      </c>
      <c r="J49" s="287">
        <v>32669.66</v>
      </c>
      <c r="K49" s="287">
        <v>114651.40000000001</v>
      </c>
      <c r="L49" s="287">
        <v>12276.66</v>
      </c>
      <c r="M49" s="287">
        <v>42665.899999999994</v>
      </c>
      <c r="N49" s="288">
        <v>1250917.9199999997</v>
      </c>
      <c r="O49" s="287">
        <v>621734.17000000004</v>
      </c>
      <c r="P49" s="287">
        <v>550618.75</v>
      </c>
      <c r="Q49" s="287">
        <v>435419.50999999943</v>
      </c>
      <c r="R49" s="288">
        <v>2858690.3499999992</v>
      </c>
    </row>
    <row r="50" spans="2:18" ht="81" hidden="1">
      <c r="B50" t="s">
        <v>513</v>
      </c>
      <c r="C50" s="313" t="s">
        <v>517</v>
      </c>
      <c r="D50" s="292" t="s">
        <v>498</v>
      </c>
      <c r="E50" s="287">
        <v>0</v>
      </c>
      <c r="F50" s="287">
        <v>248000</v>
      </c>
      <c r="G50" s="287">
        <v>252000</v>
      </c>
      <c r="H50" s="287">
        <v>0</v>
      </c>
      <c r="I50" s="287">
        <v>0</v>
      </c>
      <c r="J50" s="287">
        <v>0</v>
      </c>
      <c r="K50" s="287">
        <v>0</v>
      </c>
      <c r="L50" s="287">
        <v>0</v>
      </c>
      <c r="M50" s="287">
        <v>0</v>
      </c>
      <c r="N50" s="288">
        <v>500000</v>
      </c>
      <c r="O50" s="287">
        <v>0</v>
      </c>
      <c r="P50" s="287">
        <v>0</v>
      </c>
      <c r="Q50" s="287">
        <v>0</v>
      </c>
      <c r="R50" s="288">
        <v>500000</v>
      </c>
    </row>
    <row r="51" spans="2:18" hidden="1">
      <c r="B51" t="s">
        <v>514</v>
      </c>
      <c r="C51" s="313" t="s">
        <v>518</v>
      </c>
      <c r="D51" t="s">
        <v>514</v>
      </c>
      <c r="E51" s="287">
        <v>0</v>
      </c>
      <c r="F51" s="287">
        <v>0</v>
      </c>
      <c r="G51" s="287">
        <v>0</v>
      </c>
      <c r="H51" s="287">
        <v>0</v>
      </c>
      <c r="I51" s="287">
        <v>0</v>
      </c>
      <c r="J51" s="287">
        <v>0</v>
      </c>
      <c r="K51" s="287">
        <v>0</v>
      </c>
      <c r="L51" s="287">
        <v>0</v>
      </c>
      <c r="M51" s="287">
        <v>12000</v>
      </c>
      <c r="N51" s="288">
        <v>12000</v>
      </c>
      <c r="O51" s="287">
        <v>25000</v>
      </c>
      <c r="P51" s="287">
        <v>0</v>
      </c>
      <c r="Q51" s="287">
        <v>-12000</v>
      </c>
      <c r="R51" s="288">
        <v>25000</v>
      </c>
    </row>
    <row r="52" spans="2:18" ht="54" hidden="1">
      <c r="B52" s="297" t="s">
        <v>519</v>
      </c>
      <c r="C52" s="316" t="s">
        <v>520</v>
      </c>
      <c r="D52" s="297" t="s">
        <v>519</v>
      </c>
      <c r="E52" s="287">
        <v>0</v>
      </c>
      <c r="F52" s="287">
        <v>0</v>
      </c>
      <c r="G52" s="287">
        <v>0</v>
      </c>
      <c r="H52" s="287">
        <v>0</v>
      </c>
      <c r="I52" s="287">
        <v>0</v>
      </c>
      <c r="J52" s="287">
        <v>2688.94</v>
      </c>
      <c r="K52" s="287">
        <v>0</v>
      </c>
      <c r="L52" s="287">
        <v>0</v>
      </c>
      <c r="M52" s="287">
        <v>0</v>
      </c>
      <c r="N52" s="288">
        <v>2688.94</v>
      </c>
      <c r="O52" s="287">
        <v>15000.06</v>
      </c>
      <c r="P52" s="287">
        <v>0</v>
      </c>
      <c r="Q52" s="287">
        <v>0</v>
      </c>
      <c r="R52" s="287">
        <v>17689</v>
      </c>
    </row>
    <row r="53" spans="2:18" hidden="1">
      <c r="C53" s="316"/>
      <c r="E53" s="287">
        <v>0</v>
      </c>
      <c r="F53" s="287">
        <v>0</v>
      </c>
      <c r="G53" s="287">
        <v>0</v>
      </c>
      <c r="H53" s="287">
        <v>0</v>
      </c>
      <c r="I53" s="287">
        <v>0</v>
      </c>
      <c r="J53" s="287">
        <v>0</v>
      </c>
      <c r="K53" s="287">
        <v>0</v>
      </c>
      <c r="L53" s="287">
        <v>0</v>
      </c>
      <c r="M53" s="287">
        <v>0</v>
      </c>
      <c r="N53" s="288">
        <v>0</v>
      </c>
      <c r="O53" s="287">
        <v>0</v>
      </c>
      <c r="P53" s="287">
        <v>0</v>
      </c>
      <c r="Q53" s="287">
        <v>0</v>
      </c>
      <c r="R53" s="287">
        <v>0</v>
      </c>
    </row>
    <row r="54" spans="2:18" hidden="1">
      <c r="C54" s="316"/>
      <c r="E54" s="287">
        <v>0</v>
      </c>
      <c r="F54" s="287">
        <v>0</v>
      </c>
      <c r="G54" s="287">
        <v>0</v>
      </c>
      <c r="H54" s="287">
        <v>0</v>
      </c>
      <c r="I54" s="287">
        <v>0</v>
      </c>
      <c r="J54" s="287">
        <v>0</v>
      </c>
      <c r="K54" s="287">
        <v>0</v>
      </c>
      <c r="L54" s="287">
        <v>0</v>
      </c>
      <c r="M54" s="287">
        <v>0</v>
      </c>
      <c r="N54" s="288">
        <v>0</v>
      </c>
      <c r="O54" s="287">
        <v>0</v>
      </c>
      <c r="P54" s="287">
        <v>0</v>
      </c>
      <c r="Q54" s="287">
        <v>0</v>
      </c>
      <c r="R54" s="287">
        <v>0</v>
      </c>
    </row>
    <row r="55" spans="2:18" hidden="1">
      <c r="C55" s="320" t="s">
        <v>511</v>
      </c>
      <c r="E55" s="291">
        <v>186290.79000000004</v>
      </c>
      <c r="F55" s="291">
        <v>1434004.9500000002</v>
      </c>
      <c r="G55" s="291">
        <v>1434298.9899999998</v>
      </c>
      <c r="H55" s="291">
        <v>747182.25</v>
      </c>
      <c r="I55" s="291">
        <v>193350.52000000002</v>
      </c>
      <c r="J55" s="291">
        <v>191052.49000000002</v>
      </c>
      <c r="K55" s="291">
        <v>761555.08000000007</v>
      </c>
      <c r="L55" s="291">
        <v>202410.00000000003</v>
      </c>
      <c r="M55" s="291">
        <v>225118.58</v>
      </c>
      <c r="N55" s="288">
        <v>5375263.6500000004</v>
      </c>
      <c r="O55" s="291">
        <v>2768665.06</v>
      </c>
      <c r="P55" s="291">
        <v>1308977.6200000001</v>
      </c>
      <c r="Q55" s="291">
        <v>1621572.8099999991</v>
      </c>
      <c r="R55" s="291">
        <v>11074479.140000001</v>
      </c>
    </row>
    <row r="56" spans="2:18" ht="40.5" hidden="1">
      <c r="B56" t="s">
        <v>515</v>
      </c>
      <c r="C56" s="313" t="s">
        <v>60</v>
      </c>
      <c r="D56" s="283" t="s">
        <v>61</v>
      </c>
      <c r="E56" s="274">
        <v>148477.56</v>
      </c>
      <c r="F56" s="274">
        <v>548352.15000000014</v>
      </c>
      <c r="G56" s="274">
        <v>451618.04999999993</v>
      </c>
      <c r="H56" s="274">
        <v>479366.40000000002</v>
      </c>
      <c r="I56" s="274">
        <v>1025330.0199999999</v>
      </c>
      <c r="J56" s="274">
        <v>1193516.7499999998</v>
      </c>
      <c r="K56" s="274">
        <v>886994.31</v>
      </c>
      <c r="L56" s="274">
        <v>1733753.56</v>
      </c>
      <c r="M56" s="274">
        <v>1088241.69</v>
      </c>
      <c r="N56" s="288">
        <v>7555650.4900000002</v>
      </c>
      <c r="O56" s="274">
        <v>1108408</v>
      </c>
      <c r="P56" s="274">
        <v>2065970</v>
      </c>
      <c r="Q56" s="274">
        <v>4220332.3100000005</v>
      </c>
      <c r="R56" s="289">
        <v>14950360.800000001</v>
      </c>
    </row>
    <row r="57" spans="2:18" ht="54" hidden="1">
      <c r="B57" t="s">
        <v>515</v>
      </c>
      <c r="C57" s="313" t="s">
        <v>66</v>
      </c>
      <c r="D57" s="283" t="s">
        <v>67</v>
      </c>
      <c r="E57" s="287">
        <v>311941.02</v>
      </c>
      <c r="F57" s="287">
        <v>456747.96000000008</v>
      </c>
      <c r="G57" s="287">
        <v>878316.58000000007</v>
      </c>
      <c r="H57" s="287">
        <v>496833.06</v>
      </c>
      <c r="I57" s="287">
        <v>445725.57999999996</v>
      </c>
      <c r="J57" s="287">
        <v>737931.47</v>
      </c>
      <c r="K57" s="287">
        <v>518719.59</v>
      </c>
      <c r="L57" s="287">
        <v>579782.37</v>
      </c>
      <c r="M57" s="287">
        <v>694773.42000000016</v>
      </c>
      <c r="N57" s="288">
        <v>5120771.05</v>
      </c>
      <c r="O57" s="287">
        <v>768704.8</v>
      </c>
      <c r="P57" s="287">
        <v>627370.92999999993</v>
      </c>
      <c r="Q57" s="287">
        <v>1764703.7800000012</v>
      </c>
      <c r="R57" s="289">
        <v>8281550.5600000005</v>
      </c>
    </row>
    <row r="58" spans="2:18" ht="54" hidden="1">
      <c r="B58" t="s">
        <v>516</v>
      </c>
      <c r="C58" s="313" t="s">
        <v>102</v>
      </c>
      <c r="D58" s="283" t="s">
        <v>103</v>
      </c>
      <c r="E58" s="287">
        <v>62807.840000000004</v>
      </c>
      <c r="F58" s="287">
        <v>65963.099999999991</v>
      </c>
      <c r="G58" s="287">
        <v>129092.42</v>
      </c>
      <c r="H58" s="287">
        <v>88700.81</v>
      </c>
      <c r="I58" s="287">
        <v>81244.190000000017</v>
      </c>
      <c r="J58" s="287">
        <v>122381.70999999999</v>
      </c>
      <c r="K58" s="287">
        <v>138701.03</v>
      </c>
      <c r="L58" s="287">
        <v>121749.84999999999</v>
      </c>
      <c r="M58" s="287">
        <v>130892.42</v>
      </c>
      <c r="N58" s="288">
        <v>941533.37</v>
      </c>
      <c r="O58" s="287">
        <v>128447</v>
      </c>
      <c r="P58" s="287">
        <v>211207.07</v>
      </c>
      <c r="Q58" s="287">
        <v>305292.33999999962</v>
      </c>
      <c r="R58" s="289">
        <v>1586479.7799999998</v>
      </c>
    </row>
    <row r="59" spans="2:18" ht="51.75" hidden="1">
      <c r="B59" t="s">
        <v>515</v>
      </c>
      <c r="C59" s="313" t="s">
        <v>50</v>
      </c>
      <c r="D59" s="284" t="s">
        <v>51</v>
      </c>
      <c r="E59" s="287">
        <v>246086.71</v>
      </c>
      <c r="F59" s="287">
        <v>363033.74</v>
      </c>
      <c r="G59" s="287">
        <v>190380.94</v>
      </c>
      <c r="H59" s="287">
        <v>243293.4</v>
      </c>
      <c r="I59" s="287">
        <v>296031.02</v>
      </c>
      <c r="J59" s="287">
        <v>430736.17999999993</v>
      </c>
      <c r="K59" s="287">
        <v>676523.22</v>
      </c>
      <c r="L59" s="287">
        <v>337273.95</v>
      </c>
      <c r="M59" s="287">
        <v>871278.44999999984</v>
      </c>
      <c r="N59" s="288">
        <v>3654637.61</v>
      </c>
      <c r="O59" s="287">
        <v>1064047.0308244973</v>
      </c>
      <c r="P59" s="287">
        <v>1509245.2262514236</v>
      </c>
      <c r="Q59" s="287">
        <v>1453223.6182568902</v>
      </c>
      <c r="R59" s="289">
        <v>7681153.4853328103</v>
      </c>
    </row>
    <row r="60" spans="2:18" ht="39" hidden="1">
      <c r="B60" t="s">
        <v>516</v>
      </c>
      <c r="C60" s="313" t="s">
        <v>89</v>
      </c>
      <c r="D60" s="284" t="s">
        <v>90</v>
      </c>
      <c r="E60" s="287">
        <v>10191.57</v>
      </c>
      <c r="F60" s="287">
        <v>35805.520000000004</v>
      </c>
      <c r="G60" s="287">
        <v>41138.28</v>
      </c>
      <c r="H60" s="287">
        <v>223760.56000000003</v>
      </c>
      <c r="I60" s="287">
        <v>70054.790000000008</v>
      </c>
      <c r="J60" s="287">
        <v>95617.43</v>
      </c>
      <c r="K60" s="287">
        <v>72510.929999999993</v>
      </c>
      <c r="L60" s="287">
        <v>46074.75</v>
      </c>
      <c r="M60" s="287">
        <v>46582.109999999993</v>
      </c>
      <c r="N60" s="288">
        <v>641735.94000000006</v>
      </c>
      <c r="O60" s="287">
        <v>20044.306214689266</v>
      </c>
      <c r="P60" s="287">
        <v>229491.64815017622</v>
      </c>
      <c r="Q60" s="287">
        <v>61456.406389937241</v>
      </c>
      <c r="R60" s="289">
        <v>952728.30075480277</v>
      </c>
    </row>
    <row r="61" spans="2:18" ht="40.5" hidden="1">
      <c r="B61" t="s">
        <v>515</v>
      </c>
      <c r="C61" s="313" t="s">
        <v>63</v>
      </c>
      <c r="D61" s="283" t="s">
        <v>64</v>
      </c>
      <c r="E61" s="287">
        <v>94081.430000000008</v>
      </c>
      <c r="F61" s="287">
        <v>286301.28999999998</v>
      </c>
      <c r="G61" s="287">
        <v>291907.94</v>
      </c>
      <c r="H61" s="287">
        <v>437340.50999999995</v>
      </c>
      <c r="I61" s="287">
        <v>858416.35</v>
      </c>
      <c r="J61" s="287">
        <v>1564805.25</v>
      </c>
      <c r="K61" s="287">
        <v>524587.03999999992</v>
      </c>
      <c r="L61" s="287">
        <v>507972.23</v>
      </c>
      <c r="M61" s="287">
        <v>509503.27999999991</v>
      </c>
      <c r="N61" s="288">
        <v>5074915.32</v>
      </c>
      <c r="O61" s="287">
        <v>525390.04999999993</v>
      </c>
      <c r="P61" s="287">
        <v>1768067.7399999998</v>
      </c>
      <c r="Q61" s="287">
        <v>2422557.180000002</v>
      </c>
      <c r="R61" s="289">
        <v>9790930.290000001</v>
      </c>
    </row>
    <row r="62" spans="2:18" ht="40.5" hidden="1">
      <c r="B62" t="s">
        <v>516</v>
      </c>
      <c r="C62" s="313" t="s">
        <v>99</v>
      </c>
      <c r="D62" s="283" t="s">
        <v>100</v>
      </c>
      <c r="E62" s="287">
        <v>78386.67</v>
      </c>
      <c r="F62" s="287">
        <v>259486.74999999997</v>
      </c>
      <c r="G62" s="287">
        <v>53012.740000000042</v>
      </c>
      <c r="H62" s="287">
        <v>341671.27999999997</v>
      </c>
      <c r="I62" s="287">
        <v>-14573.819999999949</v>
      </c>
      <c r="J62" s="287">
        <v>350977.83</v>
      </c>
      <c r="K62" s="287">
        <v>476505.7</v>
      </c>
      <c r="L62" s="287">
        <v>578932.30000000005</v>
      </c>
      <c r="M62" s="287">
        <v>592577.49</v>
      </c>
      <c r="N62" s="288">
        <v>2716976.9400000004</v>
      </c>
      <c r="O62" s="287">
        <v>292768.65000000002</v>
      </c>
      <c r="P62" s="287">
        <v>598273.74000000011</v>
      </c>
      <c r="Q62" s="287">
        <v>1371965.8600000006</v>
      </c>
      <c r="R62" s="289">
        <v>4979985.1900000013</v>
      </c>
    </row>
    <row r="63" spans="2:18" hidden="1">
      <c r="B63" t="s">
        <v>514</v>
      </c>
      <c r="C63" s="313" t="s">
        <v>393</v>
      </c>
      <c r="D63" t="s">
        <v>514</v>
      </c>
      <c r="E63" s="287">
        <v>2884.26</v>
      </c>
      <c r="F63" s="287">
        <v>2666.8</v>
      </c>
      <c r="G63" s="287">
        <v>2757.24</v>
      </c>
      <c r="H63" s="287">
        <v>2666.8</v>
      </c>
      <c r="I63" s="287">
        <v>-666.7</v>
      </c>
      <c r="J63" s="287">
        <v>0</v>
      </c>
      <c r="K63" s="287">
        <v>0</v>
      </c>
      <c r="L63" s="287">
        <v>0</v>
      </c>
      <c r="M63" s="287">
        <v>1512.95</v>
      </c>
      <c r="N63" s="288">
        <v>11821.349999999999</v>
      </c>
      <c r="O63" s="287">
        <v>3112.2</v>
      </c>
      <c r="P63" s="287">
        <v>1971.06</v>
      </c>
      <c r="Q63" s="287">
        <v>24573.729999999996</v>
      </c>
      <c r="R63" s="289">
        <v>41478.339999999997</v>
      </c>
    </row>
    <row r="64" spans="2:18" ht="40.5" hidden="1">
      <c r="B64" t="s">
        <v>515</v>
      </c>
      <c r="C64" s="313" t="s">
        <v>55</v>
      </c>
      <c r="D64" s="283" t="s">
        <v>56</v>
      </c>
      <c r="E64" s="287">
        <v>1322926.3400000001</v>
      </c>
      <c r="F64" s="287">
        <v>1344834.0499999998</v>
      </c>
      <c r="G64" s="287">
        <v>1231905.77</v>
      </c>
      <c r="H64" s="287">
        <v>1525419.98</v>
      </c>
      <c r="I64" s="287">
        <v>1578366.27</v>
      </c>
      <c r="J64" s="287">
        <v>1322033.24</v>
      </c>
      <c r="K64" s="287">
        <v>684012.69000000006</v>
      </c>
      <c r="L64" s="287">
        <v>1203322.5199999998</v>
      </c>
      <c r="M64" s="287">
        <v>2506674.21</v>
      </c>
      <c r="N64" s="288">
        <v>12719495.07</v>
      </c>
      <c r="O64" s="287">
        <v>2713885.3763944609</v>
      </c>
      <c r="P64" s="287">
        <v>2672238.4854828189</v>
      </c>
      <c r="Q64" s="287">
        <v>1876642.0962948527</v>
      </c>
      <c r="R64" s="289">
        <v>19982261.028172135</v>
      </c>
    </row>
    <row r="65" spans="2:18" ht="40.5" hidden="1">
      <c r="B65" t="s">
        <v>516</v>
      </c>
      <c r="C65" s="313" t="s">
        <v>95</v>
      </c>
      <c r="D65" s="283" t="s">
        <v>96</v>
      </c>
      <c r="E65" s="287">
        <v>119493.92</v>
      </c>
      <c r="F65" s="287">
        <v>240788.77</v>
      </c>
      <c r="G65" s="287">
        <v>167165.68000000002</v>
      </c>
      <c r="H65" s="287">
        <v>243334.61000000002</v>
      </c>
      <c r="I65" s="287">
        <v>355504.07</v>
      </c>
      <c r="J65" s="287">
        <v>262314.40000000002</v>
      </c>
      <c r="K65" s="287">
        <v>359011.81999999995</v>
      </c>
      <c r="L65" s="287">
        <v>242097.97</v>
      </c>
      <c r="M65" s="287">
        <v>198502.65</v>
      </c>
      <c r="N65" s="288">
        <v>2188213.89</v>
      </c>
      <c r="O65" s="287">
        <v>317689.25644239999</v>
      </c>
      <c r="P65" s="287">
        <v>321494.06756450003</v>
      </c>
      <c r="Q65" s="287">
        <v>398070.95136402594</v>
      </c>
      <c r="R65" s="289">
        <v>3225468.1653709263</v>
      </c>
    </row>
    <row r="66" spans="2:18" ht="40.5" hidden="1">
      <c r="B66" t="s">
        <v>515</v>
      </c>
      <c r="C66" s="313" t="s">
        <v>69</v>
      </c>
      <c r="D66" s="283" t="s">
        <v>70</v>
      </c>
      <c r="E66" s="287">
        <v>10395.269999999997</v>
      </c>
      <c r="F66" s="287">
        <v>184302.65</v>
      </c>
      <c r="G66" s="287">
        <v>65451.83</v>
      </c>
      <c r="H66" s="287">
        <v>62050</v>
      </c>
      <c r="I66" s="287">
        <v>349980.04</v>
      </c>
      <c r="J66" s="287">
        <v>308147.74</v>
      </c>
      <c r="K66" s="287">
        <v>826225.4</v>
      </c>
      <c r="L66" s="287">
        <v>162984.17000000001</v>
      </c>
      <c r="M66" s="287">
        <v>425141.91</v>
      </c>
      <c r="N66" s="288">
        <v>2394679.0100000002</v>
      </c>
      <c r="O66" s="287">
        <v>79779.300323867079</v>
      </c>
      <c r="P66" s="287">
        <v>190663.48781756192</v>
      </c>
      <c r="Q66" s="287">
        <v>67621.089999999851</v>
      </c>
      <c r="R66" s="289">
        <v>2732742.8881414291</v>
      </c>
    </row>
    <row r="67" spans="2:18" ht="40.5" hidden="1">
      <c r="B67" t="s">
        <v>516</v>
      </c>
      <c r="C67" s="313" t="s">
        <v>105</v>
      </c>
      <c r="D67" s="283" t="s">
        <v>106</v>
      </c>
      <c r="E67" s="287">
        <v>10969.74</v>
      </c>
      <c r="F67" s="287">
        <v>10999.36</v>
      </c>
      <c r="G67" s="287">
        <v>10945.5</v>
      </c>
      <c r="H67" s="287">
        <v>10950</v>
      </c>
      <c r="I67" s="287">
        <v>12522.61</v>
      </c>
      <c r="J67" s="287">
        <v>96359.16</v>
      </c>
      <c r="K67" s="287">
        <v>14808.22</v>
      </c>
      <c r="L67" s="287">
        <v>9174.09</v>
      </c>
      <c r="M67" s="287">
        <v>114630.43999999999</v>
      </c>
      <c r="N67" s="288">
        <v>291359.12</v>
      </c>
      <c r="O67" s="287">
        <v>39404.307058823528</v>
      </c>
      <c r="P67" s="287">
        <v>49058.054913468412</v>
      </c>
      <c r="Q67" s="287">
        <v>101564.96668571429</v>
      </c>
      <c r="R67" s="289">
        <v>481386.44865800627</v>
      </c>
    </row>
    <row r="68" spans="2:18" ht="40.5" hidden="1">
      <c r="B68" t="s">
        <v>515</v>
      </c>
      <c r="C68" s="313" t="s">
        <v>74</v>
      </c>
      <c r="D68" s="283" t="s">
        <v>75</v>
      </c>
      <c r="E68" s="287">
        <v>19607.05</v>
      </c>
      <c r="F68" s="287">
        <v>28055.79</v>
      </c>
      <c r="G68" s="287">
        <v>91298.63</v>
      </c>
      <c r="H68" s="287">
        <v>38701.800000000003</v>
      </c>
      <c r="I68" s="287">
        <v>23990.34</v>
      </c>
      <c r="J68" s="287">
        <v>22553.15</v>
      </c>
      <c r="K68" s="287">
        <v>37401.839999999997</v>
      </c>
      <c r="L68" s="287">
        <v>39516.9</v>
      </c>
      <c r="M68" s="287">
        <v>29164.36</v>
      </c>
      <c r="N68" s="288">
        <v>330289.86</v>
      </c>
      <c r="O68" s="287">
        <v>49700</v>
      </c>
      <c r="P68" s="287">
        <v>65887</v>
      </c>
      <c r="Q68" s="287">
        <v>41889.640000000014</v>
      </c>
      <c r="R68" s="289">
        <v>487766.5</v>
      </c>
    </row>
    <row r="69" spans="2:18" ht="40.5" hidden="1">
      <c r="B69" t="s">
        <v>516</v>
      </c>
      <c r="C69" s="313" t="s">
        <v>110</v>
      </c>
      <c r="D69" s="283" t="s">
        <v>111</v>
      </c>
      <c r="E69" s="287">
        <v>4196.6099999999997</v>
      </c>
      <c r="F69" s="287">
        <v>813.31</v>
      </c>
      <c r="G69" s="287">
        <v>1145.43</v>
      </c>
      <c r="H69" s="287">
        <v>4508.55</v>
      </c>
      <c r="I69" s="287">
        <v>464.18</v>
      </c>
      <c r="J69" s="287">
        <v>990.75</v>
      </c>
      <c r="K69" s="287">
        <v>5475.1900000000005</v>
      </c>
      <c r="L69" s="287">
        <v>998.31</v>
      </c>
      <c r="M69" s="287">
        <v>609.52</v>
      </c>
      <c r="N69" s="288">
        <v>19201.850000000006</v>
      </c>
      <c r="O69" s="287">
        <v>1764.1783333333333</v>
      </c>
      <c r="P69" s="287">
        <v>1864.1783333333333</v>
      </c>
      <c r="Q69" s="287">
        <v>2767.4800000000032</v>
      </c>
      <c r="R69" s="289">
        <v>25597.686666666676</v>
      </c>
    </row>
    <row r="70" spans="2:18" hidden="1">
      <c r="C70" s="313" t="s">
        <v>402</v>
      </c>
      <c r="D70" s="290"/>
      <c r="E70" s="287">
        <v>0</v>
      </c>
      <c r="F70" s="287">
        <v>0</v>
      </c>
      <c r="G70" s="287">
        <v>0</v>
      </c>
      <c r="H70" s="287">
        <v>0</v>
      </c>
      <c r="I70" s="287">
        <v>0</v>
      </c>
      <c r="J70" s="287">
        <v>0</v>
      </c>
      <c r="K70" s="287">
        <v>0</v>
      </c>
      <c r="L70" s="287">
        <v>0</v>
      </c>
      <c r="M70" s="287">
        <v>0</v>
      </c>
      <c r="N70" s="288">
        <v>0</v>
      </c>
      <c r="O70" s="287">
        <v>0</v>
      </c>
      <c r="P70" s="287">
        <v>0</v>
      </c>
      <c r="Q70" s="287">
        <v>0</v>
      </c>
      <c r="R70" s="289">
        <v>0</v>
      </c>
    </row>
    <row r="71" spans="2:18" hidden="1">
      <c r="C71" s="313" t="s">
        <v>404</v>
      </c>
      <c r="D71" s="290"/>
      <c r="E71" s="287">
        <v>0</v>
      </c>
      <c r="F71" s="287">
        <v>0</v>
      </c>
      <c r="G71" s="287">
        <v>0</v>
      </c>
      <c r="H71" s="287">
        <v>0</v>
      </c>
      <c r="I71" s="287">
        <v>0</v>
      </c>
      <c r="J71" s="287">
        <v>0</v>
      </c>
      <c r="K71" s="287">
        <v>0</v>
      </c>
      <c r="L71" s="287">
        <v>0</v>
      </c>
      <c r="M71" s="287">
        <v>0</v>
      </c>
      <c r="N71" s="288">
        <v>0</v>
      </c>
      <c r="O71" s="287">
        <v>0</v>
      </c>
      <c r="P71" s="287">
        <v>0</v>
      </c>
      <c r="Q71" s="287">
        <v>0</v>
      </c>
      <c r="R71" s="289">
        <v>0</v>
      </c>
    </row>
    <row r="72" spans="2:18" hidden="1">
      <c r="C72" s="313" t="s">
        <v>406</v>
      </c>
      <c r="D72" s="290"/>
      <c r="E72" s="287">
        <v>0</v>
      </c>
      <c r="F72" s="287">
        <v>0</v>
      </c>
      <c r="G72" s="287">
        <v>0</v>
      </c>
      <c r="H72" s="287">
        <v>0</v>
      </c>
      <c r="I72" s="287">
        <v>0</v>
      </c>
      <c r="J72" s="287">
        <v>0</v>
      </c>
      <c r="K72" s="287">
        <v>0</v>
      </c>
      <c r="L72" s="287">
        <v>0</v>
      </c>
      <c r="M72" s="287">
        <v>0</v>
      </c>
      <c r="N72" s="288">
        <v>0</v>
      </c>
      <c r="O72" s="287">
        <v>0</v>
      </c>
      <c r="P72" s="287">
        <v>0</v>
      </c>
      <c r="Q72" s="287">
        <v>0</v>
      </c>
      <c r="R72" s="289">
        <v>0</v>
      </c>
    </row>
    <row r="73" spans="2:18" hidden="1">
      <c r="C73" s="313" t="s">
        <v>408</v>
      </c>
      <c r="D73" s="290"/>
      <c r="E73" s="287">
        <v>0</v>
      </c>
      <c r="F73" s="287">
        <v>0</v>
      </c>
      <c r="G73" s="287">
        <v>0</v>
      </c>
      <c r="H73" s="287">
        <v>0</v>
      </c>
      <c r="I73" s="287">
        <v>0</v>
      </c>
      <c r="J73" s="287">
        <v>0</v>
      </c>
      <c r="K73" s="287">
        <v>0</v>
      </c>
      <c r="L73" s="287">
        <v>0</v>
      </c>
      <c r="M73" s="287">
        <v>0</v>
      </c>
      <c r="N73" s="288">
        <v>0</v>
      </c>
      <c r="O73" s="287">
        <v>0</v>
      </c>
      <c r="P73" s="287">
        <v>0</v>
      </c>
      <c r="Q73" s="287">
        <v>0</v>
      </c>
      <c r="R73" s="289">
        <v>0</v>
      </c>
    </row>
    <row r="74" spans="2:18" hidden="1">
      <c r="C74" s="320" t="s">
        <v>511</v>
      </c>
      <c r="E74" s="291">
        <v>2442445.9900000002</v>
      </c>
      <c r="F74" s="291">
        <v>3828151.24</v>
      </c>
      <c r="G74" s="291">
        <v>3606137.0300000003</v>
      </c>
      <c r="H74" s="291">
        <v>4198597.76</v>
      </c>
      <c r="I74" s="291">
        <v>5082388.9399999995</v>
      </c>
      <c r="J74" s="291">
        <v>6508365.0600000005</v>
      </c>
      <c r="K74" s="291">
        <v>5221476.9800000014</v>
      </c>
      <c r="L74" s="291">
        <v>5563632.9699999997</v>
      </c>
      <c r="M74" s="291">
        <v>7210084.9000000004</v>
      </c>
      <c r="N74" s="288">
        <v>43661280.870000005</v>
      </c>
      <c r="O74" s="291">
        <v>7113144.4555920707</v>
      </c>
      <c r="P74" s="291">
        <v>10312802.688513281</v>
      </c>
      <c r="Q74" s="291">
        <v>14112661.448991425</v>
      </c>
      <c r="R74" s="291">
        <v>75199889.463096783</v>
      </c>
    </row>
    <row r="75" spans="2:18" ht="40.5" hidden="1">
      <c r="B75" t="s">
        <v>515</v>
      </c>
      <c r="C75" s="313" t="s">
        <v>71</v>
      </c>
      <c r="D75" s="283" t="s">
        <v>72</v>
      </c>
      <c r="E75" s="287">
        <v>-4149.8999999999942</v>
      </c>
      <c r="F75" s="287">
        <v>69043.95</v>
      </c>
      <c r="G75" s="287">
        <v>57913.32</v>
      </c>
      <c r="H75" s="287">
        <v>39230.590000000004</v>
      </c>
      <c r="I75" s="287">
        <v>61180.369999999995</v>
      </c>
      <c r="J75" s="287">
        <v>51747.31</v>
      </c>
      <c r="K75" s="287">
        <v>65403.259999999995</v>
      </c>
      <c r="L75" s="287">
        <v>38698.07</v>
      </c>
      <c r="M75" s="287">
        <v>41547.429999999993</v>
      </c>
      <c r="N75" s="288">
        <v>420614.40000000002</v>
      </c>
      <c r="O75" s="287">
        <v>87195</v>
      </c>
      <c r="P75" s="287">
        <v>46330</v>
      </c>
      <c r="Q75" s="287">
        <v>240964.89000000007</v>
      </c>
      <c r="R75" s="289">
        <v>795104.29</v>
      </c>
    </row>
    <row r="76" spans="2:18" ht="40.5" hidden="1">
      <c r="B76" t="s">
        <v>516</v>
      </c>
      <c r="C76" s="313" t="s">
        <v>107</v>
      </c>
      <c r="D76" s="283" t="s">
        <v>108</v>
      </c>
      <c r="E76" s="287">
        <v>-2314.739999999998</v>
      </c>
      <c r="F76" s="287">
        <v>35401.61</v>
      </c>
      <c r="G76" s="287">
        <v>29667.79</v>
      </c>
      <c r="H76" s="287">
        <v>20042.02</v>
      </c>
      <c r="I76" s="287">
        <v>29184.01</v>
      </c>
      <c r="J76" s="287">
        <v>25211.15</v>
      </c>
      <c r="K76" s="287">
        <v>32724.090000000004</v>
      </c>
      <c r="L76" s="287">
        <v>19935.310000000001</v>
      </c>
      <c r="M76" s="287">
        <v>21403.160000000003</v>
      </c>
      <c r="N76" s="288">
        <v>211254.39999999999</v>
      </c>
      <c r="O76" s="287">
        <v>45417.5</v>
      </c>
      <c r="P76" s="287">
        <v>22605</v>
      </c>
      <c r="Q76" s="287">
        <v>119086.17999999996</v>
      </c>
      <c r="R76" s="289">
        <v>398363.07999999996</v>
      </c>
    </row>
    <row r="77" spans="2:18" ht="81" hidden="1">
      <c r="B77" t="s">
        <v>513</v>
      </c>
      <c r="C77" s="313" t="s">
        <v>413</v>
      </c>
      <c r="D77" s="292" t="s">
        <v>498</v>
      </c>
      <c r="E77" s="287">
        <v>6421.7199999999993</v>
      </c>
      <c r="F77" s="287">
        <v>1127.5</v>
      </c>
      <c r="G77" s="287">
        <v>2585.75</v>
      </c>
      <c r="H77" s="287">
        <v>658.41</v>
      </c>
      <c r="I77" s="287">
        <v>1127.5</v>
      </c>
      <c r="J77" s="287">
        <v>1253.73</v>
      </c>
      <c r="K77" s="287">
        <v>16990.490000000002</v>
      </c>
      <c r="L77" s="287">
        <v>-7781.57</v>
      </c>
      <c r="M77" s="287">
        <v>1200.17</v>
      </c>
      <c r="N77" s="288">
        <v>23583.699999999997</v>
      </c>
      <c r="O77" s="287">
        <v>1269</v>
      </c>
      <c r="P77" s="287">
        <v>1269</v>
      </c>
      <c r="Q77" s="287">
        <v>19782.830000000002</v>
      </c>
      <c r="R77" s="289">
        <v>45904.53</v>
      </c>
    </row>
    <row r="78" spans="2:18" ht="81" hidden="1">
      <c r="B78" t="s">
        <v>513</v>
      </c>
      <c r="C78" s="313" t="s">
        <v>415</v>
      </c>
      <c r="D78" s="292" t="s">
        <v>498</v>
      </c>
      <c r="E78" s="287">
        <v>-121900.63</v>
      </c>
      <c r="F78" s="287">
        <v>10147.5</v>
      </c>
      <c r="G78" s="287">
        <v>23271.79</v>
      </c>
      <c r="H78" s="287">
        <v>5925.6399999999994</v>
      </c>
      <c r="I78" s="287">
        <v>10147.5</v>
      </c>
      <c r="J78" s="287">
        <v>83721.03</v>
      </c>
      <c r="K78" s="287">
        <v>-9723.09</v>
      </c>
      <c r="L78" s="287">
        <v>20165.830000000002</v>
      </c>
      <c r="M78" s="287">
        <v>103662.23000000001</v>
      </c>
      <c r="N78" s="288">
        <v>125417.80000000002</v>
      </c>
      <c r="O78" s="287">
        <v>12210</v>
      </c>
      <c r="P78" s="287">
        <v>12210</v>
      </c>
      <c r="Q78" s="287">
        <v>207605.77000000002</v>
      </c>
      <c r="R78" s="289">
        <v>357443.57000000007</v>
      </c>
    </row>
    <row r="79" spans="2:18" hidden="1">
      <c r="C79" s="313" t="s">
        <v>417</v>
      </c>
      <c r="D79" s="290"/>
      <c r="E79" s="287"/>
      <c r="F79" s="287"/>
      <c r="G79" s="287"/>
      <c r="H79" s="287"/>
      <c r="I79" s="287"/>
      <c r="J79" s="287"/>
      <c r="K79" s="287"/>
      <c r="L79" s="287"/>
      <c r="M79" s="287"/>
      <c r="N79" s="288">
        <v>0</v>
      </c>
      <c r="O79" s="287"/>
      <c r="P79" s="287"/>
      <c r="Q79" s="287"/>
      <c r="R79" s="289"/>
    </row>
    <row r="80" spans="2:18" hidden="1">
      <c r="B80" t="s">
        <v>514</v>
      </c>
      <c r="C80" s="316" t="s">
        <v>419</v>
      </c>
      <c r="D80" t="s">
        <v>514</v>
      </c>
      <c r="E80" s="287">
        <v>-3761.5</v>
      </c>
      <c r="F80" s="287">
        <v>0</v>
      </c>
      <c r="G80" s="287">
        <v>0</v>
      </c>
      <c r="H80" s="287">
        <v>0</v>
      </c>
      <c r="I80" s="287">
        <v>0</v>
      </c>
      <c r="J80" s="287">
        <v>0</v>
      </c>
      <c r="K80" s="287">
        <v>0</v>
      </c>
      <c r="L80" s="287">
        <v>0</v>
      </c>
      <c r="M80" s="287">
        <v>0</v>
      </c>
      <c r="N80" s="288">
        <v>-3761.5</v>
      </c>
      <c r="O80" s="287">
        <v>0</v>
      </c>
      <c r="P80" s="287">
        <v>0</v>
      </c>
      <c r="Q80" s="287">
        <v>3761.5</v>
      </c>
      <c r="R80" s="287">
        <v>0</v>
      </c>
    </row>
    <row r="81" spans="2:18" hidden="1">
      <c r="C81" s="321"/>
      <c r="E81" s="291">
        <v>-125705.05</v>
      </c>
      <c r="F81" s="291">
        <v>115720.56</v>
      </c>
      <c r="G81" s="291">
        <v>113438.65</v>
      </c>
      <c r="H81" s="291">
        <v>65856.66</v>
      </c>
      <c r="I81" s="291">
        <v>101639.37999999999</v>
      </c>
      <c r="J81" s="291">
        <v>161933.21999999997</v>
      </c>
      <c r="K81" s="291">
        <v>105394.75000000001</v>
      </c>
      <c r="L81" s="291">
        <v>71017.640000000014</v>
      </c>
      <c r="M81" s="291">
        <v>167812.99</v>
      </c>
      <c r="N81" s="288">
        <v>777108.8</v>
      </c>
      <c r="O81" s="291">
        <v>146091.5</v>
      </c>
      <c r="P81" s="291">
        <v>82414</v>
      </c>
      <c r="Q81" s="291">
        <v>591201.17000000016</v>
      </c>
      <c r="R81" s="273">
        <v>1596815.4700000002</v>
      </c>
    </row>
    <row r="82" spans="2:18" hidden="1">
      <c r="C82" s="314"/>
      <c r="E82" s="293">
        <v>0</v>
      </c>
      <c r="F82" s="293">
        <v>0</v>
      </c>
      <c r="G82" s="293">
        <v>0</v>
      </c>
      <c r="H82" s="293">
        <v>0</v>
      </c>
      <c r="I82" s="293">
        <v>0</v>
      </c>
      <c r="J82" s="293">
        <v>0</v>
      </c>
      <c r="K82" s="293">
        <v>0</v>
      </c>
      <c r="L82" s="293">
        <v>0</v>
      </c>
      <c r="M82" s="293">
        <v>0</v>
      </c>
      <c r="N82" s="288">
        <v>0</v>
      </c>
      <c r="O82" s="293">
        <v>0</v>
      </c>
      <c r="P82" s="293">
        <v>0</v>
      </c>
      <c r="Q82" s="293">
        <v>0</v>
      </c>
      <c r="R82" s="293">
        <v>0</v>
      </c>
    </row>
    <row r="83" spans="2:18" hidden="1">
      <c r="B83" t="s">
        <v>514</v>
      </c>
      <c r="C83" s="315"/>
      <c r="D83" t="s">
        <v>514</v>
      </c>
      <c r="E83" s="294">
        <v>380996.58000000013</v>
      </c>
      <c r="F83" s="294">
        <v>392656.48999999993</v>
      </c>
      <c r="G83" s="294">
        <v>416189.85999999969</v>
      </c>
      <c r="H83" s="294">
        <v>420208.76000000007</v>
      </c>
      <c r="I83" s="294">
        <v>371735.87999999995</v>
      </c>
      <c r="J83" s="294">
        <v>370669.92000000004</v>
      </c>
      <c r="K83" s="294">
        <v>416137.3</v>
      </c>
      <c r="L83" s="294">
        <v>423450.79</v>
      </c>
      <c r="M83" s="294">
        <v>433523.74</v>
      </c>
      <c r="N83" s="288">
        <v>3625569.3199999994</v>
      </c>
      <c r="O83" s="294">
        <v>340320</v>
      </c>
      <c r="P83" s="294">
        <v>288569</v>
      </c>
      <c r="Q83" s="294">
        <v>271086</v>
      </c>
      <c r="R83" s="294">
        <v>4525544.3199999994</v>
      </c>
    </row>
    <row r="84" spans="2:18" hidden="1">
      <c r="C84" s="322"/>
      <c r="E84" s="298">
        <v>9323491.1600000001</v>
      </c>
      <c r="F84" s="298">
        <v>16034502.999999996</v>
      </c>
      <c r="G84" s="298">
        <v>13759932.690000001</v>
      </c>
      <c r="H84" s="298">
        <v>13456904.879999999</v>
      </c>
      <c r="I84" s="298">
        <v>13711803.489999998</v>
      </c>
      <c r="J84" s="298">
        <v>17749714.999999996</v>
      </c>
      <c r="K84" s="298">
        <v>15080531.670000002</v>
      </c>
      <c r="L84" s="298">
        <v>14564143</v>
      </c>
      <c r="M84" s="298">
        <v>17151043.68</v>
      </c>
      <c r="N84" s="288">
        <v>130832068.56999999</v>
      </c>
      <c r="O84" s="298">
        <v>22461657.415592071</v>
      </c>
      <c r="P84" s="298">
        <v>35861914.568513274</v>
      </c>
      <c r="Q84" s="298">
        <v>43261162.238991439</v>
      </c>
      <c r="R84" s="298">
        <v>232416802.79309678</v>
      </c>
    </row>
    <row r="85" spans="2:18" hidden="1">
      <c r="C85" s="323"/>
      <c r="E85" s="299">
        <v>18894624.68</v>
      </c>
      <c r="F85" s="299">
        <v>27544414.219999995</v>
      </c>
      <c r="G85" s="299">
        <v>26452275.25</v>
      </c>
      <c r="H85" s="299">
        <v>25258821.919999998</v>
      </c>
      <c r="I85" s="299">
        <v>25601981.392228998</v>
      </c>
      <c r="J85" s="299">
        <v>29775163.389999997</v>
      </c>
      <c r="K85" s="299">
        <v>28201526.730000004</v>
      </c>
      <c r="L85" s="299">
        <v>29337765.219999999</v>
      </c>
      <c r="M85" s="299">
        <v>31299347.189999998</v>
      </c>
      <c r="N85" s="288">
        <v>242365919.99222896</v>
      </c>
      <c r="O85" s="299">
        <v>37451443.625143826</v>
      </c>
      <c r="P85" s="299">
        <v>56786164.552942321</v>
      </c>
      <c r="Q85" s="299">
        <v>61031093.968869083</v>
      </c>
      <c r="R85" s="299">
        <v>397634622.13918418</v>
      </c>
    </row>
    <row r="86" spans="2:18" hidden="1">
      <c r="B86" s="300" t="s">
        <v>497</v>
      </c>
      <c r="C86" s="316" t="s">
        <v>429</v>
      </c>
      <c r="D86" s="300" t="s">
        <v>497</v>
      </c>
      <c r="E86" s="287">
        <v>407935.9</v>
      </c>
      <c r="F86" s="287">
        <v>572935.9</v>
      </c>
      <c r="G86" s="287">
        <v>572935.9</v>
      </c>
      <c r="H86" s="287">
        <v>572935.9</v>
      </c>
      <c r="I86" s="287">
        <v>572936</v>
      </c>
      <c r="J86" s="287">
        <v>54999.9</v>
      </c>
      <c r="K86" s="287">
        <v>55000</v>
      </c>
      <c r="L86" s="287">
        <v>55000</v>
      </c>
      <c r="M86" s="287">
        <v>55000</v>
      </c>
      <c r="N86" s="288">
        <v>2919679.5</v>
      </c>
      <c r="O86" s="287">
        <v>0</v>
      </c>
      <c r="P86" s="287">
        <v>0</v>
      </c>
      <c r="Q86" s="287">
        <v>0</v>
      </c>
      <c r="R86" s="287">
        <v>2919679.5</v>
      </c>
    </row>
    <row r="87" spans="2:18" hidden="1">
      <c r="B87" s="300" t="s">
        <v>497</v>
      </c>
      <c r="C87" s="316" t="s">
        <v>425</v>
      </c>
      <c r="D87" s="300" t="s">
        <v>497</v>
      </c>
      <c r="E87" s="287">
        <v>200000</v>
      </c>
      <c r="F87" s="287">
        <v>200000</v>
      </c>
      <c r="G87" s="287">
        <v>200000</v>
      </c>
      <c r="H87" s="287">
        <v>400000</v>
      </c>
      <c r="I87" s="287">
        <v>500000</v>
      </c>
      <c r="J87" s="287">
        <v>484935.9</v>
      </c>
      <c r="K87" s="287">
        <v>584935.9</v>
      </c>
      <c r="L87" s="287">
        <v>584935.9</v>
      </c>
      <c r="M87" s="287">
        <v>584935.9</v>
      </c>
      <c r="N87" s="288">
        <v>3739743.5999999996</v>
      </c>
      <c r="O87" s="287">
        <v>384935.89750000002</v>
      </c>
      <c r="P87" s="287">
        <v>384935.89750000002</v>
      </c>
      <c r="Q87" s="287">
        <v>284935.89750000002</v>
      </c>
      <c r="R87" s="287">
        <v>4794551.2924999995</v>
      </c>
    </row>
    <row r="88" spans="2:18" hidden="1">
      <c r="B88" s="300" t="s">
        <v>497</v>
      </c>
      <c r="C88" s="316" t="s">
        <v>427</v>
      </c>
      <c r="D88" s="300" t="s">
        <v>497</v>
      </c>
      <c r="E88" s="287">
        <v>0</v>
      </c>
      <c r="F88" s="287">
        <v>0</v>
      </c>
      <c r="G88" s="287">
        <v>0</v>
      </c>
      <c r="H88" s="287">
        <v>0</v>
      </c>
      <c r="I88" s="287">
        <v>0</v>
      </c>
      <c r="J88" s="287">
        <v>0</v>
      </c>
      <c r="K88" s="287">
        <v>0</v>
      </c>
      <c r="L88" s="287">
        <v>0</v>
      </c>
      <c r="M88" s="287">
        <v>0</v>
      </c>
      <c r="N88" s="288">
        <v>0</v>
      </c>
      <c r="O88" s="287">
        <v>175278</v>
      </c>
      <c r="P88" s="287">
        <v>175278</v>
      </c>
      <c r="Q88" s="287">
        <v>175278</v>
      </c>
      <c r="R88" s="287">
        <v>525834</v>
      </c>
    </row>
    <row r="89" spans="2:18" hidden="1">
      <c r="C89" s="317"/>
      <c r="E89" s="291">
        <v>607935.9</v>
      </c>
      <c r="F89" s="291">
        <v>772935.9</v>
      </c>
      <c r="G89" s="291">
        <v>772935.9</v>
      </c>
      <c r="H89" s="291">
        <v>972935.9</v>
      </c>
      <c r="I89" s="291">
        <v>1072936</v>
      </c>
      <c r="J89" s="291">
        <v>539935.80000000005</v>
      </c>
      <c r="K89" s="291">
        <v>639935.9</v>
      </c>
      <c r="L89" s="291">
        <v>639935.9</v>
      </c>
      <c r="M89" s="291">
        <v>639935.9</v>
      </c>
      <c r="N89" s="288">
        <v>6659423.1000000006</v>
      </c>
      <c r="O89" s="291">
        <v>560213.89749999996</v>
      </c>
      <c r="P89" s="291">
        <v>560213.89749999996</v>
      </c>
      <c r="Q89" s="291">
        <v>460213.89750000002</v>
      </c>
      <c r="R89" s="291">
        <v>8240064.7925000004</v>
      </c>
    </row>
    <row r="90" spans="2:18" hidden="1">
      <c r="B90" s="332" t="s">
        <v>514</v>
      </c>
      <c r="C90" s="317" t="s">
        <v>434</v>
      </c>
      <c r="D90" t="s">
        <v>514</v>
      </c>
      <c r="E90" s="291">
        <v>121467</v>
      </c>
      <c r="F90" s="291">
        <v>97415.359999999986</v>
      </c>
      <c r="G90" s="291">
        <v>179564.71</v>
      </c>
      <c r="H90" s="291">
        <v>373528.89999999997</v>
      </c>
      <c r="I90" s="291">
        <v>499798.17000000004</v>
      </c>
      <c r="J90" s="291">
        <v>409433.23</v>
      </c>
      <c r="K90" s="291">
        <v>241834.66999999998</v>
      </c>
      <c r="L90" s="291">
        <v>121292.51000000001</v>
      </c>
      <c r="M90" s="291">
        <v>99978.87</v>
      </c>
      <c r="N90" s="288">
        <v>2144313.42</v>
      </c>
      <c r="O90" s="291">
        <v>120500</v>
      </c>
      <c r="P90" s="291">
        <v>265000</v>
      </c>
      <c r="Q90" s="291">
        <v>-173732.87000000011</v>
      </c>
      <c r="R90" s="291">
        <v>2356080.5499999998</v>
      </c>
    </row>
    <row r="91" spans="2:18" hidden="1">
      <c r="B91" s="333" t="s">
        <v>514</v>
      </c>
      <c r="C91" s="317" t="s">
        <v>437</v>
      </c>
      <c r="D91" t="s">
        <v>514</v>
      </c>
      <c r="E91" s="291">
        <v>15725.99</v>
      </c>
      <c r="F91" s="291">
        <v>15909.1</v>
      </c>
      <c r="G91" s="291">
        <v>11528.7</v>
      </c>
      <c r="H91" s="291">
        <v>15504.87</v>
      </c>
      <c r="I91" s="291">
        <v>9933.9599999999991</v>
      </c>
      <c r="J91" s="291">
        <v>31074.829999999998</v>
      </c>
      <c r="K91" s="291">
        <v>65487.25</v>
      </c>
      <c r="L91" s="291">
        <v>25697.78</v>
      </c>
      <c r="M91" s="291">
        <v>12487.949999999999</v>
      </c>
      <c r="N91" s="288">
        <v>203350.43000000002</v>
      </c>
      <c r="O91" s="291">
        <v>25000</v>
      </c>
      <c r="P91" s="291">
        <v>22500</v>
      </c>
      <c r="Q91" s="291">
        <v>4388.3499999999985</v>
      </c>
      <c r="R91" s="291">
        <v>255238.78000000003</v>
      </c>
    </row>
    <row r="92" spans="2:18" ht="40.5" hidden="1">
      <c r="B92" s="297" t="s">
        <v>194</v>
      </c>
      <c r="C92" s="316" t="s">
        <v>439</v>
      </c>
      <c r="D92" s="297" t="s">
        <v>194</v>
      </c>
      <c r="E92" s="287">
        <v>334532.77</v>
      </c>
      <c r="F92" s="287">
        <v>517569.41000000003</v>
      </c>
      <c r="G92" s="287">
        <v>403500.69</v>
      </c>
      <c r="H92" s="287">
        <v>354816.87</v>
      </c>
      <c r="I92" s="287">
        <v>461471.56</v>
      </c>
      <c r="J92" s="287">
        <v>681204.88000000012</v>
      </c>
      <c r="K92" s="287">
        <v>331349.29000000004</v>
      </c>
      <c r="L92" s="287">
        <v>485699.44999999995</v>
      </c>
      <c r="M92" s="287">
        <v>489508.84</v>
      </c>
      <c r="N92" s="288">
        <v>4059653.7600000007</v>
      </c>
      <c r="O92" s="287">
        <v>663352.71</v>
      </c>
      <c r="P92" s="287">
        <v>806978.21</v>
      </c>
      <c r="Q92" s="287">
        <v>1130590.42</v>
      </c>
      <c r="R92" s="287">
        <v>6660575.1000000006</v>
      </c>
    </row>
    <row r="93" spans="2:18" ht="40.5" hidden="1">
      <c r="B93" s="297" t="s">
        <v>194</v>
      </c>
      <c r="C93" s="316" t="s">
        <v>442</v>
      </c>
      <c r="D93" s="297" t="s">
        <v>194</v>
      </c>
      <c r="E93" s="287">
        <v>25472</v>
      </c>
      <c r="F93" s="287">
        <v>16225.54</v>
      </c>
      <c r="G93" s="287">
        <v>29638.080000000002</v>
      </c>
      <c r="H93" s="287">
        <v>11409.79</v>
      </c>
      <c r="I93" s="287">
        <v>24558.9</v>
      </c>
      <c r="J93" s="287">
        <v>15822.03</v>
      </c>
      <c r="K93" s="287">
        <v>35296.270000000004</v>
      </c>
      <c r="L93" s="287">
        <v>45114.359999999993</v>
      </c>
      <c r="M93" s="287">
        <v>77162.929999999993</v>
      </c>
      <c r="N93" s="288">
        <v>280699.89999999997</v>
      </c>
      <c r="O93" s="287">
        <v>164247.03</v>
      </c>
      <c r="P93" s="287">
        <v>213555.51</v>
      </c>
      <c r="Q93" s="287">
        <v>333488.09000000008</v>
      </c>
      <c r="R93" s="287">
        <v>991990.53</v>
      </c>
    </row>
    <row r="94" spans="2:18" ht="40.5" hidden="1">
      <c r="B94" s="297" t="s">
        <v>194</v>
      </c>
      <c r="C94" s="316" t="s">
        <v>442</v>
      </c>
      <c r="D94" s="297" t="s">
        <v>194</v>
      </c>
      <c r="E94" s="287">
        <v>0</v>
      </c>
      <c r="F94" s="287">
        <v>0</v>
      </c>
      <c r="G94" s="287">
        <v>0</v>
      </c>
      <c r="H94" s="287">
        <v>0</v>
      </c>
      <c r="I94" s="287">
        <v>0</v>
      </c>
      <c r="J94" s="287">
        <v>0</v>
      </c>
      <c r="K94" s="287">
        <v>0</v>
      </c>
      <c r="L94" s="287">
        <v>0</v>
      </c>
      <c r="M94" s="287">
        <v>0</v>
      </c>
      <c r="N94" s="288">
        <v>0</v>
      </c>
      <c r="O94" s="287">
        <v>0</v>
      </c>
      <c r="P94" s="287">
        <v>0</v>
      </c>
      <c r="Q94" s="287">
        <v>0</v>
      </c>
      <c r="R94" s="287">
        <v>0</v>
      </c>
    </row>
    <row r="95" spans="2:18" hidden="1">
      <c r="C95" s="317" t="s">
        <v>193</v>
      </c>
      <c r="E95" s="291">
        <v>360004.77</v>
      </c>
      <c r="F95" s="291">
        <v>533794.95000000007</v>
      </c>
      <c r="G95" s="291">
        <v>433138.77</v>
      </c>
      <c r="H95" s="291">
        <v>366226.66</v>
      </c>
      <c r="I95" s="291">
        <v>486030.46</v>
      </c>
      <c r="J95" s="291">
        <v>697026.91000000015</v>
      </c>
      <c r="K95" s="291">
        <v>366645.56000000006</v>
      </c>
      <c r="L95" s="291">
        <v>530813.80999999994</v>
      </c>
      <c r="M95" s="291">
        <v>566671.77</v>
      </c>
      <c r="N95" s="288">
        <v>4340353.66</v>
      </c>
      <c r="O95" s="291">
        <v>827599.74</v>
      </c>
      <c r="P95" s="291">
        <v>1020533.72</v>
      </c>
      <c r="Q95" s="291">
        <v>1464078.51</v>
      </c>
      <c r="R95" s="291">
        <v>7652565.6299999999</v>
      </c>
    </row>
    <row r="96" spans="2:18" hidden="1">
      <c r="B96" t="s">
        <v>514</v>
      </c>
      <c r="C96" s="316" t="s">
        <v>447</v>
      </c>
      <c r="D96" t="s">
        <v>514</v>
      </c>
      <c r="E96" s="287">
        <v>578.17999999999995</v>
      </c>
      <c r="F96" s="287">
        <v>63.819999999999993</v>
      </c>
      <c r="G96" s="287">
        <v>1225.3999999999999</v>
      </c>
      <c r="H96" s="287">
        <v>-862.42999999999984</v>
      </c>
      <c r="I96" s="287">
        <v>4170.72</v>
      </c>
      <c r="J96" s="287">
        <v>30.25</v>
      </c>
      <c r="K96" s="287">
        <v>2485.63</v>
      </c>
      <c r="L96" s="287">
        <v>-679.07999999999947</v>
      </c>
      <c r="M96" s="287">
        <v>446.6699999999999</v>
      </c>
      <c r="N96" s="288">
        <v>7459.1600000000017</v>
      </c>
      <c r="O96" s="287">
        <v>5000</v>
      </c>
      <c r="P96" s="287">
        <v>5000</v>
      </c>
      <c r="Q96" s="287">
        <v>5000</v>
      </c>
      <c r="R96" s="287">
        <v>22459.160000000003</v>
      </c>
    </row>
    <row r="97" spans="2:18" hidden="1">
      <c r="B97" t="s">
        <v>514</v>
      </c>
      <c r="C97" s="324" t="s">
        <v>449</v>
      </c>
      <c r="D97" t="s">
        <v>514</v>
      </c>
      <c r="E97" s="274">
        <v>0</v>
      </c>
      <c r="F97" s="274">
        <v>837.4200000000003</v>
      </c>
      <c r="G97" s="274">
        <v>2421.4800000000009</v>
      </c>
      <c r="H97" s="274">
        <v>5774.2300000000005</v>
      </c>
      <c r="I97" s="274">
        <v>9692.81</v>
      </c>
      <c r="J97" s="274">
        <v>3728.49</v>
      </c>
      <c r="K97" s="274">
        <v>1965.56</v>
      </c>
      <c r="L97" s="274">
        <v>2269.7600000000007</v>
      </c>
      <c r="M97" s="274">
        <v>159.02000000000007</v>
      </c>
      <c r="N97" s="288">
        <v>26848.770000000004</v>
      </c>
      <c r="O97" s="274">
        <v>5000</v>
      </c>
      <c r="P97" s="274">
        <v>5000</v>
      </c>
      <c r="Q97" s="274">
        <v>5000</v>
      </c>
      <c r="R97" s="274">
        <v>41848.770000000004</v>
      </c>
    </row>
    <row r="98" spans="2:18" hidden="1">
      <c r="B98" t="s">
        <v>514</v>
      </c>
      <c r="C98" s="316" t="s">
        <v>452</v>
      </c>
      <c r="D98" t="s">
        <v>514</v>
      </c>
      <c r="E98" s="287">
        <v>55976</v>
      </c>
      <c r="F98" s="287">
        <v>-10919</v>
      </c>
      <c r="G98" s="287">
        <v>25928</v>
      </c>
      <c r="H98" s="287">
        <v>22609</v>
      </c>
      <c r="I98" s="287">
        <v>19714</v>
      </c>
      <c r="J98" s="287">
        <v>15213</v>
      </c>
      <c r="K98" s="287">
        <v>15951.5</v>
      </c>
      <c r="L98" s="287">
        <v>17944.5</v>
      </c>
      <c r="M98" s="287">
        <v>19944.5</v>
      </c>
      <c r="N98" s="288">
        <v>182361.5</v>
      </c>
      <c r="O98" s="287">
        <v>20000</v>
      </c>
      <c r="P98" s="287">
        <v>20000</v>
      </c>
      <c r="Q98" s="287">
        <v>26940.807500001043</v>
      </c>
      <c r="R98" s="287">
        <v>249302.30750000104</v>
      </c>
    </row>
    <row r="99" spans="2:18" hidden="1">
      <c r="C99" s="316" t="s">
        <v>453</v>
      </c>
      <c r="E99" s="287">
        <v>0</v>
      </c>
      <c r="F99" s="287">
        <v>0</v>
      </c>
      <c r="G99" s="287">
        <v>0</v>
      </c>
      <c r="H99" s="287">
        <v>0</v>
      </c>
      <c r="I99" s="287">
        <v>0</v>
      </c>
      <c r="J99" s="287">
        <v>0</v>
      </c>
      <c r="K99" s="287">
        <v>0</v>
      </c>
      <c r="L99" s="287">
        <v>0</v>
      </c>
      <c r="M99" s="287">
        <v>0</v>
      </c>
      <c r="N99" s="288">
        <v>0</v>
      </c>
      <c r="O99" s="287">
        <v>0</v>
      </c>
      <c r="P99" s="287">
        <v>0</v>
      </c>
      <c r="Q99" s="287">
        <v>0</v>
      </c>
      <c r="R99" s="287">
        <v>0</v>
      </c>
    </row>
    <row r="100" spans="2:18" hidden="1">
      <c r="C100" s="317" t="s">
        <v>456</v>
      </c>
      <c r="E100" s="291">
        <v>56554.18</v>
      </c>
      <c r="F100" s="291">
        <v>-10017.76</v>
      </c>
      <c r="G100" s="291">
        <v>29574.880000000001</v>
      </c>
      <c r="H100" s="291">
        <v>27520.800000000003</v>
      </c>
      <c r="I100" s="291">
        <v>33577.53</v>
      </c>
      <c r="J100" s="291">
        <v>18971.739999999998</v>
      </c>
      <c r="K100" s="291">
        <v>20402.690000000002</v>
      </c>
      <c r="L100" s="291">
        <v>19535.18</v>
      </c>
      <c r="M100" s="291">
        <v>20550.189999999999</v>
      </c>
      <c r="N100" s="288">
        <v>216669.43</v>
      </c>
      <c r="O100" s="291">
        <v>30000</v>
      </c>
      <c r="P100" s="291">
        <v>30000</v>
      </c>
      <c r="Q100" s="291">
        <v>36940.807500001043</v>
      </c>
      <c r="R100" s="291">
        <v>313610.23750000104</v>
      </c>
    </row>
    <row r="101" spans="2:18" hidden="1">
      <c r="C101" s="314"/>
      <c r="E101" s="293">
        <v>0</v>
      </c>
      <c r="F101" s="293">
        <v>0</v>
      </c>
      <c r="G101" s="293">
        <v>0</v>
      </c>
      <c r="H101" s="293">
        <v>0</v>
      </c>
      <c r="I101" s="293">
        <v>0</v>
      </c>
      <c r="J101" s="293">
        <v>0</v>
      </c>
      <c r="K101" s="293">
        <v>0</v>
      </c>
      <c r="L101" s="293">
        <v>0</v>
      </c>
      <c r="M101" s="293">
        <v>0</v>
      </c>
      <c r="N101" s="288">
        <v>0</v>
      </c>
      <c r="O101" s="293">
        <v>0</v>
      </c>
      <c r="P101" s="293">
        <v>0</v>
      </c>
      <c r="Q101" s="293">
        <v>0</v>
      </c>
      <c r="R101" s="293">
        <v>0</v>
      </c>
    </row>
    <row r="102" spans="2:18" hidden="1">
      <c r="B102" t="s">
        <v>514</v>
      </c>
      <c r="C102" s="315"/>
      <c r="D102" t="s">
        <v>514</v>
      </c>
      <c r="E102" s="294">
        <v>148310.19</v>
      </c>
      <c r="F102" s="294">
        <v>158715.33000000002</v>
      </c>
      <c r="G102" s="294">
        <v>184663.38</v>
      </c>
      <c r="H102" s="294">
        <v>157183.43999999994</v>
      </c>
      <c r="I102" s="294">
        <v>132135.51000000004</v>
      </c>
      <c r="J102" s="294">
        <v>118832.38999999998</v>
      </c>
      <c r="K102" s="294">
        <v>105656.32000000001</v>
      </c>
      <c r="L102" s="294">
        <v>137212.98000000001</v>
      </c>
      <c r="M102" s="294">
        <v>143404.27000000002</v>
      </c>
      <c r="N102" s="288">
        <v>1286113.81</v>
      </c>
      <c r="O102" s="294">
        <v>162070.9217440449</v>
      </c>
      <c r="P102" s="294">
        <v>143699.83720431</v>
      </c>
      <c r="Q102" s="294">
        <v>135146.49253388715</v>
      </c>
      <c r="R102" s="294">
        <v>1727031.0614822423</v>
      </c>
    </row>
    <row r="103" spans="2:18" hidden="1">
      <c r="C103" s="322"/>
      <c r="E103" s="298">
        <v>1309998.03</v>
      </c>
      <c r="F103" s="298">
        <v>1568752.88</v>
      </c>
      <c r="G103" s="298">
        <v>1611406.3399999999</v>
      </c>
      <c r="H103" s="298">
        <v>1912900.5699999998</v>
      </c>
      <c r="I103" s="298">
        <v>2234411.63</v>
      </c>
      <c r="J103" s="298">
        <v>1815274.9000000001</v>
      </c>
      <c r="K103" s="298">
        <v>1439962.3900000001</v>
      </c>
      <c r="L103" s="298">
        <v>1474488.1600000001</v>
      </c>
      <c r="M103" s="298">
        <v>1483028.95</v>
      </c>
      <c r="N103" s="288">
        <v>14850223.85</v>
      </c>
      <c r="O103" s="298">
        <v>1725384.5592440448</v>
      </c>
      <c r="P103" s="298">
        <v>2041947.4547043098</v>
      </c>
      <c r="Q103" s="298">
        <v>1927035.187533888</v>
      </c>
      <c r="R103" s="298">
        <v>20544591.051482242</v>
      </c>
    </row>
    <row r="104" spans="2:18" hidden="1">
      <c r="B104" t="s">
        <v>514</v>
      </c>
      <c r="C104" s="316" t="s">
        <v>461</v>
      </c>
      <c r="D104" t="s">
        <v>514</v>
      </c>
      <c r="E104" s="287">
        <v>59182</v>
      </c>
      <c r="F104" s="287">
        <v>59182</v>
      </c>
      <c r="G104" s="287">
        <v>59182</v>
      </c>
      <c r="H104" s="287">
        <v>59182</v>
      </c>
      <c r="I104" s="287">
        <v>59182</v>
      </c>
      <c r="J104" s="287">
        <v>78307</v>
      </c>
      <c r="K104" s="287">
        <v>59182</v>
      </c>
      <c r="L104" s="287">
        <v>74822</v>
      </c>
      <c r="M104" s="287">
        <v>13600</v>
      </c>
      <c r="N104" s="288">
        <v>521821</v>
      </c>
      <c r="O104" s="287">
        <v>177480.66666666666</v>
      </c>
      <c r="P104" s="287">
        <v>186496.69666666666</v>
      </c>
      <c r="Q104" s="287">
        <v>226111.69166666677</v>
      </c>
      <c r="R104" s="287">
        <v>1111910.0550000002</v>
      </c>
    </row>
    <row r="105" spans="2:18" hidden="1">
      <c r="B105" t="s">
        <v>514</v>
      </c>
      <c r="C105" s="316" t="s">
        <v>463</v>
      </c>
      <c r="D105" t="s">
        <v>514</v>
      </c>
      <c r="E105" s="287">
        <v>112389.38</v>
      </c>
      <c r="F105" s="287">
        <v>95268.919999999969</v>
      </c>
      <c r="G105" s="287">
        <v>105138.58999999998</v>
      </c>
      <c r="H105" s="287">
        <v>110284.20999999999</v>
      </c>
      <c r="I105" s="287">
        <v>211694.11000000002</v>
      </c>
      <c r="J105" s="287">
        <v>109024.81</v>
      </c>
      <c r="K105" s="287">
        <v>122617.77</v>
      </c>
      <c r="L105" s="287">
        <v>107760.17</v>
      </c>
      <c r="M105" s="287">
        <v>124872.67</v>
      </c>
      <c r="N105" s="288">
        <v>1099050.6300000001</v>
      </c>
      <c r="O105" s="287">
        <v>113316.84</v>
      </c>
      <c r="P105" s="287">
        <v>113316.84</v>
      </c>
      <c r="Q105" s="287">
        <v>101761.00999999992</v>
      </c>
      <c r="R105" s="287">
        <v>1427445.3200000003</v>
      </c>
    </row>
    <row r="106" spans="2:18" hidden="1">
      <c r="B106" t="s">
        <v>514</v>
      </c>
      <c r="C106" s="316" t="s">
        <v>465</v>
      </c>
      <c r="D106" t="s">
        <v>514</v>
      </c>
      <c r="E106" s="287">
        <v>36529.22</v>
      </c>
      <c r="F106" s="287">
        <v>17903.5</v>
      </c>
      <c r="G106" s="287">
        <v>14906.75</v>
      </c>
      <c r="H106" s="287">
        <v>9502.74</v>
      </c>
      <c r="I106" s="287">
        <v>-363.41000000000008</v>
      </c>
      <c r="J106" s="287">
        <v>-3.5599999999999454</v>
      </c>
      <c r="K106" s="287">
        <v>-4.5599999999999454</v>
      </c>
      <c r="L106" s="287">
        <v>0</v>
      </c>
      <c r="M106" s="287">
        <v>0</v>
      </c>
      <c r="N106" s="288">
        <v>78470.680000000008</v>
      </c>
      <c r="O106" s="287">
        <v>33333.333333333336</v>
      </c>
      <c r="P106" s="287">
        <v>84309.098333333328</v>
      </c>
      <c r="Q106" s="287">
        <v>106623.765</v>
      </c>
      <c r="R106" s="287">
        <v>302736.87666666665</v>
      </c>
    </row>
    <row r="107" spans="2:18" hidden="1">
      <c r="C107" s="317"/>
      <c r="E107" s="291">
        <v>208100.6</v>
      </c>
      <c r="F107" s="291">
        <v>172354.41999999998</v>
      </c>
      <c r="G107" s="291">
        <v>179227.33999999997</v>
      </c>
      <c r="H107" s="291">
        <v>178968.94999999998</v>
      </c>
      <c r="I107" s="291">
        <v>270512.7</v>
      </c>
      <c r="J107" s="291">
        <v>187328.25</v>
      </c>
      <c r="K107" s="291">
        <v>181795.21000000002</v>
      </c>
      <c r="L107" s="291">
        <v>182582.16999999998</v>
      </c>
      <c r="M107" s="291">
        <v>138472.66999999998</v>
      </c>
      <c r="N107" s="288">
        <v>1699342.3099999998</v>
      </c>
      <c r="O107" s="291">
        <v>324130.83999999997</v>
      </c>
      <c r="P107" s="291">
        <v>384122.63499999995</v>
      </c>
      <c r="Q107" s="291">
        <v>434496.46666666667</v>
      </c>
      <c r="R107" s="291">
        <v>2842092.2516666665</v>
      </c>
    </row>
    <row r="108" spans="2:18" hidden="1">
      <c r="B108" t="s">
        <v>514</v>
      </c>
      <c r="C108" s="316" t="s">
        <v>468</v>
      </c>
      <c r="D108" t="s">
        <v>514</v>
      </c>
      <c r="E108" s="287">
        <v>140848.87</v>
      </c>
      <c r="F108" s="287">
        <v>141866.40000000002</v>
      </c>
      <c r="G108" s="287">
        <v>170664.62</v>
      </c>
      <c r="H108" s="287">
        <v>147325.63</v>
      </c>
      <c r="I108" s="287">
        <v>161144.91999999998</v>
      </c>
      <c r="J108" s="287">
        <v>175128.89</v>
      </c>
      <c r="K108" s="287">
        <v>121654.48</v>
      </c>
      <c r="L108" s="287">
        <v>145257.69</v>
      </c>
      <c r="M108" s="287">
        <v>153322.77000000002</v>
      </c>
      <c r="N108" s="288">
        <v>1357214.27</v>
      </c>
      <c r="O108" s="287">
        <v>305894.09000000003</v>
      </c>
      <c r="P108" s="287">
        <v>275633.90000000002</v>
      </c>
      <c r="Q108" s="287">
        <v>317915.36538461549</v>
      </c>
      <c r="R108" s="287">
        <v>2256657.6253846157</v>
      </c>
    </row>
    <row r="109" spans="2:18" hidden="1">
      <c r="B109" t="s">
        <v>514</v>
      </c>
      <c r="C109" s="316" t="s">
        <v>470</v>
      </c>
      <c r="D109" t="s">
        <v>514</v>
      </c>
      <c r="E109" s="287">
        <v>229523.61</v>
      </c>
      <c r="F109" s="287">
        <v>192533.5</v>
      </c>
      <c r="G109" s="287">
        <v>266945.09999999998</v>
      </c>
      <c r="H109" s="287">
        <v>468894.87</v>
      </c>
      <c r="I109" s="287">
        <v>361011.62</v>
      </c>
      <c r="J109" s="287">
        <v>482178.91999999993</v>
      </c>
      <c r="K109" s="287">
        <v>300444.24000000005</v>
      </c>
      <c r="L109" s="287">
        <v>327240.88000000006</v>
      </c>
      <c r="M109" s="287">
        <v>819945.18</v>
      </c>
      <c r="N109" s="288">
        <v>3448717.9200000004</v>
      </c>
      <c r="O109" s="287">
        <v>650029.6</v>
      </c>
      <c r="P109" s="287">
        <v>609382.6</v>
      </c>
      <c r="Q109" s="287">
        <v>539824.0199999999</v>
      </c>
      <c r="R109" s="287">
        <v>5247954.1399999997</v>
      </c>
    </row>
    <row r="110" spans="2:18" hidden="1">
      <c r="B110" t="s">
        <v>514</v>
      </c>
      <c r="C110" s="316" t="s">
        <v>472</v>
      </c>
      <c r="D110" t="s">
        <v>514</v>
      </c>
      <c r="E110" s="287">
        <v>9872.41</v>
      </c>
      <c r="F110" s="287">
        <v>9710.0600000000013</v>
      </c>
      <c r="G110" s="287">
        <v>8723.81</v>
      </c>
      <c r="H110" s="287">
        <v>8737.4</v>
      </c>
      <c r="I110" s="287">
        <v>9483.75</v>
      </c>
      <c r="J110" s="287">
        <v>10135.450000000001</v>
      </c>
      <c r="K110" s="287">
        <v>8652.61</v>
      </c>
      <c r="L110" s="287">
        <v>11398.619999999999</v>
      </c>
      <c r="M110" s="287">
        <v>7029.05</v>
      </c>
      <c r="N110" s="288">
        <v>83743.16</v>
      </c>
      <c r="O110" s="287">
        <v>11130</v>
      </c>
      <c r="P110" s="287">
        <v>11130</v>
      </c>
      <c r="Q110" s="287">
        <v>23192.949999999997</v>
      </c>
      <c r="R110" s="287">
        <v>129196.11</v>
      </c>
    </row>
    <row r="111" spans="2:18" hidden="1">
      <c r="C111" s="317"/>
      <c r="E111" s="291">
        <v>380244.88999999996</v>
      </c>
      <c r="F111" s="291">
        <v>344109.96</v>
      </c>
      <c r="G111" s="291">
        <v>446333.52999999997</v>
      </c>
      <c r="H111" s="291">
        <v>624957.9</v>
      </c>
      <c r="I111" s="291">
        <v>531640.29</v>
      </c>
      <c r="J111" s="291">
        <v>667443.25999999989</v>
      </c>
      <c r="K111" s="291">
        <v>430751.33</v>
      </c>
      <c r="L111" s="291">
        <v>483897.19000000006</v>
      </c>
      <c r="M111" s="291">
        <v>980297.00000000012</v>
      </c>
      <c r="N111" s="288">
        <v>4889675.3499999996</v>
      </c>
      <c r="O111" s="291">
        <v>967053.69</v>
      </c>
      <c r="P111" s="291">
        <v>896146.5</v>
      </c>
      <c r="Q111" s="291">
        <v>880932.33538461535</v>
      </c>
      <c r="R111" s="291">
        <v>7633807.8753846148</v>
      </c>
    </row>
    <row r="112" spans="2:18" hidden="1">
      <c r="C112" s="316" t="s">
        <v>474</v>
      </c>
      <c r="E112" s="287">
        <v>0</v>
      </c>
      <c r="F112" s="287">
        <v>0</v>
      </c>
      <c r="G112" s="287">
        <v>0</v>
      </c>
      <c r="H112" s="287">
        <v>0</v>
      </c>
      <c r="I112" s="287">
        <v>0</v>
      </c>
      <c r="J112" s="287">
        <v>0</v>
      </c>
      <c r="K112" s="287">
        <v>0</v>
      </c>
      <c r="L112" s="287">
        <v>0</v>
      </c>
      <c r="M112" s="287">
        <v>0</v>
      </c>
      <c r="N112" s="288">
        <v>0</v>
      </c>
      <c r="O112" s="287">
        <v>0</v>
      </c>
      <c r="P112" s="287">
        <v>0</v>
      </c>
      <c r="Q112" s="287">
        <v>0</v>
      </c>
      <c r="R112" s="287">
        <v>0</v>
      </c>
    </row>
    <row r="113" spans="2:18" hidden="1">
      <c r="C113" s="316"/>
      <c r="E113" s="287">
        <v>0</v>
      </c>
      <c r="F113" s="287">
        <v>0</v>
      </c>
      <c r="G113" s="287">
        <v>0</v>
      </c>
      <c r="H113" s="287">
        <v>0</v>
      </c>
      <c r="I113" s="287">
        <v>0</v>
      </c>
      <c r="J113" s="287">
        <v>0</v>
      </c>
      <c r="K113" s="287">
        <v>0</v>
      </c>
      <c r="L113" s="287">
        <v>0</v>
      </c>
      <c r="M113" s="287">
        <v>0</v>
      </c>
      <c r="N113" s="288">
        <v>0</v>
      </c>
      <c r="O113" s="287">
        <v>0</v>
      </c>
      <c r="P113" s="287">
        <v>0</v>
      </c>
      <c r="Q113" s="287">
        <v>0</v>
      </c>
      <c r="R113" s="287">
        <v>0</v>
      </c>
    </row>
    <row r="114" spans="2:18" hidden="1">
      <c r="C114" s="317"/>
      <c r="E114" s="291">
        <v>0</v>
      </c>
      <c r="F114" s="291">
        <v>0</v>
      </c>
      <c r="G114" s="291">
        <v>0</v>
      </c>
      <c r="H114" s="291">
        <v>0</v>
      </c>
      <c r="I114" s="291">
        <v>0</v>
      </c>
      <c r="J114" s="291">
        <v>0</v>
      </c>
      <c r="K114" s="291">
        <v>0</v>
      </c>
      <c r="L114" s="291">
        <v>0</v>
      </c>
      <c r="M114" s="291">
        <v>0</v>
      </c>
      <c r="N114" s="288">
        <v>0</v>
      </c>
      <c r="O114" s="291">
        <v>0</v>
      </c>
      <c r="P114" s="291">
        <v>0</v>
      </c>
      <c r="Q114" s="291">
        <v>0</v>
      </c>
      <c r="R114" s="291">
        <v>0</v>
      </c>
    </row>
    <row r="115" spans="2:18" hidden="1">
      <c r="B115" t="s">
        <v>514</v>
      </c>
      <c r="C115" s="316" t="s">
        <v>478</v>
      </c>
      <c r="D115" t="s">
        <v>514</v>
      </c>
      <c r="E115" s="287">
        <v>50129.06</v>
      </c>
      <c r="F115" s="287">
        <v>1093.7099999999998</v>
      </c>
      <c r="G115" s="287">
        <v>814</v>
      </c>
      <c r="H115" s="287">
        <v>0</v>
      </c>
      <c r="I115" s="287">
        <v>0</v>
      </c>
      <c r="J115" s="287">
        <v>0</v>
      </c>
      <c r="K115" s="287">
        <v>0</v>
      </c>
      <c r="L115" s="287">
        <v>0</v>
      </c>
      <c r="M115" s="287">
        <v>0</v>
      </c>
      <c r="N115" s="288">
        <v>52036.77</v>
      </c>
      <c r="O115" s="287">
        <v>0</v>
      </c>
      <c r="P115" s="287">
        <v>1462598.8247648198</v>
      </c>
      <c r="Q115" s="287">
        <v>1453829.7472648621</v>
      </c>
      <c r="R115" s="287">
        <v>2968465.3420296819</v>
      </c>
    </row>
    <row r="116" spans="2:18" hidden="1">
      <c r="B116" t="s">
        <v>514</v>
      </c>
      <c r="C116" s="316" t="s">
        <v>480</v>
      </c>
      <c r="D116" t="s">
        <v>514</v>
      </c>
      <c r="E116" s="287">
        <v>2064.94</v>
      </c>
      <c r="F116" s="287">
        <v>759.29999999999859</v>
      </c>
      <c r="G116" s="287">
        <v>2324.8200000000002</v>
      </c>
      <c r="H116" s="287">
        <v>4082.9</v>
      </c>
      <c r="I116" s="287">
        <v>567.66</v>
      </c>
      <c r="J116" s="287">
        <v>4159.3</v>
      </c>
      <c r="K116" s="287">
        <v>4937.4799999999996</v>
      </c>
      <c r="L116" s="287">
        <v>795.91</v>
      </c>
      <c r="M116" s="287">
        <v>2328.27</v>
      </c>
      <c r="N116" s="288">
        <v>22020.579999999998</v>
      </c>
      <c r="O116" s="287">
        <v>500</v>
      </c>
      <c r="P116" s="287">
        <v>500</v>
      </c>
      <c r="Q116" s="287">
        <v>500</v>
      </c>
      <c r="R116" s="287">
        <v>23520.579999999998</v>
      </c>
    </row>
    <row r="117" spans="2:18" hidden="1">
      <c r="C117" s="316" t="s">
        <v>521</v>
      </c>
      <c r="E117" s="287">
        <v>0</v>
      </c>
      <c r="F117" s="287">
        <v>0</v>
      </c>
      <c r="G117" s="287">
        <v>0</v>
      </c>
      <c r="H117" s="287">
        <v>0</v>
      </c>
      <c r="I117" s="287">
        <v>0</v>
      </c>
      <c r="J117" s="287">
        <v>0</v>
      </c>
      <c r="K117" s="287">
        <v>0</v>
      </c>
      <c r="L117" s="287">
        <v>0</v>
      </c>
      <c r="M117" s="287">
        <v>0</v>
      </c>
      <c r="N117" s="288">
        <v>0</v>
      </c>
      <c r="O117" s="287">
        <v>0</v>
      </c>
      <c r="P117" s="287">
        <v>0</v>
      </c>
      <c r="Q117" s="287">
        <v>0</v>
      </c>
      <c r="R117" s="287">
        <v>0</v>
      </c>
    </row>
    <row r="118" spans="2:18" hidden="1">
      <c r="C118" s="317" t="s">
        <v>482</v>
      </c>
      <c r="E118" s="291">
        <v>52194</v>
      </c>
      <c r="F118" s="291">
        <v>1853.0099999999984</v>
      </c>
      <c r="G118" s="291">
        <v>3138.82</v>
      </c>
      <c r="H118" s="291">
        <v>4082.9</v>
      </c>
      <c r="I118" s="291">
        <v>567.66</v>
      </c>
      <c r="J118" s="291">
        <v>4159.3</v>
      </c>
      <c r="K118" s="291">
        <v>4937.4799999999996</v>
      </c>
      <c r="L118" s="291">
        <v>795.91</v>
      </c>
      <c r="M118" s="291">
        <v>2328.27</v>
      </c>
      <c r="N118" s="288">
        <v>74057.350000000006</v>
      </c>
      <c r="O118" s="291">
        <v>500</v>
      </c>
      <c r="P118" s="291">
        <v>1463098.8247648198</v>
      </c>
      <c r="Q118" s="291">
        <v>1454329.7472648621</v>
      </c>
      <c r="R118" s="291">
        <v>2991985.922029682</v>
      </c>
    </row>
    <row r="119" spans="2:18" hidden="1">
      <c r="B119" t="s">
        <v>514</v>
      </c>
      <c r="C119" s="316" t="s">
        <v>485</v>
      </c>
      <c r="D119" t="s">
        <v>514</v>
      </c>
      <c r="E119" s="287">
        <v>25532.11</v>
      </c>
      <c r="F119" s="287">
        <v>25283.57</v>
      </c>
      <c r="G119" s="287">
        <v>27318.129999999997</v>
      </c>
      <c r="H119" s="287">
        <v>26023.41</v>
      </c>
      <c r="I119" s="287">
        <v>32715.880000000005</v>
      </c>
      <c r="J119" s="287">
        <v>30800.83</v>
      </c>
      <c r="K119" s="287">
        <v>33579.479999999996</v>
      </c>
      <c r="L119" s="287">
        <v>30229.629999999997</v>
      </c>
      <c r="M119" s="287">
        <v>31181.629999999997</v>
      </c>
      <c r="N119" s="288">
        <v>262664.67</v>
      </c>
      <c r="O119" s="287">
        <v>31433</v>
      </c>
      <c r="P119" s="287">
        <v>31433</v>
      </c>
      <c r="Q119" s="287">
        <v>34495.39</v>
      </c>
      <c r="R119" s="287">
        <v>360026.06</v>
      </c>
    </row>
    <row r="120" spans="2:18" hidden="1">
      <c r="C120" s="317"/>
      <c r="E120" s="291">
        <v>25532.11</v>
      </c>
      <c r="F120" s="291">
        <v>25283.57</v>
      </c>
      <c r="G120" s="291">
        <v>27318.129999999997</v>
      </c>
      <c r="H120" s="291">
        <v>26023.41</v>
      </c>
      <c r="I120" s="291">
        <v>32715.880000000005</v>
      </c>
      <c r="J120" s="291">
        <v>30800.83</v>
      </c>
      <c r="K120" s="291">
        <v>33579.479999999996</v>
      </c>
      <c r="L120" s="291">
        <v>30229.629999999997</v>
      </c>
      <c r="M120" s="291">
        <v>31181.629999999997</v>
      </c>
      <c r="N120" s="288">
        <v>262664.67</v>
      </c>
      <c r="O120" s="291">
        <v>31433</v>
      </c>
      <c r="P120" s="291">
        <v>31433</v>
      </c>
      <c r="Q120" s="291">
        <v>34495.39</v>
      </c>
      <c r="R120" s="291">
        <v>360026.06</v>
      </c>
    </row>
    <row r="121" spans="2:18" hidden="1">
      <c r="C121" s="314"/>
      <c r="E121" s="293">
        <v>0</v>
      </c>
      <c r="F121" s="293">
        <v>0</v>
      </c>
      <c r="G121" s="293">
        <v>0</v>
      </c>
      <c r="H121" s="293">
        <v>0</v>
      </c>
      <c r="I121" s="293">
        <v>0</v>
      </c>
      <c r="J121" s="293">
        <v>0</v>
      </c>
      <c r="K121" s="293">
        <v>0</v>
      </c>
      <c r="L121" s="293">
        <v>0</v>
      </c>
      <c r="M121" s="293">
        <v>0</v>
      </c>
      <c r="N121" s="288">
        <v>0</v>
      </c>
      <c r="O121" s="293">
        <v>0</v>
      </c>
      <c r="P121" s="293">
        <v>0</v>
      </c>
      <c r="Q121" s="293">
        <v>0</v>
      </c>
      <c r="R121" s="293">
        <v>0</v>
      </c>
    </row>
    <row r="122" spans="2:18" hidden="1">
      <c r="B122" t="s">
        <v>514</v>
      </c>
      <c r="C122" s="315"/>
      <c r="D122" t="s">
        <v>514</v>
      </c>
      <c r="E122" s="294">
        <v>214180.96</v>
      </c>
      <c r="F122" s="294">
        <v>218446.95999999996</v>
      </c>
      <c r="G122" s="294">
        <v>245138.76000000007</v>
      </c>
      <c r="H122" s="294">
        <v>237501.95999999996</v>
      </c>
      <c r="I122" s="294">
        <v>249490.21999999997</v>
      </c>
      <c r="J122" s="294">
        <v>232770.78000000003</v>
      </c>
      <c r="K122" s="294">
        <v>224690.80000000002</v>
      </c>
      <c r="L122" s="294">
        <v>198452.23</v>
      </c>
      <c r="M122" s="294">
        <v>197945.07</v>
      </c>
      <c r="N122" s="288">
        <v>2018617.74</v>
      </c>
      <c r="O122" s="294">
        <v>248427</v>
      </c>
      <c r="P122" s="294">
        <v>210143</v>
      </c>
      <c r="Q122" s="294">
        <v>209117</v>
      </c>
      <c r="R122" s="294">
        <v>2686304.74</v>
      </c>
    </row>
    <row r="123" spans="2:18" hidden="1">
      <c r="C123" s="318"/>
      <c r="E123" s="301">
        <v>880252.55999999994</v>
      </c>
      <c r="F123" s="301">
        <v>762047.91999999993</v>
      </c>
      <c r="G123" s="301">
        <v>901156.58</v>
      </c>
      <c r="H123" s="301">
        <v>1071535.1199999999</v>
      </c>
      <c r="I123" s="301">
        <v>1084926.75</v>
      </c>
      <c r="J123" s="301">
        <v>1122502.42</v>
      </c>
      <c r="K123" s="301">
        <v>875754.3</v>
      </c>
      <c r="L123" s="301">
        <v>895957.13000000012</v>
      </c>
      <c r="M123" s="301">
        <v>1350224.6400000001</v>
      </c>
      <c r="N123" s="288">
        <v>8944357.4199999999</v>
      </c>
      <c r="O123" s="301">
        <v>1571544.5299999998</v>
      </c>
      <c r="P123" s="301">
        <v>2984943.9597648196</v>
      </c>
      <c r="Q123" s="301">
        <v>3013370.9393161442</v>
      </c>
      <c r="R123" s="301">
        <v>16514216.849080963</v>
      </c>
    </row>
    <row r="124" spans="2:18" hidden="1">
      <c r="B124" t="s">
        <v>514</v>
      </c>
      <c r="C124" s="319"/>
      <c r="D124" t="s">
        <v>514</v>
      </c>
      <c r="E124" s="302">
        <v>29778.019999999997</v>
      </c>
      <c r="F124" s="302">
        <v>19171.370000000006</v>
      </c>
      <c r="G124" s="302">
        <v>32770.799999999996</v>
      </c>
      <c r="H124" s="302">
        <v>-2012.1699999999998</v>
      </c>
      <c r="I124" s="302">
        <v>-198.72000000000003</v>
      </c>
      <c r="J124" s="302">
        <v>10387.08</v>
      </c>
      <c r="K124" s="302">
        <v>-10387.08</v>
      </c>
      <c r="L124" s="302">
        <v>0</v>
      </c>
      <c r="M124" s="303">
        <v>0</v>
      </c>
      <c r="N124" s="288">
        <v>79509.3</v>
      </c>
      <c r="O124" s="303">
        <v>0</v>
      </c>
      <c r="P124" s="303">
        <v>0</v>
      </c>
      <c r="Q124" s="303">
        <v>0</v>
      </c>
      <c r="R124" s="303">
        <v>79509.3</v>
      </c>
    </row>
    <row r="125" spans="2:18" hidden="1">
      <c r="C125" s="323"/>
      <c r="E125" s="299">
        <v>2220028.61</v>
      </c>
      <c r="F125" s="299">
        <v>2349972.17</v>
      </c>
      <c r="G125" s="299">
        <v>2545333.7199999997</v>
      </c>
      <c r="H125" s="299">
        <v>2982423.5199999996</v>
      </c>
      <c r="I125" s="299">
        <v>3319139.66</v>
      </c>
      <c r="J125" s="299">
        <v>2948164.4000000004</v>
      </c>
      <c r="K125" s="299">
        <v>2305329.6100000003</v>
      </c>
      <c r="L125" s="299">
        <v>2370445.29</v>
      </c>
      <c r="M125" s="299">
        <v>2833253.59</v>
      </c>
      <c r="N125" s="288">
        <v>23874090.57</v>
      </c>
      <c r="O125" s="299">
        <v>3296929.0892440444</v>
      </c>
      <c r="P125" s="299">
        <v>5026891.4144691294</v>
      </c>
      <c r="Q125" s="299">
        <v>4940406.1268500322</v>
      </c>
      <c r="R125" s="299">
        <v>37138317.200563207</v>
      </c>
    </row>
    <row r="126" spans="2:18" hidden="1">
      <c r="C126" s="325"/>
      <c r="E126" s="304">
        <v>21114653.289999999</v>
      </c>
      <c r="F126" s="304">
        <v>29894386.389999993</v>
      </c>
      <c r="G126" s="304">
        <v>28997608.969999999</v>
      </c>
      <c r="H126" s="304">
        <v>28241245.439999998</v>
      </c>
      <c r="I126" s="304">
        <v>28921121.052228998</v>
      </c>
      <c r="J126" s="304">
        <v>32723327.789999999</v>
      </c>
      <c r="K126" s="304">
        <v>30506856.340000004</v>
      </c>
      <c r="L126" s="304">
        <v>31708210.509999998</v>
      </c>
      <c r="M126" s="304">
        <v>34132600.780000001</v>
      </c>
      <c r="N126" s="288">
        <v>266240010.56222898</v>
      </c>
      <c r="O126" s="304">
        <v>40748372.714387871</v>
      </c>
      <c r="P126" s="304">
        <v>61813055.967411451</v>
      </c>
      <c r="Q126" s="304">
        <v>65971500.095719114</v>
      </c>
      <c r="R126" s="304">
        <v>434772939.33974743</v>
      </c>
    </row>
    <row r="127" spans="2:18" hidden="1">
      <c r="C127" s="313"/>
      <c r="E127" s="305"/>
      <c r="F127" s="305"/>
      <c r="G127" s="305"/>
      <c r="H127" s="305"/>
      <c r="I127" s="305"/>
      <c r="J127" s="305"/>
      <c r="K127" s="305"/>
      <c r="L127" s="305"/>
      <c r="M127" s="305"/>
      <c r="N127" s="288">
        <v>0</v>
      </c>
      <c r="O127" s="305"/>
      <c r="P127" s="305"/>
      <c r="Q127" s="305"/>
      <c r="R127" s="288"/>
    </row>
    <row r="128" spans="2:18" hidden="1">
      <c r="C128" s="326" t="s">
        <v>493</v>
      </c>
      <c r="E128" s="306">
        <v>0</v>
      </c>
      <c r="F128" s="306">
        <v>0</v>
      </c>
      <c r="G128" s="306">
        <v>0</v>
      </c>
      <c r="H128" s="306">
        <v>0</v>
      </c>
      <c r="I128" s="306">
        <v>0</v>
      </c>
      <c r="J128" s="306">
        <v>0</v>
      </c>
      <c r="K128" s="306">
        <v>0</v>
      </c>
      <c r="L128" s="306">
        <v>0</v>
      </c>
      <c r="M128" s="306">
        <v>0</v>
      </c>
      <c r="N128" s="288">
        <v>0</v>
      </c>
      <c r="O128" s="306">
        <v>0</v>
      </c>
      <c r="P128" s="306">
        <v>0</v>
      </c>
      <c r="Q128" s="306">
        <v>0</v>
      </c>
      <c r="R128" s="306">
        <v>0</v>
      </c>
    </row>
    <row r="129" spans="2:18" hidden="1">
      <c r="C129" s="327"/>
      <c r="E129" s="307">
        <v>21114653.289999999</v>
      </c>
      <c r="F129" s="307">
        <v>29894386.389999993</v>
      </c>
      <c r="G129" s="307">
        <v>28997608.969999999</v>
      </c>
      <c r="H129" s="307">
        <v>28241245.439999998</v>
      </c>
      <c r="I129" s="307">
        <v>28921121.052228998</v>
      </c>
      <c r="J129" s="307">
        <v>32723327.789999999</v>
      </c>
      <c r="K129" s="307">
        <v>30506856.340000004</v>
      </c>
      <c r="L129" s="307">
        <v>31708210.509999998</v>
      </c>
      <c r="M129" s="307">
        <v>34132600.780000001</v>
      </c>
      <c r="N129" s="288">
        <v>266240010.56222898</v>
      </c>
      <c r="O129" s="307">
        <v>40748372.714387871</v>
      </c>
      <c r="P129" s="307">
        <v>61813055.967411451</v>
      </c>
      <c r="Q129" s="307">
        <v>65971500.095719114</v>
      </c>
      <c r="R129" s="307">
        <v>434772939.33974743</v>
      </c>
    </row>
    <row r="136" spans="2:18">
      <c r="B136" s="329" t="s">
        <v>522</v>
      </c>
      <c r="C136" t="s">
        <v>523</v>
      </c>
      <c r="D136" t="s">
        <v>524</v>
      </c>
    </row>
    <row r="137" spans="2:18">
      <c r="B137" s="330" t="s">
        <v>519</v>
      </c>
      <c r="C137" s="331">
        <v>2688.94</v>
      </c>
      <c r="D137" s="331">
        <v>17689</v>
      </c>
    </row>
    <row r="138" spans="2:18">
      <c r="B138" s="334" t="s">
        <v>519</v>
      </c>
      <c r="C138" s="331">
        <v>2688.94</v>
      </c>
      <c r="D138" s="331">
        <v>17689</v>
      </c>
    </row>
    <row r="139" spans="2:18">
      <c r="B139" s="330" t="s">
        <v>515</v>
      </c>
      <c r="C139" s="331">
        <v>107237283.02</v>
      </c>
      <c r="D139" s="331">
        <v>191575446.76164639</v>
      </c>
    </row>
    <row r="140" spans="2:18">
      <c r="B140" s="334" t="s">
        <v>75</v>
      </c>
      <c r="C140" s="331">
        <v>330289.86</v>
      </c>
      <c r="D140" s="331">
        <v>487766.5</v>
      </c>
    </row>
    <row r="141" spans="2:18">
      <c r="B141" s="334" t="s">
        <v>51</v>
      </c>
      <c r="C141" s="331">
        <v>3654637.61</v>
      </c>
      <c r="D141" s="331">
        <v>7681153.4853328103</v>
      </c>
    </row>
    <row r="142" spans="2:18">
      <c r="B142" s="334" t="s">
        <v>72</v>
      </c>
      <c r="C142" s="331">
        <v>420614.40000000002</v>
      </c>
      <c r="D142" s="331">
        <v>795104.29</v>
      </c>
    </row>
    <row r="143" spans="2:18">
      <c r="B143" s="334" t="s">
        <v>61</v>
      </c>
      <c r="C143" s="331">
        <v>7555650.4900000002</v>
      </c>
      <c r="D143" s="331">
        <v>14950360.800000001</v>
      </c>
    </row>
    <row r="144" spans="2:18">
      <c r="B144" s="334" t="s">
        <v>56</v>
      </c>
      <c r="C144" s="331">
        <v>12719495.07</v>
      </c>
      <c r="D144" s="331">
        <v>19982261.028172135</v>
      </c>
    </row>
    <row r="145" spans="2:4">
      <c r="B145" s="334" t="s">
        <v>70</v>
      </c>
      <c r="C145" s="331">
        <v>2394679.0100000002</v>
      </c>
      <c r="D145" s="331">
        <v>2732742.8881414291</v>
      </c>
    </row>
    <row r="146" spans="2:4">
      <c r="B146" s="334" t="s">
        <v>81</v>
      </c>
      <c r="C146" s="331">
        <v>58415.21</v>
      </c>
      <c r="D146" s="331">
        <v>50000.17</v>
      </c>
    </row>
    <row r="147" spans="2:4">
      <c r="B147" s="334" t="s">
        <v>80</v>
      </c>
      <c r="C147" s="331">
        <v>3609656.79</v>
      </c>
      <c r="D147" s="331">
        <v>7673099.79</v>
      </c>
    </row>
    <row r="148" spans="2:4">
      <c r="B148" s="334" t="s">
        <v>64</v>
      </c>
      <c r="C148" s="331">
        <v>5074915.32</v>
      </c>
      <c r="D148" s="331">
        <v>9790930.290000001</v>
      </c>
    </row>
    <row r="149" spans="2:4">
      <c r="B149" s="334" t="s">
        <v>53</v>
      </c>
      <c r="C149" s="331">
        <v>32469677.84</v>
      </c>
      <c r="D149" s="331">
        <v>68442698.75</v>
      </c>
    </row>
    <row r="150" spans="2:4">
      <c r="B150" s="334" t="s">
        <v>48</v>
      </c>
      <c r="C150" s="331">
        <v>33828480.369999997</v>
      </c>
      <c r="D150" s="331">
        <v>50707778.210000008</v>
      </c>
    </row>
    <row r="151" spans="2:4">
      <c r="B151" s="334" t="s">
        <v>67</v>
      </c>
      <c r="C151" s="331">
        <v>5120771.05</v>
      </c>
      <c r="D151" s="331">
        <v>8281550.5600000005</v>
      </c>
    </row>
    <row r="152" spans="2:4">
      <c r="B152" s="330" t="s">
        <v>516</v>
      </c>
      <c r="C152" s="331">
        <v>19297465.940000001</v>
      </c>
      <c r="D152" s="331">
        <v>35328296.271450408</v>
      </c>
    </row>
    <row r="153" spans="2:4">
      <c r="B153" s="334" t="s">
        <v>111</v>
      </c>
      <c r="C153" s="331">
        <v>19201.850000000006</v>
      </c>
      <c r="D153" s="331">
        <v>25597.686666666676</v>
      </c>
    </row>
    <row r="154" spans="2:4">
      <c r="B154" s="334" t="s">
        <v>90</v>
      </c>
      <c r="C154" s="331">
        <v>641735.94000000006</v>
      </c>
      <c r="D154" s="331">
        <v>952728.30075480277</v>
      </c>
    </row>
    <row r="155" spans="2:4">
      <c r="B155" s="334" t="s">
        <v>108</v>
      </c>
      <c r="C155" s="331">
        <v>211254.39999999999</v>
      </c>
      <c r="D155" s="331">
        <v>398363.07999999996</v>
      </c>
    </row>
    <row r="156" spans="2:4">
      <c r="B156" s="334" t="s">
        <v>96</v>
      </c>
      <c r="C156" s="331">
        <v>2188213.89</v>
      </c>
      <c r="D156" s="331">
        <v>3225468.1653709263</v>
      </c>
    </row>
    <row r="157" spans="2:4">
      <c r="B157" s="334" t="s">
        <v>106</v>
      </c>
      <c r="C157" s="331">
        <v>291359.12</v>
      </c>
      <c r="D157" s="331">
        <v>481386.44865800627</v>
      </c>
    </row>
    <row r="158" spans="2:4">
      <c r="B158" s="334" t="s">
        <v>116</v>
      </c>
      <c r="C158" s="331">
        <v>1250917.9199999997</v>
      </c>
      <c r="D158" s="331">
        <v>2858690.3499999992</v>
      </c>
    </row>
    <row r="159" spans="2:4">
      <c r="B159" s="334" t="s">
        <v>100</v>
      </c>
      <c r="C159" s="331">
        <v>2716976.9400000004</v>
      </c>
      <c r="D159" s="331">
        <v>4979985.1900000013</v>
      </c>
    </row>
    <row r="160" spans="2:4">
      <c r="B160" s="334" t="s">
        <v>93</v>
      </c>
      <c r="C160" s="331">
        <v>5272772.5</v>
      </c>
      <c r="D160" s="331">
        <v>9283906.7400000002</v>
      </c>
    </row>
    <row r="161" spans="2:4">
      <c r="B161" s="334" t="s">
        <v>87</v>
      </c>
      <c r="C161" s="331">
        <v>5763500.0099999998</v>
      </c>
      <c r="D161" s="331">
        <v>11535690.529999999</v>
      </c>
    </row>
    <row r="162" spans="2:4">
      <c r="B162" s="334" t="s">
        <v>103</v>
      </c>
      <c r="C162" s="331">
        <v>941533.37</v>
      </c>
      <c r="D162" s="331">
        <v>1586479.7799999998</v>
      </c>
    </row>
    <row r="163" spans="2:4">
      <c r="B163" s="330" t="s">
        <v>194</v>
      </c>
      <c r="C163" s="331">
        <v>4340353.6600000011</v>
      </c>
      <c r="D163" s="331">
        <v>7652565.6300000008</v>
      </c>
    </row>
    <row r="164" spans="2:4">
      <c r="B164" s="334" t="s">
        <v>194</v>
      </c>
      <c r="C164" s="331">
        <v>4340353.6600000011</v>
      </c>
      <c r="D164" s="331">
        <v>7652565.6300000008</v>
      </c>
    </row>
    <row r="165" spans="2:4">
      <c r="B165" s="330" t="s">
        <v>497</v>
      </c>
      <c r="C165" s="331">
        <v>6659423.0999999996</v>
      </c>
      <c r="D165" s="331">
        <v>8240064.7924999995</v>
      </c>
    </row>
    <row r="166" spans="2:4">
      <c r="B166" s="334" t="s">
        <v>497</v>
      </c>
      <c r="C166" s="331">
        <v>6659423.0999999996</v>
      </c>
      <c r="D166" s="331">
        <v>8240064.7924999995</v>
      </c>
    </row>
    <row r="167" spans="2:4">
      <c r="B167" s="330" t="s">
        <v>510</v>
      </c>
      <c r="C167" s="331">
        <v>80381635.462228984</v>
      </c>
      <c r="D167" s="331">
        <v>118400686.02970475</v>
      </c>
    </row>
    <row r="168" spans="2:4">
      <c r="B168" s="334" t="s">
        <v>179</v>
      </c>
      <c r="C168" s="331">
        <v>1492210.21</v>
      </c>
      <c r="D168" s="331">
        <v>2211908.41</v>
      </c>
    </row>
    <row r="169" spans="2:4">
      <c r="B169" s="334" t="s">
        <v>187</v>
      </c>
      <c r="C169" s="331">
        <v>1087851.6000000001</v>
      </c>
      <c r="D169" s="331">
        <v>2406926.4900000002</v>
      </c>
    </row>
    <row r="170" spans="2:4">
      <c r="B170" s="334" t="s">
        <v>189</v>
      </c>
      <c r="C170" s="331">
        <v>219711.10222899998</v>
      </c>
      <c r="D170" s="331">
        <v>1395923.232229</v>
      </c>
    </row>
    <row r="171" spans="2:4">
      <c r="B171" s="334" t="s">
        <v>169</v>
      </c>
      <c r="C171" s="331">
        <v>22352333.219999999</v>
      </c>
      <c r="D171" s="331">
        <v>31865461.971111819</v>
      </c>
    </row>
    <row r="172" spans="2:4">
      <c r="B172" s="334" t="s">
        <v>172</v>
      </c>
      <c r="C172" s="331">
        <v>982729.16</v>
      </c>
      <c r="D172" s="331">
        <v>1837430.2618584</v>
      </c>
    </row>
    <row r="173" spans="2:4">
      <c r="B173" s="334" t="s">
        <v>177</v>
      </c>
      <c r="C173" s="331">
        <v>12060626.099999998</v>
      </c>
      <c r="D173" s="331">
        <v>15258070.869999999</v>
      </c>
    </row>
    <row r="174" spans="2:4">
      <c r="B174" s="334" t="s">
        <v>175</v>
      </c>
      <c r="C174" s="331">
        <v>16192988.889999997</v>
      </c>
      <c r="D174" s="331">
        <v>22735591.999999996</v>
      </c>
    </row>
    <row r="175" spans="2:4">
      <c r="B175" s="334" t="s">
        <v>166</v>
      </c>
      <c r="C175" s="331">
        <v>4022780.65</v>
      </c>
      <c r="D175" s="331">
        <v>5312782.0199999996</v>
      </c>
    </row>
    <row r="176" spans="2:4">
      <c r="B176" s="334" t="s">
        <v>163</v>
      </c>
      <c r="C176" s="331">
        <v>16781459.459999997</v>
      </c>
      <c r="D176" s="331">
        <v>26280443.809999999</v>
      </c>
    </row>
    <row r="177" spans="2:4">
      <c r="B177" s="334" t="s">
        <v>184</v>
      </c>
      <c r="C177" s="331">
        <v>5188945.0699999994</v>
      </c>
      <c r="D177" s="331">
        <v>9096146.9645055421</v>
      </c>
    </row>
    <row r="178" spans="2:4">
      <c r="B178" s="330" t="s">
        <v>275</v>
      </c>
      <c r="C178" s="331">
        <v>25954609.689999998</v>
      </c>
      <c r="D178" s="331">
        <v>38964609.361037768</v>
      </c>
    </row>
    <row r="179" spans="2:4">
      <c r="B179" s="334" t="s">
        <v>147</v>
      </c>
      <c r="C179" s="331">
        <v>115889.39</v>
      </c>
      <c r="D179" s="331">
        <v>187250.58000000002</v>
      </c>
    </row>
    <row r="180" spans="2:4">
      <c r="B180" s="334" t="s">
        <v>155</v>
      </c>
      <c r="C180" s="331">
        <v>366534.18</v>
      </c>
      <c r="D180" s="331">
        <v>725549.44</v>
      </c>
    </row>
    <row r="181" spans="2:4">
      <c r="B181" s="334" t="s">
        <v>158</v>
      </c>
      <c r="C181" s="331">
        <v>6849828.7199999997</v>
      </c>
      <c r="D181" s="331">
        <v>8618952.3300000019</v>
      </c>
    </row>
    <row r="182" spans="2:4">
      <c r="B182" s="334" t="s">
        <v>126</v>
      </c>
      <c r="C182" s="331">
        <v>2782708.1399999997</v>
      </c>
      <c r="D182" s="331">
        <v>4118513.53</v>
      </c>
    </row>
    <row r="183" spans="2:4">
      <c r="B183" s="334" t="s">
        <v>138</v>
      </c>
      <c r="C183" s="331">
        <v>1651033.29</v>
      </c>
      <c r="D183" s="331">
        <v>2792688.7710377667</v>
      </c>
    </row>
    <row r="184" spans="2:4">
      <c r="B184" s="334" t="s">
        <v>144</v>
      </c>
      <c r="C184" s="331">
        <v>908261.95000000019</v>
      </c>
      <c r="D184" s="331">
        <v>938394.75000000023</v>
      </c>
    </row>
    <row r="185" spans="2:4">
      <c r="B185" s="334" t="s">
        <v>132</v>
      </c>
      <c r="C185" s="331">
        <v>4655154.1000000006</v>
      </c>
      <c r="D185" s="331">
        <v>6208638.5600000015</v>
      </c>
    </row>
    <row r="186" spans="2:4">
      <c r="B186" s="334" t="s">
        <v>150</v>
      </c>
      <c r="C186" s="331">
        <v>175056.12999999998</v>
      </c>
      <c r="D186" s="331">
        <v>3754126.3</v>
      </c>
    </row>
    <row r="187" spans="2:4">
      <c r="B187" s="334" t="s">
        <v>141</v>
      </c>
      <c r="C187" s="331">
        <v>8142179.3300000001</v>
      </c>
      <c r="D187" s="331">
        <v>11132478.59</v>
      </c>
    </row>
    <row r="188" spans="2:4">
      <c r="B188" s="334" t="s">
        <v>135</v>
      </c>
      <c r="C188" s="331">
        <v>307964.46000000002</v>
      </c>
      <c r="D188" s="331">
        <v>488016.51</v>
      </c>
    </row>
    <row r="189" spans="2:4">
      <c r="B189" s="330" t="s">
        <v>513</v>
      </c>
      <c r="C189" s="331">
        <v>3066669.64</v>
      </c>
      <c r="D189" s="331">
        <v>5321016.2400000012</v>
      </c>
    </row>
    <row r="190" spans="2:4">
      <c r="B190" s="334" t="s">
        <v>498</v>
      </c>
      <c r="C190" s="331">
        <v>3066669.64</v>
      </c>
      <c r="D190" s="331">
        <v>5321016.2400000012</v>
      </c>
    </row>
    <row r="191" spans="2:4">
      <c r="B191" s="330" t="s">
        <v>514</v>
      </c>
      <c r="C191" s="331">
        <v>19299881.109999999</v>
      </c>
      <c r="D191" s="331">
        <v>29272565.253408127</v>
      </c>
    </row>
    <row r="192" spans="2:4">
      <c r="B192" s="334" t="s">
        <v>514</v>
      </c>
      <c r="C192" s="331">
        <v>19299881.109999999</v>
      </c>
      <c r="D192" s="331">
        <v>29272565.253408127</v>
      </c>
    </row>
    <row r="193" spans="2:4">
      <c r="B193" s="330" t="s">
        <v>525</v>
      </c>
      <c r="C193" s="331">
        <v>266240010.56222892</v>
      </c>
      <c r="D193" s="331">
        <v>434772939.33974743</v>
      </c>
    </row>
    <row r="194" spans="2:4">
      <c r="C194"/>
    </row>
    <row r="195" spans="2:4">
      <c r="C195"/>
    </row>
    <row r="196" spans="2:4">
      <c r="C196"/>
    </row>
    <row r="197" spans="2:4">
      <c r="B197" t="s">
        <v>179</v>
      </c>
      <c r="C197">
        <v>1492210.21</v>
      </c>
      <c r="D197">
        <v>2211908.41</v>
      </c>
    </row>
    <row r="198" spans="2:4">
      <c r="B198" t="s">
        <v>187</v>
      </c>
      <c r="C198">
        <v>1087851.6000000001</v>
      </c>
      <c r="D198">
        <v>2406926.4900000002</v>
      </c>
    </row>
    <row r="199" spans="2:4">
      <c r="B199" t="s">
        <v>147</v>
      </c>
      <c r="C199">
        <v>115889.39</v>
      </c>
      <c r="D199">
        <v>187250.58000000002</v>
      </c>
    </row>
    <row r="200" spans="2:4">
      <c r="B200" t="s">
        <v>155</v>
      </c>
      <c r="C200">
        <v>366534.18</v>
      </c>
      <c r="D200">
        <v>725549.44</v>
      </c>
    </row>
    <row r="201" spans="2:4">
      <c r="B201" t="s">
        <v>519</v>
      </c>
      <c r="C201">
        <v>2688.94</v>
      </c>
      <c r="D201">
        <v>17689</v>
      </c>
    </row>
    <row r="202" spans="2:4">
      <c r="B202" t="s">
        <v>75</v>
      </c>
      <c r="C202">
        <v>330289.86</v>
      </c>
      <c r="D202">
        <v>487766.5</v>
      </c>
    </row>
    <row r="203" spans="2:4">
      <c r="B203" t="s">
        <v>111</v>
      </c>
      <c r="C203">
        <v>19201.850000000006</v>
      </c>
      <c r="D203">
        <v>25597.686666666676</v>
      </c>
    </row>
    <row r="204" spans="2:4">
      <c r="B204" t="s">
        <v>158</v>
      </c>
      <c r="C204">
        <v>6849828.7199999997</v>
      </c>
      <c r="D204">
        <v>8618952.3300000019</v>
      </c>
    </row>
    <row r="205" spans="2:4">
      <c r="B205" t="s">
        <v>51</v>
      </c>
      <c r="C205">
        <v>3654637.61</v>
      </c>
      <c r="D205">
        <v>7681153.4853328103</v>
      </c>
    </row>
    <row r="206" spans="2:4">
      <c r="B206" t="s">
        <v>90</v>
      </c>
      <c r="C206">
        <v>641735.94000000006</v>
      </c>
      <c r="D206">
        <v>952728.30075480277</v>
      </c>
    </row>
    <row r="207" spans="2:4">
      <c r="B207" t="s">
        <v>194</v>
      </c>
      <c r="C207">
        <v>4340353.6600000011</v>
      </c>
      <c r="D207">
        <v>7652565.6300000008</v>
      </c>
    </row>
    <row r="208" spans="2:4">
      <c r="B208" t="s">
        <v>497</v>
      </c>
      <c r="C208">
        <v>6659423.0999999996</v>
      </c>
      <c r="D208">
        <v>8240064.7924999995</v>
      </c>
    </row>
    <row r="209" spans="2:4">
      <c r="B209" t="s">
        <v>72</v>
      </c>
      <c r="C209">
        <v>420614.40000000002</v>
      </c>
      <c r="D209">
        <v>795104.29</v>
      </c>
    </row>
    <row r="210" spans="2:4">
      <c r="B210" t="s">
        <v>108</v>
      </c>
      <c r="C210">
        <v>211254.39999999999</v>
      </c>
      <c r="D210">
        <v>398363.07999999996</v>
      </c>
    </row>
    <row r="211" spans="2:4">
      <c r="B211" t="s">
        <v>126</v>
      </c>
      <c r="C211">
        <v>2782708.1399999997</v>
      </c>
      <c r="D211">
        <v>4118513.53</v>
      </c>
    </row>
    <row r="212" spans="2:4">
      <c r="B212" t="s">
        <v>189</v>
      </c>
      <c r="C212">
        <v>219711.10222899998</v>
      </c>
      <c r="D212">
        <v>1395923.232229</v>
      </c>
    </row>
    <row r="213" spans="2:4">
      <c r="B213" t="s">
        <v>61</v>
      </c>
      <c r="C213">
        <v>7555650.4900000002</v>
      </c>
      <c r="D213">
        <v>14950360.800000001</v>
      </c>
    </row>
    <row r="214" spans="2:4">
      <c r="B214" t="s">
        <v>498</v>
      </c>
      <c r="C214">
        <v>3066669.64</v>
      </c>
      <c r="D214">
        <v>5321016.2400000012</v>
      </c>
    </row>
    <row r="215" spans="2:4">
      <c r="B215" t="s">
        <v>56</v>
      </c>
      <c r="C215">
        <v>12719495.07</v>
      </c>
      <c r="D215">
        <v>19982261.028172135</v>
      </c>
    </row>
    <row r="216" spans="2:4">
      <c r="B216" t="s">
        <v>96</v>
      </c>
      <c r="C216">
        <v>2188213.89</v>
      </c>
      <c r="D216">
        <v>3225468.1653709263</v>
      </c>
    </row>
    <row r="217" spans="2:4">
      <c r="B217" t="s">
        <v>169</v>
      </c>
      <c r="C217">
        <v>22352333.219999999</v>
      </c>
      <c r="D217">
        <v>31865461.971111819</v>
      </c>
    </row>
    <row r="218" spans="2:4">
      <c r="B218" t="s">
        <v>138</v>
      </c>
      <c r="C218">
        <v>1651033.29</v>
      </c>
      <c r="D218">
        <v>2792688.7710377667</v>
      </c>
    </row>
    <row r="219" spans="2:4">
      <c r="B219" t="s">
        <v>172</v>
      </c>
      <c r="C219">
        <v>982729.16</v>
      </c>
      <c r="D219">
        <v>1837430.2618584</v>
      </c>
    </row>
    <row r="220" spans="2:4">
      <c r="B220" t="s">
        <v>70</v>
      </c>
      <c r="C220">
        <v>2394679.0100000002</v>
      </c>
      <c r="D220">
        <v>2732742.8881414291</v>
      </c>
    </row>
    <row r="221" spans="2:4">
      <c r="B221" t="s">
        <v>106</v>
      </c>
      <c r="C221">
        <v>291359.12</v>
      </c>
      <c r="D221">
        <v>481386.44865800627</v>
      </c>
    </row>
    <row r="222" spans="2:4">
      <c r="B222" t="s">
        <v>514</v>
      </c>
      <c r="C222">
        <v>19299881.109999999</v>
      </c>
      <c r="D222">
        <v>29272565.253408115</v>
      </c>
    </row>
    <row r="223" spans="2:4">
      <c r="B223" t="s">
        <v>81</v>
      </c>
      <c r="C223">
        <v>58415.21</v>
      </c>
      <c r="D223">
        <v>50000.17</v>
      </c>
    </row>
    <row r="224" spans="2:4">
      <c r="B224" t="s">
        <v>80</v>
      </c>
      <c r="C224">
        <v>3609656.79</v>
      </c>
      <c r="D224">
        <v>7673099.79</v>
      </c>
    </row>
    <row r="225" spans="2:4">
      <c r="B225" t="s">
        <v>177</v>
      </c>
      <c r="C225">
        <v>12060626.099999998</v>
      </c>
      <c r="D225">
        <v>15258070.869999999</v>
      </c>
    </row>
    <row r="226" spans="2:4">
      <c r="B226" t="s">
        <v>144</v>
      </c>
      <c r="C226">
        <v>908261.95000000019</v>
      </c>
      <c r="D226">
        <v>938394.75000000023</v>
      </c>
    </row>
    <row r="227" spans="2:4">
      <c r="B227" t="s">
        <v>116</v>
      </c>
      <c r="C227">
        <v>1250917.9199999997</v>
      </c>
      <c r="D227">
        <v>2858690.3499999992</v>
      </c>
    </row>
    <row r="228" spans="2:4">
      <c r="B228" t="s">
        <v>132</v>
      </c>
      <c r="C228">
        <v>4655154.1000000006</v>
      </c>
      <c r="D228">
        <v>6208638.5600000015</v>
      </c>
    </row>
    <row r="229" spans="2:4">
      <c r="B229" t="s">
        <v>150</v>
      </c>
      <c r="C229">
        <v>175056.12999999998</v>
      </c>
      <c r="D229">
        <v>3754126.3</v>
      </c>
    </row>
    <row r="230" spans="2:4">
      <c r="B230" t="s">
        <v>175</v>
      </c>
      <c r="C230">
        <v>16192988.889999997</v>
      </c>
      <c r="D230">
        <v>22735591.999999996</v>
      </c>
    </row>
    <row r="231" spans="2:4">
      <c r="B231" t="s">
        <v>141</v>
      </c>
      <c r="C231">
        <v>8142179.3300000001</v>
      </c>
      <c r="D231">
        <v>11132478.59</v>
      </c>
    </row>
    <row r="232" spans="2:4">
      <c r="B232" t="s">
        <v>64</v>
      </c>
      <c r="C232">
        <v>5074915.32</v>
      </c>
      <c r="D232">
        <v>9790930.290000001</v>
      </c>
    </row>
    <row r="233" spans="2:4">
      <c r="B233" t="s">
        <v>100</v>
      </c>
      <c r="C233">
        <v>2716976.9400000004</v>
      </c>
      <c r="D233">
        <v>4979985.1900000013</v>
      </c>
    </row>
    <row r="234" spans="2:4">
      <c r="B234" t="s">
        <v>166</v>
      </c>
      <c r="C234">
        <v>4022780.65</v>
      </c>
      <c r="D234">
        <v>5312782.0199999996</v>
      </c>
    </row>
    <row r="235" spans="2:4">
      <c r="B235" t="s">
        <v>135</v>
      </c>
      <c r="C235">
        <v>307964.46000000002</v>
      </c>
      <c r="D235">
        <v>488016.51</v>
      </c>
    </row>
    <row r="236" spans="2:4">
      <c r="B236" t="s">
        <v>163</v>
      </c>
      <c r="C236">
        <v>16781459.459999997</v>
      </c>
      <c r="D236">
        <v>26280443.809999999</v>
      </c>
    </row>
    <row r="237" spans="2:4">
      <c r="B237" t="s">
        <v>53</v>
      </c>
      <c r="C237">
        <v>32469677.84</v>
      </c>
      <c r="D237">
        <v>68442698.75</v>
      </c>
    </row>
    <row r="238" spans="2:4">
      <c r="B238" t="s">
        <v>93</v>
      </c>
      <c r="C238">
        <v>5272772.5</v>
      </c>
      <c r="D238">
        <v>9283906.7400000002</v>
      </c>
    </row>
    <row r="239" spans="2:4">
      <c r="B239" t="s">
        <v>48</v>
      </c>
      <c r="C239">
        <v>33828480.369999997</v>
      </c>
      <c r="D239">
        <v>50707778.210000008</v>
      </c>
    </row>
    <row r="240" spans="2:4">
      <c r="B240" t="s">
        <v>87</v>
      </c>
      <c r="C240">
        <v>5763500.0099999998</v>
      </c>
      <c r="D240">
        <v>11535690.529999999</v>
      </c>
    </row>
    <row r="241" spans="2:4">
      <c r="B241" t="s">
        <v>67</v>
      </c>
      <c r="C241">
        <v>5120771.05</v>
      </c>
      <c r="D241">
        <v>8281550.5600000005</v>
      </c>
    </row>
    <row r="242" spans="2:4">
      <c r="B242" t="s">
        <v>103</v>
      </c>
      <c r="C242">
        <v>941533.37</v>
      </c>
      <c r="D242">
        <v>1586479.7799999998</v>
      </c>
    </row>
    <row r="243" spans="2:4">
      <c r="B243" t="s">
        <v>184</v>
      </c>
      <c r="C243" s="20">
        <v>5188945.0699999994</v>
      </c>
      <c r="D243">
        <v>9096146.9645055421</v>
      </c>
    </row>
  </sheetData>
  <autoFilter ref="B2:U129" xr:uid="{240DF736-A1C2-401C-8979-1D8FEEB4603B}">
    <filterColumn colId="2">
      <filters>
        <filter val="Retail - Market Rate (includes Marketplace 2.0 Non-Lighting and Retail Products Platform)"/>
      </filters>
    </filterColumn>
  </autoFilter>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0C5-F3EA-49B6-8491-7437F095DAD1}">
  <sheetPr>
    <tabColor rgb="FFFFC000"/>
  </sheetPr>
  <dimension ref="A1:C48"/>
  <sheetViews>
    <sheetView workbookViewId="0">
      <selection activeCell="C40" sqref="C40"/>
    </sheetView>
  </sheetViews>
  <sheetFormatPr defaultColWidth="9.140625" defaultRowHeight="15"/>
  <cols>
    <col min="1" max="1" width="45.140625" bestFit="1" customWidth="1"/>
    <col min="2" max="2" width="16.42578125" bestFit="1" customWidth="1"/>
    <col min="3" max="3" width="33.28515625" bestFit="1" customWidth="1"/>
  </cols>
  <sheetData>
    <row r="1" spans="1:3">
      <c r="A1" s="497" t="s">
        <v>526</v>
      </c>
      <c r="B1" s="497" t="s">
        <v>527</v>
      </c>
      <c r="C1" s="497" t="s">
        <v>528</v>
      </c>
    </row>
    <row r="2" spans="1:3">
      <c r="A2" s="498" t="s">
        <v>529</v>
      </c>
      <c r="B2" s="503">
        <f>'1- Ex Ante Results'!D85</f>
        <v>289.76</v>
      </c>
      <c r="C2" s="499">
        <f>'1- Ex Ante Results'!H85</f>
        <v>0.46287539936102245</v>
      </c>
    </row>
    <row r="3" spans="1:3">
      <c r="A3" s="500" t="s">
        <v>530</v>
      </c>
      <c r="B3" s="501">
        <f>'1- Ex Ante Results'!D98</f>
        <v>4441.3100000000004</v>
      </c>
      <c r="C3" s="502">
        <f>'1- Ex Ante Results'!H98</f>
        <v>0.56609576687812524</v>
      </c>
    </row>
    <row r="4" spans="1:3">
      <c r="A4" s="498" t="s">
        <v>531</v>
      </c>
      <c r="B4" s="503">
        <f>'1- Ex Ante Results'!D97</f>
        <v>2108</v>
      </c>
      <c r="C4" s="499">
        <f>'1- Ex Ante Results'!H97</f>
        <v>0.35832058473567907</v>
      </c>
    </row>
    <row r="5" spans="1:3">
      <c r="A5" s="500" t="s">
        <v>532</v>
      </c>
      <c r="B5" s="501">
        <f>'1- Ex Ante Results'!D99</f>
        <v>11579</v>
      </c>
      <c r="C5" s="502">
        <f>'1- Ex Ante Results'!H99</f>
        <v>0.35562039312039312</v>
      </c>
    </row>
    <row r="6" spans="1:3">
      <c r="A6" s="498" t="s">
        <v>533</v>
      </c>
      <c r="B6" s="503">
        <f>'1- Ex Ante Results'!D100</f>
        <v>952</v>
      </c>
      <c r="C6" s="499">
        <f>'1- Ex Ante Results'!H100</f>
        <v>0.56065959952885747</v>
      </c>
    </row>
    <row r="7" spans="1:3">
      <c r="A7" s="500" t="s">
        <v>534</v>
      </c>
      <c r="B7" s="501">
        <f>'1- Ex Ante Results'!D86</f>
        <v>1360</v>
      </c>
      <c r="C7" s="502">
        <f>'1- Ex Ante Results'!H86</f>
        <v>0.33822432230788363</v>
      </c>
    </row>
    <row r="8" spans="1:3">
      <c r="A8" s="498" t="s">
        <v>535</v>
      </c>
      <c r="B8" s="503">
        <f>'1- Ex Ante Results'!D105</f>
        <v>2237.8922899999998</v>
      </c>
      <c r="C8" s="499">
        <f>'1- Ex Ante Results'!H105</f>
        <v>0.23388162674477792</v>
      </c>
    </row>
    <row r="9" spans="1:3" ht="15.75" thickBot="1"/>
    <row r="10" spans="1:3" ht="15.75" thickBot="1">
      <c r="A10" s="505" t="s">
        <v>526</v>
      </c>
      <c r="B10" s="506" t="s">
        <v>527</v>
      </c>
      <c r="C10" s="506" t="s">
        <v>528</v>
      </c>
    </row>
    <row r="11" spans="1:3">
      <c r="A11" s="498" t="s">
        <v>536</v>
      </c>
      <c r="B11" s="503">
        <f>'1- Ex Ante Results'!D87+'1- Ex Ante Results'!D92</f>
        <v>46488.011603300001</v>
      </c>
      <c r="C11" s="499">
        <f>B11/SUM('1- Ex Ante Results'!G87,'1- Ex Ante Results'!G92)</f>
        <v>0.46942392145656692</v>
      </c>
    </row>
    <row r="12" spans="1:3">
      <c r="A12" s="500" t="s">
        <v>537</v>
      </c>
      <c r="B12" s="501">
        <f>'1- Ex Ante Results'!D101+'1- Ex Ante Results'!D104</f>
        <v>137888.90604999999</v>
      </c>
      <c r="C12" s="502">
        <f>B12/SUM('1- Ex Ante Results'!G101,'1- Ex Ante Results'!G104)</f>
        <v>0.47401954909276989</v>
      </c>
    </row>
    <row r="13" spans="1:3">
      <c r="A13" s="498" t="s">
        <v>538</v>
      </c>
      <c r="B13" s="503">
        <f>'1- Ex Ante Results'!D88</f>
        <v>1289.9000000000001</v>
      </c>
      <c r="C13" s="499">
        <f>'1- Ex Ante Results'!H88</f>
        <v>0.7289011951515838</v>
      </c>
    </row>
    <row r="14" spans="1:3">
      <c r="A14" s="500" t="s">
        <v>539</v>
      </c>
      <c r="B14" s="507">
        <f>'1- Ex Ante Results'!D102</f>
        <v>149529.26999999999</v>
      </c>
      <c r="C14" s="502">
        <f>'1- Ex Ante Results'!H102</f>
        <v>0.55021513064039496</v>
      </c>
    </row>
    <row r="15" spans="1:3">
      <c r="A15" s="498" t="s">
        <v>540</v>
      </c>
      <c r="B15" s="503">
        <f>'1- Ex Ante Results'!D103+'1- Ex Ante Results'!D106</f>
        <v>6127.4897700000001</v>
      </c>
      <c r="C15" s="499">
        <f>B15/SUM('1- Ex Ante Results'!G103,'1- Ex Ante Results'!G106)</f>
        <v>0.52568348509259644</v>
      </c>
    </row>
    <row r="16" spans="1:3">
      <c r="A16" s="500" t="s">
        <v>541</v>
      </c>
      <c r="B16" s="501">
        <f>'1- Ex Ante Results'!D89+'1- Ex Ante Results'!D93</f>
        <v>510.42415669999991</v>
      </c>
      <c r="C16" s="502">
        <f>B16/SUM('1- Ex Ante Results'!G89,'1- Ex Ante Results'!G93)</f>
        <v>0.30432965401134027</v>
      </c>
    </row>
    <row r="17" spans="1:3">
      <c r="A17" s="498" t="s">
        <v>542</v>
      </c>
      <c r="B17" s="503">
        <f>'1- Ex Ante Results'!D90+'1- Ex Ante Results'!D94</f>
        <v>26168.64516</v>
      </c>
      <c r="C17" s="499">
        <f>B17/SUM('1- Ex Ante Results'!G90+'1- Ex Ante Results'!G94)</f>
        <v>0.41406133532668549</v>
      </c>
    </row>
    <row r="18" spans="1:3" ht="15.75" thickBot="1"/>
    <row r="19" spans="1:3" ht="15.75" thickBot="1">
      <c r="A19" s="505" t="s">
        <v>526</v>
      </c>
      <c r="B19" s="506" t="s">
        <v>527</v>
      </c>
      <c r="C19" s="505" t="s">
        <v>528</v>
      </c>
    </row>
    <row r="20" spans="1:3">
      <c r="A20" s="498" t="s">
        <v>288</v>
      </c>
      <c r="B20" s="503">
        <f>'1- Ex Ante Results'!D84</f>
        <v>37125</v>
      </c>
      <c r="C20" s="499">
        <f>'1- Ex Ante Results'!H84</f>
        <v>0.43027015750495462</v>
      </c>
    </row>
    <row r="21" spans="1:3" ht="15.75" thickBot="1"/>
    <row r="22" spans="1:3" ht="15.75" thickBot="1">
      <c r="A22" s="505" t="s">
        <v>526</v>
      </c>
      <c r="B22" s="506" t="s">
        <v>527</v>
      </c>
      <c r="C22" s="506" t="s">
        <v>528</v>
      </c>
    </row>
    <row r="23" spans="1:3">
      <c r="A23" s="498" t="s">
        <v>543</v>
      </c>
      <c r="B23" s="503">
        <f>'1- Ex Ante Results'!D43</f>
        <v>65974.78</v>
      </c>
      <c r="C23" s="499">
        <f>'1- Ex Ante Results'!H43</f>
        <v>0.40365446939833111</v>
      </c>
    </row>
    <row r="24" spans="1:3">
      <c r="A24" s="500" t="s">
        <v>544</v>
      </c>
      <c r="B24" s="501">
        <f>'1- Ex Ante Results'!D60</f>
        <v>7815.6399999999994</v>
      </c>
      <c r="C24" s="502">
        <f>'1- Ex Ante Results'!H60</f>
        <v>0.20548574403279091</v>
      </c>
    </row>
    <row r="25" spans="1:3">
      <c r="A25" s="498" t="s">
        <v>545</v>
      </c>
      <c r="B25" s="503">
        <f>'1- Ex Ante Results'!D41</f>
        <v>50990.299999999996</v>
      </c>
      <c r="C25" s="499">
        <f>'1- Ex Ante Results'!H41</f>
        <v>0.36769431780413864</v>
      </c>
    </row>
    <row r="26" spans="1:3">
      <c r="A26" s="500" t="s">
        <v>546</v>
      </c>
      <c r="B26" s="501">
        <f>'1- Ex Ante Results'!D58</f>
        <v>13300.179999999998</v>
      </c>
      <c r="C26" s="502">
        <f>'1- Ex Ante Results'!H58</f>
        <v>0.35141669211981186</v>
      </c>
    </row>
    <row r="27" spans="1:3" ht="15.75" thickBot="1"/>
    <row r="28" spans="1:3">
      <c r="A28" s="542" t="s">
        <v>526</v>
      </c>
      <c r="B28" s="542" t="s">
        <v>527</v>
      </c>
      <c r="C28" s="542" t="s">
        <v>528</v>
      </c>
    </row>
    <row r="29" spans="1:3" ht="15.75" thickBot="1">
      <c r="A29" s="543"/>
      <c r="B29" s="543"/>
      <c r="C29" s="543"/>
    </row>
    <row r="30" spans="1:3">
      <c r="A30" s="495" t="s">
        <v>547</v>
      </c>
      <c r="B30" s="510">
        <f>'1- Ex Ante Results'!D42</f>
        <v>2144</v>
      </c>
      <c r="C30" s="504">
        <f>'1- Ex Ante Results'!H42</f>
        <v>0.13066000365652997</v>
      </c>
    </row>
    <row r="31" spans="1:3">
      <c r="A31" s="496" t="s">
        <v>548</v>
      </c>
      <c r="B31" s="511">
        <f>'1- Ex Ante Results'!D59</f>
        <v>96</v>
      </c>
      <c r="C31" s="512">
        <f>'1- Ex Ante Results'!H59</f>
        <v>0.10355987055016182</v>
      </c>
    </row>
    <row r="32" spans="1:3">
      <c r="A32" s="495" t="s">
        <v>549</v>
      </c>
      <c r="B32" s="510">
        <f>'1- Ex Ante Results'!D47</f>
        <v>8868</v>
      </c>
      <c r="C32" s="504">
        <f>'1- Ex Ante Results'!H47</f>
        <v>0.38558198182529674</v>
      </c>
    </row>
    <row r="33" spans="1:3">
      <c r="A33" s="496" t="s">
        <v>550</v>
      </c>
      <c r="B33" s="511">
        <f>'1- Ex Ante Results'!D63</f>
        <v>2223</v>
      </c>
      <c r="C33" s="512">
        <f>'1- Ex Ante Results'!H63</f>
        <v>0.20119467825142548</v>
      </c>
    </row>
    <row r="34" spans="1:3">
      <c r="A34" s="495" t="s">
        <v>33</v>
      </c>
      <c r="B34" s="510">
        <f>'1- Ex Ante Results'!D46</f>
        <v>22781</v>
      </c>
      <c r="C34" s="504">
        <f>'1- Ex Ante Results'!H46</f>
        <v>0.4161977491961415</v>
      </c>
    </row>
    <row r="35" spans="1:3">
      <c r="A35" s="496" t="s">
        <v>551</v>
      </c>
      <c r="B35" s="511">
        <f>'1- Ex Ante Results'!D48</f>
        <v>5204.95</v>
      </c>
      <c r="C35" s="512">
        <f>'1- Ex Ante Results'!H48</f>
        <v>0.15017621710986628</v>
      </c>
    </row>
    <row r="36" spans="1:3">
      <c r="A36" s="495" t="s">
        <v>552</v>
      </c>
      <c r="B36" s="510">
        <f>'1- Ex Ante Results'!D64</f>
        <v>205.2</v>
      </c>
      <c r="C36" s="504">
        <f>'1- Ex Ante Results'!H64</f>
        <v>2.4439627450513323E-2</v>
      </c>
    </row>
    <row r="37" spans="1:3">
      <c r="A37" s="496" t="s">
        <v>553</v>
      </c>
      <c r="B37" s="511">
        <f>'1- Ex Ante Results'!D49</f>
        <v>2237</v>
      </c>
      <c r="C37" s="512">
        <f>'1- Ex Ante Results'!H49</f>
        <v>0.5851425582003662</v>
      </c>
    </row>
    <row r="38" spans="1:3">
      <c r="A38" s="495" t="s">
        <v>554</v>
      </c>
      <c r="B38" s="510">
        <f>'1- Ex Ante Results'!D65</f>
        <v>221</v>
      </c>
      <c r="C38" s="504">
        <f>'1- Ex Ante Results'!H65</f>
        <v>0.2982456140350877</v>
      </c>
    </row>
    <row r="39" spans="1:3">
      <c r="A39" s="496" t="s">
        <v>555</v>
      </c>
      <c r="B39" s="511">
        <f>'1- Ex Ante Results'!D44+'1- Ex Ante Results'!D45</f>
        <v>103288</v>
      </c>
      <c r="C39" s="512">
        <f>B39/SUM('1- Ex Ante Results'!G44,'1- Ex Ante Results'!G45)</f>
        <v>0.68017516710019421</v>
      </c>
    </row>
    <row r="40" spans="1:3">
      <c r="A40" s="495" t="s">
        <v>556</v>
      </c>
      <c r="B40" s="510">
        <f>'1- Ex Ante Results'!D61</f>
        <v>16834</v>
      </c>
      <c r="C40" s="504">
        <f>'1- Ex Ante Results'!H61</f>
        <v>0.53371801781807804</v>
      </c>
    </row>
    <row r="41" spans="1:3">
      <c r="A41" s="496" t="s">
        <v>557</v>
      </c>
      <c r="B41" s="511">
        <f>'1- Ex Ante Results'!D51</f>
        <v>354</v>
      </c>
      <c r="C41" s="512">
        <f>'1- Ex Ante Results'!H51</f>
        <v>0.2266325224071703</v>
      </c>
    </row>
    <row r="42" spans="1:3">
      <c r="A42" s="495" t="s">
        <v>558</v>
      </c>
      <c r="B42" s="510">
        <f>'1- Ex Ante Results'!D67</f>
        <v>54.2</v>
      </c>
      <c r="C42" s="504">
        <f>'1- Ex Ante Results'!H67</f>
        <v>0.65936739659367394</v>
      </c>
    </row>
    <row r="43" spans="1:3" ht="15.75" thickBot="1"/>
    <row r="44" spans="1:3" ht="15.75" thickBot="1">
      <c r="A44" s="505" t="s">
        <v>526</v>
      </c>
      <c r="B44" s="506" t="s">
        <v>527</v>
      </c>
      <c r="C44" s="506" t="s">
        <v>528</v>
      </c>
    </row>
    <row r="45" spans="1:3">
      <c r="A45" s="498" t="s">
        <v>78</v>
      </c>
      <c r="B45" s="503">
        <f>'1- Ex Ante Results'!D52</f>
        <v>6746.4</v>
      </c>
      <c r="C45" s="499">
        <f>'1- Ex Ante Results'!H52</f>
        <v>0.32642396794983453</v>
      </c>
    </row>
    <row r="46" spans="1:3" ht="15.75" thickBot="1">
      <c r="A46" s="500" t="s">
        <v>114</v>
      </c>
      <c r="B46" s="501">
        <f>'1- Ex Ante Results'!D68</f>
        <v>749.6</v>
      </c>
      <c r="C46" s="502">
        <f>'1- Ex Ante Results'!H68</f>
        <v>0.32642396794983453</v>
      </c>
    </row>
    <row r="47" spans="1:3" ht="15.75" thickBot="1">
      <c r="A47" s="505" t="s">
        <v>526</v>
      </c>
      <c r="B47" s="506" t="s">
        <v>527</v>
      </c>
      <c r="C47" s="506" t="s">
        <v>528</v>
      </c>
    </row>
    <row r="48" spans="1:3">
      <c r="A48" s="498" t="s">
        <v>196</v>
      </c>
      <c r="B48" s="509">
        <f>'1- Ex Ante Results'!D111</f>
        <v>2584</v>
      </c>
      <c r="C48" s="508">
        <f>'1- Ex Ante Results'!H111</f>
        <v>5.0983564508809663E-2</v>
      </c>
    </row>
  </sheetData>
  <mergeCells count="3">
    <mergeCell ref="A28:A29"/>
    <mergeCell ref="B28:B29"/>
    <mergeCell ref="C28:C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A1:N244"/>
  <sheetViews>
    <sheetView topLeftCell="A12" workbookViewId="0">
      <selection activeCell="C15" sqref="C15"/>
    </sheetView>
  </sheetViews>
  <sheetFormatPr defaultColWidth="0" defaultRowHeight="16.5"/>
  <cols>
    <col min="1" max="1" width="3.140625" customWidth="1"/>
    <col min="2" max="2" width="62.5703125" style="4" customWidth="1"/>
    <col min="3" max="3" width="21.140625" style="4" customWidth="1"/>
    <col min="4" max="4" width="19.5703125" customWidth="1"/>
    <col min="5" max="5" width="19.140625" customWidth="1"/>
    <col min="6" max="6" width="14.140625" bestFit="1" customWidth="1"/>
    <col min="7" max="7" width="16.85546875" customWidth="1"/>
    <col min="8" max="8" width="9.140625" customWidth="1"/>
    <col min="9" max="9" width="13.5703125" bestFit="1" customWidth="1"/>
    <col min="10" max="13" width="9.140625" customWidth="1"/>
    <col min="14" max="14" width="0" hidden="1" customWidth="1"/>
    <col min="15" max="16384" width="9.140625" hidden="1"/>
  </cols>
  <sheetData>
    <row r="1" spans="1:14">
      <c r="A1" s="64"/>
      <c r="B1" s="71" t="s">
        <v>0</v>
      </c>
      <c r="C1" s="96"/>
      <c r="D1" s="64"/>
      <c r="E1" s="64"/>
      <c r="F1" s="64"/>
      <c r="G1" s="64"/>
      <c r="H1" s="64"/>
      <c r="I1" s="64"/>
      <c r="J1" s="64"/>
      <c r="K1" s="64"/>
      <c r="L1" s="64"/>
      <c r="M1" s="64"/>
    </row>
    <row r="2" spans="1:14">
      <c r="A2" s="64"/>
      <c r="B2" s="71" t="s">
        <v>559</v>
      </c>
      <c r="C2" s="96"/>
      <c r="D2" s="64"/>
      <c r="E2" s="64"/>
      <c r="F2" s="64"/>
      <c r="G2" s="64"/>
      <c r="H2" s="64"/>
      <c r="I2" s="64"/>
      <c r="J2" s="64"/>
      <c r="K2" s="64"/>
      <c r="L2" s="64"/>
      <c r="M2" s="64"/>
    </row>
    <row r="3" spans="1:14">
      <c r="A3" s="64"/>
      <c r="B3" s="71"/>
      <c r="C3" s="96"/>
      <c r="D3" s="64"/>
      <c r="E3" s="64"/>
      <c r="F3" s="64"/>
      <c r="G3" s="64"/>
      <c r="H3" s="64"/>
      <c r="I3" s="64"/>
      <c r="J3" s="64"/>
      <c r="K3" s="64"/>
      <c r="L3" s="64"/>
      <c r="M3" s="64"/>
    </row>
    <row r="4" spans="1:14">
      <c r="A4" s="64"/>
      <c r="B4" s="71"/>
      <c r="C4" s="96"/>
      <c r="D4" s="64"/>
      <c r="E4" s="64"/>
      <c r="F4" s="64"/>
      <c r="G4" s="64"/>
      <c r="H4" s="64"/>
      <c r="I4" s="64"/>
      <c r="J4" s="64"/>
      <c r="K4" s="64"/>
      <c r="L4" s="64"/>
      <c r="M4" s="64"/>
    </row>
    <row r="5" spans="1:14" ht="37.5" customHeight="1">
      <c r="A5" s="64"/>
      <c r="B5" s="548" t="s">
        <v>560</v>
      </c>
      <c r="C5" s="549"/>
      <c r="D5" s="549"/>
      <c r="E5" s="550"/>
      <c r="F5" s="64"/>
      <c r="G5" s="64"/>
      <c r="H5" s="64"/>
      <c r="I5" s="64"/>
      <c r="J5" s="64"/>
      <c r="K5" s="64"/>
      <c r="L5" s="64"/>
      <c r="M5" s="64"/>
    </row>
    <row r="6" spans="1:14" ht="37.5" customHeight="1">
      <c r="A6" s="64"/>
      <c r="B6" s="551"/>
      <c r="C6" s="552"/>
      <c r="D6" s="552"/>
      <c r="E6" s="553"/>
      <c r="F6" s="64"/>
      <c r="G6" s="64"/>
      <c r="H6" s="64"/>
      <c r="I6" s="64"/>
      <c r="J6" s="64"/>
      <c r="K6" s="64"/>
      <c r="L6" s="64"/>
      <c r="M6" s="64"/>
    </row>
    <row r="7" spans="1:14" ht="18.75" customHeight="1">
      <c r="A7" s="64"/>
      <c r="B7" s="554"/>
      <c r="C7" s="555"/>
      <c r="D7" s="555"/>
      <c r="E7" s="556"/>
      <c r="F7" s="64"/>
      <c r="G7" s="64"/>
      <c r="H7" s="64"/>
      <c r="I7" s="64"/>
      <c r="J7" s="64"/>
      <c r="K7" s="64"/>
      <c r="L7" s="64"/>
      <c r="M7" s="64"/>
    </row>
    <row r="8" spans="1:14">
      <c r="A8" s="64"/>
      <c r="B8" s="96"/>
      <c r="C8" s="96"/>
      <c r="D8" s="64"/>
      <c r="E8" s="64"/>
      <c r="F8" s="64"/>
      <c r="G8" s="64"/>
      <c r="H8" s="64"/>
      <c r="I8" s="64"/>
      <c r="J8" s="64"/>
      <c r="K8" s="64"/>
      <c r="L8" s="64"/>
      <c r="M8" s="64"/>
    </row>
    <row r="9" spans="1:14">
      <c r="A9" s="64"/>
      <c r="B9" s="71" t="s">
        <v>561</v>
      </c>
      <c r="C9" s="96"/>
      <c r="D9" s="64"/>
      <c r="E9" s="64"/>
      <c r="F9" s="64"/>
      <c r="G9" s="64"/>
      <c r="H9" s="64"/>
      <c r="I9" s="64"/>
      <c r="J9" s="64"/>
      <c r="K9" s="64"/>
      <c r="L9" s="64"/>
      <c r="M9" s="64"/>
    </row>
    <row r="10" spans="1:14" ht="20.100000000000001" customHeight="1">
      <c r="A10" s="64"/>
      <c r="B10" s="199" t="str">
        <f>'1- Ex Ante Results'!C19</f>
        <v>CY2025 Q2</v>
      </c>
      <c r="C10" s="96"/>
      <c r="D10" s="64"/>
      <c r="E10" s="64"/>
      <c r="F10" s="64"/>
      <c r="G10" s="64"/>
      <c r="H10" s="64"/>
      <c r="I10" s="64"/>
      <c r="J10" s="64"/>
      <c r="K10" s="64"/>
      <c r="L10" s="64"/>
      <c r="M10" s="64"/>
    </row>
    <row r="11" spans="1:14" ht="32.85" customHeight="1">
      <c r="A11" s="64"/>
      <c r="B11" s="24" t="s">
        <v>562</v>
      </c>
      <c r="C11" s="25" t="s">
        <v>563</v>
      </c>
      <c r="D11" s="120"/>
      <c r="E11" s="120"/>
      <c r="F11" s="64"/>
      <c r="G11" s="113"/>
      <c r="H11" s="64"/>
      <c r="I11" s="64"/>
      <c r="J11" s="64"/>
      <c r="K11" s="64"/>
      <c r="L11" s="64"/>
      <c r="M11" s="64"/>
    </row>
    <row r="12" spans="1:14" s="12" customFormat="1" ht="21" customHeight="1">
      <c r="A12" s="69"/>
      <c r="B12" s="544" t="s">
        <v>564</v>
      </c>
      <c r="C12" s="545"/>
      <c r="D12" s="69"/>
      <c r="E12" s="69"/>
      <c r="F12" s="69"/>
      <c r="G12" s="69"/>
      <c r="H12" s="69"/>
      <c r="I12" s="69"/>
      <c r="J12" s="69"/>
      <c r="K12" s="69"/>
      <c r="L12" s="69"/>
      <c r="M12" s="69"/>
      <c r="N12" s="69"/>
    </row>
    <row r="13" spans="1:14" ht="15">
      <c r="A13" s="64"/>
      <c r="B13" s="6" t="s">
        <v>565</v>
      </c>
      <c r="C13" s="200">
        <f>'1- Ex Ante Results'!I55</f>
        <v>84551122.980000004</v>
      </c>
      <c r="D13" s="64"/>
      <c r="E13" s="64"/>
      <c r="F13" s="64"/>
      <c r="G13" s="113"/>
      <c r="H13" s="64"/>
      <c r="I13" s="64"/>
      <c r="J13" s="64"/>
      <c r="K13" s="64"/>
      <c r="L13" s="64"/>
      <c r="M13" s="64"/>
      <c r="N13" s="64"/>
    </row>
    <row r="14" spans="1:14" ht="15">
      <c r="A14" s="64"/>
      <c r="B14" s="57" t="s">
        <v>566</v>
      </c>
      <c r="C14" s="201">
        <f>'1- Ex Ante Results'!I70</f>
        <v>15032846.979999997</v>
      </c>
      <c r="D14" s="64"/>
      <c r="E14" s="64"/>
      <c r="F14" s="64"/>
      <c r="G14" s="113"/>
      <c r="H14" s="64"/>
      <c r="I14" s="64"/>
      <c r="J14" s="64"/>
      <c r="K14" s="64"/>
      <c r="L14" s="64"/>
      <c r="M14" s="64"/>
      <c r="N14" s="64"/>
    </row>
    <row r="15" spans="1:14" ht="15">
      <c r="A15" s="64"/>
      <c r="B15" s="6" t="s">
        <v>567</v>
      </c>
      <c r="C15" s="202">
        <f>'1- Ex Ante Results'!I95</f>
        <v>13726504.919999998</v>
      </c>
      <c r="D15" s="64"/>
      <c r="E15" s="64"/>
      <c r="F15" s="64"/>
      <c r="G15" s="113"/>
      <c r="H15" s="64"/>
      <c r="I15" s="64"/>
      <c r="J15" s="64"/>
      <c r="K15" s="64"/>
      <c r="L15" s="64"/>
      <c r="M15" s="64"/>
      <c r="N15" s="64"/>
    </row>
    <row r="16" spans="1:14" ht="15">
      <c r="A16" s="64"/>
      <c r="B16" s="6" t="s">
        <v>160</v>
      </c>
      <c r="C16" s="203">
        <f>'1- Ex Ante Results'!I108</f>
        <v>52612402.700000003</v>
      </c>
      <c r="D16" s="64"/>
      <c r="E16" s="64"/>
      <c r="F16" s="64"/>
      <c r="G16" s="64"/>
      <c r="H16" s="64"/>
      <c r="I16" s="64"/>
      <c r="J16" s="64"/>
      <c r="K16" s="64"/>
      <c r="L16" s="64"/>
      <c r="M16" s="64"/>
      <c r="N16" s="64"/>
    </row>
    <row r="17" spans="1:14" s="12" customFormat="1" ht="21" customHeight="1">
      <c r="A17" s="69"/>
      <c r="B17" s="36" t="s">
        <v>568</v>
      </c>
      <c r="C17" s="37">
        <f>SUM(C13:C16)</f>
        <v>165922877.58000001</v>
      </c>
      <c r="D17" s="114"/>
      <c r="E17" s="69"/>
      <c r="F17" s="112"/>
      <c r="G17" s="69"/>
      <c r="H17" s="69"/>
      <c r="I17" s="69"/>
      <c r="J17" s="69"/>
      <c r="K17" s="69"/>
      <c r="L17" s="69"/>
      <c r="M17" s="69"/>
      <c r="N17" s="69"/>
    </row>
    <row r="18" spans="1:14" s="12" customFormat="1" ht="21" customHeight="1">
      <c r="A18" s="69"/>
      <c r="B18" s="546" t="s">
        <v>569</v>
      </c>
      <c r="C18" s="547"/>
      <c r="D18" s="115"/>
      <c r="E18" s="116"/>
      <c r="F18" s="69"/>
      <c r="G18" s="69"/>
      <c r="H18" s="69"/>
      <c r="I18" s="69"/>
      <c r="J18" s="69"/>
      <c r="K18" s="69"/>
      <c r="L18" s="69"/>
      <c r="M18" s="69"/>
      <c r="N18" s="69"/>
    </row>
    <row r="19" spans="1:14" ht="29.85" customHeight="1">
      <c r="A19" s="64"/>
      <c r="B19" s="26" t="s">
        <v>570</v>
      </c>
      <c r="C19" s="204">
        <f>'1- Ex Ante Results'!I113</f>
        <v>3903334.6900000004</v>
      </c>
      <c r="D19" s="115"/>
      <c r="E19" s="116"/>
      <c r="F19" s="69"/>
      <c r="G19" s="69"/>
      <c r="H19" s="64"/>
      <c r="I19" s="64"/>
      <c r="J19" s="64"/>
      <c r="K19" s="64"/>
      <c r="L19" s="64"/>
      <c r="M19" s="64"/>
      <c r="N19" s="64"/>
    </row>
    <row r="20" spans="1:14" ht="15">
      <c r="A20" s="64"/>
      <c r="B20" s="6" t="s">
        <v>497</v>
      </c>
      <c r="C20" s="204">
        <v>4746068.4000000004</v>
      </c>
      <c r="D20" s="514"/>
      <c r="E20" s="116"/>
      <c r="F20" s="69"/>
      <c r="G20" s="69"/>
      <c r="H20" s="64"/>
      <c r="I20" s="64"/>
      <c r="J20" s="64"/>
      <c r="K20" s="64"/>
      <c r="L20" s="64"/>
      <c r="M20" s="64"/>
      <c r="N20" s="64"/>
    </row>
    <row r="21" spans="1:14" ht="15">
      <c r="A21" s="64"/>
      <c r="B21" s="27" t="s">
        <v>498</v>
      </c>
      <c r="C21" s="204">
        <v>3259530.54</v>
      </c>
      <c r="D21" s="515"/>
      <c r="E21" s="116"/>
      <c r="F21" s="64"/>
      <c r="G21" s="118"/>
      <c r="H21" s="64"/>
      <c r="I21" s="64"/>
      <c r="J21" s="64"/>
      <c r="K21" s="64"/>
      <c r="L21" s="64"/>
      <c r="M21" s="64"/>
      <c r="N21" s="64"/>
    </row>
    <row r="22" spans="1:14" ht="15">
      <c r="A22" s="64"/>
      <c r="B22" s="6" t="s">
        <v>571</v>
      </c>
      <c r="C22" s="204">
        <v>13474365.379999995</v>
      </c>
      <c r="D22" s="515">
        <v>83518327.079999998</v>
      </c>
      <c r="E22" s="116"/>
      <c r="F22" s="64"/>
      <c r="G22" s="118"/>
      <c r="H22" s="64"/>
      <c r="I22" s="110"/>
      <c r="J22" s="64"/>
      <c r="K22" s="64"/>
      <c r="L22" s="64"/>
      <c r="M22" s="64"/>
      <c r="N22" s="64"/>
    </row>
    <row r="23" spans="1:14" ht="15">
      <c r="A23" s="64"/>
      <c r="B23" s="6" t="s">
        <v>572</v>
      </c>
      <c r="C23" s="203">
        <v>0</v>
      </c>
      <c r="D23" s="515">
        <f>D22-C25</f>
        <v>-107787849.51000001</v>
      </c>
      <c r="E23" s="116"/>
      <c r="F23" s="110"/>
      <c r="G23" s="118"/>
      <c r="H23" s="64"/>
      <c r="I23" s="64"/>
      <c r="J23" s="64"/>
      <c r="K23" s="64"/>
      <c r="L23" s="64"/>
      <c r="M23" s="64"/>
      <c r="N23" s="64"/>
    </row>
    <row r="24" spans="1:14" s="12" customFormat="1" ht="21" customHeight="1">
      <c r="A24" s="69"/>
      <c r="B24" s="36" t="s">
        <v>573</v>
      </c>
      <c r="C24" s="47">
        <f>SUM(C19:C23)</f>
        <v>25383299.009999994</v>
      </c>
      <c r="D24" s="516"/>
      <c r="E24" s="116"/>
      <c r="F24" s="112"/>
      <c r="G24" s="112"/>
      <c r="H24" s="69"/>
      <c r="I24" s="112"/>
      <c r="J24" s="69"/>
      <c r="K24" s="69"/>
      <c r="L24" s="69"/>
      <c r="M24" s="69"/>
      <c r="N24" s="69"/>
    </row>
    <row r="25" spans="1:14" s="12" customFormat="1" ht="32.85" customHeight="1">
      <c r="A25" s="69"/>
      <c r="B25" s="39" t="s">
        <v>574</v>
      </c>
      <c r="C25" s="48">
        <f>C17+C24</f>
        <v>191306176.59</v>
      </c>
      <c r="D25" s="166"/>
      <c r="E25" s="116"/>
      <c r="F25" s="112"/>
      <c r="G25" s="119"/>
      <c r="H25" s="69"/>
      <c r="I25" s="112"/>
      <c r="J25" s="69"/>
      <c r="K25" s="69"/>
      <c r="L25" s="69"/>
      <c r="M25" s="69"/>
      <c r="N25" s="69"/>
    </row>
    <row r="26" spans="1:14" ht="15">
      <c r="A26" s="64"/>
      <c r="B26" s="99"/>
      <c r="C26" s="99"/>
      <c r="D26" s="64"/>
      <c r="E26" s="116"/>
      <c r="F26" s="110"/>
      <c r="G26" s="64"/>
      <c r="H26" s="64"/>
      <c r="I26" s="64"/>
      <c r="J26" s="64"/>
      <c r="K26" s="64"/>
      <c r="L26" s="64"/>
      <c r="M26" s="64"/>
      <c r="N26" s="64"/>
    </row>
    <row r="27" spans="1:14" s="12" customFormat="1" ht="17.850000000000001" customHeight="1">
      <c r="A27" s="69"/>
      <c r="B27" s="111"/>
      <c r="C27" s="111"/>
      <c r="D27" s="112"/>
      <c r="E27" s="117"/>
      <c r="F27" s="69"/>
      <c r="G27" s="69"/>
      <c r="H27" s="69"/>
      <c r="I27" s="69"/>
      <c r="J27" s="69"/>
      <c r="K27" s="69"/>
      <c r="L27" s="69"/>
      <c r="M27" s="69"/>
      <c r="N27" s="69"/>
    </row>
    <row r="28" spans="1:14" s="12" customFormat="1" ht="20.25" customHeight="1">
      <c r="A28" s="69"/>
      <c r="B28" s="70" t="str">
        <f>"ComEd Section 8-103B/8-104 (EEPS) Costs as of "&amp;B10</f>
        <v>ComEd Section 8-103B/8-104 (EEPS) Costs as of CY2025 Q2</v>
      </c>
      <c r="C28" s="111"/>
      <c r="D28" s="69"/>
      <c r="E28" s="69"/>
      <c r="F28" s="69"/>
      <c r="G28" s="69"/>
      <c r="H28" s="69"/>
      <c r="I28" s="69"/>
      <c r="J28" s="69"/>
      <c r="K28" s="69"/>
      <c r="L28" s="69"/>
      <c r="M28" s="69"/>
      <c r="N28" s="69"/>
    </row>
    <row r="29" spans="1:14" ht="36" customHeight="1">
      <c r="A29" s="64"/>
      <c r="B29" s="25" t="s">
        <v>575</v>
      </c>
      <c r="C29" s="25" t="s">
        <v>576</v>
      </c>
      <c r="D29" s="25" t="s">
        <v>577</v>
      </c>
      <c r="E29" s="19" t="s">
        <v>24</v>
      </c>
      <c r="F29" s="64"/>
      <c r="G29" s="64"/>
      <c r="H29" s="64"/>
      <c r="I29" s="64"/>
      <c r="J29" s="64"/>
      <c r="K29" s="64"/>
      <c r="L29" s="64"/>
      <c r="M29" s="64"/>
      <c r="N29" s="64"/>
    </row>
    <row r="30" spans="1:14" s="12" customFormat="1" ht="35.85" customHeight="1">
      <c r="A30" s="69"/>
      <c r="B30" s="38" t="s">
        <v>574</v>
      </c>
      <c r="C30" s="49">
        <f>C25</f>
        <v>191306176.59</v>
      </c>
      <c r="D30" s="49">
        <v>447014912.02193499</v>
      </c>
      <c r="E30" s="194">
        <f>C30/D30</f>
        <v>0.42796374672309057</v>
      </c>
      <c r="F30" s="69"/>
      <c r="G30" s="69"/>
      <c r="H30" s="69"/>
      <c r="I30" s="69"/>
      <c r="J30" s="69"/>
      <c r="K30" s="69"/>
      <c r="L30" s="69"/>
      <c r="M30" s="69"/>
      <c r="N30" s="69"/>
    </row>
    <row r="31" spans="1:14">
      <c r="A31" s="64"/>
      <c r="B31" s="96"/>
      <c r="C31" s="96"/>
      <c r="D31" s="64"/>
      <c r="E31" s="64"/>
      <c r="F31" s="64"/>
      <c r="G31" s="64"/>
      <c r="H31" s="64"/>
      <c r="I31" s="64"/>
      <c r="J31" s="64"/>
      <c r="K31" s="64"/>
      <c r="L31" s="64"/>
      <c r="M31" s="64"/>
      <c r="N31" s="64"/>
    </row>
    <row r="32" spans="1:14">
      <c r="A32" s="64"/>
      <c r="B32" s="96"/>
      <c r="C32" s="121"/>
      <c r="D32" s="121"/>
      <c r="E32" s="64"/>
      <c r="F32" s="64"/>
      <c r="G32" s="64"/>
      <c r="H32" s="64"/>
      <c r="I32" s="64"/>
      <c r="J32" s="64"/>
      <c r="K32" s="64"/>
      <c r="L32" s="64"/>
      <c r="M32" s="64"/>
      <c r="N32" s="64"/>
    </row>
    <row r="33" spans="1:14">
      <c r="A33" s="64"/>
      <c r="B33" s="96"/>
      <c r="C33" s="96"/>
      <c r="D33" s="64"/>
      <c r="E33" s="64"/>
      <c r="F33" s="64"/>
      <c r="G33" s="64"/>
      <c r="H33" s="64"/>
      <c r="I33" s="64"/>
      <c r="J33" s="64"/>
      <c r="K33" s="64"/>
      <c r="L33" s="64"/>
      <c r="M33" s="64"/>
      <c r="N33" s="64"/>
    </row>
    <row r="34" spans="1:14">
      <c r="A34" s="64"/>
      <c r="B34" s="96"/>
      <c r="C34" s="96"/>
      <c r="D34" s="64"/>
      <c r="E34" s="64"/>
      <c r="F34" s="64"/>
      <c r="G34" s="64"/>
      <c r="H34" s="64"/>
      <c r="I34" s="64"/>
      <c r="J34" s="64"/>
      <c r="K34" s="64"/>
      <c r="L34" s="64"/>
      <c r="M34" s="64"/>
      <c r="N34" s="64"/>
    </row>
    <row r="35" spans="1:14">
      <c r="A35" s="64"/>
      <c r="B35" s="96"/>
      <c r="C35" s="96"/>
      <c r="D35" s="64"/>
      <c r="E35" s="64"/>
      <c r="F35" s="64"/>
      <c r="G35" s="64"/>
      <c r="H35" s="64"/>
      <c r="I35" s="64"/>
      <c r="J35" s="64"/>
      <c r="K35" s="64"/>
      <c r="L35" s="64"/>
      <c r="M35" s="64"/>
      <c r="N35" s="64"/>
    </row>
    <row r="36" spans="1:14">
      <c r="A36" s="64"/>
      <c r="B36" s="96"/>
      <c r="C36" s="96"/>
      <c r="D36" s="64"/>
      <c r="E36" s="64"/>
      <c r="F36" s="64"/>
      <c r="G36" s="64"/>
      <c r="H36" s="64"/>
      <c r="I36" s="64"/>
      <c r="J36" s="64"/>
      <c r="K36" s="64"/>
      <c r="L36" s="64"/>
      <c r="M36" s="64"/>
      <c r="N36" s="64"/>
    </row>
    <row r="37" spans="1:14">
      <c r="A37" s="64"/>
      <c r="B37" s="96"/>
      <c r="C37" s="96"/>
      <c r="D37" s="64"/>
      <c r="E37" s="64"/>
      <c r="F37" s="64"/>
      <c r="G37" s="64"/>
      <c r="H37" s="64"/>
      <c r="I37" s="64"/>
      <c r="J37" s="64"/>
      <c r="K37" s="64"/>
      <c r="L37" s="64"/>
      <c r="M37" s="64"/>
      <c r="N37" s="64"/>
    </row>
    <row r="38" spans="1:14">
      <c r="A38" s="64"/>
      <c r="B38" s="96"/>
      <c r="C38" s="96"/>
      <c r="D38" s="64"/>
      <c r="E38" s="64"/>
      <c r="F38" s="64"/>
      <c r="G38" s="64"/>
      <c r="H38" s="64"/>
      <c r="I38" s="64"/>
      <c r="J38" s="64"/>
      <c r="K38" s="64"/>
      <c r="L38" s="64"/>
      <c r="M38" s="64"/>
      <c r="N38" s="64"/>
    </row>
    <row r="39" spans="1:14">
      <c r="A39" s="64"/>
      <c r="B39" s="96"/>
      <c r="C39" s="96"/>
      <c r="D39" s="64"/>
      <c r="E39" s="64"/>
      <c r="F39" s="64"/>
      <c r="G39" s="64"/>
      <c r="H39" s="64"/>
      <c r="I39" s="64"/>
      <c r="J39" s="64"/>
      <c r="K39" s="64"/>
      <c r="L39" s="64"/>
      <c r="M39" s="64"/>
      <c r="N39" s="64"/>
    </row>
    <row r="40" spans="1:14">
      <c r="A40" s="64"/>
      <c r="B40" s="96"/>
      <c r="C40" s="96"/>
      <c r="D40" s="64"/>
      <c r="E40" s="64"/>
      <c r="F40" s="64"/>
      <c r="G40" s="64"/>
      <c r="H40" s="64"/>
      <c r="I40" s="64"/>
      <c r="J40" s="64"/>
      <c r="K40" s="64"/>
      <c r="L40" s="64"/>
      <c r="M40" s="64"/>
      <c r="N40" s="64"/>
    </row>
    <row r="41" spans="1:14">
      <c r="A41" s="64"/>
      <c r="B41" s="96"/>
      <c r="C41" s="96"/>
      <c r="D41" s="64"/>
      <c r="E41" s="64"/>
      <c r="F41" s="64"/>
      <c r="G41" s="64"/>
      <c r="H41" s="64"/>
      <c r="I41" s="64"/>
      <c r="J41" s="64"/>
      <c r="K41" s="64"/>
      <c r="L41" s="64"/>
      <c r="M41" s="64"/>
      <c r="N41" s="64"/>
    </row>
    <row r="42" spans="1:14">
      <c r="A42" s="64"/>
      <c r="B42" s="96"/>
      <c r="C42" s="96"/>
      <c r="D42" s="64"/>
      <c r="E42" s="64"/>
      <c r="F42" s="64"/>
      <c r="G42" s="64"/>
      <c r="H42" s="64"/>
      <c r="I42" s="64"/>
      <c r="J42" s="64"/>
      <c r="K42" s="64"/>
      <c r="L42" s="64"/>
      <c r="M42" s="64"/>
      <c r="N42" s="64"/>
    </row>
    <row r="43" spans="1:14">
      <c r="A43" s="64"/>
      <c r="B43" s="96"/>
      <c r="C43" s="96"/>
      <c r="D43" s="64"/>
      <c r="E43" s="64"/>
      <c r="F43" s="64"/>
      <c r="G43" s="64"/>
      <c r="H43" s="64"/>
      <c r="I43" s="64"/>
      <c r="J43" s="64"/>
      <c r="K43" s="64"/>
      <c r="L43" s="64"/>
      <c r="M43" s="64"/>
      <c r="N43" s="64"/>
    </row>
    <row r="44" spans="1:14">
      <c r="A44" s="64"/>
      <c r="B44" s="96"/>
      <c r="C44" s="96"/>
      <c r="D44" s="64"/>
      <c r="E44" s="64"/>
      <c r="F44" s="64"/>
      <c r="G44" s="64"/>
      <c r="H44" s="64"/>
      <c r="I44" s="64"/>
      <c r="J44" s="64"/>
      <c r="K44" s="64"/>
      <c r="L44" s="64"/>
      <c r="M44" s="64"/>
      <c r="N44" s="64"/>
    </row>
    <row r="45" spans="1:14">
      <c r="A45" s="64"/>
      <c r="B45" s="96"/>
      <c r="C45" s="96"/>
      <c r="D45" s="64"/>
      <c r="E45" s="64"/>
      <c r="F45" s="64"/>
      <c r="G45" s="64"/>
      <c r="H45" s="64"/>
      <c r="I45" s="64"/>
      <c r="J45" s="64"/>
      <c r="K45" s="64"/>
      <c r="L45" s="64"/>
      <c r="M45" s="64"/>
      <c r="N45" s="64"/>
    </row>
    <row r="46" spans="1:14">
      <c r="A46" s="64"/>
      <c r="B46" s="96"/>
      <c r="C46" s="96"/>
      <c r="D46" s="64"/>
      <c r="E46" s="64"/>
      <c r="F46" s="64"/>
      <c r="G46" s="64"/>
      <c r="H46" s="64"/>
      <c r="I46" s="64"/>
      <c r="J46" s="64"/>
      <c r="K46" s="64"/>
      <c r="L46" s="64"/>
      <c r="M46" s="64"/>
      <c r="N46" s="64"/>
    </row>
    <row r="47" spans="1:14">
      <c r="A47" s="64"/>
      <c r="B47" s="96"/>
      <c r="C47" s="96"/>
      <c r="D47" s="64"/>
      <c r="E47" s="64"/>
      <c r="F47" s="64"/>
      <c r="G47" s="64"/>
      <c r="H47" s="64"/>
      <c r="I47" s="64"/>
      <c r="J47" s="64"/>
      <c r="K47" s="64"/>
      <c r="L47" s="64"/>
      <c r="M47" s="64"/>
      <c r="N47" s="64"/>
    </row>
    <row r="48" spans="1:14">
      <c r="A48" s="64"/>
      <c r="B48" s="96"/>
      <c r="C48" s="96"/>
      <c r="D48" s="64"/>
      <c r="E48" s="64"/>
      <c r="F48" s="64"/>
      <c r="G48" s="64"/>
      <c r="H48" s="64"/>
      <c r="I48" s="64"/>
      <c r="J48" s="64"/>
      <c r="K48" s="64"/>
      <c r="L48" s="64"/>
      <c r="M48" s="64"/>
      <c r="N48" s="64"/>
    </row>
    <row r="49" spans="1:14">
      <c r="A49" s="64"/>
      <c r="B49" s="96"/>
      <c r="C49" s="96"/>
      <c r="D49" s="64"/>
      <c r="E49" s="64"/>
      <c r="F49" s="64"/>
      <c r="G49" s="64"/>
      <c r="H49" s="64"/>
      <c r="I49" s="64"/>
      <c r="J49" s="64"/>
      <c r="K49" s="64"/>
      <c r="L49" s="64"/>
      <c r="M49" s="64"/>
      <c r="N49" s="64"/>
    </row>
    <row r="50" spans="1:14">
      <c r="A50" s="64"/>
      <c r="B50" s="96"/>
      <c r="C50" s="96"/>
      <c r="D50" s="64"/>
      <c r="E50" s="64"/>
      <c r="F50" s="64"/>
      <c r="G50" s="64"/>
      <c r="H50" s="64"/>
      <c r="I50" s="64"/>
      <c r="J50" s="64"/>
      <c r="K50" s="64"/>
      <c r="L50" s="64"/>
      <c r="M50" s="64"/>
      <c r="N50" s="64"/>
    </row>
    <row r="51" spans="1:14">
      <c r="A51" s="64"/>
      <c r="B51" s="96"/>
      <c r="C51" s="96"/>
      <c r="D51" s="64"/>
      <c r="E51" s="64"/>
      <c r="F51" s="64"/>
      <c r="G51" s="64"/>
      <c r="H51" s="64"/>
      <c r="I51" s="64"/>
      <c r="J51" s="64"/>
      <c r="K51" s="64"/>
      <c r="L51" s="64"/>
      <c r="M51" s="64"/>
      <c r="N51" s="64"/>
    </row>
    <row r="52" spans="1:14">
      <c r="A52" s="64"/>
      <c r="B52" s="96"/>
      <c r="C52" s="96"/>
      <c r="D52" s="64"/>
      <c r="E52" s="64"/>
      <c r="F52" s="64"/>
      <c r="G52" s="64"/>
      <c r="H52" s="64"/>
      <c r="I52" s="64"/>
      <c r="J52" s="64"/>
      <c r="K52" s="64"/>
      <c r="L52" s="64"/>
      <c r="M52" s="64"/>
      <c r="N52" s="64"/>
    </row>
    <row r="53" spans="1:14">
      <c r="A53" s="64"/>
      <c r="B53" s="96"/>
      <c r="C53" s="96"/>
      <c r="D53" s="64"/>
      <c r="E53" s="64"/>
      <c r="F53" s="64"/>
      <c r="G53" s="64"/>
      <c r="H53" s="64"/>
      <c r="I53" s="64"/>
      <c r="J53" s="64"/>
      <c r="K53" s="64"/>
      <c r="L53" s="64"/>
      <c r="M53" s="64"/>
      <c r="N53" s="64"/>
    </row>
    <row r="54" spans="1:14">
      <c r="A54" s="64"/>
      <c r="B54" s="96"/>
      <c r="C54" s="96"/>
      <c r="D54" s="64"/>
      <c r="E54" s="64"/>
      <c r="F54" s="64"/>
      <c r="G54" s="64"/>
      <c r="H54" s="64"/>
      <c r="I54" s="64"/>
      <c r="J54" s="64"/>
      <c r="K54" s="64"/>
      <c r="L54" s="64"/>
      <c r="M54" s="64"/>
      <c r="N54" s="64"/>
    </row>
    <row r="55" spans="1:14">
      <c r="A55" s="64"/>
      <c r="B55" s="96"/>
      <c r="C55" s="96"/>
      <c r="D55" s="64"/>
      <c r="E55" s="64"/>
      <c r="F55" s="64"/>
      <c r="G55" s="64"/>
      <c r="H55" s="64"/>
      <c r="I55" s="64"/>
      <c r="J55" s="64"/>
      <c r="K55" s="64"/>
      <c r="L55" s="64"/>
      <c r="M55" s="64"/>
      <c r="N55" s="64"/>
    </row>
    <row r="56" spans="1:14">
      <c r="A56" s="64"/>
      <c r="B56" s="96"/>
      <c r="C56" s="96"/>
      <c r="D56" s="64"/>
      <c r="E56" s="64"/>
      <c r="F56" s="64"/>
      <c r="G56" s="64"/>
      <c r="H56" s="64"/>
      <c r="I56" s="64"/>
      <c r="J56" s="64"/>
      <c r="K56" s="64"/>
      <c r="L56" s="64"/>
      <c r="M56" s="64"/>
      <c r="N56" s="64"/>
    </row>
    <row r="57" spans="1:14">
      <c r="A57" s="64"/>
      <c r="B57" s="96"/>
      <c r="C57" s="96"/>
      <c r="D57" s="64"/>
      <c r="E57" s="64"/>
      <c r="F57" s="64"/>
      <c r="G57" s="64"/>
      <c r="H57" s="64"/>
      <c r="I57" s="64"/>
      <c r="J57" s="64"/>
      <c r="K57" s="64"/>
      <c r="L57" s="64"/>
      <c r="M57" s="64"/>
      <c r="N57" s="64"/>
    </row>
    <row r="58" spans="1:14">
      <c r="A58" s="64"/>
      <c r="B58" s="96"/>
      <c r="C58" s="96"/>
      <c r="D58" s="64"/>
      <c r="E58" s="64"/>
      <c r="F58" s="64"/>
      <c r="G58" s="64"/>
      <c r="H58" s="64"/>
      <c r="I58" s="64"/>
      <c r="J58" s="64"/>
      <c r="K58" s="64"/>
      <c r="L58" s="64"/>
      <c r="M58" s="64"/>
      <c r="N58" s="64"/>
    </row>
    <row r="59" spans="1:14">
      <c r="A59" s="64"/>
      <c r="B59" s="96"/>
      <c r="C59" s="96"/>
      <c r="D59" s="64"/>
      <c r="E59" s="64"/>
      <c r="F59" s="64"/>
      <c r="G59" s="64"/>
      <c r="H59" s="64"/>
      <c r="I59" s="64"/>
      <c r="J59" s="64"/>
      <c r="K59" s="64"/>
      <c r="L59" s="64"/>
      <c r="M59" s="64"/>
      <c r="N59" s="64"/>
    </row>
    <row r="60" spans="1:14">
      <c r="A60" s="64"/>
    </row>
    <row r="61" spans="1:14">
      <c r="A61" s="64"/>
    </row>
    <row r="62" spans="1:14">
      <c r="A62" s="64"/>
    </row>
    <row r="63" spans="1:14">
      <c r="A63" s="64"/>
    </row>
    <row r="64" spans="1:14">
      <c r="A64" s="64"/>
    </row>
    <row r="65" spans="1:1">
      <c r="A65" s="64"/>
    </row>
    <row r="66" spans="1:1">
      <c r="A66" s="64"/>
    </row>
    <row r="67" spans="1:1">
      <c r="A67" s="64"/>
    </row>
    <row r="68" spans="1:1">
      <c r="A68" s="64"/>
    </row>
    <row r="69" spans="1:1">
      <c r="A69" s="64"/>
    </row>
    <row r="70" spans="1:1">
      <c r="A70" s="64"/>
    </row>
    <row r="71" spans="1:1">
      <c r="A71" s="64"/>
    </row>
    <row r="72" spans="1:1">
      <c r="A72" s="64"/>
    </row>
    <row r="73" spans="1:1">
      <c r="A73" s="64"/>
    </row>
    <row r="74" spans="1:1">
      <c r="A74" s="64"/>
    </row>
    <row r="75" spans="1:1">
      <c r="A75" s="64"/>
    </row>
    <row r="76" spans="1:1">
      <c r="A76" s="64"/>
    </row>
    <row r="77" spans="1:1">
      <c r="A77" s="64"/>
    </row>
    <row r="78" spans="1:1">
      <c r="A78" s="64"/>
    </row>
    <row r="79" spans="1:1">
      <c r="A79" s="64"/>
    </row>
    <row r="80" spans="1:1">
      <c r="A80" s="64"/>
    </row>
    <row r="81" spans="1:1">
      <c r="A81" s="64"/>
    </row>
    <row r="82" spans="1:1">
      <c r="A82" s="64"/>
    </row>
    <row r="83" spans="1:1">
      <c r="A83" s="64"/>
    </row>
    <row r="84" spans="1:1">
      <c r="A84" s="64"/>
    </row>
    <row r="85" spans="1:1">
      <c r="A85" s="64"/>
    </row>
    <row r="86" spans="1:1">
      <c r="A86" s="64"/>
    </row>
    <row r="87" spans="1:1">
      <c r="A87" s="64"/>
    </row>
    <row r="88" spans="1:1">
      <c r="A88" s="64"/>
    </row>
    <row r="89" spans="1:1">
      <c r="A89" s="64"/>
    </row>
    <row r="90" spans="1:1">
      <c r="A90" s="64"/>
    </row>
    <row r="91" spans="1:1">
      <c r="A91" s="64"/>
    </row>
    <row r="92" spans="1:1">
      <c r="A92" s="64"/>
    </row>
    <row r="93" spans="1:1">
      <c r="A93" s="64"/>
    </row>
    <row r="94" spans="1:1">
      <c r="A94" s="64"/>
    </row>
    <row r="95" spans="1:1">
      <c r="A95" s="64"/>
    </row>
    <row r="96" spans="1:1">
      <c r="A96" s="64"/>
    </row>
    <row r="97" spans="1:1">
      <c r="A97" s="64"/>
    </row>
    <row r="98" spans="1:1">
      <c r="A98" s="64"/>
    </row>
    <row r="99" spans="1:1">
      <c r="A99" s="64"/>
    </row>
    <row r="100" spans="1:1">
      <c r="A100" s="64"/>
    </row>
    <row r="101" spans="1:1">
      <c r="A101" s="64"/>
    </row>
    <row r="102" spans="1:1">
      <c r="A102" s="64"/>
    </row>
    <row r="103" spans="1:1">
      <c r="A103" s="64"/>
    </row>
    <row r="104" spans="1:1">
      <c r="A104" s="64"/>
    </row>
    <row r="105" spans="1:1">
      <c r="A105" s="64"/>
    </row>
    <row r="106" spans="1:1">
      <c r="A106" s="64"/>
    </row>
    <row r="107" spans="1:1">
      <c r="A107" s="64"/>
    </row>
    <row r="108" spans="1:1">
      <c r="A108" s="64"/>
    </row>
    <row r="109" spans="1:1">
      <c r="A109" s="64"/>
    </row>
    <row r="110" spans="1:1">
      <c r="A110" s="64"/>
    </row>
    <row r="111" spans="1:1">
      <c r="A111" s="64"/>
    </row>
    <row r="112" spans="1:1">
      <c r="A112" s="64"/>
    </row>
    <row r="113" spans="1:1">
      <c r="A113" s="64"/>
    </row>
    <row r="114" spans="1:1">
      <c r="A114" s="64"/>
    </row>
    <row r="115" spans="1:1">
      <c r="A115" s="64"/>
    </row>
    <row r="116" spans="1:1">
      <c r="A116" s="64"/>
    </row>
    <row r="117" spans="1:1">
      <c r="A117" s="64"/>
    </row>
    <row r="118" spans="1:1">
      <c r="A118" s="64"/>
    </row>
    <row r="119" spans="1:1">
      <c r="A119" s="64"/>
    </row>
    <row r="120" spans="1:1">
      <c r="A120" s="64"/>
    </row>
    <row r="121" spans="1:1">
      <c r="A121" s="64"/>
    </row>
    <row r="122" spans="1:1">
      <c r="A122" s="64"/>
    </row>
    <row r="123" spans="1:1">
      <c r="A123" s="64"/>
    </row>
    <row r="124" spans="1:1">
      <c r="A124" s="64"/>
    </row>
    <row r="125" spans="1:1">
      <c r="A125" s="64"/>
    </row>
    <row r="126" spans="1:1">
      <c r="A126" s="64"/>
    </row>
    <row r="127" spans="1:1">
      <c r="A127" s="64"/>
    </row>
    <row r="128" spans="1:1">
      <c r="A128" s="64"/>
    </row>
    <row r="129" spans="1:1">
      <c r="A129" s="64"/>
    </row>
    <row r="130" spans="1:1">
      <c r="A130" s="64"/>
    </row>
    <row r="131" spans="1:1">
      <c r="A131" s="64"/>
    </row>
    <row r="132" spans="1:1">
      <c r="A132" s="64"/>
    </row>
    <row r="133" spans="1:1">
      <c r="A133" s="64"/>
    </row>
    <row r="134" spans="1:1">
      <c r="A134" s="64"/>
    </row>
    <row r="135" spans="1:1">
      <c r="A135" s="64"/>
    </row>
    <row r="136" spans="1:1">
      <c r="A136" s="64"/>
    </row>
    <row r="137" spans="1:1">
      <c r="A137" s="64"/>
    </row>
    <row r="138" spans="1:1">
      <c r="A138" s="64"/>
    </row>
    <row r="139" spans="1:1">
      <c r="A139" s="64"/>
    </row>
    <row r="140" spans="1:1">
      <c r="A140" s="64"/>
    </row>
    <row r="141" spans="1:1">
      <c r="A141" s="64"/>
    </row>
    <row r="142" spans="1:1">
      <c r="A142" s="64"/>
    </row>
    <row r="143" spans="1:1">
      <c r="A143" s="64"/>
    </row>
    <row r="144" spans="1:1">
      <c r="A144" s="64"/>
    </row>
    <row r="145" spans="1:1">
      <c r="A145" s="64"/>
    </row>
    <row r="146" spans="1:1">
      <c r="A146" s="64"/>
    </row>
    <row r="147" spans="1:1">
      <c r="A147" s="64"/>
    </row>
    <row r="148" spans="1:1">
      <c r="A148" s="64"/>
    </row>
    <row r="149" spans="1:1">
      <c r="A149" s="64"/>
    </row>
    <row r="150" spans="1:1">
      <c r="A150" s="64"/>
    </row>
    <row r="151" spans="1:1">
      <c r="A151" s="64"/>
    </row>
    <row r="152" spans="1:1">
      <c r="A152" s="64"/>
    </row>
    <row r="153" spans="1:1">
      <c r="A153" s="64"/>
    </row>
    <row r="154" spans="1:1">
      <c r="A154" s="64"/>
    </row>
    <row r="155" spans="1:1">
      <c r="A155" s="64"/>
    </row>
    <row r="156" spans="1:1">
      <c r="A156" s="64"/>
    </row>
    <row r="157" spans="1:1">
      <c r="A157" s="64"/>
    </row>
    <row r="158" spans="1:1">
      <c r="A158" s="64"/>
    </row>
    <row r="159" spans="1:1">
      <c r="A159" s="64"/>
    </row>
    <row r="160" spans="1:1">
      <c r="A160" s="64"/>
    </row>
    <row r="161" spans="1:1">
      <c r="A161" s="64"/>
    </row>
    <row r="162" spans="1:1">
      <c r="A162" s="64"/>
    </row>
    <row r="163" spans="1:1">
      <c r="A163" s="64"/>
    </row>
    <row r="164" spans="1:1">
      <c r="A164" s="64"/>
    </row>
    <row r="165" spans="1:1">
      <c r="A165" s="64"/>
    </row>
    <row r="166" spans="1:1">
      <c r="A166" s="64"/>
    </row>
    <row r="167" spans="1:1">
      <c r="A167" s="64"/>
    </row>
    <row r="168" spans="1:1">
      <c r="A168" s="64"/>
    </row>
    <row r="169" spans="1:1">
      <c r="A169" s="64"/>
    </row>
    <row r="170" spans="1:1">
      <c r="A170" s="64"/>
    </row>
    <row r="171" spans="1:1">
      <c r="A171" s="64"/>
    </row>
    <row r="172" spans="1:1">
      <c r="A172" s="64"/>
    </row>
    <row r="173" spans="1:1">
      <c r="A173" s="64"/>
    </row>
    <row r="174" spans="1:1">
      <c r="A174" s="64"/>
    </row>
    <row r="175" spans="1:1">
      <c r="A175" s="64"/>
    </row>
    <row r="176" spans="1:1">
      <c r="A176" s="64"/>
    </row>
    <row r="177" spans="1:1">
      <c r="A177" s="64"/>
    </row>
    <row r="178" spans="1:1">
      <c r="A178" s="64"/>
    </row>
    <row r="179" spans="1:1">
      <c r="A179" s="64"/>
    </row>
    <row r="180" spans="1:1">
      <c r="A180" s="64"/>
    </row>
    <row r="181" spans="1:1">
      <c r="A181" s="64"/>
    </row>
    <row r="182" spans="1:1">
      <c r="A182" s="64"/>
    </row>
    <row r="183" spans="1:1">
      <c r="A183" s="64"/>
    </row>
    <row r="184" spans="1:1">
      <c r="A184" s="64"/>
    </row>
    <row r="185" spans="1:1">
      <c r="A185" s="64"/>
    </row>
    <row r="186" spans="1:1">
      <c r="A186" s="64"/>
    </row>
    <row r="187" spans="1:1">
      <c r="A187" s="64"/>
    </row>
    <row r="188" spans="1:1">
      <c r="A188" s="64"/>
    </row>
    <row r="189" spans="1:1">
      <c r="A189" s="64"/>
    </row>
    <row r="190" spans="1:1">
      <c r="A190" s="64"/>
    </row>
    <row r="191" spans="1:1">
      <c r="A191" s="64"/>
    </row>
    <row r="192" spans="1:1">
      <c r="A192" s="64"/>
    </row>
    <row r="193" spans="1:1">
      <c r="A193" s="64"/>
    </row>
    <row r="194" spans="1:1">
      <c r="A194" s="64"/>
    </row>
    <row r="195" spans="1:1">
      <c r="A195" s="64"/>
    </row>
    <row r="196" spans="1:1">
      <c r="A196" s="64"/>
    </row>
    <row r="197" spans="1:1">
      <c r="A197" s="64"/>
    </row>
    <row r="198" spans="1:1">
      <c r="A198" s="64"/>
    </row>
    <row r="199" spans="1:1">
      <c r="A199" s="64"/>
    </row>
    <row r="200" spans="1:1">
      <c r="A200" s="64"/>
    </row>
    <row r="201" spans="1:1">
      <c r="A201" s="64"/>
    </row>
    <row r="202" spans="1:1">
      <c r="A202" s="64"/>
    </row>
    <row r="203" spans="1:1">
      <c r="A203" s="64"/>
    </row>
    <row r="204" spans="1:1">
      <c r="A204" s="64"/>
    </row>
    <row r="205" spans="1:1">
      <c r="A205" s="64"/>
    </row>
    <row r="206" spans="1:1">
      <c r="A206" s="64"/>
    </row>
    <row r="207" spans="1:1">
      <c r="A207" s="64"/>
    </row>
    <row r="208" spans="1:1">
      <c r="A208" s="64"/>
    </row>
    <row r="209" spans="1:1">
      <c r="A209" s="64"/>
    </row>
    <row r="210" spans="1:1">
      <c r="A210" s="64"/>
    </row>
    <row r="211" spans="1:1">
      <c r="A211" s="64"/>
    </row>
    <row r="212" spans="1:1">
      <c r="A212" s="64"/>
    </row>
    <row r="213" spans="1:1">
      <c r="A213" s="64"/>
    </row>
    <row r="214" spans="1:1">
      <c r="A214" s="64"/>
    </row>
    <row r="215" spans="1:1">
      <c r="A215" s="64"/>
    </row>
    <row r="216" spans="1:1">
      <c r="A216" s="64"/>
    </row>
    <row r="217" spans="1:1">
      <c r="A217" s="64"/>
    </row>
    <row r="218" spans="1:1">
      <c r="A218" s="64"/>
    </row>
    <row r="219" spans="1:1">
      <c r="A219" s="64"/>
    </row>
    <row r="220" spans="1:1">
      <c r="A220" s="64"/>
    </row>
    <row r="221" spans="1:1">
      <c r="A221" s="64"/>
    </row>
    <row r="222" spans="1:1">
      <c r="A222" s="64"/>
    </row>
    <row r="223" spans="1:1">
      <c r="A223" s="64"/>
    </row>
    <row r="224" spans="1:1">
      <c r="A224" s="64"/>
    </row>
    <row r="225" spans="1:1">
      <c r="A225" s="64"/>
    </row>
    <row r="226" spans="1:1">
      <c r="A226" s="64"/>
    </row>
    <row r="227" spans="1:1">
      <c r="A227" s="64"/>
    </row>
    <row r="228" spans="1:1">
      <c r="A228" s="64"/>
    </row>
    <row r="229" spans="1:1">
      <c r="A229" s="64"/>
    </row>
    <row r="230" spans="1:1">
      <c r="A230" s="64"/>
    </row>
    <row r="231" spans="1:1">
      <c r="A231" s="64"/>
    </row>
    <row r="232" spans="1:1">
      <c r="A232" s="64"/>
    </row>
    <row r="233" spans="1:1">
      <c r="A233" s="64"/>
    </row>
    <row r="234" spans="1:1">
      <c r="A234" s="64"/>
    </row>
    <row r="235" spans="1:1">
      <c r="A235" s="64"/>
    </row>
    <row r="236" spans="1:1">
      <c r="A236" s="64"/>
    </row>
    <row r="237" spans="1:1">
      <c r="A237" s="64"/>
    </row>
    <row r="238" spans="1:1">
      <c r="A238" s="64"/>
    </row>
    <row r="239" spans="1:1">
      <c r="A239" s="64"/>
    </row>
    <row r="240" spans="1:1">
      <c r="A240" s="64"/>
    </row>
    <row r="241" spans="1:1">
      <c r="A241" s="64"/>
    </row>
    <row r="242" spans="1:1">
      <c r="A242" s="64"/>
    </row>
    <row r="243" spans="1:1">
      <c r="A243" s="64"/>
    </row>
    <row r="244" spans="1:1">
      <c r="A244" s="64"/>
    </row>
  </sheetData>
  <mergeCells count="3">
    <mergeCell ref="B12:C12"/>
    <mergeCell ref="B18:C18"/>
    <mergeCell ref="B5:E7"/>
  </mergeCells>
  <printOptions horizontalCentered="1" headings="1"/>
  <pageMargins left="1" right="1" top="1.25" bottom="1" header="0.5" footer="0.5"/>
  <pageSetup scale="64" orientation="portrait" r:id="rId1"/>
  <headerFooter scaleWithDoc="0">
    <oddHeader>&amp;R&amp;"Arial,Bold"ICC Docket No. 17-0312
Statewide Quarterly Report ComEd 2019 Q4 
Tab: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89318521683403E-2"/>
    <pageSetUpPr fitToPage="1"/>
  </sheetPr>
  <dimension ref="A1:V153"/>
  <sheetViews>
    <sheetView topLeftCell="A21" workbookViewId="0">
      <selection activeCell="E34" sqref="E34"/>
    </sheetView>
  </sheetViews>
  <sheetFormatPr defaultColWidth="0" defaultRowHeight="15" zeroHeight="1"/>
  <cols>
    <col min="1" max="1" width="5.85546875" customWidth="1"/>
    <col min="2" max="2" width="18.5703125" style="12" customWidth="1"/>
    <col min="3" max="3" width="22.140625" customWidth="1"/>
    <col min="4" max="4" width="24.140625" customWidth="1"/>
    <col min="5" max="6" width="18.5703125" customWidth="1"/>
    <col min="7" max="7" width="19.140625" customWidth="1"/>
    <col min="8" max="8" width="3.140625" customWidth="1"/>
    <col min="9" max="9" width="31.5703125" customWidth="1"/>
    <col min="10" max="10" width="32.7109375" style="208" bestFit="1" customWidth="1"/>
    <col min="11" max="11" width="42.7109375" style="208" bestFit="1" customWidth="1"/>
    <col min="12" max="15" width="17.7109375" style="208" bestFit="1" customWidth="1"/>
    <col min="16" max="16" width="29.140625" style="208" bestFit="1" customWidth="1"/>
    <col min="17" max="18" width="17.140625" style="208" bestFit="1" customWidth="1"/>
    <col min="19" max="19" width="12.140625" customWidth="1"/>
    <col min="20" max="20" width="9.140625" customWidth="1"/>
    <col min="21" max="22" width="0" hidden="1" customWidth="1"/>
    <col min="23" max="16384" width="9.140625" hidden="1"/>
  </cols>
  <sheetData>
    <row r="1" spans="1:22">
      <c r="A1" s="64"/>
      <c r="B1" s="70" t="s">
        <v>0</v>
      </c>
      <c r="C1" s="64"/>
      <c r="D1" s="64"/>
      <c r="E1" s="64"/>
      <c r="F1" s="64"/>
      <c r="G1" s="64"/>
      <c r="H1" s="64"/>
      <c r="I1" s="64"/>
      <c r="J1" s="207"/>
      <c r="K1" s="207"/>
      <c r="L1" s="207"/>
      <c r="M1" s="207"/>
      <c r="N1" s="207"/>
      <c r="O1" s="207"/>
      <c r="P1" s="207"/>
      <c r="Q1" s="207"/>
      <c r="R1" s="207"/>
      <c r="S1" s="64"/>
      <c r="T1" s="64"/>
      <c r="U1" s="64"/>
      <c r="V1" s="64"/>
    </row>
    <row r="2" spans="1:22">
      <c r="A2" s="64"/>
      <c r="B2" s="70" t="s">
        <v>578</v>
      </c>
      <c r="C2" s="64"/>
      <c r="D2" s="64"/>
      <c r="E2" s="64"/>
      <c r="F2" s="64"/>
      <c r="G2" s="64"/>
      <c r="H2" s="64"/>
      <c r="I2" s="64"/>
      <c r="J2" s="207"/>
      <c r="K2" s="207"/>
      <c r="L2" s="207"/>
      <c r="M2" s="207"/>
      <c r="N2" s="207"/>
      <c r="O2" s="207"/>
      <c r="P2" s="207"/>
      <c r="Q2" s="207"/>
      <c r="R2" s="207"/>
      <c r="S2" s="64"/>
      <c r="T2" s="64"/>
      <c r="U2" s="64"/>
      <c r="V2" s="64"/>
    </row>
    <row r="3" spans="1:22">
      <c r="A3" s="64"/>
      <c r="B3" s="70"/>
      <c r="C3" s="64"/>
      <c r="D3" s="64"/>
      <c r="E3" s="64"/>
      <c r="F3" s="64"/>
      <c r="G3" s="64"/>
      <c r="H3" s="64"/>
      <c r="I3" s="64"/>
      <c r="J3" s="207"/>
      <c r="K3" s="207"/>
      <c r="L3" s="207"/>
      <c r="M3" s="207"/>
      <c r="N3" s="207"/>
      <c r="O3" s="207"/>
      <c r="P3" s="207"/>
      <c r="Q3" s="207"/>
      <c r="R3" s="207"/>
      <c r="S3" s="64"/>
      <c r="T3" s="64"/>
      <c r="U3" s="64"/>
      <c r="V3" s="64"/>
    </row>
    <row r="4" spans="1:22">
      <c r="A4" s="64"/>
      <c r="B4" s="70"/>
      <c r="C4" s="64"/>
      <c r="D4" s="64"/>
      <c r="E4" s="64"/>
      <c r="F4" s="64"/>
      <c r="G4" s="64"/>
      <c r="H4" s="64"/>
      <c r="I4" s="64"/>
      <c r="J4" s="207"/>
      <c r="K4" s="207"/>
      <c r="L4" s="207"/>
      <c r="M4" s="207"/>
      <c r="N4" s="207"/>
      <c r="O4" s="207"/>
      <c r="P4" s="207"/>
      <c r="Q4" s="207"/>
      <c r="R4" s="207"/>
      <c r="S4" s="64"/>
      <c r="T4" s="64"/>
      <c r="U4" s="64"/>
      <c r="V4" s="64"/>
    </row>
    <row r="5" spans="1:22" ht="14.85" customHeight="1">
      <c r="A5" s="64"/>
      <c r="B5" s="558" t="s">
        <v>579</v>
      </c>
      <c r="C5" s="558"/>
      <c r="D5" s="558"/>
      <c r="E5" s="558"/>
      <c r="F5" s="558"/>
      <c r="G5" s="558"/>
      <c r="H5" s="64"/>
      <c r="I5" s="64"/>
      <c r="J5" s="207"/>
      <c r="K5" s="207"/>
      <c r="L5" s="207"/>
      <c r="M5" s="207"/>
      <c r="N5" s="207"/>
      <c r="O5" s="207"/>
      <c r="P5" s="207"/>
      <c r="Q5" s="207"/>
      <c r="R5" s="207"/>
      <c r="S5" s="64"/>
      <c r="T5" s="64"/>
      <c r="U5" s="64"/>
      <c r="V5" s="64"/>
    </row>
    <row r="6" spans="1:22">
      <c r="A6" s="64"/>
      <c r="B6" s="558"/>
      <c r="C6" s="558"/>
      <c r="D6" s="558"/>
      <c r="E6" s="558"/>
      <c r="F6" s="558"/>
      <c r="G6" s="558"/>
      <c r="H6" s="64"/>
      <c r="I6" s="64"/>
      <c r="J6" s="207"/>
      <c r="K6" s="207"/>
      <c r="L6" s="207"/>
      <c r="M6" s="207"/>
      <c r="N6" s="207"/>
      <c r="O6" s="207"/>
      <c r="P6" s="207"/>
      <c r="Q6" s="207"/>
      <c r="R6" s="207"/>
      <c r="S6" s="64"/>
      <c r="T6" s="64"/>
      <c r="U6" s="64"/>
      <c r="V6" s="64"/>
    </row>
    <row r="7" spans="1:22">
      <c r="A7" s="64"/>
      <c r="B7" s="558"/>
      <c r="C7" s="558"/>
      <c r="D7" s="558"/>
      <c r="E7" s="558"/>
      <c r="F7" s="558"/>
      <c r="G7" s="558"/>
      <c r="H7" s="64"/>
      <c r="I7" s="64"/>
      <c r="J7" s="207"/>
      <c r="K7" s="207"/>
      <c r="L7" s="207"/>
      <c r="M7" s="207"/>
      <c r="N7" s="207"/>
      <c r="O7" s="207"/>
      <c r="P7" s="207"/>
      <c r="Q7" s="207"/>
      <c r="R7" s="207"/>
      <c r="S7" s="64"/>
      <c r="T7" s="64"/>
      <c r="U7" s="64"/>
      <c r="V7" s="64"/>
    </row>
    <row r="8" spans="1:22">
      <c r="A8" s="64"/>
      <c r="B8" s="558"/>
      <c r="C8" s="558"/>
      <c r="D8" s="558"/>
      <c r="E8" s="558"/>
      <c r="F8" s="558"/>
      <c r="G8" s="558"/>
      <c r="H8" s="64"/>
      <c r="I8" s="64"/>
      <c r="J8" s="207"/>
      <c r="K8" s="207"/>
      <c r="L8" s="207"/>
      <c r="M8" s="207"/>
      <c r="N8" s="207"/>
      <c r="O8" s="207"/>
      <c r="P8" s="207"/>
      <c r="Q8" s="207"/>
      <c r="R8" s="207"/>
      <c r="S8" s="64"/>
      <c r="T8" s="64"/>
      <c r="U8" s="64"/>
      <c r="V8" s="64"/>
    </row>
    <row r="9" spans="1:22">
      <c r="A9" s="64"/>
      <c r="B9" s="558"/>
      <c r="C9" s="558"/>
      <c r="D9" s="558"/>
      <c r="E9" s="558"/>
      <c r="F9" s="558"/>
      <c r="G9" s="558"/>
      <c r="H9" s="64"/>
      <c r="I9" s="64"/>
      <c r="J9" s="207"/>
      <c r="K9" s="207"/>
      <c r="L9" s="207"/>
      <c r="M9" s="207"/>
      <c r="N9" s="207"/>
      <c r="O9" s="207"/>
      <c r="P9" s="207"/>
      <c r="Q9" s="207"/>
      <c r="R9" s="207"/>
      <c r="S9" s="64"/>
      <c r="T9" s="64"/>
      <c r="U9" s="64"/>
      <c r="V9" s="64"/>
    </row>
    <row r="10" spans="1:22">
      <c r="A10" s="64"/>
      <c r="B10" s="69"/>
      <c r="C10" s="64"/>
      <c r="D10" s="64"/>
      <c r="E10" s="64"/>
      <c r="F10" s="64"/>
      <c r="G10" s="64"/>
      <c r="H10" s="64"/>
      <c r="I10" s="64"/>
      <c r="J10" s="207"/>
      <c r="K10" s="207"/>
      <c r="L10" s="207"/>
      <c r="M10" s="207"/>
      <c r="N10" s="207"/>
      <c r="O10" s="207"/>
      <c r="P10" s="207"/>
      <c r="Q10" s="207"/>
      <c r="R10" s="207"/>
      <c r="S10" s="64"/>
      <c r="T10" s="64"/>
      <c r="U10" s="64"/>
      <c r="V10" s="64"/>
    </row>
    <row r="11" spans="1:22" ht="18">
      <c r="A11" s="64"/>
      <c r="B11" s="72" t="s">
        <v>580</v>
      </c>
      <c r="C11" s="72"/>
      <c r="D11" s="73"/>
      <c r="E11" s="73"/>
      <c r="F11" s="73"/>
      <c r="G11" s="73"/>
      <c r="H11" s="64"/>
      <c r="I11" s="136" t="s">
        <v>581</v>
      </c>
      <c r="J11" s="207"/>
      <c r="K11" s="207"/>
      <c r="L11" s="207"/>
      <c r="M11" s="207"/>
      <c r="N11" s="207"/>
      <c r="O11" s="207"/>
      <c r="P11" s="207"/>
      <c r="Q11" s="207"/>
      <c r="R11" s="207"/>
      <c r="S11" s="64"/>
      <c r="T11" s="64"/>
      <c r="U11" s="64"/>
      <c r="V11" s="64"/>
    </row>
    <row r="12" spans="1:22" ht="18" customHeight="1">
      <c r="A12" s="64"/>
      <c r="B12" s="199" t="str">
        <f>'1- Ex Ante Results'!C19</f>
        <v>CY2025 Q2</v>
      </c>
      <c r="C12" s="74"/>
      <c r="D12" s="73"/>
      <c r="E12" s="73"/>
      <c r="F12" s="73"/>
      <c r="G12" s="73"/>
      <c r="H12" s="64"/>
      <c r="I12" s="137"/>
      <c r="J12" s="207"/>
      <c r="K12" s="207"/>
      <c r="L12" s="207"/>
      <c r="M12" s="207"/>
      <c r="N12" s="207"/>
      <c r="O12" s="207"/>
      <c r="P12" s="207"/>
      <c r="Q12" s="207"/>
      <c r="R12" s="207"/>
      <c r="S12" s="64"/>
      <c r="T12" s="64"/>
      <c r="U12" s="64"/>
      <c r="V12" s="64"/>
    </row>
    <row r="13" spans="1:22" s="12" customFormat="1" ht="64.349999999999994" customHeight="1">
      <c r="A13" s="69"/>
      <c r="B13" s="11" t="s">
        <v>582</v>
      </c>
      <c r="C13" s="5" t="s">
        <v>583</v>
      </c>
      <c r="D13" s="5" t="s">
        <v>584</v>
      </c>
      <c r="E13" s="5" t="s">
        <v>585</v>
      </c>
      <c r="F13" s="5" t="s">
        <v>586</v>
      </c>
      <c r="G13" s="5" t="s">
        <v>587</v>
      </c>
      <c r="H13" s="69"/>
      <c r="I13" s="11" t="s">
        <v>588</v>
      </c>
      <c r="J13" s="5" t="s">
        <v>589</v>
      </c>
      <c r="K13" s="5" t="s">
        <v>590</v>
      </c>
      <c r="L13" s="5" t="s">
        <v>591</v>
      </c>
      <c r="M13" s="5" t="s">
        <v>592</v>
      </c>
      <c r="N13" s="5" t="s">
        <v>593</v>
      </c>
      <c r="O13" s="5" t="s">
        <v>594</v>
      </c>
      <c r="P13" s="5" t="s">
        <v>595</v>
      </c>
      <c r="Q13" s="5" t="s">
        <v>596</v>
      </c>
      <c r="R13" s="5" t="s">
        <v>597</v>
      </c>
      <c r="S13" s="69"/>
      <c r="T13" s="69"/>
      <c r="U13" s="69"/>
      <c r="V13" s="69"/>
    </row>
    <row r="14" spans="1:22" ht="31.35" customHeight="1">
      <c r="A14" s="64"/>
      <c r="B14" s="45" t="s">
        <v>598</v>
      </c>
      <c r="C14" s="7" t="s">
        <v>599</v>
      </c>
      <c r="D14" s="8">
        <v>163717</v>
      </c>
      <c r="E14" s="8">
        <v>148842</v>
      </c>
      <c r="F14" s="8">
        <f>E14</f>
        <v>148842</v>
      </c>
      <c r="G14" s="9">
        <f>D14/F14</f>
        <v>1.0999381894895257</v>
      </c>
      <c r="H14" s="64"/>
      <c r="I14" s="33" t="s">
        <v>600</v>
      </c>
      <c r="J14" s="210">
        <v>18636</v>
      </c>
      <c r="K14" s="210">
        <v>34038</v>
      </c>
      <c r="L14" s="210">
        <v>54130</v>
      </c>
      <c r="M14" s="210">
        <v>107640</v>
      </c>
      <c r="N14" s="210">
        <v>98944</v>
      </c>
      <c r="O14" s="210">
        <v>86439</v>
      </c>
      <c r="P14" s="210">
        <v>85124.305999999997</v>
      </c>
      <c r="Q14" s="211">
        <v>30340.597000000002</v>
      </c>
      <c r="R14" s="210">
        <v>171941.09</v>
      </c>
      <c r="S14" s="64"/>
      <c r="T14" s="64"/>
      <c r="U14" s="64"/>
      <c r="V14" s="64"/>
    </row>
    <row r="15" spans="1:22" s="12" customFormat="1" ht="31.35" customHeight="1">
      <c r="A15" s="69"/>
      <c r="B15" s="45" t="s">
        <v>601</v>
      </c>
      <c r="C15" s="7" t="s">
        <v>599</v>
      </c>
      <c r="D15" s="31">
        <v>472132</v>
      </c>
      <c r="E15" s="31">
        <v>312339</v>
      </c>
      <c r="F15" s="8">
        <f>E15</f>
        <v>312339</v>
      </c>
      <c r="G15" s="32">
        <f t="shared" ref="G15:G30" si="0">D15/F15</f>
        <v>1.5116011769263524</v>
      </c>
      <c r="H15" s="69"/>
      <c r="I15" s="29" t="s">
        <v>602</v>
      </c>
      <c r="J15" s="206" t="s">
        <v>599</v>
      </c>
      <c r="K15" s="206" t="s">
        <v>599</v>
      </c>
      <c r="L15" s="206" t="s">
        <v>599</v>
      </c>
      <c r="M15" s="206" t="s">
        <v>599</v>
      </c>
      <c r="N15" s="206" t="s">
        <v>599</v>
      </c>
      <c r="O15" s="206" t="s">
        <v>599</v>
      </c>
      <c r="P15" s="206" t="s">
        <v>603</v>
      </c>
      <c r="Q15" s="206" t="s">
        <v>603</v>
      </c>
      <c r="R15" s="206" t="s">
        <v>603</v>
      </c>
      <c r="S15" s="69"/>
      <c r="T15" s="69"/>
      <c r="U15" s="69"/>
      <c r="V15" s="69"/>
    </row>
    <row r="16" spans="1:22" ht="48" customHeight="1">
      <c r="A16" s="64"/>
      <c r="B16" s="45" t="s">
        <v>604</v>
      </c>
      <c r="C16" s="7" t="s">
        <v>599</v>
      </c>
      <c r="D16" s="8">
        <v>626715</v>
      </c>
      <c r="E16" s="8">
        <v>458919</v>
      </c>
      <c r="F16" s="8">
        <f>E16</f>
        <v>458919</v>
      </c>
      <c r="G16" s="9">
        <f t="shared" si="0"/>
        <v>1.3656331509482065</v>
      </c>
      <c r="H16" s="64"/>
      <c r="I16" s="41" t="s">
        <v>605</v>
      </c>
      <c r="J16" s="209" t="s">
        <v>606</v>
      </c>
      <c r="K16" s="209" t="s">
        <v>607</v>
      </c>
      <c r="L16" s="205" t="s">
        <v>608</v>
      </c>
      <c r="M16" s="205" t="s">
        <v>609</v>
      </c>
      <c r="N16" s="205" t="s">
        <v>610</v>
      </c>
      <c r="O16" s="205" t="s">
        <v>611</v>
      </c>
      <c r="P16" s="209" t="s">
        <v>612</v>
      </c>
      <c r="Q16" s="205" t="s">
        <v>613</v>
      </c>
      <c r="R16" s="205" t="s">
        <v>613</v>
      </c>
      <c r="S16" s="64"/>
      <c r="T16" s="64"/>
      <c r="U16" s="64"/>
      <c r="V16" s="64"/>
    </row>
    <row r="17" spans="1:22" ht="28.5">
      <c r="A17" s="64"/>
      <c r="B17" s="35" t="s">
        <v>614</v>
      </c>
      <c r="C17" s="21"/>
      <c r="D17" s="22">
        <f>SUM(D14:D16)</f>
        <v>1262564</v>
      </c>
      <c r="E17" s="22">
        <f>SUM(E14:E16)</f>
        <v>920100</v>
      </c>
      <c r="F17" s="22">
        <f>SUM(F14:F16)</f>
        <v>920100</v>
      </c>
      <c r="G17" s="23">
        <f t="shared" si="0"/>
        <v>1.3722030214107162</v>
      </c>
      <c r="H17" s="64"/>
      <c r="I17" s="153"/>
      <c r="J17" s="207"/>
      <c r="K17" s="207"/>
      <c r="L17" s="207"/>
      <c r="M17" s="207"/>
      <c r="N17" s="207"/>
      <c r="O17" s="207"/>
      <c r="P17" s="207"/>
      <c r="Q17" s="207"/>
      <c r="R17" s="207"/>
      <c r="S17" s="64"/>
      <c r="T17" s="64"/>
      <c r="U17" s="64"/>
      <c r="V17" s="64"/>
    </row>
    <row r="18" spans="1:22" ht="31.35" customHeight="1">
      <c r="A18" s="64"/>
      <c r="B18" s="45" t="s">
        <v>615</v>
      </c>
      <c r="C18" s="7" t="s">
        <v>599</v>
      </c>
      <c r="D18" s="8">
        <v>944111</v>
      </c>
      <c r="E18" s="8">
        <v>610804</v>
      </c>
      <c r="F18" s="8">
        <f>E18</f>
        <v>610804</v>
      </c>
      <c r="G18" s="9">
        <f t="shared" si="0"/>
        <v>1.5456856864067687</v>
      </c>
      <c r="H18" s="64"/>
      <c r="I18" s="153" t="s">
        <v>206</v>
      </c>
      <c r="J18" s="207"/>
      <c r="K18" s="207"/>
      <c r="L18" s="207"/>
      <c r="M18" s="207"/>
      <c r="N18" s="207"/>
      <c r="O18" s="207"/>
      <c r="P18" s="207"/>
      <c r="Q18" s="207"/>
      <c r="R18" s="207"/>
      <c r="S18" s="64"/>
      <c r="T18" s="64"/>
      <c r="U18" s="64"/>
      <c r="V18" s="64"/>
    </row>
    <row r="19" spans="1:22" ht="31.35" customHeight="1">
      <c r="A19" s="64"/>
      <c r="B19" s="45" t="s">
        <v>616</v>
      </c>
      <c r="C19" s="7" t="s">
        <v>599</v>
      </c>
      <c r="D19" s="8">
        <v>942061</v>
      </c>
      <c r="E19" s="8">
        <v>806353</v>
      </c>
      <c r="F19" s="8">
        <f>E19</f>
        <v>806353</v>
      </c>
      <c r="G19" s="9">
        <f t="shared" si="0"/>
        <v>1.1682984995405239</v>
      </c>
      <c r="H19" s="64"/>
      <c r="I19" s="526" t="s">
        <v>617</v>
      </c>
      <c r="J19" s="527"/>
      <c r="K19" s="527"/>
      <c r="L19" s="527"/>
      <c r="M19" s="527"/>
      <c r="N19" s="527"/>
      <c r="O19" s="527"/>
      <c r="P19" s="527"/>
      <c r="Q19" s="527"/>
      <c r="R19" s="528"/>
      <c r="S19" s="64"/>
      <c r="T19" s="64"/>
      <c r="U19" s="64"/>
      <c r="V19" s="64"/>
    </row>
    <row r="20" spans="1:22" ht="31.35" customHeight="1">
      <c r="A20" s="64"/>
      <c r="B20" s="45" t="s">
        <v>618</v>
      </c>
      <c r="C20" s="7" t="s">
        <v>599</v>
      </c>
      <c r="D20" s="8">
        <v>977911</v>
      </c>
      <c r="E20" s="8">
        <v>809556</v>
      </c>
      <c r="F20" s="8">
        <v>791103</v>
      </c>
      <c r="G20" s="9">
        <f t="shared" si="0"/>
        <v>1.2361361289237938</v>
      </c>
      <c r="H20" s="64"/>
      <c r="I20" s="526" t="s">
        <v>619</v>
      </c>
      <c r="J20" s="527"/>
      <c r="K20" s="527"/>
      <c r="L20" s="527"/>
      <c r="M20" s="527"/>
      <c r="N20" s="527"/>
      <c r="O20" s="527"/>
      <c r="P20" s="527"/>
      <c r="Q20" s="527"/>
      <c r="R20" s="528"/>
      <c r="S20" s="64"/>
      <c r="T20" s="64"/>
      <c r="U20" s="64"/>
      <c r="V20" s="64"/>
    </row>
    <row r="21" spans="1:22" ht="43.5" customHeight="1">
      <c r="A21" s="64"/>
      <c r="B21" s="35" t="s">
        <v>620</v>
      </c>
      <c r="C21" s="21"/>
      <c r="D21" s="22">
        <f>SUM(D18:D20)</f>
        <v>2864083</v>
      </c>
      <c r="E21" s="22">
        <f>SUM(E18:E20)</f>
        <v>2226713</v>
      </c>
      <c r="F21" s="22">
        <f>SUM(F18:F20)</f>
        <v>2208260</v>
      </c>
      <c r="G21" s="23">
        <f t="shared" si="0"/>
        <v>1.2969863150172534</v>
      </c>
      <c r="H21" s="64"/>
      <c r="I21" s="64"/>
      <c r="J21" s="207"/>
      <c r="K21" s="207"/>
      <c r="L21" s="207"/>
      <c r="M21" s="207"/>
      <c r="N21" s="207"/>
      <c r="O21" s="207"/>
      <c r="P21" s="207"/>
      <c r="Q21" s="207"/>
      <c r="R21" s="207"/>
      <c r="S21" s="64"/>
      <c r="T21" s="64"/>
      <c r="U21" s="64"/>
      <c r="V21" s="64"/>
    </row>
    <row r="22" spans="1:22" ht="31.35" customHeight="1">
      <c r="A22" s="64"/>
      <c r="B22" s="45" t="s">
        <v>621</v>
      </c>
      <c r="C22" s="7" t="s">
        <v>603</v>
      </c>
      <c r="D22" s="8">
        <v>809877.65800000005</v>
      </c>
      <c r="E22" s="8">
        <v>648029</v>
      </c>
      <c r="F22" s="55">
        <f>E22</f>
        <v>648029</v>
      </c>
      <c r="G22" s="9">
        <f t="shared" si="0"/>
        <v>1.2497552702116728</v>
      </c>
      <c r="H22" s="64"/>
      <c r="I22" s="64"/>
      <c r="J22" s="207"/>
      <c r="K22" s="207"/>
      <c r="L22" s="207"/>
      <c r="M22" s="207"/>
      <c r="N22" s="207"/>
      <c r="O22" s="207"/>
      <c r="P22" s="207"/>
      <c r="Q22" s="207"/>
      <c r="R22" s="207"/>
      <c r="S22" s="64"/>
      <c r="T22" s="64"/>
      <c r="U22" s="64"/>
      <c r="V22" s="64"/>
    </row>
    <row r="23" spans="1:22" ht="31.35" customHeight="1">
      <c r="A23" s="64"/>
      <c r="B23" s="45" t="s">
        <v>622</v>
      </c>
      <c r="C23" s="7" t="s">
        <v>603</v>
      </c>
      <c r="D23" s="8">
        <v>671027.05099999998</v>
      </c>
      <c r="E23" s="8">
        <v>541983</v>
      </c>
      <c r="F23" s="55">
        <f>E23</f>
        <v>541983</v>
      </c>
      <c r="G23" s="9">
        <f t="shared" si="0"/>
        <v>1.2380961229411254</v>
      </c>
      <c r="H23" s="64"/>
      <c r="I23" s="64"/>
      <c r="J23" s="207"/>
      <c r="K23" s="207"/>
      <c r="L23" s="207"/>
      <c r="M23" s="207"/>
      <c r="N23" s="207"/>
      <c r="O23" s="207"/>
      <c r="P23" s="207"/>
      <c r="Q23" s="207"/>
      <c r="R23" s="207"/>
      <c r="S23" s="64"/>
      <c r="T23" s="64"/>
      <c r="U23" s="64"/>
      <c r="V23" s="64"/>
    </row>
    <row r="24" spans="1:22" ht="31.35" customHeight="1">
      <c r="A24" s="64"/>
      <c r="B24" s="45" t="s">
        <v>623</v>
      </c>
      <c r="C24" s="10" t="s">
        <v>603</v>
      </c>
      <c r="D24" s="8">
        <v>1087076</v>
      </c>
      <c r="E24" s="8">
        <v>787629</v>
      </c>
      <c r="F24" s="55">
        <f>E24</f>
        <v>787629</v>
      </c>
      <c r="G24" s="9">
        <f t="shared" si="0"/>
        <v>1.3801878803345229</v>
      </c>
      <c r="H24" s="64"/>
      <c r="I24" s="64"/>
      <c r="J24" s="207"/>
      <c r="K24" s="207"/>
      <c r="L24" s="207"/>
      <c r="M24" s="207"/>
      <c r="N24" s="207"/>
      <c r="O24" s="207"/>
      <c r="P24" s="207"/>
      <c r="Q24" s="207"/>
      <c r="R24" s="207"/>
      <c r="S24" s="64"/>
      <c r="T24" s="64"/>
      <c r="U24" s="64"/>
      <c r="V24" s="64"/>
    </row>
    <row r="25" spans="1:22" ht="44.25" customHeight="1">
      <c r="A25" s="64"/>
      <c r="B25" s="35" t="s">
        <v>624</v>
      </c>
      <c r="C25" s="21"/>
      <c r="D25" s="22">
        <f>SUM(D22:D24)</f>
        <v>2567980.7089999998</v>
      </c>
      <c r="E25" s="22">
        <f>SUM(E22:E24)</f>
        <v>1977641</v>
      </c>
      <c r="F25" s="56">
        <f>SUM(F22:F24)</f>
        <v>1977641</v>
      </c>
      <c r="G25" s="23">
        <f t="shared" si="0"/>
        <v>1.298507013659203</v>
      </c>
      <c r="H25" s="64"/>
      <c r="I25" s="64"/>
      <c r="J25" s="207"/>
      <c r="K25" s="207"/>
      <c r="L25" s="207"/>
      <c r="M25" s="207"/>
      <c r="N25" s="207"/>
      <c r="O25" s="207"/>
      <c r="P25" s="207"/>
      <c r="Q25" s="207"/>
      <c r="R25" s="207"/>
      <c r="S25" s="64"/>
      <c r="T25" s="64"/>
      <c r="U25" s="64"/>
      <c r="V25" s="64"/>
    </row>
    <row r="26" spans="1:22" ht="16.5">
      <c r="A26" s="560" t="s">
        <v>625</v>
      </c>
      <c r="B26" s="30">
        <v>2018</v>
      </c>
      <c r="C26" s="10" t="s">
        <v>603</v>
      </c>
      <c r="D26" s="8">
        <v>1859773.2879999999</v>
      </c>
      <c r="E26" s="80">
        <v>1713349</v>
      </c>
      <c r="F26" s="55">
        <f>E26</f>
        <v>1713349</v>
      </c>
      <c r="G26" s="9">
        <f>D26/F26</f>
        <v>1.0854608652411155</v>
      </c>
      <c r="H26" s="64"/>
      <c r="I26" s="64"/>
      <c r="J26" s="207"/>
      <c r="K26" s="207"/>
      <c r="L26" s="207"/>
      <c r="M26" s="207"/>
      <c r="N26" s="207"/>
      <c r="O26" s="207"/>
      <c r="P26" s="207"/>
      <c r="Q26" s="207"/>
      <c r="R26" s="207"/>
      <c r="S26" s="64"/>
      <c r="T26" s="64"/>
      <c r="U26" s="64"/>
      <c r="V26" s="64"/>
    </row>
    <row r="27" spans="1:22" ht="16.5">
      <c r="A27" s="561"/>
      <c r="B27" s="30">
        <v>2019</v>
      </c>
      <c r="C27" s="10" t="s">
        <v>603</v>
      </c>
      <c r="D27" s="8">
        <v>1700029.4500006568</v>
      </c>
      <c r="E27" s="80">
        <v>1629672</v>
      </c>
      <c r="F27" s="55">
        <f>E27</f>
        <v>1629672</v>
      </c>
      <c r="G27" s="9">
        <f t="shared" si="0"/>
        <v>1.043172767281181</v>
      </c>
      <c r="H27" s="64"/>
      <c r="I27" s="64"/>
      <c r="J27" s="207"/>
      <c r="K27" s="207"/>
      <c r="L27" s="207"/>
      <c r="M27" s="207"/>
      <c r="N27" s="207"/>
      <c r="O27" s="207"/>
      <c r="P27" s="207"/>
      <c r="Q27" s="207"/>
      <c r="R27" s="207"/>
      <c r="S27" s="64"/>
      <c r="T27" s="64"/>
      <c r="U27" s="64"/>
      <c r="V27" s="64"/>
    </row>
    <row r="28" spans="1:22" ht="16.5">
      <c r="A28" s="561"/>
      <c r="B28" s="30">
        <v>2020</v>
      </c>
      <c r="C28" s="10" t="s">
        <v>603</v>
      </c>
      <c r="D28" s="8">
        <v>1821166.2136200001</v>
      </c>
      <c r="E28" s="80">
        <v>1637572</v>
      </c>
      <c r="F28" s="55">
        <f>E28</f>
        <v>1637572</v>
      </c>
      <c r="G28" s="9">
        <f t="shared" si="0"/>
        <v>1.1121136741590598</v>
      </c>
      <c r="H28" s="64"/>
      <c r="I28" s="64"/>
      <c r="J28" s="207"/>
      <c r="K28" s="207"/>
      <c r="L28" s="207"/>
      <c r="M28" s="207"/>
      <c r="N28" s="207"/>
      <c r="O28" s="207"/>
      <c r="P28" s="207"/>
      <c r="Q28" s="207"/>
      <c r="R28" s="207"/>
      <c r="S28" s="64"/>
      <c r="T28" s="64"/>
      <c r="U28" s="64"/>
      <c r="V28" s="64"/>
    </row>
    <row r="29" spans="1:22" ht="16.5">
      <c r="A29" s="561"/>
      <c r="B29" s="30">
        <v>2021</v>
      </c>
      <c r="C29" s="10" t="s">
        <v>603</v>
      </c>
      <c r="D29" s="8">
        <v>1849877.162</v>
      </c>
      <c r="E29" s="80">
        <v>1658918</v>
      </c>
      <c r="F29" s="8">
        <f>E29</f>
        <v>1658918</v>
      </c>
      <c r="G29" s="54">
        <f t="shared" si="0"/>
        <v>1.1151106697256887</v>
      </c>
      <c r="H29" s="64"/>
      <c r="I29" s="68"/>
      <c r="J29" s="207"/>
      <c r="K29" s="207"/>
      <c r="L29" s="207"/>
      <c r="M29" s="207"/>
      <c r="N29" s="207"/>
      <c r="O29" s="207"/>
      <c r="P29" s="207"/>
      <c r="Q29" s="207"/>
      <c r="R29" s="207"/>
      <c r="S29" s="64"/>
      <c r="T29" s="64"/>
      <c r="U29" s="64"/>
      <c r="V29" s="64"/>
    </row>
    <row r="30" spans="1:22" ht="42" customHeight="1">
      <c r="A30" s="562"/>
      <c r="B30" s="35" t="s">
        <v>626</v>
      </c>
      <c r="C30" s="21"/>
      <c r="D30" s="22">
        <f>SUM(D26:D29)</f>
        <v>7230846.1136206575</v>
      </c>
      <c r="E30" s="22">
        <f>SUM(E26:E29)</f>
        <v>6639511</v>
      </c>
      <c r="F30" s="22">
        <f>SUM(F26:F29)</f>
        <v>6639511</v>
      </c>
      <c r="G30" s="23">
        <f t="shared" si="0"/>
        <v>1.0890630520260689</v>
      </c>
      <c r="H30" s="64"/>
      <c r="I30" s="64"/>
      <c r="J30" s="207"/>
      <c r="K30" s="207"/>
      <c r="L30" s="207"/>
      <c r="M30" s="207"/>
      <c r="N30" s="207"/>
      <c r="O30" s="207"/>
      <c r="P30" s="207"/>
      <c r="Q30" s="207"/>
      <c r="R30" s="207"/>
      <c r="S30" s="64"/>
      <c r="T30" s="64"/>
      <c r="U30" s="64"/>
      <c r="V30" s="64"/>
    </row>
    <row r="31" spans="1:22" ht="14.85" customHeight="1">
      <c r="A31" s="560" t="s">
        <v>627</v>
      </c>
      <c r="B31" s="30">
        <v>2022</v>
      </c>
      <c r="C31" s="10" t="s">
        <v>603</v>
      </c>
      <c r="D31" s="8">
        <v>1724232</v>
      </c>
      <c r="E31" s="80">
        <v>1738072.00060309</v>
      </c>
      <c r="F31" s="55">
        <f>E31</f>
        <v>1738072.00060309</v>
      </c>
      <c r="G31" s="9">
        <f>D31/F31</f>
        <v>0.99203715346758492</v>
      </c>
      <c r="H31" s="64"/>
      <c r="I31" s="64"/>
      <c r="J31" s="207"/>
      <c r="K31" s="207"/>
      <c r="L31" s="207"/>
      <c r="M31" s="207"/>
      <c r="N31" s="207"/>
      <c r="O31" s="207"/>
      <c r="P31" s="207"/>
      <c r="Q31" s="207"/>
      <c r="R31" s="207"/>
      <c r="S31" s="64"/>
      <c r="T31" s="64"/>
      <c r="U31" s="64"/>
      <c r="V31" s="64"/>
    </row>
    <row r="32" spans="1:22" ht="16.5">
      <c r="A32" s="561"/>
      <c r="B32" s="30">
        <v>2023</v>
      </c>
      <c r="C32" s="10" t="s">
        <v>603</v>
      </c>
      <c r="D32" s="8">
        <f>1601359437.39405/1000</f>
        <v>1601359.4373940499</v>
      </c>
      <c r="E32" s="80">
        <v>1544746.0016381273</v>
      </c>
      <c r="F32" s="55">
        <f>E32</f>
        <v>1544746.0016381273</v>
      </c>
      <c r="G32" s="9">
        <f>D32/F32</f>
        <v>1.0366490255976626</v>
      </c>
      <c r="H32" s="64"/>
      <c r="I32" s="64"/>
      <c r="J32" s="207"/>
      <c r="K32" s="207"/>
      <c r="L32" s="207"/>
      <c r="M32" s="207"/>
      <c r="N32" s="207"/>
      <c r="O32" s="207"/>
      <c r="P32" s="207"/>
      <c r="Q32" s="207"/>
      <c r="R32" s="207"/>
      <c r="S32" s="64"/>
      <c r="T32" s="64"/>
      <c r="U32" s="64"/>
      <c r="V32" s="64"/>
    </row>
    <row r="33" spans="1:22" ht="16.5">
      <c r="A33" s="561"/>
      <c r="B33" s="30">
        <v>2024</v>
      </c>
      <c r="C33" s="10" t="s">
        <v>603</v>
      </c>
      <c r="D33" s="8">
        <f>1908293556.09861/1000</f>
        <v>1908293.5560986099</v>
      </c>
      <c r="E33" s="80">
        <v>1777872.2980352</v>
      </c>
      <c r="F33" s="55">
        <f>E33</f>
        <v>1777872.2980352</v>
      </c>
      <c r="G33" s="9">
        <f>D33/F33</f>
        <v>1.0733580573855297</v>
      </c>
      <c r="H33" s="64"/>
      <c r="I33" s="64"/>
      <c r="J33" s="207"/>
      <c r="K33" s="207"/>
      <c r="L33" s="207"/>
      <c r="M33" s="207"/>
      <c r="N33" s="207"/>
      <c r="O33" s="207"/>
      <c r="P33" s="207"/>
      <c r="Q33" s="207"/>
      <c r="R33" s="207"/>
      <c r="S33" s="64"/>
      <c r="T33" s="64"/>
      <c r="U33" s="64"/>
      <c r="V33" s="64"/>
    </row>
    <row r="34" spans="1:22" ht="16.5">
      <c r="A34" s="561"/>
      <c r="B34" s="30">
        <v>2025</v>
      </c>
      <c r="C34" s="10" t="s">
        <v>628</v>
      </c>
      <c r="D34" s="8">
        <f>'1- Ex Ante Results'!$D$117</f>
        <v>931333.85903000017</v>
      </c>
      <c r="E34" s="80">
        <v>1911163.77</v>
      </c>
      <c r="F34" s="8">
        <f>E34</f>
        <v>1911163.77</v>
      </c>
      <c r="G34" s="9">
        <f>D34/F34</f>
        <v>0.48731242902851812</v>
      </c>
      <c r="H34" s="64"/>
      <c r="I34" s="64"/>
      <c r="J34" s="207"/>
      <c r="K34" s="207"/>
      <c r="L34" s="207"/>
      <c r="M34" s="207"/>
      <c r="N34" s="207"/>
      <c r="O34" s="207"/>
      <c r="P34" s="207"/>
      <c r="Q34" s="207"/>
      <c r="R34" s="207"/>
      <c r="S34" s="64"/>
      <c r="T34" s="64"/>
      <c r="U34" s="64"/>
      <c r="V34" s="64"/>
    </row>
    <row r="35" spans="1:22" ht="42" customHeight="1">
      <c r="A35" s="562"/>
      <c r="B35" s="35" t="s">
        <v>629</v>
      </c>
      <c r="C35" s="21"/>
      <c r="D35" s="22">
        <f>SUM(D31:D34)</f>
        <v>6165218.85252266</v>
      </c>
      <c r="E35" s="22">
        <f>SUM(E31:E34)</f>
        <v>6971854.0702764168</v>
      </c>
      <c r="F35" s="22">
        <f>SUM(F31:F34)</f>
        <v>6971854.0702764168</v>
      </c>
      <c r="G35" s="23">
        <f>D35/F35</f>
        <v>0.88430119023966092</v>
      </c>
      <c r="H35" s="64"/>
      <c r="I35" s="64"/>
      <c r="J35" s="207"/>
      <c r="K35" s="207"/>
      <c r="L35" s="207"/>
      <c r="M35" s="207"/>
      <c r="N35" s="207"/>
      <c r="O35" s="207"/>
      <c r="P35" s="207"/>
      <c r="Q35" s="207"/>
      <c r="R35" s="207"/>
      <c r="S35" s="64"/>
      <c r="T35" s="64"/>
      <c r="U35" s="64"/>
      <c r="V35" s="64"/>
    </row>
    <row r="36" spans="1:22">
      <c r="A36" s="64"/>
      <c r="B36" s="69"/>
      <c r="C36" s="64"/>
      <c r="D36" s="64"/>
      <c r="E36" s="64"/>
      <c r="F36" s="64"/>
      <c r="G36" s="64"/>
      <c r="H36" s="64"/>
      <c r="I36" s="64"/>
      <c r="J36" s="207"/>
      <c r="K36" s="207"/>
      <c r="L36" s="207"/>
      <c r="M36" s="207"/>
      <c r="N36" s="207"/>
      <c r="O36" s="207"/>
      <c r="P36" s="207"/>
      <c r="Q36" s="207"/>
      <c r="R36" s="207"/>
      <c r="S36" s="64"/>
      <c r="T36" s="64"/>
      <c r="U36" s="64"/>
      <c r="V36" s="64"/>
    </row>
    <row r="37" spans="1:22">
      <c r="A37" s="64"/>
      <c r="B37" s="69"/>
      <c r="C37" s="64"/>
      <c r="D37" s="64"/>
      <c r="E37" s="64"/>
      <c r="F37" s="64"/>
      <c r="G37" s="64"/>
      <c r="H37" s="64"/>
      <c r="I37" s="64"/>
      <c r="J37" s="207"/>
      <c r="K37" s="207"/>
      <c r="L37" s="207"/>
      <c r="M37" s="207"/>
      <c r="N37" s="207"/>
      <c r="O37" s="207"/>
      <c r="P37" s="207"/>
      <c r="Q37" s="207"/>
      <c r="R37" s="207"/>
      <c r="S37" s="64"/>
      <c r="T37" s="64"/>
      <c r="U37" s="64"/>
      <c r="V37" s="64"/>
    </row>
    <row r="38" spans="1:22">
      <c r="A38" s="64"/>
      <c r="B38" s="69"/>
      <c r="C38" s="64"/>
      <c r="D38" s="64"/>
      <c r="E38" s="64"/>
      <c r="F38" s="64"/>
      <c r="G38" s="64"/>
      <c r="H38" s="64"/>
      <c r="I38" s="64"/>
      <c r="J38" s="207"/>
      <c r="K38" s="207"/>
      <c r="L38" s="207"/>
      <c r="M38" s="207"/>
      <c r="N38" s="207"/>
      <c r="O38" s="207"/>
      <c r="P38" s="207"/>
      <c r="Q38" s="207"/>
      <c r="R38" s="207"/>
      <c r="S38" s="64"/>
      <c r="T38" s="64"/>
      <c r="U38" s="64"/>
      <c r="V38" s="64"/>
    </row>
    <row r="39" spans="1:22">
      <c r="A39" s="64"/>
      <c r="B39" s="69"/>
      <c r="C39" s="64"/>
      <c r="D39" s="64"/>
      <c r="E39" s="64"/>
      <c r="F39" s="64"/>
      <c r="G39" s="64"/>
      <c r="H39" s="64"/>
      <c r="I39" s="64"/>
      <c r="J39" s="207"/>
      <c r="K39" s="207"/>
      <c r="L39" s="207"/>
      <c r="M39" s="207"/>
      <c r="N39" s="207"/>
      <c r="O39" s="207"/>
      <c r="P39" s="207"/>
      <c r="Q39" s="207"/>
      <c r="R39" s="207"/>
      <c r="S39" s="64"/>
      <c r="T39" s="64"/>
      <c r="U39" s="64"/>
      <c r="V39" s="64"/>
    </row>
    <row r="40" spans="1:22">
      <c r="A40" s="64"/>
      <c r="B40" s="69"/>
      <c r="C40" s="64"/>
      <c r="D40" s="64"/>
      <c r="E40" s="64"/>
      <c r="F40" s="64"/>
      <c r="G40" s="64"/>
      <c r="H40" s="64"/>
      <c r="I40" s="64"/>
      <c r="J40" s="207"/>
      <c r="K40" s="207"/>
      <c r="L40" s="207"/>
      <c r="M40" s="207"/>
      <c r="N40" s="207"/>
      <c r="O40" s="207"/>
      <c r="P40" s="207"/>
      <c r="Q40" s="207"/>
      <c r="R40" s="207"/>
      <c r="S40" s="64"/>
      <c r="T40" s="64"/>
      <c r="U40" s="64"/>
      <c r="V40" s="64"/>
    </row>
    <row r="41" spans="1:22">
      <c r="A41" s="64"/>
      <c r="B41" s="153" t="s">
        <v>206</v>
      </c>
      <c r="C41" s="64"/>
      <c r="D41" s="64"/>
      <c r="E41" s="64"/>
      <c r="F41" s="64"/>
      <c r="G41" s="64"/>
      <c r="H41" s="64"/>
      <c r="I41" s="64"/>
      <c r="J41" s="207"/>
      <c r="K41" s="207"/>
      <c r="L41" s="207"/>
      <c r="M41" s="207"/>
      <c r="N41" s="207"/>
      <c r="O41" s="207"/>
      <c r="P41" s="207"/>
      <c r="Q41" s="207"/>
      <c r="R41" s="207"/>
      <c r="S41" s="64"/>
      <c r="T41" s="64"/>
      <c r="U41" s="64"/>
      <c r="V41" s="64"/>
    </row>
    <row r="42" spans="1:22" s="79" customFormat="1" ht="44.1" customHeight="1">
      <c r="A42" s="154"/>
      <c r="B42" s="559" t="s">
        <v>630</v>
      </c>
      <c r="C42" s="559"/>
      <c r="D42" s="559"/>
      <c r="E42" s="559"/>
      <c r="F42" s="559"/>
      <c r="G42" s="559"/>
      <c r="H42" s="154"/>
      <c r="I42" s="154"/>
      <c r="J42" s="207"/>
      <c r="K42" s="207"/>
      <c r="L42" s="207"/>
      <c r="M42" s="207"/>
      <c r="N42" s="207"/>
      <c r="O42" s="207"/>
      <c r="P42" s="207"/>
      <c r="Q42" s="207"/>
      <c r="R42" s="207"/>
      <c r="S42" s="154"/>
      <c r="T42" s="154"/>
      <c r="U42" s="154"/>
      <c r="V42" s="154"/>
    </row>
    <row r="43" spans="1:22" s="79" customFormat="1" ht="44.1" customHeight="1">
      <c r="A43" s="154"/>
      <c r="B43" s="559" t="s">
        <v>631</v>
      </c>
      <c r="C43" s="559"/>
      <c r="D43" s="559"/>
      <c r="E43" s="559"/>
      <c r="F43" s="559"/>
      <c r="G43" s="559"/>
      <c r="H43" s="154"/>
      <c r="I43" s="154"/>
      <c r="J43" s="207"/>
      <c r="K43" s="207"/>
      <c r="L43" s="207"/>
      <c r="M43" s="207"/>
      <c r="N43" s="207"/>
      <c r="O43" s="207"/>
      <c r="P43" s="207"/>
      <c r="Q43" s="207"/>
      <c r="R43" s="207"/>
      <c r="S43" s="154"/>
      <c r="T43" s="154"/>
      <c r="U43" s="154"/>
      <c r="V43" s="154"/>
    </row>
    <row r="44" spans="1:22" s="79" customFormat="1" ht="44.1" customHeight="1">
      <c r="A44" s="154"/>
      <c r="B44" s="557" t="s">
        <v>632</v>
      </c>
      <c r="C44" s="557"/>
      <c r="D44" s="557"/>
      <c r="E44" s="557"/>
      <c r="F44" s="557"/>
      <c r="G44" s="557"/>
      <c r="H44" s="154"/>
      <c r="I44" s="154"/>
      <c r="J44" s="207"/>
      <c r="K44" s="207"/>
      <c r="L44" s="207"/>
      <c r="M44" s="207"/>
      <c r="N44" s="207"/>
      <c r="O44" s="207"/>
      <c r="P44" s="207"/>
      <c r="Q44" s="207"/>
      <c r="R44" s="207"/>
      <c r="S44" s="154"/>
      <c r="T44" s="154"/>
      <c r="U44" s="154"/>
      <c r="V44" s="154"/>
    </row>
    <row r="45" spans="1:22">
      <c r="A45" s="64"/>
      <c r="B45" s="69"/>
      <c r="C45" s="64"/>
      <c r="D45" s="64"/>
      <c r="E45" s="64"/>
      <c r="F45" s="64"/>
      <c r="G45" s="64"/>
      <c r="H45" s="64"/>
      <c r="I45" s="64"/>
      <c r="J45" s="207"/>
      <c r="K45" s="207"/>
      <c r="L45" s="207"/>
      <c r="M45" s="207"/>
      <c r="N45" s="207"/>
      <c r="O45" s="207"/>
      <c r="P45" s="207"/>
      <c r="Q45" s="207"/>
      <c r="R45" s="207"/>
      <c r="S45" s="64"/>
      <c r="T45" s="64"/>
      <c r="U45" s="64"/>
      <c r="V45" s="64"/>
    </row>
    <row r="46" spans="1:22">
      <c r="A46" s="64"/>
      <c r="B46" s="69"/>
      <c r="C46" s="64"/>
      <c r="D46" s="64"/>
      <c r="E46" s="64"/>
      <c r="F46" s="64"/>
      <c r="G46" s="64"/>
      <c r="H46" s="64"/>
      <c r="I46" s="64"/>
      <c r="J46" s="207"/>
      <c r="K46" s="207"/>
      <c r="L46" s="207"/>
      <c r="M46" s="207"/>
      <c r="N46" s="207"/>
      <c r="O46" s="207"/>
      <c r="P46" s="207"/>
      <c r="Q46" s="207"/>
      <c r="R46" s="207"/>
      <c r="S46" s="64"/>
      <c r="T46" s="64"/>
      <c r="U46" s="64"/>
      <c r="V46" s="64"/>
    </row>
    <row r="47" spans="1:22">
      <c r="A47" s="64"/>
      <c r="B47" s="69"/>
      <c r="C47" s="64"/>
      <c r="D47" s="64"/>
      <c r="E47" s="64"/>
      <c r="F47" s="64"/>
      <c r="G47" s="64"/>
      <c r="H47" s="64"/>
      <c r="I47" s="64"/>
      <c r="J47" s="207"/>
      <c r="K47" s="207"/>
      <c r="L47" s="207"/>
      <c r="M47" s="207"/>
      <c r="N47" s="207"/>
      <c r="O47" s="207"/>
      <c r="P47" s="207"/>
      <c r="Q47" s="207"/>
      <c r="R47" s="207"/>
      <c r="S47" s="64"/>
      <c r="T47" s="64"/>
      <c r="U47" s="64"/>
      <c r="V47" s="64"/>
    </row>
    <row r="48" spans="1:22">
      <c r="A48" s="64"/>
      <c r="B48" s="69"/>
      <c r="C48" s="64"/>
      <c r="D48" s="64"/>
      <c r="E48" s="64"/>
      <c r="F48" s="64"/>
      <c r="G48" s="64"/>
      <c r="H48" s="64"/>
      <c r="I48" s="64"/>
      <c r="J48" s="207"/>
      <c r="K48" s="207"/>
      <c r="L48" s="207"/>
      <c r="M48" s="207"/>
      <c r="N48" s="207"/>
      <c r="O48" s="207"/>
      <c r="P48" s="207"/>
      <c r="Q48" s="207"/>
      <c r="R48" s="207"/>
      <c r="S48" s="64"/>
      <c r="T48" s="64"/>
      <c r="U48" s="64"/>
      <c r="V48" s="64"/>
    </row>
    <row r="49" spans="1:22">
      <c r="A49" s="64"/>
      <c r="B49" s="69"/>
      <c r="C49" s="64"/>
      <c r="D49" s="64"/>
      <c r="E49" s="64"/>
      <c r="F49" s="64"/>
      <c r="G49" s="64"/>
      <c r="H49" s="64"/>
      <c r="I49" s="64"/>
      <c r="J49" s="207"/>
      <c r="K49" s="207"/>
      <c r="L49" s="207"/>
      <c r="M49" s="207"/>
      <c r="N49" s="207"/>
      <c r="O49" s="207"/>
      <c r="P49" s="207"/>
      <c r="Q49" s="207"/>
      <c r="R49" s="207"/>
      <c r="S49" s="64"/>
      <c r="T49" s="64"/>
      <c r="U49" s="64"/>
      <c r="V49" s="64"/>
    </row>
    <row r="50" spans="1:22">
      <c r="A50" s="64"/>
      <c r="B50" s="69"/>
      <c r="C50" s="64"/>
      <c r="D50" s="64"/>
      <c r="E50" s="64"/>
      <c r="F50" s="64"/>
      <c r="G50" s="64"/>
      <c r="H50" s="64"/>
      <c r="I50" s="64"/>
      <c r="J50" s="207"/>
      <c r="K50" s="207"/>
      <c r="L50" s="207"/>
      <c r="M50" s="207"/>
      <c r="N50" s="207"/>
      <c r="O50" s="207"/>
      <c r="P50" s="207"/>
      <c r="Q50" s="207"/>
      <c r="R50" s="207"/>
      <c r="S50" s="64"/>
      <c r="T50" s="64"/>
      <c r="U50" s="64"/>
      <c r="V50" s="64"/>
    </row>
    <row r="51" spans="1:22">
      <c r="A51" s="64"/>
      <c r="B51" s="69"/>
      <c r="C51" s="64"/>
      <c r="D51" s="64"/>
      <c r="E51" s="64"/>
      <c r="F51" s="64"/>
      <c r="G51" s="64"/>
      <c r="H51" s="64"/>
      <c r="I51" s="64"/>
      <c r="J51" s="207"/>
      <c r="K51" s="207"/>
      <c r="L51" s="207"/>
      <c r="M51" s="207"/>
      <c r="N51" s="207"/>
      <c r="O51" s="207"/>
      <c r="P51" s="207"/>
      <c r="Q51" s="207"/>
      <c r="R51" s="207"/>
      <c r="S51" s="64"/>
      <c r="T51" s="64"/>
      <c r="U51" s="64"/>
      <c r="V51" s="64"/>
    </row>
    <row r="52" spans="1:22">
      <c r="A52" s="64"/>
      <c r="B52" s="69"/>
      <c r="C52" s="64"/>
      <c r="D52" s="64"/>
      <c r="E52" s="64"/>
      <c r="F52" s="64"/>
      <c r="G52" s="64"/>
      <c r="H52" s="64"/>
      <c r="I52" s="64"/>
      <c r="J52" s="207"/>
      <c r="K52" s="207"/>
      <c r="L52" s="207"/>
      <c r="M52" s="207"/>
      <c r="N52" s="207"/>
      <c r="O52" s="207"/>
      <c r="P52" s="207"/>
      <c r="Q52" s="207"/>
      <c r="R52" s="207"/>
      <c r="S52" s="64"/>
      <c r="T52" s="64"/>
      <c r="U52" s="64"/>
      <c r="V52" s="64"/>
    </row>
    <row r="53" spans="1:22">
      <c r="A53" s="64"/>
      <c r="B53" s="69"/>
      <c r="C53" s="64"/>
      <c r="D53" s="64"/>
      <c r="E53" s="64"/>
      <c r="F53" s="64"/>
      <c r="G53" s="64"/>
      <c r="H53" s="64"/>
      <c r="I53" s="64"/>
      <c r="J53" s="207"/>
      <c r="K53" s="207"/>
      <c r="L53" s="207"/>
      <c r="M53" s="207"/>
      <c r="N53" s="207"/>
      <c r="O53" s="207"/>
      <c r="P53" s="207"/>
      <c r="Q53" s="207"/>
      <c r="R53" s="207"/>
      <c r="S53" s="64"/>
      <c r="T53" s="64"/>
      <c r="U53" s="64"/>
      <c r="V53" s="64"/>
    </row>
    <row r="54" spans="1:22" hidden="1">
      <c r="A54" s="64"/>
      <c r="B54" s="69"/>
      <c r="C54" s="64"/>
      <c r="D54" s="64"/>
      <c r="E54" s="64"/>
      <c r="F54" s="64"/>
      <c r="G54" s="64"/>
      <c r="H54" s="64"/>
      <c r="I54" s="64"/>
      <c r="J54" s="207"/>
      <c r="K54" s="207"/>
      <c r="L54" s="207"/>
      <c r="M54" s="207"/>
      <c r="N54" s="207"/>
      <c r="O54" s="207"/>
      <c r="P54" s="207"/>
      <c r="Q54" s="207"/>
      <c r="R54" s="207"/>
      <c r="S54" s="64"/>
      <c r="T54" s="64"/>
      <c r="U54" s="64"/>
      <c r="V54" s="64"/>
    </row>
    <row r="55" spans="1:22" hidden="1">
      <c r="A55" s="64"/>
      <c r="B55" s="69"/>
      <c r="C55" s="64"/>
      <c r="D55" s="64"/>
      <c r="E55" s="64"/>
      <c r="F55" s="64"/>
      <c r="G55" s="64"/>
      <c r="H55" s="64"/>
      <c r="I55" s="64"/>
      <c r="J55" s="207"/>
      <c r="K55" s="207"/>
      <c r="L55" s="207"/>
      <c r="M55" s="207"/>
      <c r="N55" s="207"/>
      <c r="O55" s="207"/>
      <c r="P55" s="207"/>
      <c r="Q55" s="207"/>
      <c r="R55" s="207"/>
      <c r="S55" s="64"/>
      <c r="T55" s="64"/>
      <c r="U55" s="64"/>
      <c r="V55" s="64"/>
    </row>
    <row r="56" spans="1:22" hidden="1">
      <c r="A56" s="64"/>
      <c r="B56" s="69"/>
      <c r="C56" s="64"/>
      <c r="D56" s="64"/>
      <c r="E56" s="64"/>
      <c r="F56" s="64"/>
      <c r="G56" s="64"/>
      <c r="H56" s="64"/>
      <c r="I56" s="64"/>
      <c r="J56" s="207"/>
      <c r="K56" s="207"/>
      <c r="L56" s="207"/>
      <c r="M56" s="207"/>
      <c r="N56" s="207"/>
      <c r="O56" s="207"/>
      <c r="P56" s="207"/>
      <c r="Q56" s="207"/>
      <c r="R56" s="207"/>
      <c r="S56" s="64"/>
      <c r="T56" s="64"/>
      <c r="U56" s="64"/>
      <c r="V56" s="64"/>
    </row>
    <row r="57" spans="1:22" hidden="1">
      <c r="A57" s="64"/>
      <c r="B57" s="69"/>
      <c r="C57" s="64"/>
      <c r="D57" s="64"/>
      <c r="E57" s="64"/>
      <c r="F57" s="64"/>
      <c r="G57" s="64"/>
      <c r="H57" s="64"/>
      <c r="I57" s="64"/>
      <c r="J57" s="207"/>
      <c r="K57" s="207"/>
      <c r="L57" s="207"/>
      <c r="M57" s="207"/>
      <c r="N57" s="207"/>
      <c r="O57" s="207"/>
      <c r="P57" s="207"/>
      <c r="Q57" s="207"/>
      <c r="R57" s="207"/>
      <c r="S57" s="64"/>
      <c r="T57" s="64"/>
      <c r="U57" s="64"/>
      <c r="V57" s="64"/>
    </row>
    <row r="58" spans="1:22" hidden="1">
      <c r="A58" s="64"/>
      <c r="B58" s="69"/>
      <c r="C58" s="64"/>
      <c r="D58" s="64"/>
      <c r="E58" s="64"/>
      <c r="F58" s="64"/>
      <c r="G58" s="64"/>
      <c r="H58" s="64"/>
      <c r="I58" s="64"/>
      <c r="J58" s="207"/>
      <c r="K58" s="207"/>
      <c r="L58" s="207"/>
      <c r="M58" s="207"/>
      <c r="N58" s="207"/>
      <c r="O58" s="207"/>
      <c r="P58" s="207"/>
      <c r="Q58" s="207"/>
      <c r="R58" s="207"/>
      <c r="S58" s="64"/>
      <c r="T58" s="64"/>
      <c r="U58" s="64"/>
      <c r="V58" s="64"/>
    </row>
    <row r="59" spans="1:22" hidden="1">
      <c r="A59" s="64"/>
      <c r="B59" s="69"/>
      <c r="C59" s="64"/>
      <c r="D59" s="64"/>
      <c r="E59" s="64"/>
      <c r="F59" s="64"/>
      <c r="G59" s="64"/>
      <c r="H59" s="64"/>
      <c r="I59" s="64"/>
      <c r="J59" s="207"/>
      <c r="K59" s="207"/>
      <c r="L59" s="207"/>
      <c r="M59" s="207"/>
      <c r="N59" s="207"/>
      <c r="O59" s="207"/>
      <c r="P59" s="207"/>
      <c r="Q59" s="207"/>
      <c r="R59" s="207"/>
      <c r="S59" s="64"/>
      <c r="T59" s="64"/>
      <c r="U59" s="64"/>
      <c r="V59" s="64"/>
    </row>
    <row r="60" spans="1:22" hidden="1">
      <c r="A60" s="64"/>
      <c r="B60" s="69"/>
      <c r="C60" s="64"/>
      <c r="D60" s="64"/>
      <c r="E60" s="64"/>
      <c r="F60" s="64"/>
      <c r="G60" s="64"/>
      <c r="H60" s="64"/>
      <c r="I60" s="64"/>
      <c r="J60" s="207"/>
      <c r="K60" s="207"/>
      <c r="L60" s="207"/>
      <c r="M60" s="207"/>
      <c r="N60" s="207"/>
      <c r="O60" s="207"/>
      <c r="P60" s="207"/>
      <c r="Q60" s="207"/>
      <c r="R60" s="207"/>
      <c r="S60" s="64"/>
      <c r="T60" s="64"/>
      <c r="U60" s="64"/>
      <c r="V60" s="64"/>
    </row>
    <row r="61" spans="1:22" hidden="1">
      <c r="A61" s="64"/>
      <c r="B61" s="69"/>
      <c r="C61" s="64"/>
      <c r="D61" s="64"/>
      <c r="E61" s="64"/>
      <c r="F61" s="64"/>
      <c r="G61" s="64"/>
      <c r="H61" s="64"/>
      <c r="I61" s="64"/>
      <c r="J61" s="207"/>
      <c r="K61" s="207"/>
      <c r="L61" s="207"/>
      <c r="M61" s="207"/>
      <c r="N61" s="207"/>
      <c r="O61" s="207"/>
      <c r="P61" s="207"/>
      <c r="Q61" s="207"/>
      <c r="R61" s="207"/>
      <c r="S61" s="64"/>
      <c r="T61" s="64"/>
      <c r="U61" s="64"/>
      <c r="V61" s="64"/>
    </row>
    <row r="62" spans="1:22" hidden="1">
      <c r="A62" s="64"/>
      <c r="B62" s="69"/>
      <c r="C62" s="64"/>
      <c r="D62" s="64"/>
      <c r="E62" s="64"/>
      <c r="F62" s="64"/>
      <c r="G62" s="64"/>
      <c r="H62" s="64"/>
      <c r="I62" s="64"/>
      <c r="J62" s="207"/>
      <c r="K62" s="207"/>
      <c r="L62" s="207"/>
      <c r="M62" s="207"/>
      <c r="N62" s="207"/>
      <c r="O62" s="207"/>
      <c r="P62" s="207"/>
      <c r="Q62" s="207"/>
      <c r="R62" s="207"/>
      <c r="S62" s="64"/>
      <c r="T62" s="64"/>
      <c r="U62" s="64"/>
      <c r="V62" s="64"/>
    </row>
    <row r="63" spans="1:22" hidden="1">
      <c r="A63" s="64"/>
      <c r="B63" s="69"/>
      <c r="C63" s="64"/>
      <c r="D63" s="64"/>
      <c r="E63" s="64"/>
      <c r="F63" s="64"/>
      <c r="G63" s="64"/>
      <c r="H63" s="64"/>
      <c r="I63" s="64"/>
      <c r="J63" s="207"/>
      <c r="K63" s="207"/>
      <c r="L63" s="207"/>
      <c r="M63" s="207"/>
      <c r="N63" s="207"/>
      <c r="O63" s="207"/>
      <c r="P63" s="207"/>
      <c r="Q63" s="207"/>
      <c r="R63" s="207"/>
      <c r="S63" s="64"/>
      <c r="T63" s="64"/>
      <c r="U63" s="64"/>
      <c r="V63" s="64"/>
    </row>
    <row r="64" spans="1:22" hidden="1">
      <c r="A64" s="64"/>
      <c r="B64" s="69"/>
      <c r="C64" s="64"/>
      <c r="D64" s="64"/>
      <c r="E64" s="64"/>
      <c r="F64" s="64"/>
      <c r="G64" s="64"/>
      <c r="H64" s="64"/>
      <c r="I64" s="64"/>
      <c r="J64" s="207"/>
      <c r="K64" s="207"/>
      <c r="L64" s="207"/>
      <c r="M64" s="207"/>
      <c r="N64" s="207"/>
      <c r="O64" s="207"/>
      <c r="P64" s="207"/>
      <c r="Q64" s="207"/>
      <c r="R64" s="207"/>
      <c r="S64" s="64"/>
      <c r="T64" s="64"/>
      <c r="U64" s="64"/>
      <c r="V64" s="64"/>
    </row>
    <row r="65" spans="1:22" hidden="1">
      <c r="A65" s="64"/>
      <c r="B65" s="69"/>
      <c r="C65" s="64"/>
      <c r="D65" s="64"/>
      <c r="E65" s="64"/>
      <c r="F65" s="64"/>
      <c r="G65" s="64"/>
      <c r="H65" s="64"/>
      <c r="I65" s="64"/>
      <c r="J65" s="207"/>
      <c r="K65" s="207"/>
      <c r="L65" s="207"/>
      <c r="M65" s="207"/>
      <c r="N65" s="207"/>
      <c r="O65" s="207"/>
      <c r="P65" s="207"/>
      <c r="Q65" s="207"/>
      <c r="R65" s="207"/>
      <c r="S65" s="64"/>
      <c r="T65" s="64"/>
      <c r="U65" s="64"/>
      <c r="V65" s="64"/>
    </row>
    <row r="66" spans="1:22" hidden="1">
      <c r="A66" s="64"/>
      <c r="B66" s="69"/>
      <c r="C66" s="64"/>
      <c r="D66" s="64"/>
      <c r="E66" s="64"/>
      <c r="F66" s="64"/>
      <c r="G66" s="64"/>
      <c r="H66" s="64"/>
      <c r="I66" s="64"/>
      <c r="J66" s="207"/>
      <c r="K66" s="207"/>
      <c r="L66" s="207"/>
      <c r="M66" s="207"/>
      <c r="N66" s="207"/>
      <c r="O66" s="207"/>
      <c r="P66" s="207"/>
      <c r="Q66" s="207"/>
      <c r="R66" s="207"/>
      <c r="S66" s="64"/>
      <c r="T66" s="64"/>
      <c r="U66" s="64"/>
      <c r="V66" s="64"/>
    </row>
    <row r="67" spans="1:22" hidden="1">
      <c r="A67" s="64"/>
      <c r="B67" s="69"/>
      <c r="C67" s="64"/>
      <c r="D67" s="64"/>
      <c r="E67" s="64"/>
      <c r="F67" s="64"/>
      <c r="G67" s="64"/>
      <c r="H67" s="64"/>
      <c r="I67" s="64"/>
      <c r="J67" s="207"/>
      <c r="K67" s="207"/>
      <c r="L67" s="207"/>
      <c r="M67" s="207"/>
      <c r="N67" s="207"/>
      <c r="O67" s="207"/>
      <c r="P67" s="207"/>
      <c r="Q67" s="207"/>
      <c r="R67" s="207"/>
      <c r="S67" s="64"/>
      <c r="T67" s="64"/>
      <c r="U67" s="64"/>
      <c r="V67" s="64"/>
    </row>
    <row r="68" spans="1:22" hidden="1">
      <c r="A68" s="64"/>
      <c r="B68" s="69"/>
      <c r="C68" s="64"/>
      <c r="D68" s="64"/>
      <c r="E68" s="64"/>
      <c r="F68" s="64"/>
      <c r="G68" s="64"/>
      <c r="H68" s="64"/>
      <c r="I68" s="64"/>
      <c r="J68" s="207"/>
      <c r="K68" s="207"/>
      <c r="L68" s="207"/>
      <c r="M68" s="207"/>
      <c r="N68" s="207"/>
      <c r="O68" s="207"/>
      <c r="P68" s="207"/>
      <c r="Q68" s="207"/>
      <c r="R68" s="207"/>
      <c r="S68" s="64"/>
      <c r="T68" s="64"/>
      <c r="U68" s="64"/>
      <c r="V68" s="64"/>
    </row>
    <row r="69" spans="1:22" hidden="1">
      <c r="A69" s="64"/>
      <c r="B69" s="69"/>
      <c r="C69" s="64"/>
      <c r="D69" s="64"/>
      <c r="E69" s="64"/>
      <c r="F69" s="64"/>
      <c r="G69" s="64"/>
      <c r="H69" s="64"/>
      <c r="I69" s="64"/>
      <c r="J69" s="207"/>
      <c r="K69" s="207"/>
      <c r="L69" s="207"/>
      <c r="M69" s="207"/>
      <c r="N69" s="207"/>
      <c r="O69" s="207"/>
      <c r="P69" s="207"/>
      <c r="Q69" s="207"/>
      <c r="R69" s="207"/>
      <c r="S69" s="64"/>
      <c r="T69" s="64"/>
      <c r="U69" s="64"/>
      <c r="V69" s="64"/>
    </row>
    <row r="70" spans="1:22" hidden="1">
      <c r="A70" s="64"/>
      <c r="B70" s="69"/>
      <c r="C70" s="64"/>
      <c r="D70" s="64"/>
      <c r="E70" s="64"/>
      <c r="F70" s="64"/>
      <c r="G70" s="64"/>
      <c r="H70" s="64"/>
      <c r="I70" s="64"/>
      <c r="J70" s="207"/>
      <c r="K70" s="207"/>
      <c r="L70" s="207"/>
      <c r="M70" s="207"/>
      <c r="N70" s="207"/>
      <c r="O70" s="207"/>
      <c r="P70" s="207"/>
      <c r="Q70" s="207"/>
      <c r="R70" s="207"/>
      <c r="S70" s="64"/>
      <c r="T70" s="64"/>
      <c r="U70" s="64"/>
      <c r="V70" s="64"/>
    </row>
    <row r="71" spans="1:22" hidden="1">
      <c r="A71" s="64"/>
      <c r="B71" s="69"/>
      <c r="C71" s="64"/>
      <c r="D71" s="64"/>
      <c r="E71" s="64"/>
      <c r="F71" s="64"/>
      <c r="G71" s="64"/>
      <c r="H71" s="64"/>
      <c r="I71" s="64"/>
      <c r="J71" s="207"/>
      <c r="K71" s="207"/>
      <c r="L71" s="207"/>
      <c r="M71" s="207"/>
      <c r="N71" s="207"/>
      <c r="O71" s="207"/>
      <c r="P71" s="207"/>
      <c r="Q71" s="207"/>
      <c r="R71" s="207"/>
      <c r="S71" s="64"/>
      <c r="T71" s="64"/>
      <c r="U71" s="64"/>
      <c r="V71" s="64"/>
    </row>
    <row r="72" spans="1:22" hidden="1">
      <c r="A72" s="64"/>
      <c r="B72" s="69"/>
      <c r="C72" s="64"/>
      <c r="D72" s="64"/>
      <c r="E72" s="64"/>
      <c r="F72" s="64"/>
      <c r="G72" s="64"/>
      <c r="H72" s="64"/>
      <c r="I72" s="64"/>
      <c r="J72" s="207"/>
      <c r="K72" s="207"/>
      <c r="L72" s="207"/>
      <c r="M72" s="207"/>
      <c r="N72" s="207"/>
      <c r="O72" s="207"/>
      <c r="P72" s="207"/>
      <c r="Q72" s="207"/>
      <c r="R72" s="207"/>
      <c r="S72" s="64"/>
      <c r="T72" s="64"/>
      <c r="U72" s="64"/>
      <c r="V72" s="64"/>
    </row>
    <row r="73" spans="1:22" hidden="1">
      <c r="A73" s="64"/>
      <c r="B73" s="69"/>
      <c r="C73" s="64"/>
      <c r="D73" s="64"/>
      <c r="E73" s="64"/>
      <c r="F73" s="64"/>
      <c r="G73" s="64"/>
      <c r="H73" s="64"/>
      <c r="I73" s="64"/>
      <c r="J73" s="207"/>
      <c r="K73" s="207"/>
      <c r="L73" s="207"/>
      <c r="M73" s="207"/>
      <c r="N73" s="207"/>
      <c r="O73" s="207"/>
      <c r="P73" s="207"/>
      <c r="Q73" s="207"/>
      <c r="R73" s="207"/>
      <c r="S73" s="64"/>
      <c r="T73" s="64"/>
      <c r="U73" s="64"/>
      <c r="V73" s="64"/>
    </row>
    <row r="74" spans="1:22" hidden="1">
      <c r="A74" s="64"/>
      <c r="B74" s="69"/>
      <c r="C74" s="64"/>
      <c r="D74" s="64"/>
      <c r="E74" s="64"/>
      <c r="F74" s="64"/>
      <c r="G74" s="64"/>
      <c r="H74" s="64"/>
      <c r="I74" s="64"/>
      <c r="J74" s="207"/>
      <c r="K74" s="207"/>
      <c r="L74" s="207"/>
      <c r="M74" s="207"/>
      <c r="N74" s="207"/>
      <c r="O74" s="207"/>
      <c r="P74" s="207"/>
      <c r="Q74" s="207"/>
      <c r="R74" s="207"/>
      <c r="S74" s="64"/>
      <c r="T74" s="64"/>
      <c r="U74" s="64"/>
      <c r="V74" s="64"/>
    </row>
    <row r="75" spans="1:22" hidden="1">
      <c r="A75" s="64"/>
      <c r="B75" s="69"/>
      <c r="C75" s="64"/>
      <c r="D75" s="64"/>
      <c r="E75" s="64"/>
      <c r="F75" s="64"/>
      <c r="G75" s="64"/>
      <c r="H75" s="64"/>
      <c r="I75" s="64"/>
      <c r="J75" s="207"/>
      <c r="K75" s="207"/>
      <c r="L75" s="207"/>
      <c r="M75" s="207"/>
      <c r="N75" s="207"/>
      <c r="O75" s="207"/>
      <c r="P75" s="207"/>
      <c r="Q75" s="207"/>
      <c r="R75" s="207"/>
      <c r="S75" s="64"/>
      <c r="T75" s="64"/>
      <c r="U75" s="64"/>
      <c r="V75" s="64"/>
    </row>
    <row r="76" spans="1:22" hidden="1">
      <c r="A76" s="64"/>
      <c r="B76" s="69"/>
      <c r="C76" s="64"/>
      <c r="D76" s="64"/>
      <c r="E76" s="64"/>
      <c r="F76" s="64"/>
      <c r="G76" s="64"/>
      <c r="H76" s="64"/>
      <c r="I76" s="64"/>
      <c r="J76" s="207"/>
      <c r="K76" s="207"/>
      <c r="L76" s="207"/>
      <c r="M76" s="207"/>
      <c r="N76" s="207"/>
      <c r="O76" s="207"/>
      <c r="P76" s="207"/>
      <c r="Q76" s="207"/>
      <c r="R76" s="207"/>
      <c r="S76" s="64"/>
      <c r="T76" s="64"/>
      <c r="U76" s="64"/>
      <c r="V76" s="64"/>
    </row>
    <row r="77" spans="1:22" hidden="1">
      <c r="A77" s="64"/>
      <c r="B77" s="69"/>
      <c r="C77" s="64"/>
      <c r="D77" s="64"/>
      <c r="E77" s="64"/>
      <c r="F77" s="64"/>
      <c r="G77" s="64"/>
      <c r="H77" s="64"/>
      <c r="I77" s="64"/>
      <c r="J77" s="207"/>
      <c r="K77" s="207"/>
      <c r="L77" s="207"/>
      <c r="M77" s="207"/>
      <c r="N77" s="207"/>
      <c r="O77" s="207"/>
      <c r="P77" s="207"/>
      <c r="Q77" s="207"/>
      <c r="R77" s="207"/>
      <c r="S77" s="64"/>
      <c r="T77" s="64"/>
      <c r="U77" s="64"/>
      <c r="V77" s="64"/>
    </row>
    <row r="78" spans="1:22" hidden="1">
      <c r="A78" s="64"/>
      <c r="B78" s="69"/>
      <c r="C78" s="64"/>
      <c r="D78" s="64"/>
      <c r="E78" s="64"/>
      <c r="F78" s="64"/>
      <c r="G78" s="64"/>
      <c r="H78" s="64"/>
      <c r="I78" s="64"/>
      <c r="J78" s="207"/>
      <c r="K78" s="207"/>
      <c r="L78" s="207"/>
      <c r="M78" s="207"/>
      <c r="N78" s="207"/>
      <c r="O78" s="207"/>
      <c r="P78" s="207"/>
      <c r="Q78" s="207"/>
      <c r="R78" s="207"/>
      <c r="S78" s="64"/>
      <c r="T78" s="64"/>
      <c r="U78" s="64"/>
      <c r="V78" s="64"/>
    </row>
    <row r="79" spans="1:22" hidden="1">
      <c r="A79" s="64"/>
      <c r="B79" s="69"/>
      <c r="C79" s="64"/>
      <c r="D79" s="64"/>
      <c r="E79" s="64"/>
      <c r="F79" s="64"/>
      <c r="G79" s="64"/>
      <c r="H79" s="64"/>
      <c r="I79" s="64"/>
      <c r="J79" s="207"/>
      <c r="K79" s="207"/>
      <c r="L79" s="207"/>
      <c r="M79" s="207"/>
      <c r="N79" s="207"/>
      <c r="O79" s="207"/>
      <c r="P79" s="207"/>
      <c r="Q79" s="207"/>
      <c r="R79" s="207"/>
      <c r="S79" s="64"/>
      <c r="T79" s="64"/>
      <c r="U79" s="64"/>
      <c r="V79" s="64"/>
    </row>
    <row r="80" spans="1:22" hidden="1">
      <c r="A80" s="64"/>
      <c r="B80" s="69"/>
      <c r="C80" s="64"/>
      <c r="D80" s="64"/>
      <c r="E80" s="64"/>
      <c r="F80" s="64"/>
      <c r="G80" s="64"/>
      <c r="H80" s="64"/>
      <c r="I80" s="64"/>
      <c r="J80" s="207"/>
      <c r="K80" s="207"/>
      <c r="L80" s="207"/>
      <c r="M80" s="207"/>
      <c r="N80" s="207"/>
      <c r="O80" s="207"/>
      <c r="P80" s="207"/>
      <c r="Q80" s="207"/>
      <c r="R80" s="207"/>
      <c r="S80" s="64"/>
      <c r="T80" s="64"/>
      <c r="U80" s="64"/>
      <c r="V80" s="64"/>
    </row>
    <row r="81" spans="1:22" hidden="1">
      <c r="A81" s="64"/>
      <c r="B81" s="69"/>
      <c r="C81" s="64"/>
      <c r="D81" s="64"/>
      <c r="E81" s="64"/>
      <c r="F81" s="64"/>
      <c r="G81" s="64"/>
      <c r="H81" s="64"/>
      <c r="I81" s="64"/>
      <c r="J81" s="207"/>
      <c r="K81" s="207"/>
      <c r="L81" s="207"/>
      <c r="M81" s="207"/>
      <c r="N81" s="207"/>
      <c r="O81" s="207"/>
      <c r="P81" s="207"/>
      <c r="Q81" s="207"/>
      <c r="R81" s="207"/>
      <c r="S81" s="64"/>
      <c r="T81" s="64"/>
      <c r="U81" s="64"/>
      <c r="V81" s="64"/>
    </row>
    <row r="82" spans="1:22" hidden="1">
      <c r="A82" s="64"/>
      <c r="B82" s="69"/>
      <c r="C82" s="64"/>
      <c r="D82" s="64"/>
      <c r="E82" s="64"/>
      <c r="F82" s="64"/>
      <c r="G82" s="64"/>
      <c r="H82" s="64"/>
      <c r="I82" s="64"/>
      <c r="J82" s="207"/>
      <c r="K82" s="207"/>
      <c r="L82" s="207"/>
      <c r="M82" s="207"/>
      <c r="N82" s="207"/>
      <c r="O82" s="207"/>
      <c r="P82" s="207"/>
      <c r="Q82" s="207"/>
      <c r="R82" s="207"/>
      <c r="S82" s="64"/>
      <c r="T82" s="64"/>
      <c r="U82" s="64"/>
      <c r="V82" s="64"/>
    </row>
    <row r="83" spans="1:22" hidden="1">
      <c r="A83" s="64"/>
      <c r="B83" s="69"/>
      <c r="C83" s="64"/>
      <c r="D83" s="64"/>
      <c r="E83" s="64"/>
      <c r="F83" s="64"/>
      <c r="G83" s="64"/>
      <c r="H83" s="64"/>
      <c r="I83" s="64"/>
      <c r="J83" s="207"/>
      <c r="K83" s="207"/>
      <c r="L83" s="207"/>
      <c r="M83" s="207"/>
      <c r="N83" s="207"/>
      <c r="O83" s="207"/>
      <c r="P83" s="207"/>
      <c r="Q83" s="207"/>
      <c r="R83" s="207"/>
      <c r="S83" s="64"/>
      <c r="T83" s="64"/>
      <c r="U83" s="64"/>
      <c r="V83" s="64"/>
    </row>
    <row r="84" spans="1:22" hidden="1">
      <c r="A84" s="64"/>
      <c r="B84" s="69"/>
      <c r="C84" s="64"/>
      <c r="D84" s="64"/>
      <c r="E84" s="64"/>
      <c r="F84" s="64"/>
      <c r="G84" s="64"/>
      <c r="H84" s="64"/>
      <c r="I84" s="64"/>
      <c r="J84" s="207"/>
      <c r="K84" s="207"/>
      <c r="L84" s="207"/>
      <c r="M84" s="207"/>
      <c r="N84" s="207"/>
      <c r="O84" s="207"/>
      <c r="P84" s="207"/>
      <c r="Q84" s="207"/>
      <c r="R84" s="207"/>
      <c r="S84" s="64"/>
      <c r="T84" s="64"/>
      <c r="U84" s="64"/>
      <c r="V84" s="64"/>
    </row>
    <row r="85" spans="1:22" hidden="1">
      <c r="A85" s="64"/>
      <c r="B85" s="69"/>
      <c r="C85" s="64"/>
      <c r="D85" s="64"/>
      <c r="E85" s="64"/>
      <c r="F85" s="64"/>
      <c r="G85" s="64"/>
      <c r="H85" s="64"/>
      <c r="I85" s="64"/>
      <c r="J85" s="207"/>
      <c r="K85" s="207"/>
      <c r="L85" s="207"/>
      <c r="M85" s="207"/>
      <c r="N85" s="207"/>
      <c r="O85" s="207"/>
      <c r="P85" s="207"/>
      <c r="Q85" s="207"/>
      <c r="R85" s="207"/>
      <c r="S85" s="64"/>
      <c r="T85" s="64"/>
      <c r="U85" s="64"/>
      <c r="V85" s="64"/>
    </row>
    <row r="86" spans="1:22" hidden="1">
      <c r="A86" s="64"/>
      <c r="B86" s="69"/>
      <c r="C86" s="64"/>
      <c r="D86" s="64"/>
      <c r="E86" s="64"/>
      <c r="F86" s="64"/>
      <c r="G86" s="64"/>
      <c r="H86" s="64"/>
      <c r="I86" s="64"/>
      <c r="J86" s="207"/>
      <c r="K86" s="207"/>
      <c r="L86" s="207"/>
      <c r="M86" s="207"/>
      <c r="N86" s="207"/>
      <c r="O86" s="207"/>
      <c r="P86" s="207"/>
      <c r="Q86" s="207"/>
      <c r="R86" s="207"/>
      <c r="S86" s="64"/>
      <c r="T86" s="64"/>
      <c r="U86" s="64"/>
      <c r="V86" s="64"/>
    </row>
    <row r="87" spans="1:22" hidden="1">
      <c r="A87" s="64"/>
      <c r="B87" s="69"/>
      <c r="C87" s="64"/>
      <c r="D87" s="64"/>
      <c r="E87" s="64"/>
      <c r="F87" s="64"/>
      <c r="G87" s="64"/>
      <c r="H87" s="64"/>
      <c r="I87" s="64"/>
      <c r="J87" s="207"/>
      <c r="K87" s="207"/>
      <c r="L87" s="207"/>
      <c r="M87" s="207"/>
      <c r="N87" s="207"/>
      <c r="O87" s="207"/>
      <c r="P87" s="207"/>
      <c r="Q87" s="207"/>
      <c r="R87" s="207"/>
      <c r="S87" s="64"/>
      <c r="T87" s="64"/>
      <c r="U87" s="64"/>
      <c r="V87" s="64"/>
    </row>
    <row r="88" spans="1:22" hidden="1">
      <c r="A88" s="64"/>
      <c r="B88" s="69"/>
      <c r="C88" s="64"/>
      <c r="D88" s="64"/>
      <c r="E88" s="64"/>
      <c r="F88" s="64"/>
      <c r="G88" s="64"/>
      <c r="H88" s="64"/>
      <c r="I88" s="64"/>
      <c r="J88" s="207"/>
      <c r="K88" s="207"/>
      <c r="L88" s="207"/>
      <c r="M88" s="207"/>
      <c r="N88" s="207"/>
      <c r="O88" s="207"/>
      <c r="P88" s="207"/>
      <c r="Q88" s="207"/>
      <c r="R88" s="207"/>
      <c r="S88" s="64"/>
      <c r="T88" s="64"/>
      <c r="U88" s="64"/>
      <c r="V88" s="64"/>
    </row>
    <row r="89" spans="1:22" hidden="1">
      <c r="A89" s="64"/>
      <c r="B89" s="69"/>
      <c r="C89" s="64"/>
      <c r="D89" s="64"/>
      <c r="E89" s="64"/>
      <c r="F89" s="64"/>
      <c r="G89" s="64"/>
      <c r="H89" s="64"/>
      <c r="I89" s="64"/>
      <c r="J89" s="207"/>
      <c r="K89" s="207"/>
      <c r="L89" s="207"/>
      <c r="M89" s="207"/>
      <c r="N89" s="207"/>
      <c r="O89" s="207"/>
      <c r="P89" s="207"/>
      <c r="Q89" s="207"/>
      <c r="R89" s="207"/>
      <c r="S89" s="64"/>
      <c r="T89" s="64"/>
      <c r="U89" s="64"/>
      <c r="V89" s="64"/>
    </row>
    <row r="90" spans="1:22" hidden="1">
      <c r="A90" s="64"/>
      <c r="B90" s="69"/>
      <c r="C90" s="64"/>
      <c r="D90" s="64"/>
      <c r="E90" s="64"/>
      <c r="F90" s="64"/>
      <c r="G90" s="64"/>
      <c r="H90" s="64"/>
      <c r="I90" s="64"/>
      <c r="J90" s="207"/>
      <c r="K90" s="207"/>
      <c r="L90" s="207"/>
      <c r="M90" s="207"/>
      <c r="N90" s="207"/>
      <c r="O90" s="207"/>
      <c r="P90" s="207"/>
      <c r="Q90" s="207"/>
      <c r="R90" s="207"/>
      <c r="S90" s="64"/>
      <c r="T90" s="64"/>
      <c r="U90" s="64"/>
      <c r="V90" s="64"/>
    </row>
    <row r="91" spans="1:22" hidden="1">
      <c r="A91" s="64"/>
      <c r="B91" s="69"/>
      <c r="C91" s="64"/>
      <c r="D91" s="64"/>
      <c r="E91" s="64"/>
      <c r="F91" s="64"/>
      <c r="G91" s="64"/>
      <c r="H91" s="64"/>
      <c r="I91" s="64"/>
      <c r="J91" s="207"/>
      <c r="K91" s="207"/>
      <c r="L91" s="207"/>
      <c r="M91" s="207"/>
      <c r="N91" s="207"/>
      <c r="O91" s="207"/>
      <c r="P91" s="207"/>
      <c r="Q91" s="207"/>
      <c r="R91" s="207"/>
      <c r="S91" s="64"/>
      <c r="T91" s="64"/>
      <c r="U91" s="64"/>
      <c r="V91" s="64"/>
    </row>
    <row r="92" spans="1:22" hidden="1">
      <c r="A92" s="64"/>
      <c r="B92" s="69"/>
      <c r="C92" s="64"/>
      <c r="D92" s="64"/>
      <c r="E92" s="64"/>
      <c r="F92" s="64"/>
      <c r="G92" s="64"/>
      <c r="H92" s="64"/>
      <c r="I92" s="64"/>
      <c r="J92" s="207"/>
      <c r="K92" s="207"/>
      <c r="L92" s="207"/>
      <c r="M92" s="207"/>
      <c r="N92" s="207"/>
      <c r="O92" s="207"/>
      <c r="P92" s="207"/>
      <c r="Q92" s="207"/>
      <c r="R92" s="207"/>
      <c r="S92" s="64"/>
      <c r="T92" s="64"/>
      <c r="U92" s="64"/>
      <c r="V92" s="64"/>
    </row>
    <row r="93" spans="1:22" hidden="1">
      <c r="A93" s="64"/>
      <c r="B93" s="69"/>
      <c r="C93" s="64"/>
      <c r="D93" s="64"/>
      <c r="E93" s="64"/>
      <c r="F93" s="64"/>
      <c r="G93" s="64"/>
      <c r="H93" s="64"/>
      <c r="I93" s="64"/>
      <c r="J93" s="207"/>
      <c r="K93" s="207"/>
      <c r="L93" s="207"/>
      <c r="M93" s="207"/>
      <c r="N93" s="207"/>
      <c r="O93" s="207"/>
      <c r="P93" s="207"/>
      <c r="Q93" s="207"/>
      <c r="R93" s="207"/>
      <c r="S93" s="64"/>
      <c r="T93" s="64"/>
      <c r="U93" s="64"/>
      <c r="V93" s="64"/>
    </row>
    <row r="94" spans="1:22" hidden="1">
      <c r="A94" s="64"/>
      <c r="B94" s="69"/>
      <c r="C94" s="64"/>
      <c r="D94" s="64"/>
      <c r="E94" s="64"/>
      <c r="F94" s="64"/>
      <c r="G94" s="64"/>
      <c r="H94" s="64"/>
      <c r="I94" s="64"/>
      <c r="J94" s="207"/>
      <c r="K94" s="207"/>
      <c r="L94" s="207"/>
      <c r="M94" s="207"/>
      <c r="N94" s="207"/>
      <c r="O94" s="207"/>
      <c r="P94" s="207"/>
      <c r="Q94" s="207"/>
      <c r="R94" s="207"/>
      <c r="S94" s="64"/>
      <c r="T94" s="64"/>
      <c r="U94" s="64"/>
      <c r="V94" s="64"/>
    </row>
    <row r="95" spans="1:22" hidden="1">
      <c r="A95" s="64"/>
      <c r="B95" s="69"/>
      <c r="C95" s="64"/>
      <c r="D95" s="64"/>
      <c r="E95" s="64"/>
      <c r="F95" s="64"/>
      <c r="G95" s="64"/>
      <c r="H95" s="64"/>
      <c r="I95" s="64"/>
      <c r="J95" s="207"/>
      <c r="K95" s="207"/>
      <c r="L95" s="207"/>
      <c r="M95" s="207"/>
      <c r="N95" s="207"/>
      <c r="O95" s="207"/>
      <c r="P95" s="207"/>
      <c r="Q95" s="207"/>
      <c r="R95" s="207"/>
      <c r="S95" s="64"/>
      <c r="T95" s="64"/>
      <c r="U95" s="64"/>
      <c r="V95" s="64"/>
    </row>
    <row r="96" spans="1:22" hidden="1">
      <c r="A96" s="64"/>
      <c r="B96" s="69"/>
      <c r="C96" s="64"/>
      <c r="D96" s="64"/>
      <c r="E96" s="64"/>
      <c r="F96" s="64"/>
      <c r="G96" s="64"/>
      <c r="H96" s="64"/>
      <c r="I96" s="64"/>
      <c r="J96" s="207"/>
      <c r="K96" s="207"/>
      <c r="L96" s="207"/>
      <c r="M96" s="207"/>
      <c r="N96" s="207"/>
      <c r="O96" s="207"/>
      <c r="P96" s="207"/>
      <c r="Q96" s="207"/>
      <c r="R96" s="207"/>
      <c r="S96" s="64"/>
      <c r="T96" s="64"/>
      <c r="U96" s="64"/>
      <c r="V96" s="64"/>
    </row>
    <row r="97" spans="1:22" hidden="1">
      <c r="A97" s="64"/>
      <c r="B97" s="69"/>
      <c r="C97" s="64"/>
      <c r="D97" s="64"/>
      <c r="E97" s="64"/>
      <c r="F97" s="64"/>
      <c r="G97" s="64"/>
      <c r="H97" s="64"/>
      <c r="I97" s="64"/>
      <c r="J97" s="207"/>
      <c r="K97" s="207"/>
      <c r="L97" s="207"/>
      <c r="M97" s="207"/>
      <c r="N97" s="207"/>
      <c r="O97" s="207"/>
      <c r="P97" s="207"/>
      <c r="Q97" s="207"/>
      <c r="R97" s="207"/>
      <c r="S97" s="64"/>
      <c r="T97" s="64"/>
      <c r="U97" s="64"/>
      <c r="V97" s="64"/>
    </row>
    <row r="98" spans="1:22" hidden="1">
      <c r="A98" s="64"/>
      <c r="B98" s="69"/>
      <c r="C98" s="64"/>
      <c r="D98" s="64"/>
      <c r="E98" s="64"/>
      <c r="F98" s="64"/>
      <c r="G98" s="64"/>
      <c r="H98" s="64"/>
      <c r="I98" s="64"/>
      <c r="J98" s="207"/>
      <c r="K98" s="207"/>
      <c r="L98" s="207"/>
      <c r="M98" s="207"/>
      <c r="N98" s="207"/>
      <c r="O98" s="207"/>
      <c r="P98" s="207"/>
      <c r="Q98" s="207"/>
      <c r="R98" s="207"/>
      <c r="S98" s="64"/>
      <c r="T98" s="64"/>
      <c r="U98" s="64"/>
      <c r="V98" s="64"/>
    </row>
    <row r="99" spans="1:22" hidden="1">
      <c r="A99" s="64"/>
      <c r="B99" s="69"/>
      <c r="C99" s="64"/>
      <c r="D99" s="64"/>
      <c r="E99" s="64"/>
      <c r="F99" s="64"/>
      <c r="G99" s="64"/>
      <c r="H99" s="64"/>
      <c r="I99" s="64"/>
      <c r="J99" s="207"/>
      <c r="K99" s="207"/>
      <c r="L99" s="207"/>
      <c r="M99" s="207"/>
      <c r="N99" s="207"/>
      <c r="O99" s="207"/>
      <c r="P99" s="207"/>
      <c r="Q99" s="207"/>
      <c r="R99" s="207"/>
      <c r="S99" s="64"/>
      <c r="T99" s="64"/>
      <c r="U99" s="64"/>
      <c r="V99" s="64"/>
    </row>
    <row r="100" spans="1:22" hidden="1">
      <c r="A100" s="64"/>
      <c r="B100" s="69"/>
      <c r="C100" s="64"/>
      <c r="D100" s="64"/>
      <c r="E100" s="64"/>
      <c r="F100" s="64"/>
      <c r="G100" s="64"/>
      <c r="H100" s="64"/>
      <c r="I100" s="64"/>
      <c r="J100" s="207"/>
      <c r="K100" s="207"/>
      <c r="L100" s="207"/>
      <c r="M100" s="207"/>
      <c r="N100" s="207"/>
      <c r="O100" s="207"/>
      <c r="P100" s="207"/>
      <c r="Q100" s="207"/>
      <c r="R100" s="207"/>
      <c r="S100" s="64"/>
      <c r="T100" s="64"/>
      <c r="U100" s="64"/>
      <c r="V100" s="64"/>
    </row>
    <row r="101" spans="1:22" hidden="1">
      <c r="A101" s="64"/>
      <c r="B101" s="69"/>
      <c r="C101" s="64"/>
      <c r="D101" s="64"/>
      <c r="E101" s="64"/>
      <c r="F101" s="64"/>
      <c r="G101" s="64"/>
      <c r="H101" s="64"/>
      <c r="I101" s="64"/>
      <c r="J101" s="207"/>
      <c r="K101" s="207"/>
      <c r="L101" s="207"/>
      <c r="M101" s="207"/>
      <c r="N101" s="207"/>
      <c r="O101" s="207"/>
      <c r="P101" s="207"/>
      <c r="Q101" s="207"/>
      <c r="R101" s="207"/>
      <c r="S101" s="64"/>
      <c r="T101" s="64"/>
      <c r="U101" s="64"/>
      <c r="V101" s="64"/>
    </row>
    <row r="102" spans="1:22" hidden="1">
      <c r="A102" s="64"/>
      <c r="B102" s="69"/>
      <c r="C102" s="64"/>
      <c r="D102" s="64"/>
      <c r="E102" s="64"/>
      <c r="F102" s="64"/>
      <c r="G102" s="64"/>
      <c r="H102" s="64"/>
      <c r="I102" s="64"/>
      <c r="J102" s="207"/>
      <c r="K102" s="207"/>
      <c r="L102" s="207"/>
      <c r="M102" s="207"/>
      <c r="N102" s="207"/>
      <c r="O102" s="207"/>
      <c r="P102" s="207"/>
      <c r="Q102" s="207"/>
      <c r="R102" s="207"/>
      <c r="S102" s="64"/>
      <c r="T102" s="64"/>
      <c r="U102" s="64"/>
      <c r="V102" s="64"/>
    </row>
    <row r="103" spans="1:22" hidden="1">
      <c r="A103" s="64"/>
      <c r="B103" s="69"/>
      <c r="C103" s="64"/>
      <c r="D103" s="64"/>
      <c r="E103" s="64"/>
      <c r="F103" s="64"/>
      <c r="G103" s="64"/>
      <c r="H103" s="64"/>
      <c r="I103" s="64"/>
      <c r="J103" s="207"/>
      <c r="K103" s="207"/>
      <c r="L103" s="207"/>
      <c r="M103" s="207"/>
      <c r="N103" s="207"/>
      <c r="O103" s="207"/>
      <c r="P103" s="207"/>
      <c r="Q103" s="207"/>
      <c r="R103" s="207"/>
      <c r="S103" s="64"/>
      <c r="T103" s="64"/>
      <c r="U103" s="64"/>
      <c r="V103" s="64"/>
    </row>
    <row r="104" spans="1:22" hidden="1">
      <c r="A104" s="64"/>
      <c r="B104" s="69"/>
      <c r="C104" s="64"/>
      <c r="D104" s="64"/>
      <c r="E104" s="64"/>
      <c r="F104" s="64"/>
      <c r="G104" s="64"/>
      <c r="H104" s="64"/>
      <c r="I104" s="64"/>
      <c r="J104" s="207"/>
      <c r="K104" s="207"/>
      <c r="L104" s="207"/>
      <c r="M104" s="207"/>
      <c r="N104" s="207"/>
      <c r="O104" s="207"/>
      <c r="P104" s="207"/>
      <c r="Q104" s="207"/>
      <c r="R104" s="207"/>
      <c r="S104" s="64"/>
      <c r="T104" s="64"/>
      <c r="U104" s="64"/>
      <c r="V104" s="64"/>
    </row>
    <row r="105" spans="1:22" hidden="1">
      <c r="A105" s="64"/>
      <c r="B105" s="69"/>
      <c r="C105" s="64"/>
      <c r="D105" s="64"/>
      <c r="E105" s="64"/>
      <c r="F105" s="64"/>
      <c r="G105" s="64"/>
      <c r="H105" s="64"/>
      <c r="I105" s="64"/>
      <c r="J105" s="207"/>
      <c r="K105" s="207"/>
      <c r="L105" s="207"/>
      <c r="M105" s="207"/>
      <c r="N105" s="207"/>
      <c r="O105" s="207"/>
      <c r="P105" s="207"/>
      <c r="Q105" s="207"/>
      <c r="R105" s="207"/>
      <c r="S105" s="64"/>
      <c r="T105" s="64"/>
      <c r="U105" s="64"/>
      <c r="V105" s="64"/>
    </row>
    <row r="106" spans="1:22" hidden="1">
      <c r="A106" s="64"/>
      <c r="B106" s="69"/>
      <c r="C106" s="64"/>
      <c r="D106" s="64"/>
      <c r="E106" s="64"/>
      <c r="F106" s="64"/>
      <c r="G106" s="64"/>
      <c r="H106" s="64"/>
      <c r="I106" s="64"/>
      <c r="J106" s="207"/>
      <c r="K106" s="207"/>
      <c r="L106" s="207"/>
      <c r="M106" s="207"/>
      <c r="N106" s="207"/>
      <c r="O106" s="207"/>
      <c r="P106" s="207"/>
      <c r="Q106" s="207"/>
      <c r="R106" s="207"/>
      <c r="S106" s="64"/>
      <c r="T106" s="64"/>
      <c r="U106" s="64"/>
      <c r="V106" s="64"/>
    </row>
    <row r="107" spans="1:22" hidden="1">
      <c r="A107" s="64"/>
      <c r="B107" s="69"/>
      <c r="C107" s="64"/>
      <c r="D107" s="64"/>
      <c r="E107" s="64"/>
      <c r="F107" s="64"/>
      <c r="G107" s="64"/>
      <c r="H107" s="64"/>
      <c r="I107" s="64"/>
      <c r="J107" s="207"/>
      <c r="K107" s="207"/>
      <c r="L107" s="207"/>
      <c r="M107" s="207"/>
      <c r="N107" s="207"/>
      <c r="O107" s="207"/>
      <c r="P107" s="207"/>
      <c r="Q107" s="207"/>
      <c r="R107" s="207"/>
      <c r="S107" s="64"/>
      <c r="T107" s="64"/>
      <c r="U107" s="64"/>
      <c r="V107" s="64"/>
    </row>
    <row r="108" spans="1:22" hidden="1">
      <c r="A108" s="64"/>
      <c r="B108" s="69"/>
      <c r="C108" s="64"/>
      <c r="D108" s="64"/>
      <c r="E108" s="64"/>
      <c r="F108" s="64"/>
      <c r="G108" s="64"/>
      <c r="H108" s="64"/>
      <c r="I108" s="64"/>
      <c r="J108" s="207"/>
      <c r="K108" s="207"/>
      <c r="L108" s="207"/>
      <c r="M108" s="207"/>
      <c r="N108" s="207"/>
      <c r="O108" s="207"/>
      <c r="P108" s="207"/>
      <c r="Q108" s="207"/>
      <c r="R108" s="207"/>
      <c r="S108" s="64"/>
      <c r="T108" s="64"/>
      <c r="U108" s="64"/>
      <c r="V108" s="64"/>
    </row>
    <row r="109" spans="1:22" hidden="1">
      <c r="A109" s="64"/>
      <c r="B109" s="69"/>
      <c r="C109" s="64"/>
      <c r="D109" s="64"/>
      <c r="E109" s="64"/>
      <c r="F109" s="64"/>
      <c r="G109" s="64"/>
      <c r="H109" s="64"/>
      <c r="I109" s="64"/>
      <c r="J109" s="207"/>
      <c r="K109" s="207"/>
      <c r="L109" s="207"/>
      <c r="M109" s="207"/>
      <c r="N109" s="207"/>
      <c r="O109" s="207"/>
      <c r="P109" s="207"/>
      <c r="Q109" s="207"/>
      <c r="R109" s="207"/>
      <c r="S109" s="64"/>
      <c r="T109" s="64"/>
      <c r="U109" s="64"/>
      <c r="V109" s="64"/>
    </row>
    <row r="110" spans="1:22" hidden="1">
      <c r="A110" s="64"/>
      <c r="B110" s="69"/>
      <c r="C110" s="64"/>
      <c r="D110" s="64"/>
      <c r="E110" s="64"/>
      <c r="F110" s="64"/>
      <c r="G110" s="64"/>
      <c r="H110" s="64"/>
      <c r="I110" s="64"/>
      <c r="J110" s="207"/>
      <c r="K110" s="207"/>
      <c r="L110" s="207"/>
      <c r="M110" s="207"/>
      <c r="N110" s="207"/>
      <c r="O110" s="207"/>
      <c r="P110" s="207"/>
      <c r="Q110" s="207"/>
      <c r="R110" s="207"/>
      <c r="S110" s="64"/>
      <c r="T110" s="64"/>
      <c r="U110" s="64"/>
      <c r="V110" s="64"/>
    </row>
    <row r="111" spans="1:22" hidden="1">
      <c r="A111" s="64"/>
      <c r="B111" s="69"/>
      <c r="C111" s="64"/>
      <c r="D111" s="64"/>
      <c r="E111" s="64"/>
      <c r="F111" s="64"/>
      <c r="G111" s="64"/>
      <c r="H111" s="64"/>
      <c r="I111" s="64"/>
      <c r="J111" s="207"/>
      <c r="K111" s="207"/>
      <c r="L111" s="207"/>
      <c r="M111" s="207"/>
      <c r="N111" s="207"/>
      <c r="O111" s="207"/>
      <c r="P111" s="207"/>
      <c r="Q111" s="207"/>
      <c r="R111" s="207"/>
      <c r="S111" s="64"/>
      <c r="T111" s="64"/>
      <c r="U111" s="64"/>
      <c r="V111" s="64"/>
    </row>
    <row r="112" spans="1:22" hidden="1">
      <c r="A112" s="64"/>
      <c r="B112" s="69"/>
      <c r="C112" s="64"/>
      <c r="D112" s="64"/>
      <c r="E112" s="64"/>
      <c r="F112" s="64"/>
      <c r="G112" s="64"/>
      <c r="H112" s="64"/>
      <c r="I112" s="64"/>
      <c r="J112" s="207"/>
      <c r="K112" s="207"/>
      <c r="L112" s="207"/>
      <c r="M112" s="207"/>
      <c r="N112" s="207"/>
      <c r="O112" s="207"/>
      <c r="P112" s="207"/>
      <c r="Q112" s="207"/>
      <c r="R112" s="207"/>
      <c r="S112" s="64"/>
      <c r="T112" s="64"/>
      <c r="U112" s="64"/>
      <c r="V112" s="64"/>
    </row>
    <row r="113" spans="1:22" hidden="1">
      <c r="A113" s="64"/>
      <c r="B113" s="69"/>
      <c r="C113" s="64"/>
      <c r="D113" s="64"/>
      <c r="E113" s="64"/>
      <c r="F113" s="64"/>
      <c r="G113" s="64"/>
      <c r="H113" s="64"/>
      <c r="I113" s="64"/>
      <c r="J113" s="207"/>
      <c r="K113" s="207"/>
      <c r="L113" s="207"/>
      <c r="M113" s="207"/>
      <c r="N113" s="207"/>
      <c r="O113" s="207"/>
      <c r="P113" s="207"/>
      <c r="Q113" s="207"/>
      <c r="R113" s="207"/>
      <c r="S113" s="64"/>
      <c r="T113" s="64"/>
      <c r="U113" s="64"/>
      <c r="V113" s="64"/>
    </row>
    <row r="114" spans="1:22" hidden="1">
      <c r="A114" s="64"/>
      <c r="B114" s="69"/>
      <c r="C114" s="64"/>
      <c r="D114" s="64"/>
      <c r="E114" s="64"/>
      <c r="F114" s="64"/>
      <c r="G114" s="64"/>
      <c r="H114" s="64"/>
      <c r="I114" s="64"/>
      <c r="J114" s="207"/>
      <c r="K114" s="207"/>
      <c r="L114" s="207"/>
      <c r="M114" s="207"/>
      <c r="N114" s="207"/>
      <c r="O114" s="207"/>
      <c r="P114" s="207"/>
      <c r="Q114" s="207"/>
      <c r="R114" s="207"/>
      <c r="S114" s="64"/>
      <c r="T114" s="64"/>
      <c r="U114" s="64"/>
      <c r="V114" s="64"/>
    </row>
    <row r="115" spans="1:22" hidden="1">
      <c r="A115" s="64"/>
      <c r="B115" s="69"/>
      <c r="C115" s="64"/>
      <c r="D115" s="64"/>
      <c r="E115" s="64"/>
      <c r="F115" s="64"/>
      <c r="G115" s="64"/>
      <c r="H115" s="64"/>
      <c r="I115" s="64"/>
      <c r="J115" s="207"/>
      <c r="K115" s="207"/>
      <c r="L115" s="207"/>
      <c r="M115" s="207"/>
      <c r="N115" s="207"/>
      <c r="O115" s="207"/>
      <c r="P115" s="207"/>
      <c r="Q115" s="207"/>
      <c r="R115" s="207"/>
      <c r="S115" s="64"/>
      <c r="T115" s="64"/>
      <c r="U115" s="64"/>
      <c r="V115" s="64"/>
    </row>
    <row r="116" spans="1:22" hidden="1">
      <c r="A116" s="64"/>
      <c r="B116" s="69"/>
      <c r="C116" s="64"/>
      <c r="D116" s="64"/>
      <c r="E116" s="64"/>
      <c r="F116" s="64"/>
      <c r="G116" s="64"/>
      <c r="H116" s="64"/>
      <c r="I116" s="64"/>
      <c r="J116" s="207"/>
      <c r="K116" s="207"/>
      <c r="L116" s="207"/>
      <c r="M116" s="207"/>
      <c r="N116" s="207"/>
      <c r="O116" s="207"/>
      <c r="P116" s="207"/>
      <c r="Q116" s="207"/>
      <c r="R116" s="207"/>
      <c r="S116" s="64"/>
      <c r="T116" s="64"/>
      <c r="U116" s="64"/>
      <c r="V116" s="64"/>
    </row>
    <row r="117" spans="1:22" hidden="1">
      <c r="A117" s="64"/>
      <c r="B117" s="69"/>
      <c r="C117" s="64"/>
      <c r="D117" s="64"/>
      <c r="E117" s="64"/>
      <c r="F117" s="64"/>
      <c r="G117" s="64"/>
      <c r="H117" s="64"/>
      <c r="I117" s="64"/>
      <c r="J117" s="207"/>
      <c r="K117" s="207"/>
      <c r="L117" s="207"/>
      <c r="M117" s="207"/>
      <c r="N117" s="207"/>
      <c r="O117" s="207"/>
      <c r="P117" s="207"/>
      <c r="Q117" s="207"/>
      <c r="R117" s="207"/>
      <c r="S117" s="64"/>
      <c r="T117" s="64"/>
      <c r="U117" s="64"/>
      <c r="V117" s="64"/>
    </row>
    <row r="118" spans="1:22" hidden="1">
      <c r="A118" s="64"/>
      <c r="B118" s="69"/>
      <c r="C118" s="64"/>
      <c r="D118" s="64"/>
      <c r="E118" s="64"/>
      <c r="F118" s="64"/>
      <c r="G118" s="64"/>
      <c r="H118" s="64"/>
      <c r="I118" s="64"/>
      <c r="J118" s="207"/>
      <c r="K118" s="207"/>
      <c r="L118" s="207"/>
      <c r="M118" s="207"/>
      <c r="N118" s="207"/>
      <c r="O118" s="207"/>
      <c r="P118" s="207"/>
      <c r="Q118" s="207"/>
      <c r="R118" s="207"/>
      <c r="S118" s="64"/>
      <c r="T118" s="64"/>
      <c r="U118" s="64"/>
      <c r="V118" s="64"/>
    </row>
    <row r="119" spans="1:22" hidden="1">
      <c r="A119" s="64"/>
      <c r="B119" s="69"/>
      <c r="C119" s="64"/>
      <c r="D119" s="64"/>
      <c r="E119" s="64"/>
      <c r="F119" s="64"/>
      <c r="G119" s="64"/>
      <c r="H119" s="64"/>
      <c r="I119" s="64"/>
      <c r="J119" s="207"/>
      <c r="K119" s="207"/>
      <c r="L119" s="207"/>
      <c r="M119" s="207"/>
      <c r="N119" s="207"/>
      <c r="O119" s="207"/>
      <c r="P119" s="207"/>
      <c r="Q119" s="207"/>
      <c r="R119" s="207"/>
      <c r="S119" s="64"/>
      <c r="T119" s="64"/>
      <c r="U119" s="64"/>
      <c r="V119" s="64"/>
    </row>
    <row r="120" spans="1:22" hidden="1">
      <c r="A120" s="64"/>
      <c r="B120" s="69"/>
      <c r="C120" s="64"/>
      <c r="D120" s="64"/>
      <c r="E120" s="64"/>
      <c r="F120" s="64"/>
      <c r="G120" s="64"/>
      <c r="H120" s="64"/>
      <c r="I120" s="64"/>
      <c r="J120" s="207"/>
      <c r="K120" s="207"/>
      <c r="L120" s="207"/>
      <c r="M120" s="207"/>
      <c r="N120" s="207"/>
      <c r="O120" s="207"/>
      <c r="P120" s="207"/>
      <c r="Q120" s="207"/>
      <c r="R120" s="207"/>
      <c r="S120" s="64"/>
      <c r="T120" s="64"/>
      <c r="U120" s="64"/>
      <c r="V120" s="64"/>
    </row>
    <row r="121" spans="1:22" hidden="1">
      <c r="A121" s="64"/>
      <c r="B121" s="69"/>
      <c r="C121" s="64"/>
      <c r="D121" s="64"/>
      <c r="E121" s="64"/>
      <c r="F121" s="64"/>
      <c r="G121" s="64"/>
      <c r="H121" s="64"/>
      <c r="I121" s="64"/>
      <c r="J121" s="207"/>
      <c r="K121" s="207"/>
      <c r="L121" s="207"/>
      <c r="M121" s="207"/>
      <c r="N121" s="207"/>
      <c r="O121" s="207"/>
      <c r="P121" s="207"/>
      <c r="Q121" s="207"/>
      <c r="R121" s="207"/>
      <c r="S121" s="64"/>
      <c r="T121" s="64"/>
      <c r="U121" s="64"/>
      <c r="V121" s="64"/>
    </row>
    <row r="122" spans="1:22" hidden="1">
      <c r="A122" s="64"/>
      <c r="B122" s="69"/>
      <c r="C122" s="64"/>
      <c r="D122" s="64"/>
      <c r="E122" s="64"/>
      <c r="F122" s="64"/>
      <c r="G122" s="64"/>
      <c r="H122" s="64"/>
      <c r="I122" s="64"/>
      <c r="J122" s="207"/>
      <c r="K122" s="207"/>
      <c r="L122" s="207"/>
      <c r="M122" s="207"/>
      <c r="N122" s="207"/>
      <c r="O122" s="207"/>
      <c r="P122" s="207"/>
      <c r="Q122" s="207"/>
      <c r="R122" s="207"/>
      <c r="S122" s="64"/>
      <c r="T122" s="64"/>
      <c r="U122" s="64"/>
      <c r="V122" s="64"/>
    </row>
    <row r="123" spans="1:22" hidden="1">
      <c r="A123" s="64"/>
      <c r="B123" s="69"/>
      <c r="C123" s="64"/>
      <c r="D123" s="64"/>
      <c r="E123" s="64"/>
      <c r="F123" s="64"/>
      <c r="G123" s="64"/>
      <c r="H123" s="64"/>
      <c r="I123" s="64"/>
      <c r="J123" s="207"/>
      <c r="K123" s="207"/>
      <c r="L123" s="207"/>
      <c r="M123" s="207"/>
      <c r="N123" s="207"/>
      <c r="O123" s="207"/>
      <c r="P123" s="207"/>
      <c r="Q123" s="207"/>
      <c r="R123" s="207"/>
      <c r="S123" s="64"/>
      <c r="T123" s="64"/>
      <c r="U123" s="64"/>
      <c r="V123" s="64"/>
    </row>
    <row r="124" spans="1:22" hidden="1">
      <c r="A124" s="64"/>
      <c r="B124" s="69"/>
      <c r="C124" s="64"/>
      <c r="D124" s="64"/>
      <c r="E124" s="64"/>
      <c r="F124" s="64"/>
      <c r="G124" s="64"/>
      <c r="H124" s="64"/>
      <c r="I124" s="64"/>
      <c r="J124" s="207"/>
      <c r="K124" s="207"/>
      <c r="L124" s="207"/>
      <c r="M124" s="207"/>
      <c r="N124" s="207"/>
      <c r="O124" s="207"/>
      <c r="P124" s="207"/>
      <c r="Q124" s="207"/>
      <c r="R124" s="207"/>
      <c r="S124" s="64"/>
      <c r="T124" s="64"/>
      <c r="U124" s="64"/>
      <c r="V124" s="64"/>
    </row>
    <row r="125" spans="1:22" hidden="1">
      <c r="A125" s="64"/>
      <c r="B125" s="69"/>
      <c r="C125" s="64"/>
      <c r="D125" s="64"/>
      <c r="E125" s="64"/>
      <c r="F125" s="64"/>
      <c r="G125" s="64"/>
      <c r="H125" s="64"/>
      <c r="I125" s="64"/>
      <c r="J125" s="207"/>
      <c r="K125" s="207"/>
      <c r="L125" s="207"/>
      <c r="M125" s="207"/>
      <c r="N125" s="207"/>
      <c r="O125" s="207"/>
      <c r="P125" s="207"/>
      <c r="Q125" s="207"/>
      <c r="R125" s="207"/>
      <c r="S125" s="64"/>
      <c r="T125" s="64"/>
      <c r="U125" s="64"/>
      <c r="V125" s="64"/>
    </row>
    <row r="126" spans="1:22" hidden="1">
      <c r="A126" s="64"/>
      <c r="B126" s="69"/>
      <c r="C126" s="64"/>
      <c r="D126" s="64"/>
      <c r="E126" s="64"/>
      <c r="F126" s="64"/>
      <c r="G126" s="64"/>
      <c r="H126" s="64"/>
      <c r="I126" s="64"/>
      <c r="J126" s="207"/>
      <c r="K126" s="207"/>
      <c r="L126" s="207"/>
      <c r="M126" s="207"/>
      <c r="N126" s="207"/>
      <c r="O126" s="207"/>
      <c r="P126" s="207"/>
      <c r="Q126" s="207"/>
      <c r="R126" s="207"/>
      <c r="S126" s="64"/>
      <c r="T126" s="64"/>
      <c r="U126" s="64"/>
      <c r="V126" s="64"/>
    </row>
    <row r="127" spans="1:22" hidden="1">
      <c r="A127" s="64"/>
      <c r="B127" s="69"/>
      <c r="C127" s="64"/>
      <c r="D127" s="64"/>
      <c r="E127" s="64"/>
      <c r="F127" s="64"/>
      <c r="G127" s="64"/>
      <c r="H127" s="64"/>
      <c r="I127" s="64"/>
      <c r="J127" s="207"/>
      <c r="K127" s="207"/>
      <c r="L127" s="207"/>
      <c r="M127" s="207"/>
      <c r="N127" s="207"/>
      <c r="O127" s="207"/>
      <c r="P127" s="207"/>
      <c r="Q127" s="207"/>
      <c r="R127" s="207"/>
      <c r="S127" s="64"/>
      <c r="T127" s="64"/>
      <c r="U127" s="64"/>
      <c r="V127" s="64"/>
    </row>
    <row r="128" spans="1:22" hidden="1">
      <c r="A128" s="64"/>
      <c r="B128" s="69"/>
      <c r="C128" s="64"/>
      <c r="D128" s="64"/>
      <c r="E128" s="64"/>
      <c r="F128" s="64"/>
      <c r="G128" s="64"/>
      <c r="H128" s="64"/>
      <c r="I128" s="64"/>
      <c r="J128" s="207"/>
      <c r="K128" s="207"/>
      <c r="L128" s="207"/>
      <c r="M128" s="207"/>
      <c r="N128" s="207"/>
      <c r="O128" s="207"/>
      <c r="P128" s="207"/>
      <c r="Q128" s="207"/>
      <c r="R128" s="207"/>
      <c r="S128" s="64"/>
      <c r="T128" s="64"/>
      <c r="U128" s="64"/>
      <c r="V128" s="64"/>
    </row>
    <row r="129" spans="1:22" hidden="1">
      <c r="A129" s="64"/>
      <c r="B129" s="69"/>
      <c r="C129" s="64"/>
      <c r="D129" s="64"/>
      <c r="E129" s="64"/>
      <c r="F129" s="64"/>
      <c r="G129" s="64"/>
      <c r="H129" s="64"/>
      <c r="I129" s="64"/>
      <c r="J129" s="207"/>
      <c r="K129" s="207"/>
      <c r="L129" s="207"/>
      <c r="M129" s="207"/>
      <c r="N129" s="207"/>
      <c r="O129" s="207"/>
      <c r="P129" s="207"/>
      <c r="Q129" s="207"/>
      <c r="R129" s="207"/>
      <c r="S129" s="64"/>
      <c r="T129" s="64"/>
      <c r="U129" s="64"/>
      <c r="V129" s="64"/>
    </row>
    <row r="130" spans="1:22" hidden="1">
      <c r="A130" s="64"/>
      <c r="B130" s="69"/>
      <c r="C130" s="64"/>
      <c r="D130" s="64"/>
      <c r="E130" s="64"/>
      <c r="F130" s="64"/>
      <c r="G130" s="64"/>
      <c r="H130" s="64"/>
      <c r="I130" s="64"/>
      <c r="J130" s="207"/>
      <c r="K130" s="207"/>
      <c r="L130" s="207"/>
      <c r="M130" s="207"/>
      <c r="N130" s="207"/>
      <c r="O130" s="207"/>
      <c r="P130" s="207"/>
      <c r="Q130" s="207"/>
      <c r="R130" s="207"/>
      <c r="S130" s="64"/>
      <c r="T130" s="64"/>
      <c r="U130" s="64"/>
      <c r="V130" s="64"/>
    </row>
    <row r="131" spans="1:22" hidden="1">
      <c r="A131" s="64"/>
      <c r="B131" s="69"/>
      <c r="C131" s="64"/>
      <c r="D131" s="64"/>
      <c r="E131" s="64"/>
      <c r="F131" s="64"/>
      <c r="G131" s="64"/>
      <c r="H131" s="64"/>
      <c r="I131" s="64"/>
      <c r="J131" s="207"/>
      <c r="K131" s="207"/>
      <c r="L131" s="207"/>
      <c r="M131" s="207"/>
      <c r="N131" s="207"/>
      <c r="O131" s="207"/>
      <c r="P131" s="207"/>
      <c r="Q131" s="207"/>
      <c r="R131" s="207"/>
      <c r="S131" s="64"/>
      <c r="T131" s="64"/>
      <c r="U131" s="64"/>
      <c r="V131" s="64"/>
    </row>
    <row r="132" spans="1:22" hidden="1">
      <c r="A132" s="64"/>
      <c r="B132" s="69"/>
      <c r="C132" s="64"/>
      <c r="D132" s="64"/>
      <c r="E132" s="64"/>
      <c r="F132" s="64"/>
      <c r="G132" s="64"/>
      <c r="H132" s="64"/>
      <c r="I132" s="64"/>
      <c r="J132" s="207"/>
      <c r="K132" s="207"/>
      <c r="L132" s="207"/>
      <c r="M132" s="207"/>
      <c r="N132" s="207"/>
      <c r="O132" s="207"/>
      <c r="P132" s="207"/>
      <c r="Q132" s="207"/>
      <c r="R132" s="207"/>
      <c r="S132" s="64"/>
      <c r="T132" s="64"/>
      <c r="U132" s="64"/>
      <c r="V132" s="64"/>
    </row>
    <row r="133" spans="1:22" hidden="1">
      <c r="A133" s="64"/>
      <c r="B133" s="69"/>
      <c r="C133" s="64"/>
      <c r="D133" s="64"/>
      <c r="E133" s="64"/>
      <c r="F133" s="64"/>
      <c r="G133" s="64"/>
      <c r="H133" s="64"/>
      <c r="I133" s="64"/>
      <c r="J133" s="207"/>
      <c r="K133" s="207"/>
      <c r="L133" s="207"/>
      <c r="M133" s="207"/>
      <c r="N133" s="207"/>
      <c r="O133" s="207"/>
      <c r="P133" s="207"/>
      <c r="Q133" s="207"/>
      <c r="R133" s="207"/>
      <c r="S133" s="64"/>
      <c r="T133" s="64"/>
      <c r="U133" s="64"/>
      <c r="V133" s="64"/>
    </row>
    <row r="134" spans="1:22" hidden="1">
      <c r="A134" s="64"/>
      <c r="B134" s="69"/>
      <c r="C134" s="64"/>
      <c r="D134" s="64"/>
      <c r="E134" s="64"/>
      <c r="F134" s="64"/>
      <c r="G134" s="64"/>
      <c r="H134" s="64"/>
      <c r="I134" s="64"/>
      <c r="J134" s="207"/>
      <c r="K134" s="207"/>
      <c r="L134" s="207"/>
      <c r="M134" s="207"/>
      <c r="N134" s="207"/>
      <c r="O134" s="207"/>
      <c r="P134" s="207"/>
      <c r="Q134" s="207"/>
      <c r="R134" s="207"/>
      <c r="S134" s="64"/>
      <c r="T134" s="64"/>
      <c r="U134" s="64"/>
      <c r="V134" s="64"/>
    </row>
    <row r="135" spans="1:22" hidden="1">
      <c r="A135" s="64"/>
      <c r="B135" s="69"/>
      <c r="C135" s="64"/>
      <c r="D135" s="64"/>
      <c r="E135" s="64"/>
      <c r="F135" s="64"/>
      <c r="G135" s="64"/>
      <c r="H135" s="64"/>
      <c r="I135" s="64"/>
      <c r="J135" s="207"/>
      <c r="K135" s="207"/>
      <c r="L135" s="207"/>
      <c r="M135" s="207"/>
      <c r="N135" s="207"/>
      <c r="O135" s="207"/>
      <c r="P135" s="207"/>
      <c r="Q135" s="207"/>
      <c r="R135" s="207"/>
      <c r="S135" s="64"/>
      <c r="T135" s="64"/>
      <c r="U135" s="64"/>
      <c r="V135" s="64"/>
    </row>
    <row r="136" spans="1:22" hidden="1">
      <c r="A136" s="64"/>
      <c r="B136" s="69"/>
      <c r="C136" s="64"/>
      <c r="D136" s="64"/>
      <c r="E136" s="64"/>
      <c r="F136" s="64"/>
      <c r="G136" s="64"/>
      <c r="H136" s="64"/>
      <c r="I136" s="64"/>
      <c r="J136" s="207"/>
      <c r="K136" s="207"/>
      <c r="L136" s="207"/>
      <c r="M136" s="207"/>
      <c r="N136" s="207"/>
      <c r="O136" s="207"/>
      <c r="P136" s="207"/>
      <c r="Q136" s="207"/>
      <c r="R136" s="207"/>
      <c r="S136" s="64"/>
      <c r="T136" s="64"/>
      <c r="U136" s="64"/>
      <c r="V136" s="64"/>
    </row>
    <row r="137" spans="1:22" hidden="1">
      <c r="A137" s="64"/>
      <c r="B137" s="69"/>
      <c r="C137" s="64"/>
      <c r="D137" s="64"/>
      <c r="E137" s="64"/>
      <c r="F137" s="64"/>
      <c r="G137" s="64"/>
      <c r="H137" s="64"/>
      <c r="I137" s="64"/>
      <c r="J137" s="207"/>
      <c r="K137" s="207"/>
      <c r="L137" s="207"/>
      <c r="M137" s="207"/>
      <c r="N137" s="207"/>
      <c r="O137" s="207"/>
      <c r="P137" s="207"/>
      <c r="Q137" s="207"/>
      <c r="R137" s="207"/>
      <c r="S137" s="64"/>
      <c r="T137" s="64"/>
      <c r="U137" s="64"/>
      <c r="V137" s="64"/>
    </row>
    <row r="138" spans="1:22" hidden="1">
      <c r="A138" s="64"/>
      <c r="B138" s="69"/>
      <c r="C138" s="64"/>
      <c r="D138" s="64"/>
      <c r="E138" s="64"/>
      <c r="F138" s="64"/>
      <c r="G138" s="64"/>
      <c r="H138" s="64"/>
      <c r="I138" s="64"/>
      <c r="J138" s="207"/>
      <c r="K138" s="207"/>
      <c r="L138" s="207"/>
      <c r="M138" s="207"/>
      <c r="N138" s="207"/>
      <c r="O138" s="207"/>
      <c r="P138" s="207"/>
      <c r="Q138" s="207"/>
      <c r="R138" s="207"/>
      <c r="S138" s="64"/>
      <c r="T138" s="64"/>
      <c r="U138" s="64"/>
      <c r="V138" s="64"/>
    </row>
    <row r="139" spans="1:22" hidden="1">
      <c r="A139" s="64"/>
      <c r="B139" s="69"/>
      <c r="C139" s="64"/>
      <c r="D139" s="64"/>
      <c r="E139" s="64"/>
      <c r="F139" s="64"/>
      <c r="G139" s="64"/>
      <c r="H139" s="64"/>
      <c r="I139" s="64"/>
      <c r="J139" s="207"/>
      <c r="K139" s="207"/>
      <c r="L139" s="207"/>
      <c r="M139" s="207"/>
      <c r="N139" s="207"/>
      <c r="O139" s="207"/>
      <c r="P139" s="207"/>
      <c r="Q139" s="207"/>
      <c r="R139" s="207"/>
      <c r="S139" s="64"/>
      <c r="T139" s="64"/>
      <c r="U139" s="64"/>
      <c r="V139" s="64"/>
    </row>
    <row r="140" spans="1:22" hidden="1">
      <c r="A140" s="64"/>
      <c r="B140" s="69"/>
      <c r="C140" s="64"/>
      <c r="D140" s="64"/>
      <c r="E140" s="64"/>
      <c r="F140" s="64"/>
      <c r="G140" s="64"/>
      <c r="H140" s="64"/>
      <c r="I140" s="64"/>
      <c r="J140" s="207"/>
      <c r="K140" s="207"/>
      <c r="L140" s="207"/>
      <c r="M140" s="207"/>
      <c r="N140" s="207"/>
      <c r="O140" s="207"/>
      <c r="P140" s="207"/>
      <c r="Q140" s="207"/>
      <c r="R140" s="207"/>
      <c r="S140" s="64"/>
      <c r="T140" s="64"/>
      <c r="U140" s="64"/>
      <c r="V140" s="64"/>
    </row>
    <row r="141" spans="1:22" hidden="1">
      <c r="A141" s="64"/>
      <c r="B141" s="69"/>
      <c r="C141" s="64"/>
      <c r="D141" s="64"/>
      <c r="E141" s="64"/>
      <c r="F141" s="64"/>
      <c r="G141" s="64"/>
      <c r="H141" s="64"/>
      <c r="I141" s="64"/>
      <c r="J141" s="207"/>
      <c r="K141" s="207"/>
      <c r="L141" s="207"/>
      <c r="M141" s="207"/>
      <c r="N141" s="207"/>
      <c r="O141" s="207"/>
      <c r="P141" s="207"/>
      <c r="Q141" s="207"/>
      <c r="R141" s="207"/>
      <c r="S141" s="64"/>
      <c r="T141" s="64"/>
      <c r="U141" s="64"/>
      <c r="V141" s="64"/>
    </row>
    <row r="142" spans="1:22" hidden="1">
      <c r="A142" s="64"/>
      <c r="B142" s="69"/>
      <c r="C142" s="64"/>
      <c r="D142" s="64"/>
      <c r="E142" s="64"/>
      <c r="F142" s="64"/>
      <c r="G142" s="64"/>
      <c r="H142" s="64"/>
      <c r="I142" s="64"/>
      <c r="J142" s="207"/>
      <c r="K142" s="207"/>
      <c r="L142" s="207"/>
      <c r="M142" s="207"/>
      <c r="N142" s="207"/>
      <c r="O142" s="207"/>
      <c r="P142" s="207"/>
      <c r="Q142" s="207"/>
      <c r="R142" s="207"/>
      <c r="S142" s="64"/>
      <c r="T142" s="64"/>
      <c r="U142" s="64"/>
      <c r="V142" s="64"/>
    </row>
    <row r="143" spans="1:22" hidden="1">
      <c r="A143" s="64"/>
      <c r="B143" s="69"/>
      <c r="C143" s="64"/>
      <c r="D143" s="64"/>
      <c r="E143" s="64"/>
      <c r="F143" s="64"/>
      <c r="G143" s="64"/>
      <c r="H143" s="64"/>
      <c r="I143" s="64"/>
      <c r="J143" s="207"/>
      <c r="K143" s="207"/>
      <c r="L143" s="207"/>
      <c r="M143" s="207"/>
      <c r="N143" s="207"/>
      <c r="O143" s="207"/>
      <c r="P143" s="207"/>
      <c r="Q143" s="207"/>
      <c r="R143" s="207"/>
      <c r="S143" s="64"/>
      <c r="T143" s="64"/>
      <c r="U143" s="64"/>
      <c r="V143" s="64"/>
    </row>
    <row r="144" spans="1:22" hidden="1">
      <c r="A144" s="64"/>
      <c r="B144" s="69"/>
      <c r="C144" s="64"/>
      <c r="D144" s="64"/>
      <c r="E144" s="64"/>
      <c r="F144" s="64"/>
      <c r="G144" s="64"/>
      <c r="H144" s="64"/>
      <c r="I144" s="64"/>
      <c r="J144" s="207"/>
      <c r="K144" s="207"/>
      <c r="L144" s="207"/>
      <c r="M144" s="207"/>
      <c r="N144" s="207"/>
      <c r="O144" s="207"/>
      <c r="P144" s="207"/>
      <c r="Q144" s="207"/>
      <c r="R144" s="207"/>
      <c r="S144" s="64"/>
      <c r="T144" s="64"/>
      <c r="U144" s="64"/>
      <c r="V144" s="64"/>
    </row>
    <row r="145" spans="1:22" hidden="1">
      <c r="A145" s="64"/>
      <c r="B145" s="69"/>
      <c r="C145" s="64"/>
      <c r="D145" s="64"/>
      <c r="E145" s="64"/>
      <c r="F145" s="64"/>
      <c r="G145" s="64"/>
      <c r="H145" s="64"/>
      <c r="I145" s="64"/>
      <c r="J145" s="207"/>
      <c r="K145" s="207"/>
      <c r="L145" s="207"/>
      <c r="M145" s="207"/>
      <c r="N145" s="207"/>
      <c r="O145" s="207"/>
      <c r="P145" s="207"/>
      <c r="Q145" s="207"/>
      <c r="R145" s="207"/>
      <c r="S145" s="64"/>
      <c r="T145" s="64"/>
      <c r="U145" s="64"/>
      <c r="V145" s="64"/>
    </row>
    <row r="146" spans="1:22" hidden="1">
      <c r="A146" s="64"/>
      <c r="B146" s="69"/>
      <c r="C146" s="64"/>
      <c r="D146" s="64"/>
      <c r="E146" s="64"/>
      <c r="F146" s="64"/>
      <c r="G146" s="64"/>
      <c r="H146" s="64"/>
      <c r="I146" s="64"/>
      <c r="J146" s="207"/>
      <c r="K146" s="207"/>
      <c r="L146" s="207"/>
      <c r="M146" s="207"/>
      <c r="N146" s="207"/>
      <c r="O146" s="207"/>
      <c r="P146" s="207"/>
      <c r="Q146" s="207"/>
      <c r="R146" s="207"/>
      <c r="S146" s="64"/>
      <c r="T146" s="64"/>
      <c r="U146" s="64"/>
      <c r="V146" s="64"/>
    </row>
    <row r="147" spans="1:22" hidden="1">
      <c r="A147" s="64"/>
      <c r="B147" s="69"/>
      <c r="C147" s="64"/>
      <c r="D147" s="64"/>
      <c r="E147" s="64"/>
      <c r="F147" s="64"/>
      <c r="G147" s="64"/>
      <c r="H147" s="64"/>
      <c r="I147" s="64"/>
      <c r="J147" s="207"/>
      <c r="K147" s="207"/>
      <c r="L147" s="207"/>
      <c r="M147" s="207"/>
      <c r="N147" s="207"/>
      <c r="O147" s="207"/>
      <c r="P147" s="207"/>
      <c r="Q147" s="207"/>
      <c r="R147" s="207"/>
      <c r="S147" s="64"/>
      <c r="T147" s="64"/>
      <c r="U147" s="64"/>
      <c r="V147" s="64"/>
    </row>
    <row r="148" spans="1:22" hidden="1">
      <c r="A148" s="64"/>
      <c r="B148" s="69"/>
      <c r="C148" s="64"/>
      <c r="D148" s="64"/>
      <c r="E148" s="64"/>
      <c r="F148" s="64"/>
      <c r="G148" s="64"/>
      <c r="H148" s="64"/>
      <c r="I148" s="64"/>
      <c r="J148" s="207"/>
      <c r="K148" s="207"/>
      <c r="L148" s="207"/>
      <c r="M148" s="207"/>
      <c r="N148" s="207"/>
      <c r="O148" s="207"/>
      <c r="P148" s="207"/>
      <c r="Q148" s="207"/>
      <c r="R148" s="207"/>
      <c r="S148" s="64"/>
      <c r="T148" s="64"/>
      <c r="U148" s="64"/>
      <c r="V148" s="64"/>
    </row>
    <row r="149" spans="1:22" hidden="1">
      <c r="A149" s="64"/>
      <c r="B149" s="69"/>
      <c r="C149" s="64"/>
      <c r="D149" s="64"/>
      <c r="E149" s="64"/>
      <c r="F149" s="64"/>
      <c r="G149" s="64"/>
      <c r="H149" s="64"/>
      <c r="I149" s="64"/>
      <c r="J149" s="207"/>
      <c r="K149" s="207"/>
      <c r="L149" s="207"/>
      <c r="M149" s="207"/>
      <c r="N149" s="207"/>
      <c r="O149" s="207"/>
      <c r="P149" s="207"/>
      <c r="Q149" s="207"/>
      <c r="R149" s="207"/>
      <c r="S149" s="64"/>
      <c r="T149" s="64"/>
      <c r="U149" s="64"/>
      <c r="V149" s="64"/>
    </row>
    <row r="150" spans="1:22" hidden="1">
      <c r="A150" s="64"/>
      <c r="B150" s="69"/>
      <c r="C150" s="64"/>
      <c r="D150" s="64"/>
      <c r="E150" s="64"/>
      <c r="F150" s="64"/>
      <c r="G150" s="64"/>
      <c r="H150" s="64"/>
      <c r="I150" s="64"/>
      <c r="J150" s="207"/>
      <c r="K150" s="207"/>
      <c r="L150" s="207"/>
      <c r="M150" s="207"/>
      <c r="N150" s="207"/>
      <c r="O150" s="207"/>
      <c r="P150" s="207"/>
      <c r="Q150" s="207"/>
      <c r="R150" s="207"/>
      <c r="S150" s="64"/>
      <c r="T150" s="64"/>
      <c r="U150" s="64"/>
      <c r="V150" s="64"/>
    </row>
    <row r="151" spans="1:22" hidden="1">
      <c r="A151" s="64"/>
      <c r="B151" s="69"/>
      <c r="C151" s="64"/>
      <c r="D151" s="64"/>
      <c r="E151" s="64"/>
      <c r="F151" s="64"/>
      <c r="G151" s="64"/>
      <c r="H151" s="64"/>
      <c r="I151" s="64"/>
      <c r="J151" s="207"/>
      <c r="K151" s="207"/>
      <c r="L151" s="207"/>
      <c r="M151" s="207"/>
      <c r="N151" s="207"/>
      <c r="O151" s="207"/>
      <c r="P151" s="207"/>
      <c r="Q151" s="207"/>
      <c r="R151" s="207"/>
      <c r="S151" s="64"/>
      <c r="T151" s="64"/>
      <c r="U151" s="64"/>
      <c r="V151" s="64"/>
    </row>
    <row r="152" spans="1:22" hidden="1">
      <c r="A152" s="64"/>
      <c r="B152" s="69"/>
      <c r="C152" s="64"/>
      <c r="D152" s="64"/>
      <c r="E152" s="64"/>
      <c r="F152" s="64"/>
      <c r="G152" s="64"/>
      <c r="H152" s="64"/>
      <c r="I152" s="64"/>
      <c r="J152" s="207"/>
      <c r="K152" s="207"/>
      <c r="L152" s="207"/>
      <c r="M152" s="207"/>
      <c r="N152" s="207"/>
      <c r="O152" s="207"/>
      <c r="P152" s="207"/>
      <c r="Q152" s="207"/>
      <c r="R152" s="207"/>
      <c r="S152" s="64"/>
      <c r="T152" s="64"/>
      <c r="U152" s="64"/>
      <c r="V152" s="64"/>
    </row>
    <row r="153" spans="1:22" hidden="1">
      <c r="A153" s="64"/>
      <c r="B153" s="69"/>
      <c r="C153" s="64"/>
      <c r="D153" s="64"/>
      <c r="E153" s="64"/>
      <c r="F153" s="64"/>
      <c r="G153" s="64"/>
      <c r="H153" s="64"/>
      <c r="I153" s="64"/>
      <c r="J153" s="207"/>
      <c r="K153" s="207"/>
      <c r="L153" s="207"/>
      <c r="M153" s="207"/>
      <c r="N153" s="207"/>
      <c r="O153" s="207"/>
      <c r="P153" s="207"/>
      <c r="Q153" s="207"/>
      <c r="R153" s="207"/>
      <c r="S153" s="64"/>
      <c r="T153" s="64"/>
      <c r="U153" s="64"/>
      <c r="V153" s="64"/>
    </row>
  </sheetData>
  <mergeCells count="8">
    <mergeCell ref="A26:A30"/>
    <mergeCell ref="A31:A35"/>
    <mergeCell ref="I20:R20"/>
    <mergeCell ref="I19:R19"/>
    <mergeCell ref="B44:G44"/>
    <mergeCell ref="B5:G9"/>
    <mergeCell ref="B42:G42"/>
    <mergeCell ref="B43:G43"/>
  </mergeCells>
  <hyperlinks>
    <hyperlink ref="J16" r:id="rId1" xr:uid="{00000000-0004-0000-0200-000000000000}"/>
    <hyperlink ref="K16" r:id="rId2" display="Docket 10-0520, Staff Ex. 1.1, p. 12." xr:uid="{00000000-0004-0000-0200-000001000000}"/>
    <hyperlink ref="P16" r:id="rId3" xr:uid="{00000000-0004-0000-0200-000002000000}"/>
  </hyperlinks>
  <printOptions horizontalCentered="1" headings="1"/>
  <pageMargins left="0.5" right="0.5" top="1.25" bottom="1" header="0.5" footer="0.5"/>
  <pageSetup scale="46" orientation="landscape" r:id="rId4"/>
  <headerFooter scaleWithDoc="0">
    <oddHeader>&amp;R&amp;"Arial,Bold"ICC Docket No. 17-0312
Statewide Quarterly Report ComEd 2019 Q4
Tab: &amp;A</oddHeader>
  </headerFooter>
  <ignoredErrors>
    <ignoredError sqref="F25 F1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pageSetUpPr fitToPage="1"/>
  </sheetPr>
  <dimension ref="A1:Z58"/>
  <sheetViews>
    <sheetView workbookViewId="0">
      <pane xSplit="3" topLeftCell="D1" activePane="topRight" state="frozen"/>
      <selection pane="topRight" activeCell="S22" sqref="S22"/>
    </sheetView>
  </sheetViews>
  <sheetFormatPr defaultColWidth="0" defaultRowHeight="15" zeroHeight="1"/>
  <cols>
    <col min="1" max="1" width="4.140625" customWidth="1"/>
    <col min="2" max="2" width="31.28515625" customWidth="1"/>
    <col min="3" max="3" width="13.140625" customWidth="1"/>
    <col min="4" max="4" width="11.5703125" customWidth="1"/>
    <col min="5" max="5" width="11.140625" customWidth="1"/>
    <col min="6" max="6" width="12" customWidth="1"/>
    <col min="7" max="7" width="13.5703125" customWidth="1"/>
    <col min="8" max="8" width="13.140625" customWidth="1"/>
    <col min="9" max="9" width="13.28515625" customWidth="1"/>
    <col min="10" max="11" width="14.140625" customWidth="1"/>
    <col min="12" max="12" width="13.85546875" customWidth="1"/>
    <col min="13" max="13" width="14.85546875" customWidth="1"/>
    <col min="14" max="14" width="15.140625" customWidth="1"/>
    <col min="15" max="15" width="14.85546875" customWidth="1"/>
    <col min="16" max="16" width="14.85546875" bestFit="1" customWidth="1"/>
    <col min="17" max="17" width="13.85546875" bestFit="1" customWidth="1"/>
    <col min="18" max="18" width="13.7109375" customWidth="1"/>
    <col min="19" max="20" width="16.42578125" customWidth="1"/>
    <col min="21" max="21" width="9.140625" customWidth="1"/>
    <col min="22" max="22" width="21.140625" customWidth="1"/>
    <col min="23" max="23" width="28.28515625" bestFit="1" customWidth="1"/>
    <col min="24" max="24" width="23.42578125" bestFit="1" customWidth="1"/>
    <col min="25" max="25" width="9.140625" customWidth="1"/>
    <col min="26" max="26" width="0" hidden="1" customWidth="1"/>
    <col min="27" max="16384" width="9.140625" hidden="1"/>
  </cols>
  <sheetData>
    <row r="1" spans="1:26">
      <c r="A1" s="64"/>
      <c r="B1" s="71" t="s">
        <v>0</v>
      </c>
      <c r="C1" s="71"/>
      <c r="D1" s="64"/>
      <c r="E1" s="64"/>
      <c r="F1" s="64"/>
      <c r="G1" s="64"/>
      <c r="H1" s="64"/>
      <c r="I1" s="64"/>
      <c r="J1" s="64"/>
      <c r="K1" s="64"/>
      <c r="L1" s="64"/>
      <c r="M1" s="64"/>
      <c r="N1" s="64"/>
      <c r="O1" s="64"/>
      <c r="P1" s="64"/>
      <c r="Q1" s="64"/>
      <c r="R1" s="64"/>
      <c r="S1" s="64"/>
      <c r="T1" s="64"/>
      <c r="U1" s="64"/>
      <c r="V1" s="64"/>
      <c r="W1" s="64"/>
      <c r="X1" s="64"/>
      <c r="Y1" s="64"/>
      <c r="Z1" s="64"/>
    </row>
    <row r="2" spans="1:26">
      <c r="A2" s="64"/>
      <c r="B2" s="71" t="s">
        <v>633</v>
      </c>
      <c r="C2" s="71"/>
      <c r="D2" s="64"/>
      <c r="E2" s="64"/>
      <c r="F2" s="64"/>
      <c r="G2" s="64"/>
      <c r="H2" s="64"/>
      <c r="I2" s="64"/>
      <c r="J2" s="64"/>
      <c r="K2" s="64"/>
      <c r="L2" s="64"/>
      <c r="M2" s="64"/>
      <c r="N2" s="64"/>
      <c r="O2" s="64"/>
      <c r="P2" s="64"/>
      <c r="Q2" s="64"/>
      <c r="R2" s="64"/>
      <c r="S2" s="64"/>
      <c r="T2" s="64"/>
      <c r="U2" s="64"/>
      <c r="V2" s="64"/>
      <c r="W2" s="64"/>
      <c r="X2" s="64"/>
      <c r="Y2" s="64"/>
      <c r="Z2" s="64"/>
    </row>
    <row r="3" spans="1:26">
      <c r="A3" s="64"/>
      <c r="B3" s="71"/>
      <c r="C3" s="71"/>
      <c r="D3" s="64"/>
      <c r="E3" s="64"/>
      <c r="F3" s="64"/>
      <c r="G3" s="64"/>
      <c r="H3" s="64"/>
      <c r="I3" s="64"/>
      <c r="J3" s="64"/>
      <c r="K3" s="64"/>
      <c r="L3" s="64"/>
      <c r="M3" s="64"/>
      <c r="N3" s="64"/>
      <c r="O3" s="64"/>
      <c r="P3" s="64"/>
      <c r="Q3" s="64"/>
      <c r="R3" s="64"/>
      <c r="S3" s="64"/>
      <c r="T3" s="64"/>
      <c r="U3" s="64"/>
      <c r="V3" s="64"/>
      <c r="W3" s="64"/>
      <c r="X3" s="64"/>
      <c r="Y3" s="64"/>
      <c r="Z3" s="64"/>
    </row>
    <row r="4" spans="1:26">
      <c r="A4" s="64"/>
      <c r="B4" s="71"/>
      <c r="C4" s="71"/>
      <c r="D4" s="64"/>
      <c r="E4" s="64"/>
      <c r="F4" s="64"/>
      <c r="G4" s="64"/>
      <c r="H4" s="64"/>
      <c r="I4" s="64"/>
      <c r="J4" s="64"/>
      <c r="K4" s="64"/>
      <c r="L4" s="64"/>
      <c r="M4" s="64"/>
      <c r="N4" s="64"/>
      <c r="O4" s="64"/>
      <c r="P4" s="64"/>
      <c r="Q4" s="64"/>
      <c r="R4" s="64"/>
      <c r="S4" s="64"/>
      <c r="T4" s="64"/>
      <c r="U4" s="64"/>
      <c r="V4" s="64"/>
      <c r="W4" s="64"/>
      <c r="X4" s="64"/>
      <c r="Y4" s="64"/>
      <c r="Z4" s="64"/>
    </row>
    <row r="5" spans="1:26" ht="22.5" customHeight="1">
      <c r="A5" s="64"/>
      <c r="B5" s="535" t="s">
        <v>634</v>
      </c>
      <c r="C5" s="535"/>
      <c r="D5" s="535"/>
      <c r="E5" s="535"/>
      <c r="F5" s="535"/>
      <c r="G5" s="535"/>
      <c r="H5" s="535"/>
      <c r="I5" s="535"/>
      <c r="J5" s="535"/>
      <c r="K5" s="535"/>
      <c r="L5" s="535"/>
      <c r="M5" s="64"/>
      <c r="N5" s="64"/>
      <c r="O5" s="64"/>
      <c r="P5" s="64"/>
      <c r="Q5" s="64"/>
      <c r="R5" s="64"/>
      <c r="S5" s="64"/>
      <c r="T5" s="64"/>
      <c r="U5" s="64"/>
      <c r="V5" s="64"/>
      <c r="W5" s="64"/>
      <c r="X5" s="64"/>
      <c r="Y5" s="64"/>
      <c r="Z5" s="64"/>
    </row>
    <row r="6" spans="1:26" ht="21" customHeight="1">
      <c r="A6" s="64"/>
      <c r="B6" s="535"/>
      <c r="C6" s="535"/>
      <c r="D6" s="535"/>
      <c r="E6" s="535"/>
      <c r="F6" s="535"/>
      <c r="G6" s="535"/>
      <c r="H6" s="535"/>
      <c r="I6" s="535"/>
      <c r="J6" s="535"/>
      <c r="K6" s="535"/>
      <c r="L6" s="535"/>
      <c r="M6" s="64"/>
      <c r="N6" s="64"/>
      <c r="O6" s="64"/>
      <c r="P6" s="64"/>
      <c r="Q6" s="64"/>
      <c r="R6" s="64"/>
      <c r="S6" s="64"/>
      <c r="T6" s="64"/>
      <c r="U6" s="64"/>
      <c r="V6" s="64"/>
      <c r="W6" s="64"/>
      <c r="X6" s="64"/>
      <c r="Y6" s="64"/>
      <c r="Z6" s="64"/>
    </row>
    <row r="7" spans="1:26" ht="21" customHeight="1">
      <c r="A7" s="64"/>
      <c r="B7" s="535"/>
      <c r="C7" s="535"/>
      <c r="D7" s="535"/>
      <c r="E7" s="535"/>
      <c r="F7" s="535"/>
      <c r="G7" s="535"/>
      <c r="H7" s="535"/>
      <c r="I7" s="535"/>
      <c r="J7" s="535"/>
      <c r="K7" s="535"/>
      <c r="L7" s="535"/>
      <c r="M7" s="64"/>
      <c r="N7" s="64"/>
      <c r="O7" s="64"/>
      <c r="P7" s="64"/>
      <c r="Q7" s="64"/>
      <c r="R7" s="64"/>
      <c r="S7" s="64"/>
      <c r="T7" s="64"/>
      <c r="U7" s="64"/>
      <c r="V7" s="64"/>
      <c r="W7" s="64"/>
      <c r="X7" s="64"/>
      <c r="Y7" s="64"/>
      <c r="Z7" s="64"/>
    </row>
    <row r="8" spans="1:26" ht="16.5">
      <c r="A8" s="64"/>
      <c r="B8" s="96"/>
      <c r="C8" s="96"/>
      <c r="D8" s="96"/>
      <c r="E8" s="96"/>
      <c r="F8" s="96"/>
      <c r="G8" s="96"/>
      <c r="H8" s="96"/>
      <c r="I8" s="96"/>
      <c r="J8" s="96"/>
      <c r="K8" s="96"/>
      <c r="L8" s="96"/>
      <c r="M8" s="96"/>
      <c r="N8" s="64"/>
      <c r="O8" s="64"/>
      <c r="P8" s="64"/>
      <c r="Q8" s="64"/>
      <c r="R8" s="64"/>
      <c r="S8" s="64"/>
      <c r="T8" s="64"/>
      <c r="U8" s="64"/>
      <c r="V8" s="64"/>
      <c r="W8" s="64"/>
      <c r="X8" s="64"/>
      <c r="Y8" s="64"/>
      <c r="Z8" s="64"/>
    </row>
    <row r="9" spans="1:26" ht="16.5">
      <c r="A9" s="64"/>
      <c r="B9" s="136" t="s">
        <v>635</v>
      </c>
      <c r="C9" s="136"/>
      <c r="D9" s="136"/>
      <c r="E9" s="137"/>
      <c r="F9" s="137"/>
      <c r="G9" s="138"/>
      <c r="H9" s="139"/>
      <c r="I9" s="138"/>
      <c r="J9" s="138"/>
      <c r="K9" s="138"/>
      <c r="L9" s="138"/>
      <c r="M9" s="138"/>
      <c r="N9" s="64"/>
      <c r="O9" s="64"/>
      <c r="P9" s="64"/>
      <c r="Q9" s="64"/>
      <c r="R9" s="64"/>
      <c r="S9" s="64"/>
      <c r="T9" s="64"/>
      <c r="U9" s="64"/>
      <c r="V9" s="64"/>
      <c r="W9" s="64"/>
      <c r="X9" s="64"/>
      <c r="Y9" s="64"/>
      <c r="Z9" s="64"/>
    </row>
    <row r="10" spans="1:26" ht="18" customHeight="1">
      <c r="A10" s="64"/>
      <c r="B10" s="199" t="str">
        <f>'1- Ex Ante Results'!C19</f>
        <v>CY2025 Q2</v>
      </c>
      <c r="C10" s="137"/>
      <c r="D10" s="137"/>
      <c r="E10" s="137"/>
      <c r="F10" s="137"/>
      <c r="G10" s="138"/>
      <c r="H10" s="138"/>
      <c r="I10" s="138"/>
      <c r="J10" s="138"/>
      <c r="K10" s="138"/>
      <c r="L10" s="138"/>
      <c r="M10" s="140"/>
      <c r="N10" s="64"/>
      <c r="O10" s="64"/>
      <c r="P10" s="64"/>
      <c r="Q10" s="64"/>
      <c r="R10" s="64"/>
      <c r="S10" s="64"/>
      <c r="T10" s="64"/>
      <c r="U10" s="64"/>
      <c r="V10" s="64"/>
      <c r="W10" s="64"/>
      <c r="X10" s="64"/>
      <c r="Y10" s="64"/>
      <c r="Z10" s="64"/>
    </row>
    <row r="11" spans="1:26" ht="28.5">
      <c r="A11" s="64"/>
      <c r="B11" s="15" t="s">
        <v>636</v>
      </c>
      <c r="C11" s="15"/>
      <c r="D11" s="11" t="s">
        <v>589</v>
      </c>
      <c r="E11" s="11" t="s">
        <v>590</v>
      </c>
      <c r="F11" s="5" t="s">
        <v>591</v>
      </c>
      <c r="G11" s="5" t="s">
        <v>592</v>
      </c>
      <c r="H11" s="5" t="s">
        <v>593</v>
      </c>
      <c r="I11" s="5" t="s">
        <v>594</v>
      </c>
      <c r="J11" s="5" t="s">
        <v>595</v>
      </c>
      <c r="K11" s="5" t="s">
        <v>596</v>
      </c>
      <c r="L11" s="5" t="s">
        <v>637</v>
      </c>
      <c r="M11" s="5" t="s">
        <v>638</v>
      </c>
      <c r="N11" s="5" t="s">
        <v>639</v>
      </c>
      <c r="O11" s="5" t="s">
        <v>640</v>
      </c>
      <c r="P11" s="5" t="s">
        <v>641</v>
      </c>
      <c r="Q11" s="5" t="s">
        <v>642</v>
      </c>
      <c r="R11" s="5" t="s">
        <v>643</v>
      </c>
      <c r="S11" s="5" t="s">
        <v>644</v>
      </c>
      <c r="T11" s="5" t="s">
        <v>645</v>
      </c>
      <c r="U11" s="64"/>
      <c r="V11" s="64"/>
      <c r="W11" s="64"/>
      <c r="X11" s="64"/>
      <c r="Y11" s="64"/>
      <c r="Z11" s="64"/>
    </row>
    <row r="12" spans="1:26">
      <c r="A12" s="64"/>
      <c r="B12" s="6" t="s">
        <v>646</v>
      </c>
      <c r="C12" s="50"/>
      <c r="D12" s="13">
        <v>182353</v>
      </c>
      <c r="E12" s="13">
        <v>506170</v>
      </c>
      <c r="F12" s="13">
        <v>680845</v>
      </c>
      <c r="G12" s="13">
        <v>1051751</v>
      </c>
      <c r="H12" s="13">
        <v>1041005</v>
      </c>
      <c r="I12" s="13">
        <v>1205087.922</v>
      </c>
      <c r="J12" s="13">
        <v>1207781.348736</v>
      </c>
      <c r="K12" s="13">
        <v>1382679.5970000001</v>
      </c>
      <c r="L12" s="13">
        <v>2542422.09</v>
      </c>
      <c r="M12" s="13">
        <v>1859773.2879999999</v>
      </c>
      <c r="N12" s="13">
        <v>1700029.4500006568</v>
      </c>
      <c r="O12" s="13">
        <v>1821166.2136200001</v>
      </c>
      <c r="P12" s="46">
        <f>'3- Energy'!$D$29</f>
        <v>1849877.162</v>
      </c>
      <c r="Q12" s="46">
        <v>1724232</v>
      </c>
      <c r="R12" s="46">
        <v>1569223.0419122316</v>
      </c>
      <c r="S12" s="46">
        <v>1941922.1786656</v>
      </c>
      <c r="T12" s="46">
        <f>'3- Energy'!$D$34</f>
        <v>931333.85903000017</v>
      </c>
      <c r="U12" s="64"/>
      <c r="V12" s="64"/>
      <c r="W12" s="64"/>
      <c r="X12" s="64"/>
      <c r="Y12" s="64"/>
      <c r="Z12" s="64"/>
    </row>
    <row r="13" spans="1:26">
      <c r="A13" s="64"/>
      <c r="B13" s="6" t="s">
        <v>647</v>
      </c>
      <c r="C13" s="50"/>
      <c r="D13" s="13">
        <f>D12*1000*1.3909/2204.62</f>
        <v>115046.94128693381</v>
      </c>
      <c r="E13" s="13">
        <f t="shared" ref="E13:L13" si="0">E12*1000*1.3909/2204.62</f>
        <v>319343.85653763462</v>
      </c>
      <c r="F13" s="13">
        <f t="shared" si="0"/>
        <v>429546.72936832655</v>
      </c>
      <c r="G13" s="13">
        <f t="shared" si="0"/>
        <v>663552.20668414515</v>
      </c>
      <c r="H13" s="13">
        <f t="shared" si="0"/>
        <v>656772.52973301522</v>
      </c>
      <c r="I13" s="13">
        <f t="shared" si="0"/>
        <v>760292.83536836284</v>
      </c>
      <c r="J13" s="13">
        <f t="shared" si="0"/>
        <v>761992.12470035767</v>
      </c>
      <c r="K13" s="13">
        <f t="shared" si="0"/>
        <v>872335.84539163217</v>
      </c>
      <c r="L13" s="13">
        <f t="shared" si="0"/>
        <v>1604020.1417845252</v>
      </c>
      <c r="M13" s="13">
        <f>M12*1000*1.2515/2204.62</f>
        <v>1055740.3407081494</v>
      </c>
      <c r="N13" s="13">
        <f>N12*1000*1.174/2204.62</f>
        <v>905296.41130932816</v>
      </c>
      <c r="O13" s="13">
        <f>O12*1000*1.174/2204.62</f>
        <v>969803.92756569397</v>
      </c>
      <c r="P13" s="13">
        <f>P12*1000*1.074/2204.62</f>
        <v>901183.91014687344</v>
      </c>
      <c r="Q13" s="13">
        <f>(Q12*1000*0.84903)/2204.62</f>
        <v>664025.8615815877</v>
      </c>
      <c r="R13" s="13">
        <v>604329.74357247143</v>
      </c>
      <c r="S13" s="13">
        <v>650501.91368333134</v>
      </c>
      <c r="T13" s="13">
        <v>316057.56688466528</v>
      </c>
      <c r="U13" s="64"/>
      <c r="V13" s="64"/>
      <c r="W13" s="228"/>
      <c r="X13" s="64"/>
      <c r="Y13" s="64"/>
      <c r="Z13" s="64"/>
    </row>
    <row r="14" spans="1:26">
      <c r="A14" s="64"/>
      <c r="B14" s="6" t="s">
        <v>648</v>
      </c>
      <c r="C14" s="50"/>
      <c r="D14" s="13">
        <f>D12*1000*1.3909/(4.67*2204.62)</f>
        <v>24635.31933339054</v>
      </c>
      <c r="E14" s="13">
        <f t="shared" ref="E14:L14" si="1">E12*1000*1.3909/(4.67*2204.62)</f>
        <v>68381.982127973155</v>
      </c>
      <c r="F14" s="13">
        <f t="shared" si="1"/>
        <v>91980.027701997111</v>
      </c>
      <c r="G14" s="13">
        <f t="shared" si="1"/>
        <v>142088.26695591974</v>
      </c>
      <c r="H14" s="13">
        <f t="shared" si="1"/>
        <v>140636.51600278699</v>
      </c>
      <c r="I14" s="13">
        <f t="shared" si="1"/>
        <v>162803.60500393208</v>
      </c>
      <c r="J14" s="13">
        <f t="shared" si="1"/>
        <v>163167.47852256053</v>
      </c>
      <c r="K14" s="13">
        <f t="shared" si="1"/>
        <v>186795.68423803686</v>
      </c>
      <c r="L14" s="13">
        <f t="shared" si="1"/>
        <v>343473.26376542298</v>
      </c>
      <c r="M14" s="13">
        <f>M12*1000*1.2515/(4.67*2204.62)</f>
        <v>226068.59544071721</v>
      </c>
      <c r="N14" s="13">
        <f>N12*1000*1.174/(4.63*2204.62)</f>
        <v>195528.38257220911</v>
      </c>
      <c r="O14" s="13">
        <f>O12*1000*1.174/(4.63*2204.62)</f>
        <v>209460.89148287126</v>
      </c>
      <c r="P14" s="13">
        <f>P12*1000*1.074/(4.6*2204.62)</f>
        <v>195909.54568410295</v>
      </c>
      <c r="Q14" s="13">
        <f>Q12*1000*0.84903/(4.6*2204.62)</f>
        <v>144353.44816991038</v>
      </c>
      <c r="R14" s="13">
        <v>131376.03121140684</v>
      </c>
      <c r="S14" s="13">
        <v>144877.93177802477</v>
      </c>
      <c r="T14" s="13">
        <v>73671.688845979137</v>
      </c>
      <c r="U14" s="64"/>
      <c r="V14" s="64"/>
      <c r="W14" s="64"/>
      <c r="X14" s="64"/>
      <c r="Y14" s="64"/>
      <c r="Z14" s="64"/>
    </row>
    <row r="15" spans="1:26">
      <c r="A15" s="64"/>
      <c r="B15" s="6" t="s">
        <v>649</v>
      </c>
      <c r="C15" s="50"/>
      <c r="D15" s="13">
        <f>(D12*1000*1.3909)/(0.85*2204.62)</f>
        <v>135349.34269051038</v>
      </c>
      <c r="E15" s="13">
        <f t="shared" ref="E15:L15" si="2">(E12*1000*1.3909)/(0.85*2204.62)</f>
        <v>375698.65475015837</v>
      </c>
      <c r="F15" s="13">
        <f t="shared" si="2"/>
        <v>505349.0933745018</v>
      </c>
      <c r="G15" s="13">
        <f t="shared" si="2"/>
        <v>780649.65492252377</v>
      </c>
      <c r="H15" s="13">
        <f t="shared" si="2"/>
        <v>772673.56439178262</v>
      </c>
      <c r="I15" s="13">
        <f t="shared" si="2"/>
        <v>894462.15925689752</v>
      </c>
      <c r="J15" s="13">
        <f t="shared" si="2"/>
        <v>896461.32317689143</v>
      </c>
      <c r="K15" s="13">
        <f t="shared" si="2"/>
        <v>1026277.465166626</v>
      </c>
      <c r="L15" s="13">
        <f t="shared" si="2"/>
        <v>1887082.5197465003</v>
      </c>
      <c r="M15" s="13">
        <f>(M12*1000*1.2515)/(0.85*2204.62)</f>
        <v>1242047.4596566462</v>
      </c>
      <c r="N15" s="13">
        <f>(N12*1000*1.174)/(0.77*2204.62)</f>
        <v>1175709.6250770495</v>
      </c>
      <c r="O15" s="13">
        <f>(O12*1000*1.174)/(0.77*2204.62)</f>
        <v>1259485.6202151868</v>
      </c>
      <c r="P15" s="13">
        <f>(P12*1000*1.074)/(0.82*2204.62)</f>
        <v>1099004.768471797</v>
      </c>
      <c r="Q15" s="13">
        <f>(Q12*1000*0.84903)/(0.82*2204.62)</f>
        <v>809787.63607510692</v>
      </c>
      <c r="R15" s="13">
        <v>736987.49216155056</v>
      </c>
      <c r="S15" s="13">
        <v>774407.04009920394</v>
      </c>
      <c r="T15" s="13">
        <v>316060.43414010288</v>
      </c>
      <c r="U15" s="64"/>
      <c r="V15" s="64"/>
      <c r="W15" s="64"/>
      <c r="X15" s="64"/>
      <c r="Y15" s="64"/>
      <c r="Z15" s="64"/>
    </row>
    <row r="16" spans="1:26">
      <c r="A16" s="64"/>
      <c r="B16" s="6" t="s">
        <v>650</v>
      </c>
      <c r="C16" s="50"/>
      <c r="D16" s="13">
        <f>D12*1000/8916</f>
        <v>20452.33288470166</v>
      </c>
      <c r="E16" s="13">
        <f t="shared" ref="E16:M16" si="3">E12*1000/8916</f>
        <v>56770.973530731273</v>
      </c>
      <c r="F16" s="13">
        <f t="shared" si="3"/>
        <v>76362.157918349039</v>
      </c>
      <c r="G16" s="13">
        <f t="shared" si="3"/>
        <v>117962.20278151637</v>
      </c>
      <c r="H16" s="13">
        <f t="shared" si="3"/>
        <v>116756.95379093764</v>
      </c>
      <c r="I16" s="13">
        <f t="shared" si="3"/>
        <v>135160.1527590848</v>
      </c>
      <c r="J16" s="13">
        <f t="shared" si="3"/>
        <v>135462.24189502018</v>
      </c>
      <c r="K16" s="13">
        <f t="shared" si="3"/>
        <v>155078.46534320322</v>
      </c>
      <c r="L16" s="13">
        <f t="shared" si="3"/>
        <v>285152.76917900401</v>
      </c>
      <c r="M16" s="13">
        <f t="shared" si="3"/>
        <v>208588.30058322116</v>
      </c>
      <c r="N16" s="13">
        <f>N12*1000/8640</f>
        <v>196762.66782415009</v>
      </c>
      <c r="O16" s="13">
        <f>O12*1000/8652</f>
        <v>210490.77827323164</v>
      </c>
      <c r="P16" s="13">
        <f>P12*1000/8652</f>
        <v>213809.19579288026</v>
      </c>
      <c r="Q16" s="13">
        <f>Q12*1000/8700</f>
        <v>198187.58620689655</v>
      </c>
      <c r="R16" s="13">
        <v>180370.46458761283</v>
      </c>
      <c r="S16" s="13">
        <v>225072.11157459434</v>
      </c>
      <c r="T16" s="13">
        <v>107943.19182081596</v>
      </c>
      <c r="U16" s="64"/>
      <c r="V16" s="64"/>
      <c r="W16" s="64"/>
      <c r="X16" s="64"/>
      <c r="Y16" s="64"/>
      <c r="Z16" s="64"/>
    </row>
    <row r="17" spans="1:26">
      <c r="A17" s="64"/>
      <c r="B17" s="6" t="s">
        <v>651</v>
      </c>
      <c r="C17" s="50"/>
      <c r="D17" s="13">
        <v>66</v>
      </c>
      <c r="E17" s="13">
        <v>84</v>
      </c>
      <c r="F17" s="13">
        <v>154</v>
      </c>
      <c r="G17" s="13">
        <v>179</v>
      </c>
      <c r="H17" s="14">
        <v>196</v>
      </c>
      <c r="I17" s="14">
        <v>234</v>
      </c>
      <c r="J17" s="14">
        <v>260</v>
      </c>
      <c r="K17" s="13">
        <v>267</v>
      </c>
      <c r="L17" s="13">
        <v>376</v>
      </c>
      <c r="M17" s="14">
        <v>412.48</v>
      </c>
      <c r="N17" s="61">
        <v>482</v>
      </c>
      <c r="O17" s="62">
        <v>475</v>
      </c>
      <c r="P17" s="46">
        <v>442</v>
      </c>
      <c r="Q17" s="46">
        <v>457</v>
      </c>
      <c r="R17" s="46">
        <v>484</v>
      </c>
      <c r="S17" s="46">
        <v>502</v>
      </c>
      <c r="T17" s="46">
        <v>494</v>
      </c>
      <c r="U17" s="64"/>
      <c r="V17" s="135"/>
      <c r="W17" s="135"/>
      <c r="X17" s="135"/>
      <c r="Y17" s="64"/>
      <c r="Z17" s="64"/>
    </row>
    <row r="18" spans="1:26" s="12" customFormat="1">
      <c r="A18" s="69"/>
      <c r="B18" s="28" t="s">
        <v>652</v>
      </c>
      <c r="C18" s="50"/>
      <c r="D18" s="50"/>
      <c r="E18" s="50"/>
      <c r="F18" s="50"/>
      <c r="G18" s="50"/>
      <c r="H18" s="50"/>
      <c r="I18" s="50"/>
      <c r="J18" s="50"/>
      <c r="K18" s="50"/>
      <c r="L18" s="13">
        <f>459+1299+1+318</f>
        <v>2077</v>
      </c>
      <c r="M18" s="46">
        <f>1561+5119+2497+9+34899</f>
        <v>44085</v>
      </c>
      <c r="N18" s="46">
        <v>75450</v>
      </c>
      <c r="O18" s="46">
        <v>73577</v>
      </c>
      <c r="P18" s="46">
        <v>79722</v>
      </c>
      <c r="Q18" s="46">
        <v>89548</v>
      </c>
      <c r="R18" s="46">
        <v>98592</v>
      </c>
      <c r="S18" s="46">
        <v>84309</v>
      </c>
      <c r="T18" s="46">
        <v>19536</v>
      </c>
      <c r="U18" s="64"/>
      <c r="V18" s="141"/>
      <c r="W18" s="141"/>
      <c r="X18" s="141"/>
      <c r="Y18" s="69"/>
      <c r="Z18" s="69"/>
    </row>
    <row r="19" spans="1:26">
      <c r="A19" s="64"/>
      <c r="B19" s="100"/>
      <c r="C19" s="100"/>
      <c r="D19" s="132"/>
      <c r="E19" s="132"/>
      <c r="F19" s="132"/>
      <c r="G19" s="132"/>
      <c r="H19" s="132"/>
      <c r="I19" s="132"/>
      <c r="J19" s="132"/>
      <c r="K19" s="132"/>
      <c r="L19" s="132"/>
      <c r="M19" s="134"/>
      <c r="N19" s="64"/>
      <c r="O19" s="64"/>
      <c r="P19" s="64"/>
      <c r="Q19" s="64"/>
      <c r="R19" s="64"/>
      <c r="S19" s="64"/>
      <c r="T19" s="64"/>
      <c r="U19" s="64"/>
      <c r="V19" s="135"/>
      <c r="W19" s="135"/>
      <c r="X19" s="135"/>
      <c r="Y19" s="64"/>
      <c r="Z19" s="64"/>
    </row>
    <row r="20" spans="1:26" ht="48.75" customHeight="1">
      <c r="A20" s="64"/>
      <c r="B20" s="15" t="s">
        <v>653</v>
      </c>
      <c r="C20" s="5" t="s">
        <v>654</v>
      </c>
      <c r="D20" s="5" t="s">
        <v>655</v>
      </c>
      <c r="E20" s="5" t="s">
        <v>656</v>
      </c>
      <c r="F20" s="5" t="s">
        <v>657</v>
      </c>
      <c r="G20" s="5" t="s">
        <v>658</v>
      </c>
      <c r="H20" s="5" t="s">
        <v>659</v>
      </c>
      <c r="I20" s="5" t="s">
        <v>660</v>
      </c>
      <c r="J20" s="5" t="s">
        <v>661</v>
      </c>
      <c r="K20" s="5" t="s">
        <v>662</v>
      </c>
      <c r="L20" s="5" t="s">
        <v>663</v>
      </c>
      <c r="M20" s="5" t="s">
        <v>638</v>
      </c>
      <c r="N20" s="5" t="s">
        <v>639</v>
      </c>
      <c r="O20" s="5" t="s">
        <v>640</v>
      </c>
      <c r="P20" s="5" t="s">
        <v>641</v>
      </c>
      <c r="Q20" s="5" t="s">
        <v>642</v>
      </c>
      <c r="R20" s="5" t="s">
        <v>643</v>
      </c>
      <c r="S20" s="5" t="s">
        <v>644</v>
      </c>
      <c r="T20" s="5" t="s">
        <v>645</v>
      </c>
      <c r="U20" s="64"/>
      <c r="V20" s="64"/>
      <c r="W20" s="135"/>
      <c r="X20" s="135"/>
      <c r="Y20" s="64"/>
      <c r="Z20" s="64"/>
    </row>
    <row r="21" spans="1:26">
      <c r="A21" s="64"/>
      <c r="B21" s="6" t="s">
        <v>664</v>
      </c>
      <c r="C21" s="13">
        <v>1400000</v>
      </c>
      <c r="D21" s="13">
        <v>19800000</v>
      </c>
      <c r="E21" s="13">
        <v>84500000</v>
      </c>
      <c r="F21" s="13">
        <v>211600000</v>
      </c>
      <c r="G21" s="13">
        <v>429800000</v>
      </c>
      <c r="H21" s="13">
        <v>691400000</v>
      </c>
      <c r="I21" s="13">
        <v>1153200000</v>
      </c>
      <c r="J21" s="13">
        <v>1715400000</v>
      </c>
      <c r="K21" s="13">
        <v>2344700000</v>
      </c>
      <c r="L21" s="46">
        <f>3002600000</f>
        <v>3002600000</v>
      </c>
      <c r="M21" s="46">
        <v>3764700000</v>
      </c>
      <c r="N21" s="46">
        <v>4559500000</v>
      </c>
      <c r="O21" s="46">
        <v>5442800000</v>
      </c>
      <c r="P21" s="46">
        <v>6424097000</v>
      </c>
      <c r="Q21" s="46">
        <v>7653843402.3071308</v>
      </c>
      <c r="R21" s="46">
        <v>9152219571.9666824</v>
      </c>
      <c r="S21" s="46">
        <v>11035367032.556393</v>
      </c>
      <c r="T21" s="46">
        <v>12172010561.639999</v>
      </c>
      <c r="U21" s="64"/>
      <c r="V21" s="64"/>
      <c r="W21" s="135"/>
      <c r="X21" s="135"/>
      <c r="Y21" s="64"/>
      <c r="Z21" s="64"/>
    </row>
    <row r="22" spans="1:26">
      <c r="A22" s="64"/>
      <c r="B22" s="6" t="s">
        <v>665</v>
      </c>
      <c r="C22" s="13">
        <v>12997.1693670485</v>
      </c>
      <c r="D22" s="13">
        <v>187713.304494382</v>
      </c>
      <c r="E22" s="13">
        <v>653580.80466569797</v>
      </c>
      <c r="F22" s="13">
        <v>1265042.7655790001</v>
      </c>
      <c r="G22" s="13">
        <v>2136490.2403814155</v>
      </c>
      <c r="H22" s="13">
        <v>2958586.2127598412</v>
      </c>
      <c r="I22" s="13">
        <v>3934604.1171026533</v>
      </c>
      <c r="J22" s="13">
        <v>4855779.8367007999</v>
      </c>
      <c r="K22" s="46">
        <v>5452538.5959787779</v>
      </c>
      <c r="L22" s="46">
        <v>5721960.3020907417</v>
      </c>
      <c r="M22" s="46">
        <v>33597909.552505702</v>
      </c>
      <c r="N22" s="46">
        <v>41111935.064689398</v>
      </c>
      <c r="O22" s="46">
        <v>49782658.144593798</v>
      </c>
      <c r="P22" s="46">
        <v>59434169.137077436</v>
      </c>
      <c r="Q22" s="46">
        <v>70358375.164017603</v>
      </c>
      <c r="R22" s="46">
        <v>82474110.986843407</v>
      </c>
      <c r="S22" s="46">
        <v>95734272.177569196</v>
      </c>
      <c r="T22" s="46">
        <v>103646494.5</v>
      </c>
      <c r="U22" s="64"/>
      <c r="V22" s="64"/>
      <c r="W22" s="135"/>
      <c r="X22" s="135"/>
      <c r="Y22" s="64"/>
      <c r="Z22" s="64"/>
    </row>
    <row r="23" spans="1:26">
      <c r="A23" s="64"/>
      <c r="B23" s="6" t="s">
        <v>666</v>
      </c>
      <c r="C23" s="13">
        <v>6331.6852338317221</v>
      </c>
      <c r="D23" s="13">
        <v>91446.185295863368</v>
      </c>
      <c r="E23" s="13">
        <v>318397.63052633096</v>
      </c>
      <c r="F23" s="13">
        <v>616276.69631584862</v>
      </c>
      <c r="G23" s="13">
        <v>1040809.9891000015</v>
      </c>
      <c r="H23" s="13">
        <v>1441301.2639384875</v>
      </c>
      <c r="I23" s="13">
        <v>1916776.9600966366</v>
      </c>
      <c r="J23" s="13">
        <v>2365535.8041824256</v>
      </c>
      <c r="K23" s="46">
        <v>2656252.0761315832</v>
      </c>
      <c r="L23" s="46">
        <v>2787503.2270620135</v>
      </c>
      <c r="M23" s="46">
        <v>16367516.787197396</v>
      </c>
      <c r="N23" s="46">
        <v>20028040.324172158</v>
      </c>
      <c r="O23" s="46">
        <v>24252059.242542364</v>
      </c>
      <c r="P23" s="46">
        <v>28953877.608486351</v>
      </c>
      <c r="Q23" s="46">
        <v>27095994.441448353</v>
      </c>
      <c r="R23" s="46">
        <v>31761933.780497164</v>
      </c>
      <c r="S23" s="13">
        <v>32068909.836223412</v>
      </c>
      <c r="T23" s="13">
        <v>35173486.5</v>
      </c>
      <c r="U23" s="64"/>
      <c r="V23" s="64"/>
      <c r="W23" s="135"/>
      <c r="X23" s="135"/>
      <c r="Y23" s="64"/>
      <c r="Z23" s="64"/>
    </row>
    <row r="24" spans="1:26">
      <c r="A24" s="64"/>
      <c r="B24" s="6" t="s">
        <v>667</v>
      </c>
      <c r="C24" s="13">
        <v>1367.5346077390329</v>
      </c>
      <c r="D24" s="13">
        <v>19750.795960229669</v>
      </c>
      <c r="E24" s="13">
        <v>68768.386722749681</v>
      </c>
      <c r="F24" s="13">
        <v>133105.11799478374</v>
      </c>
      <c r="G24" s="13">
        <v>224796.97388768932</v>
      </c>
      <c r="H24" s="13">
        <v>311296.16931716795</v>
      </c>
      <c r="I24" s="13">
        <v>413990.70412454358</v>
      </c>
      <c r="J24" s="13">
        <v>510914.86051456281</v>
      </c>
      <c r="K24" s="46">
        <v>573704.55208025558</v>
      </c>
      <c r="L24" s="46">
        <v>602052.53284276754</v>
      </c>
      <c r="M24" s="46">
        <v>3535100.8179692002</v>
      </c>
      <c r="N24" s="46">
        <v>4325710.6531689325</v>
      </c>
      <c r="O24" s="46">
        <v>5238025.754328805</v>
      </c>
      <c r="P24" s="46">
        <v>6294321.2192361634</v>
      </c>
      <c r="Q24" s="46">
        <v>5890433.574227904</v>
      </c>
      <c r="R24" s="46">
        <v>6904768.2131515583</v>
      </c>
      <c r="S24" s="13">
        <v>7142296.177332608</v>
      </c>
      <c r="T24" s="13">
        <v>8198791.7000000002</v>
      </c>
      <c r="U24" s="64"/>
      <c r="V24" s="64"/>
      <c r="W24" s="135"/>
      <c r="X24" s="135"/>
      <c r="Y24" s="64"/>
      <c r="Z24" s="64"/>
    </row>
    <row r="25" spans="1:26">
      <c r="A25" s="64"/>
      <c r="B25" s="6" t="s">
        <v>668</v>
      </c>
      <c r="C25" s="13">
        <v>8222.9678361450933</v>
      </c>
      <c r="D25" s="13">
        <v>118761.27960501735</v>
      </c>
      <c r="E25" s="13">
        <v>413503.41626796231</v>
      </c>
      <c r="F25" s="13">
        <v>800359.34586473845</v>
      </c>
      <c r="G25" s="13">
        <v>1351701.2845454565</v>
      </c>
      <c r="H25" s="13">
        <v>1871819.8232967372</v>
      </c>
      <c r="I25" s="13">
        <v>2489320.7273982293</v>
      </c>
      <c r="J25" s="13">
        <v>3072124.4210161371</v>
      </c>
      <c r="K25" s="46">
        <v>3449678.0209501078</v>
      </c>
      <c r="L25" s="46">
        <v>3620134.0611194978</v>
      </c>
      <c r="M25" s="46">
        <v>21256515.308048565</v>
      </c>
      <c r="N25" s="46">
        <v>26010441.979444358</v>
      </c>
      <c r="O25" s="46">
        <v>31496180.834470604</v>
      </c>
      <c r="P25" s="46">
        <v>35309606.839617498</v>
      </c>
      <c r="Q25" s="46">
        <v>33043895.66030287</v>
      </c>
      <c r="R25" s="46">
        <v>38734065.585972153</v>
      </c>
      <c r="S25" s="46">
        <v>38177273.614551686</v>
      </c>
      <c r="T25" s="46">
        <v>35173805.5</v>
      </c>
      <c r="U25" s="64"/>
      <c r="V25" s="64"/>
      <c r="W25" s="135"/>
      <c r="X25" s="135"/>
      <c r="Y25" s="64"/>
      <c r="Z25" s="64"/>
    </row>
    <row r="26" spans="1:26">
      <c r="A26" s="64"/>
      <c r="B26" s="6" t="s">
        <v>669</v>
      </c>
      <c r="C26" s="13">
        <v>1502.2155995201688</v>
      </c>
      <c r="D26" s="13">
        <v>21695.943653996994</v>
      </c>
      <c r="E26" s="13">
        <v>75541.008398716833</v>
      </c>
      <c r="F26" s="13">
        <v>146213.91187921868</v>
      </c>
      <c r="G26" s="13">
        <v>246935.99634551778</v>
      </c>
      <c r="H26" s="13">
        <v>341954.02366618585</v>
      </c>
      <c r="I26" s="13">
        <v>454762.38061750465</v>
      </c>
      <c r="J26" s="13">
        <v>561232.06619288027</v>
      </c>
      <c r="K26" s="46">
        <v>630205.57050147711</v>
      </c>
      <c r="L26" s="46">
        <v>661345.38859116274</v>
      </c>
      <c r="M26" s="46">
        <v>3883253.5312651061</v>
      </c>
      <c r="N26" s="46">
        <v>4751726.1979530053</v>
      </c>
      <c r="O26" s="46">
        <v>5753890.2155101486</v>
      </c>
      <c r="P26" s="46">
        <v>6869413.9085850017</v>
      </c>
      <c r="Q26" s="46">
        <v>8087169.5590824839</v>
      </c>
      <c r="R26" s="46">
        <v>9401973.4367126562</v>
      </c>
      <c r="S26" s="46">
        <v>11095766.362722438</v>
      </c>
      <c r="T26" s="46">
        <v>12012806.5</v>
      </c>
      <c r="U26" s="64"/>
      <c r="V26" s="64"/>
      <c r="W26" s="135"/>
      <c r="X26" s="135"/>
      <c r="Y26" s="64"/>
      <c r="Z26" s="64"/>
    </row>
    <row r="27" spans="1:26">
      <c r="A27" s="64"/>
      <c r="B27" s="100"/>
      <c r="C27" s="100"/>
      <c r="D27" s="132"/>
      <c r="E27" s="132"/>
      <c r="F27" s="132"/>
      <c r="G27" s="132"/>
      <c r="H27" s="133"/>
      <c r="I27" s="133"/>
      <c r="J27" s="133"/>
      <c r="K27" s="132"/>
      <c r="L27" s="132"/>
      <c r="M27" s="134"/>
      <c r="N27" s="64"/>
      <c r="O27" s="64"/>
      <c r="P27" s="64"/>
      <c r="Q27" s="135"/>
      <c r="R27" s="135"/>
      <c r="S27" s="135"/>
      <c r="T27" s="135"/>
      <c r="U27" s="64"/>
      <c r="V27" s="64"/>
      <c r="W27" s="135"/>
      <c r="X27" s="135"/>
      <c r="Y27" s="64"/>
      <c r="Z27" s="64"/>
    </row>
    <row r="28" spans="1:26">
      <c r="A28" s="64"/>
      <c r="B28" s="99" t="s">
        <v>206</v>
      </c>
      <c r="C28" s="99"/>
      <c r="D28" s="100"/>
      <c r="E28" s="99"/>
      <c r="F28" s="99"/>
      <c r="G28" s="101"/>
      <c r="H28" s="104"/>
      <c r="I28" s="104"/>
      <c r="J28" s="104"/>
      <c r="K28" s="101"/>
      <c r="L28" s="101"/>
      <c r="M28" s="105"/>
      <c r="N28" s="64"/>
      <c r="O28" s="64"/>
      <c r="P28" s="64"/>
      <c r="Q28" s="64"/>
      <c r="R28" s="64"/>
      <c r="S28" s="64"/>
      <c r="T28" s="64"/>
      <c r="U28" s="64"/>
      <c r="V28" s="64"/>
      <c r="W28" s="135"/>
      <c r="X28" s="135"/>
      <c r="Y28" s="64"/>
      <c r="Z28" s="64"/>
    </row>
    <row r="29" spans="1:26" ht="29.85" customHeight="1">
      <c r="A29" s="64"/>
      <c r="B29" s="536" t="s">
        <v>670</v>
      </c>
      <c r="C29" s="536"/>
      <c r="D29" s="536"/>
      <c r="E29" s="536"/>
      <c r="F29" s="536"/>
      <c r="G29" s="536"/>
      <c r="H29" s="536"/>
      <c r="I29" s="536"/>
      <c r="J29" s="536"/>
      <c r="K29" s="536"/>
      <c r="L29" s="536"/>
      <c r="M29" s="536"/>
      <c r="N29" s="64"/>
      <c r="O29" s="64"/>
      <c r="P29" s="64"/>
      <c r="Q29" s="64"/>
      <c r="R29" s="64"/>
      <c r="S29" s="64"/>
      <c r="T29" s="64"/>
      <c r="U29" s="64"/>
      <c r="V29" s="135"/>
      <c r="W29" s="135"/>
      <c r="X29" s="64"/>
      <c r="Y29" s="64"/>
    </row>
    <row r="30" spans="1:26" ht="27.75" customHeight="1">
      <c r="A30" s="64"/>
      <c r="B30" s="526" t="s">
        <v>671</v>
      </c>
      <c r="C30" s="527"/>
      <c r="D30" s="527"/>
      <c r="E30" s="527"/>
      <c r="F30" s="527"/>
      <c r="G30" s="527"/>
      <c r="H30" s="527"/>
      <c r="I30" s="527"/>
      <c r="J30" s="527"/>
      <c r="K30" s="527"/>
      <c r="L30" s="527"/>
      <c r="M30" s="528"/>
      <c r="N30" s="64"/>
      <c r="O30" s="64"/>
      <c r="P30" s="64"/>
      <c r="Q30" s="64"/>
      <c r="R30" s="64"/>
      <c r="S30" s="64"/>
      <c r="T30" s="64"/>
      <c r="U30" s="64"/>
      <c r="V30" s="135"/>
      <c r="W30" s="135"/>
      <c r="X30" s="64"/>
      <c r="Y30" s="64"/>
    </row>
    <row r="31" spans="1:26" ht="45" customHeight="1">
      <c r="A31" s="64"/>
      <c r="B31" s="526" t="s">
        <v>672</v>
      </c>
      <c r="C31" s="527"/>
      <c r="D31" s="527"/>
      <c r="E31" s="527"/>
      <c r="F31" s="527"/>
      <c r="G31" s="527"/>
      <c r="H31" s="527"/>
      <c r="I31" s="527"/>
      <c r="J31" s="527"/>
      <c r="K31" s="527"/>
      <c r="L31" s="527"/>
      <c r="M31" s="528"/>
      <c r="N31" s="64"/>
      <c r="O31" s="64"/>
      <c r="P31" s="64"/>
      <c r="Q31" s="64"/>
      <c r="R31" s="64"/>
      <c r="S31" s="64"/>
      <c r="T31" s="64"/>
      <c r="U31" s="64"/>
      <c r="V31" s="135"/>
      <c r="W31" s="135"/>
      <c r="X31" s="64"/>
      <c r="Y31" s="64"/>
    </row>
    <row r="32" spans="1:26" ht="20.85" customHeight="1">
      <c r="A32" s="64"/>
      <c r="B32" s="567" t="s">
        <v>673</v>
      </c>
      <c r="C32" s="567"/>
      <c r="D32" s="567"/>
      <c r="E32" s="567"/>
      <c r="F32" s="567"/>
      <c r="G32" s="567"/>
      <c r="H32" s="567"/>
      <c r="I32" s="567"/>
      <c r="J32" s="567"/>
      <c r="K32" s="567"/>
      <c r="L32" s="567"/>
      <c r="M32" s="567"/>
      <c r="N32" s="64"/>
      <c r="O32" s="64"/>
      <c r="P32" s="64"/>
      <c r="Q32" s="64"/>
      <c r="R32" s="64"/>
      <c r="S32" s="64"/>
      <c r="T32" s="64"/>
      <c r="U32" s="64"/>
      <c r="V32" s="135"/>
      <c r="W32" s="135"/>
      <c r="X32" s="64"/>
      <c r="Y32" s="64"/>
    </row>
    <row r="33" spans="1:26" ht="30" customHeight="1">
      <c r="A33" s="64"/>
      <c r="B33" s="564" t="s">
        <v>674</v>
      </c>
      <c r="C33" s="565"/>
      <c r="D33" s="565"/>
      <c r="E33" s="565"/>
      <c r="F33" s="565"/>
      <c r="G33" s="565"/>
      <c r="H33" s="565"/>
      <c r="I33" s="565"/>
      <c r="J33" s="565"/>
      <c r="K33" s="565"/>
      <c r="L33" s="565"/>
      <c r="M33" s="566"/>
      <c r="N33" s="64"/>
      <c r="O33" s="64"/>
      <c r="P33" s="64"/>
      <c r="Q33" s="64"/>
      <c r="R33" s="64"/>
      <c r="S33" s="64"/>
      <c r="T33" s="64"/>
      <c r="U33" s="64"/>
      <c r="V33" s="135"/>
      <c r="W33" s="135"/>
      <c r="X33" s="64"/>
      <c r="Y33" s="64"/>
    </row>
    <row r="34" spans="1:26" ht="30" customHeight="1">
      <c r="A34" s="64"/>
      <c r="B34" s="563" t="s">
        <v>675</v>
      </c>
      <c r="C34" s="563"/>
      <c r="D34" s="563"/>
      <c r="E34" s="563"/>
      <c r="F34" s="563"/>
      <c r="G34" s="563"/>
      <c r="H34" s="563"/>
      <c r="I34" s="563"/>
      <c r="J34" s="563"/>
      <c r="K34" s="563"/>
      <c r="L34" s="563"/>
      <c r="M34" s="563"/>
      <c r="N34" s="64"/>
      <c r="O34" s="64"/>
      <c r="P34" s="64"/>
      <c r="Q34" s="64"/>
      <c r="R34" s="64"/>
      <c r="S34" s="64"/>
      <c r="T34" s="64"/>
      <c r="U34" s="64"/>
      <c r="V34" s="135"/>
      <c r="W34" s="135"/>
      <c r="X34" s="64"/>
      <c r="Y34" s="64"/>
    </row>
    <row r="35" spans="1:26" ht="33.75" customHeight="1">
      <c r="A35" s="64"/>
      <c r="B35" s="563" t="s">
        <v>676</v>
      </c>
      <c r="C35" s="563"/>
      <c r="D35" s="563"/>
      <c r="E35" s="563"/>
      <c r="F35" s="563"/>
      <c r="G35" s="563"/>
      <c r="H35" s="563"/>
      <c r="I35" s="563"/>
      <c r="J35" s="563"/>
      <c r="K35" s="563"/>
      <c r="L35" s="563"/>
      <c r="M35" s="563"/>
      <c r="N35" s="64"/>
      <c r="O35" s="64"/>
      <c r="P35" s="64"/>
      <c r="Q35" s="64"/>
      <c r="R35" s="64"/>
      <c r="S35" s="64"/>
      <c r="T35" s="64"/>
      <c r="U35" s="64"/>
      <c r="V35" s="135"/>
      <c r="W35" s="135"/>
      <c r="X35" s="64"/>
      <c r="Y35" s="64"/>
    </row>
    <row r="36" spans="1:26" ht="27.75" customHeight="1">
      <c r="A36" s="64"/>
      <c r="B36" s="563" t="s">
        <v>677</v>
      </c>
      <c r="C36" s="563"/>
      <c r="D36" s="563"/>
      <c r="E36" s="563"/>
      <c r="F36" s="563"/>
      <c r="G36" s="563"/>
      <c r="H36" s="563"/>
      <c r="I36" s="563"/>
      <c r="J36" s="563"/>
      <c r="K36" s="563"/>
      <c r="L36" s="563"/>
      <c r="M36" s="563"/>
      <c r="N36" s="64"/>
      <c r="O36" s="64"/>
      <c r="P36" s="64"/>
      <c r="Q36" s="64"/>
      <c r="R36" s="64"/>
      <c r="S36" s="64"/>
      <c r="T36" s="64"/>
      <c r="U36" s="64"/>
      <c r="V36" s="64"/>
      <c r="W36" s="64"/>
      <c r="X36" s="64"/>
      <c r="Y36" s="64"/>
      <c r="Z36" s="64"/>
    </row>
    <row r="37" spans="1:26" ht="15"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idden="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idden="1">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idden="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idden="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idden="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hidden="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idden="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spans="1:26" hidden="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hidden="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hidden="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hidden="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hidden="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hidden="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hidden="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hidden="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idden="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idden="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sheetData>
  <mergeCells count="9">
    <mergeCell ref="B36:M36"/>
    <mergeCell ref="B35:M35"/>
    <mergeCell ref="B33:M33"/>
    <mergeCell ref="B34:M34"/>
    <mergeCell ref="B5:L7"/>
    <mergeCell ref="B30:M30"/>
    <mergeCell ref="B29:M29"/>
    <mergeCell ref="B32:M32"/>
    <mergeCell ref="B31:M31"/>
  </mergeCells>
  <phoneticPr fontId="29" type="noConversion"/>
  <printOptions horizontalCentered="1" headings="1"/>
  <pageMargins left="0.5" right="0.5" top="1.25" bottom="1" header="0.5" footer="0.5"/>
  <pageSetup scale="53" fitToHeight="0" orientation="landscape" r:id="rId1"/>
  <headerFooter scaleWithDoc="0">
    <oddHeader>&amp;R&amp;"Arial,Bold"ICC Docket No. 17-0312
Statewide Quarterly Report ComEd 2019 Q4
Tab: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476A-56D2-4AC6-92B5-F3D84F06400D}">
  <sheetPr>
    <tabColor theme="0" tint="-4.9989318521683403E-2"/>
    <pageSetUpPr fitToPage="1"/>
  </sheetPr>
  <dimension ref="A1:M57"/>
  <sheetViews>
    <sheetView topLeftCell="A15" workbookViewId="0"/>
  </sheetViews>
  <sheetFormatPr defaultColWidth="0" defaultRowHeight="15" zeroHeight="1"/>
  <cols>
    <col min="1" max="1" width="2.5703125" customWidth="1"/>
    <col min="2" max="2" width="4.5703125" style="3" customWidth="1"/>
    <col min="3" max="3" width="4.5703125" customWidth="1"/>
    <col min="4" max="4" width="76.5703125" customWidth="1"/>
    <col min="5" max="5" width="15.140625" customWidth="1"/>
    <col min="6" max="6" width="44.140625" customWidth="1"/>
    <col min="7" max="7" width="30.7109375" bestFit="1" customWidth="1"/>
    <col min="8" max="8" width="10.5703125" bestFit="1" customWidth="1"/>
    <col min="9" max="10" width="9.140625" customWidth="1"/>
    <col min="11" max="11" width="9.140625" hidden="1" customWidth="1"/>
    <col min="12" max="13" width="0" hidden="1" customWidth="1"/>
    <col min="14" max="16384" width="9.140625" hidden="1"/>
  </cols>
  <sheetData>
    <row r="1" spans="1:13" ht="16.5" customHeight="1">
      <c r="A1" s="64"/>
      <c r="B1" s="71" t="s">
        <v>0</v>
      </c>
      <c r="C1" s="64"/>
      <c r="D1" s="64"/>
      <c r="E1" s="89"/>
      <c r="F1" s="89"/>
      <c r="G1" s="64"/>
      <c r="H1" s="64"/>
      <c r="I1" s="64"/>
      <c r="J1" s="64"/>
      <c r="K1" s="64"/>
      <c r="L1" s="64"/>
      <c r="M1" s="64"/>
    </row>
    <row r="2" spans="1:13" ht="14.25" customHeight="1">
      <c r="A2" s="64"/>
      <c r="B2" s="71" t="s">
        <v>678</v>
      </c>
      <c r="C2" s="64"/>
      <c r="D2" s="64"/>
      <c r="E2" s="90"/>
      <c r="F2" s="90"/>
      <c r="G2" s="64"/>
      <c r="H2" s="64"/>
      <c r="I2" s="64"/>
      <c r="J2" s="64"/>
      <c r="K2" s="64"/>
      <c r="L2" s="64"/>
      <c r="M2" s="64"/>
    </row>
    <row r="3" spans="1:13" ht="15.75">
      <c r="A3" s="64"/>
      <c r="B3" s="71"/>
      <c r="C3" s="64"/>
      <c r="D3" s="64"/>
      <c r="E3" s="91"/>
      <c r="F3" s="91"/>
      <c r="G3" s="64"/>
      <c r="H3" s="64"/>
      <c r="I3" s="64"/>
      <c r="J3" s="64"/>
      <c r="K3" s="64"/>
      <c r="L3" s="64"/>
      <c r="M3" s="64"/>
    </row>
    <row r="4" spans="1:13" ht="18.75">
      <c r="A4" s="64"/>
      <c r="B4" s="92"/>
      <c r="C4" s="64"/>
      <c r="D4" s="64"/>
      <c r="E4" s="91"/>
      <c r="F4" s="91"/>
      <c r="G4" s="64"/>
      <c r="H4" s="64"/>
      <c r="I4" s="64"/>
      <c r="J4" s="64"/>
      <c r="K4" s="64"/>
      <c r="L4" s="64"/>
      <c r="M4" s="64"/>
    </row>
    <row r="5" spans="1:13" ht="22.5" customHeight="1">
      <c r="A5" s="64"/>
      <c r="B5" s="535" t="s">
        <v>679</v>
      </c>
      <c r="C5" s="535"/>
      <c r="D5" s="535"/>
      <c r="E5" s="93"/>
      <c r="F5" s="93"/>
      <c r="G5" s="93"/>
      <c r="H5" s="93"/>
      <c r="I5" s="93"/>
      <c r="J5" s="93"/>
      <c r="K5" s="93"/>
      <c r="L5" s="64"/>
      <c r="M5" s="64"/>
    </row>
    <row r="6" spans="1:13" ht="37.5" customHeight="1">
      <c r="A6" s="64"/>
      <c r="B6" s="535"/>
      <c r="C6" s="535"/>
      <c r="D6" s="535"/>
      <c r="E6" s="93"/>
      <c r="F6" s="93"/>
      <c r="G6" s="93"/>
      <c r="H6" s="93"/>
      <c r="I6" s="93"/>
      <c r="J6" s="93"/>
      <c r="K6" s="93"/>
      <c r="L6" s="64"/>
      <c r="M6" s="64"/>
    </row>
    <row r="7" spans="1:13" ht="22.5" customHeight="1">
      <c r="A7" s="64"/>
      <c r="B7" s="94"/>
      <c r="C7" s="94"/>
      <c r="D7" s="94"/>
      <c r="E7" s="93"/>
      <c r="F7" s="93"/>
      <c r="G7" s="93"/>
      <c r="H7" s="93"/>
      <c r="I7" s="93"/>
      <c r="J7" s="93"/>
      <c r="K7" s="93"/>
      <c r="L7" s="64"/>
      <c r="M7" s="64"/>
    </row>
    <row r="8" spans="1:13" ht="22.5" customHeight="1">
      <c r="A8" s="64"/>
      <c r="B8" s="570" t="s">
        <v>680</v>
      </c>
      <c r="C8" s="570"/>
      <c r="D8" s="570"/>
      <c r="E8" s="93"/>
      <c r="F8" s="93"/>
      <c r="G8" s="93"/>
      <c r="H8" s="93"/>
      <c r="I8" s="93"/>
      <c r="J8" s="93"/>
      <c r="K8" s="93"/>
      <c r="L8" s="64"/>
      <c r="M8" s="64"/>
    </row>
    <row r="9" spans="1:13" ht="21" customHeight="1">
      <c r="A9" s="64"/>
      <c r="B9" s="571" t="s">
        <v>681</v>
      </c>
      <c r="C9" s="571"/>
      <c r="D9" s="571"/>
      <c r="E9" s="94"/>
      <c r="F9" s="94"/>
      <c r="G9" s="94"/>
      <c r="H9" s="94"/>
      <c r="I9" s="94"/>
      <c r="J9" s="94"/>
      <c r="K9" s="94"/>
      <c r="L9" s="64"/>
      <c r="M9" s="64"/>
    </row>
    <row r="10" spans="1:13" ht="21" customHeight="1">
      <c r="A10" s="64"/>
      <c r="B10" s="572" t="s">
        <v>682</v>
      </c>
      <c r="C10" s="572"/>
      <c r="D10" s="572"/>
      <c r="E10" s="94"/>
      <c r="F10" s="94"/>
      <c r="G10" s="94"/>
      <c r="H10" s="94"/>
      <c r="I10" s="94"/>
      <c r="J10" s="94"/>
      <c r="K10" s="94"/>
      <c r="L10" s="64"/>
      <c r="M10" s="64"/>
    </row>
    <row r="11" spans="1:13" ht="21" customHeight="1">
      <c r="A11" s="64"/>
      <c r="B11" s="573" t="s">
        <v>683</v>
      </c>
      <c r="C11" s="573"/>
      <c r="D11" s="573"/>
      <c r="E11" s="94"/>
      <c r="F11" s="94"/>
      <c r="G11" s="94"/>
      <c r="H11" s="94"/>
      <c r="I11" s="94"/>
      <c r="J11" s="94"/>
      <c r="K11" s="94"/>
      <c r="L11" s="64"/>
      <c r="M11" s="64"/>
    </row>
    <row r="12" spans="1:13" ht="21" customHeight="1">
      <c r="A12" s="64"/>
      <c r="B12" s="108"/>
      <c r="C12" s="108"/>
      <c r="D12" s="108"/>
      <c r="E12" s="94"/>
      <c r="F12" s="94"/>
      <c r="G12" s="94"/>
      <c r="H12" s="94"/>
      <c r="I12" s="94"/>
      <c r="J12" s="94"/>
      <c r="K12" s="94"/>
      <c r="L12" s="64"/>
      <c r="M12" s="64"/>
    </row>
    <row r="13" spans="1:13" ht="21" customHeight="1">
      <c r="A13" s="64"/>
      <c r="B13" s="109" t="s">
        <v>684</v>
      </c>
      <c r="C13" s="108"/>
      <c r="D13" s="108"/>
      <c r="E13" s="94"/>
      <c r="F13" s="94"/>
      <c r="G13" s="94"/>
      <c r="H13" s="94"/>
      <c r="I13" s="94"/>
      <c r="J13" s="94"/>
      <c r="K13" s="94"/>
      <c r="L13" s="64"/>
      <c r="M13" s="64"/>
    </row>
    <row r="14" spans="1:13" ht="21" customHeight="1">
      <c r="A14" s="64"/>
      <c r="B14" s="196" t="str">
        <f>'1- Ex Ante Results'!C19</f>
        <v>CY2025 Q2</v>
      </c>
      <c r="C14" s="195"/>
      <c r="D14" s="195"/>
      <c r="E14" s="94"/>
      <c r="F14" s="94"/>
      <c r="G14" s="94"/>
      <c r="H14" s="94"/>
      <c r="I14" s="94"/>
      <c r="J14" s="94"/>
      <c r="K14" s="94"/>
      <c r="L14" s="64"/>
      <c r="M14" s="64"/>
    </row>
    <row r="15" spans="1:13" ht="18" customHeight="1">
      <c r="A15" s="64"/>
      <c r="B15" s="574" t="str">
        <f>"Cumulative Persisting Annual Savings (CPAS) Goal Progress " &amp;B14</f>
        <v>Cumulative Persisting Annual Savings (CPAS) Goal Progress CY2025 Q2</v>
      </c>
      <c r="C15" s="574"/>
      <c r="D15" s="574"/>
      <c r="E15" s="574"/>
      <c r="F15" s="574"/>
      <c r="G15" s="64"/>
      <c r="H15" s="64"/>
      <c r="I15" s="64"/>
      <c r="J15" s="64"/>
      <c r="K15" s="64"/>
      <c r="L15" s="64"/>
      <c r="M15" s="64"/>
    </row>
    <row r="16" spans="1:13" ht="16.5">
      <c r="A16" s="64"/>
      <c r="B16" s="44" t="s">
        <v>685</v>
      </c>
      <c r="C16" s="575" t="s">
        <v>686</v>
      </c>
      <c r="D16" s="576"/>
      <c r="E16" s="155">
        <v>0.17</v>
      </c>
      <c r="F16" s="58" t="s">
        <v>687</v>
      </c>
      <c r="G16" s="64"/>
      <c r="H16" s="64"/>
      <c r="I16" s="64"/>
      <c r="J16" s="64"/>
      <c r="K16" s="64"/>
      <c r="L16" s="64"/>
      <c r="M16" s="64"/>
    </row>
    <row r="17" spans="1:13" ht="16.5">
      <c r="A17" s="64"/>
      <c r="B17" s="44" t="s">
        <v>688</v>
      </c>
      <c r="C17" s="575" t="s">
        <v>689</v>
      </c>
      <c r="D17" s="576"/>
      <c r="E17" s="156">
        <v>83000528.09633334</v>
      </c>
      <c r="F17" s="58" t="s">
        <v>687</v>
      </c>
      <c r="G17" s="107"/>
      <c r="H17" s="64"/>
      <c r="I17" s="64"/>
      <c r="J17" s="64"/>
      <c r="K17" s="64"/>
      <c r="L17" s="64"/>
      <c r="M17" s="64"/>
    </row>
    <row r="18" spans="1:13" ht="16.5">
      <c r="A18" s="64"/>
      <c r="B18" s="44" t="s">
        <v>690</v>
      </c>
      <c r="C18" s="575" t="s">
        <v>691</v>
      </c>
      <c r="D18" s="576"/>
      <c r="E18" s="157">
        <f>E17*E16</f>
        <v>14110089.776376668</v>
      </c>
      <c r="F18" s="59" t="s">
        <v>692</v>
      </c>
      <c r="G18" s="64"/>
      <c r="H18" s="64"/>
      <c r="I18" s="64"/>
      <c r="J18" s="64"/>
      <c r="K18" s="64"/>
      <c r="L18" s="64"/>
      <c r="M18" s="64"/>
    </row>
    <row r="19" spans="1:13" ht="16.5">
      <c r="A19" s="64"/>
      <c r="B19" s="44" t="s">
        <v>693</v>
      </c>
      <c r="C19" s="575" t="s">
        <v>694</v>
      </c>
      <c r="D19" s="576"/>
      <c r="E19" s="158">
        <v>13191174.985761199</v>
      </c>
      <c r="F19" s="60" t="s">
        <v>695</v>
      </c>
      <c r="G19" s="103"/>
      <c r="H19" s="66"/>
      <c r="I19" s="64"/>
      <c r="J19" s="64"/>
      <c r="K19" s="64"/>
      <c r="L19" s="64"/>
      <c r="M19" s="64"/>
    </row>
    <row r="20" spans="1:13" ht="16.5" customHeight="1">
      <c r="A20" s="64"/>
      <c r="B20" s="44"/>
      <c r="C20" s="577" t="s">
        <v>696</v>
      </c>
      <c r="D20" s="578"/>
      <c r="E20" s="578"/>
      <c r="F20" s="579"/>
      <c r="G20" s="64"/>
      <c r="H20" s="64"/>
      <c r="I20" s="64"/>
      <c r="J20" s="64"/>
      <c r="K20" s="64"/>
      <c r="L20" s="64"/>
      <c r="M20" s="64"/>
    </row>
    <row r="21" spans="1:13" ht="16.5">
      <c r="A21" s="64"/>
      <c r="B21" s="44" t="s">
        <v>697</v>
      </c>
      <c r="C21" s="568" t="s">
        <v>698</v>
      </c>
      <c r="D21" s="569"/>
      <c r="E21" s="155">
        <v>2.5000000000000001E-2</v>
      </c>
      <c r="F21" s="58" t="s">
        <v>699</v>
      </c>
      <c r="G21" s="64"/>
      <c r="H21" s="64"/>
      <c r="I21" s="64"/>
      <c r="J21" s="64"/>
      <c r="K21" s="64"/>
      <c r="L21" s="64"/>
      <c r="M21" s="64"/>
    </row>
    <row r="22" spans="1:13" ht="16.5">
      <c r="A22" s="64"/>
      <c r="B22" s="44" t="s">
        <v>700</v>
      </c>
      <c r="C22" s="568" t="s">
        <v>701</v>
      </c>
      <c r="D22" s="569"/>
      <c r="E22" s="155">
        <v>2.8000000000000001E-2</v>
      </c>
      <c r="F22" s="58" t="s">
        <v>699</v>
      </c>
      <c r="G22" s="64"/>
      <c r="H22" s="67"/>
      <c r="I22" s="64"/>
      <c r="J22" s="103"/>
      <c r="K22" s="64"/>
      <c r="L22" s="64"/>
      <c r="M22" s="64"/>
    </row>
    <row r="23" spans="1:13" ht="16.5">
      <c r="A23" s="64"/>
      <c r="B23" s="44" t="s">
        <v>702</v>
      </c>
      <c r="C23" s="568" t="s">
        <v>703</v>
      </c>
      <c r="D23" s="569"/>
      <c r="E23" s="159">
        <f>E22-E21</f>
        <v>2.9999999999999992E-3</v>
      </c>
      <c r="F23" s="59" t="s">
        <v>704</v>
      </c>
      <c r="G23" s="64"/>
      <c r="H23" s="64"/>
      <c r="I23" s="64"/>
      <c r="J23" s="64"/>
      <c r="K23" s="64"/>
      <c r="L23" s="64"/>
      <c r="M23" s="64"/>
    </row>
    <row r="24" spans="1:13" ht="16.5">
      <c r="A24" s="69"/>
      <c r="B24" s="44" t="s">
        <v>705</v>
      </c>
      <c r="C24" s="568" t="s">
        <v>706</v>
      </c>
      <c r="D24" s="569"/>
      <c r="E24" s="157">
        <f>E23*E17</f>
        <v>249001.58428899996</v>
      </c>
      <c r="F24" s="59" t="s">
        <v>707</v>
      </c>
      <c r="G24" s="64"/>
      <c r="H24" s="64"/>
      <c r="I24" s="64"/>
      <c r="J24" s="64"/>
      <c r="K24" s="64"/>
      <c r="L24" s="64"/>
      <c r="M24" s="64"/>
    </row>
    <row r="25" spans="1:13" ht="16.5">
      <c r="A25" s="64"/>
      <c r="B25" s="44" t="s">
        <v>708</v>
      </c>
      <c r="C25" s="568" t="s">
        <v>709</v>
      </c>
      <c r="D25" s="569"/>
      <c r="E25" s="158">
        <v>506712.73100000003</v>
      </c>
      <c r="F25" s="60" t="s">
        <v>695</v>
      </c>
      <c r="G25" s="64"/>
      <c r="H25" s="64"/>
      <c r="I25" s="64"/>
      <c r="J25" s="64"/>
      <c r="K25" s="64"/>
      <c r="L25" s="64"/>
      <c r="M25" s="64"/>
    </row>
    <row r="26" spans="1:13" ht="16.5">
      <c r="A26" s="64"/>
      <c r="B26" s="44" t="s">
        <v>710</v>
      </c>
      <c r="C26" s="582" t="s">
        <v>711</v>
      </c>
      <c r="D26" s="583"/>
      <c r="E26" s="160">
        <f>E24+E25</f>
        <v>755714.31528900005</v>
      </c>
      <c r="F26" s="59" t="s">
        <v>712</v>
      </c>
      <c r="G26" s="64"/>
      <c r="H26" s="64"/>
      <c r="I26" s="64"/>
      <c r="J26" s="64"/>
      <c r="K26" s="64"/>
      <c r="L26" s="64"/>
      <c r="M26" s="64"/>
    </row>
    <row r="27" spans="1:13" ht="16.5">
      <c r="A27" s="64"/>
      <c r="B27" s="44" t="s">
        <v>713</v>
      </c>
      <c r="C27" s="575" t="s">
        <v>714</v>
      </c>
      <c r="D27" s="576"/>
      <c r="E27" s="157">
        <f>E18-E19+E26</f>
        <v>1674629.1059044693</v>
      </c>
      <c r="F27" s="59" t="s">
        <v>715</v>
      </c>
      <c r="G27" s="64"/>
      <c r="H27" s="64"/>
      <c r="I27" s="64"/>
      <c r="J27" s="64"/>
      <c r="K27" s="64"/>
      <c r="L27" s="64"/>
      <c r="M27" s="64"/>
    </row>
    <row r="28" spans="1:13" ht="16.5">
      <c r="A28" s="64"/>
      <c r="B28" s="44" t="s">
        <v>716</v>
      </c>
      <c r="C28" s="575" t="s">
        <v>717</v>
      </c>
      <c r="D28" s="576"/>
      <c r="E28" s="161">
        <v>523171.83</v>
      </c>
      <c r="F28" s="60" t="s">
        <v>718</v>
      </c>
      <c r="G28" s="68"/>
      <c r="H28" s="64"/>
      <c r="I28" s="64"/>
      <c r="J28" s="64"/>
      <c r="K28" s="64"/>
      <c r="L28" s="64"/>
      <c r="M28" s="64"/>
    </row>
    <row r="29" spans="1:13" ht="16.5">
      <c r="A29" s="64"/>
      <c r="B29" s="44" t="s">
        <v>719</v>
      </c>
      <c r="C29" s="575" t="s">
        <v>720</v>
      </c>
      <c r="D29" s="576"/>
      <c r="E29" s="161">
        <v>523171.83</v>
      </c>
      <c r="F29" s="60" t="s">
        <v>721</v>
      </c>
      <c r="G29" s="68"/>
      <c r="H29" s="64"/>
      <c r="I29" s="64"/>
      <c r="J29" s="64"/>
      <c r="K29" s="64"/>
      <c r="L29" s="64"/>
      <c r="M29" s="64"/>
    </row>
    <row r="30" spans="1:13" ht="27" customHeight="1">
      <c r="A30" s="64"/>
      <c r="B30" s="44" t="s">
        <v>722</v>
      </c>
      <c r="C30" s="584" t="s">
        <v>723</v>
      </c>
      <c r="D30" s="585"/>
      <c r="E30" s="162">
        <f>E29/E27</f>
        <v>0.31241056790150212</v>
      </c>
      <c r="F30" s="59" t="s">
        <v>724</v>
      </c>
      <c r="G30" s="64"/>
      <c r="H30" s="64"/>
      <c r="I30" s="64"/>
      <c r="J30" s="64"/>
      <c r="K30" s="64"/>
      <c r="L30" s="64"/>
      <c r="M30" s="64"/>
    </row>
    <row r="31" spans="1:13" ht="18" customHeight="1">
      <c r="A31" s="64"/>
      <c r="B31" s="586" t="s">
        <v>725</v>
      </c>
      <c r="C31" s="586"/>
      <c r="D31" s="586"/>
      <c r="E31" s="586"/>
      <c r="F31" s="586"/>
      <c r="G31" s="64"/>
      <c r="H31" s="64"/>
      <c r="I31" s="64"/>
      <c r="J31" s="64"/>
      <c r="K31" s="64"/>
      <c r="L31" s="64"/>
      <c r="M31" s="64"/>
    </row>
    <row r="32" spans="1:13" ht="16.5">
      <c r="A32" s="64"/>
      <c r="B32" s="44" t="s">
        <v>726</v>
      </c>
      <c r="C32" s="580" t="s">
        <v>727</v>
      </c>
      <c r="D32" s="581"/>
      <c r="E32" s="155">
        <v>0.157</v>
      </c>
      <c r="F32" s="42" t="s">
        <v>687</v>
      </c>
      <c r="G32" s="64"/>
      <c r="H32" s="64"/>
      <c r="I32" s="64"/>
      <c r="J32" s="95"/>
      <c r="K32" s="64"/>
      <c r="L32" s="64"/>
      <c r="M32" s="64"/>
    </row>
    <row r="33" spans="1:13" ht="16.5">
      <c r="A33" s="64"/>
      <c r="B33" s="44" t="s">
        <v>728</v>
      </c>
      <c r="C33" s="580" t="s">
        <v>729</v>
      </c>
      <c r="D33" s="581"/>
      <c r="E33" s="163">
        <f>E32*E17</f>
        <v>13031082.911124334</v>
      </c>
      <c r="F33" s="43" t="s">
        <v>730</v>
      </c>
      <c r="G33" s="64"/>
      <c r="H33" s="64"/>
      <c r="I33" s="64"/>
      <c r="J33" s="64"/>
      <c r="K33" s="64"/>
      <c r="L33" s="64"/>
      <c r="M33" s="64"/>
    </row>
    <row r="34" spans="1:13" ht="16.5">
      <c r="A34" s="64"/>
      <c r="B34" s="44" t="s">
        <v>731</v>
      </c>
      <c r="C34" s="41" t="s">
        <v>732</v>
      </c>
      <c r="D34" s="41"/>
      <c r="E34" s="163">
        <f>E18-E33</f>
        <v>1079006.8652523346</v>
      </c>
      <c r="F34" s="43" t="s">
        <v>733</v>
      </c>
      <c r="G34" s="64"/>
      <c r="H34" s="64"/>
      <c r="I34" s="64"/>
      <c r="J34" s="64"/>
      <c r="K34" s="64"/>
      <c r="L34" s="64"/>
      <c r="M34" s="64"/>
    </row>
    <row r="35" spans="1:13" ht="16.5">
      <c r="A35" s="64"/>
      <c r="B35" s="44" t="s">
        <v>734</v>
      </c>
      <c r="C35" s="41" t="s">
        <v>735</v>
      </c>
      <c r="D35" s="41"/>
      <c r="E35" s="163">
        <f>E34+E26</f>
        <v>1834721.1805413347</v>
      </c>
      <c r="F35" s="43" t="s">
        <v>736</v>
      </c>
      <c r="G35" s="65"/>
      <c r="H35" s="64"/>
      <c r="I35" s="64"/>
      <c r="J35" s="64"/>
      <c r="K35" s="64"/>
      <c r="L35" s="64"/>
      <c r="M35" s="64"/>
    </row>
    <row r="36" spans="1:13" ht="16.5">
      <c r="A36" s="64"/>
      <c r="B36" s="44" t="s">
        <v>737</v>
      </c>
      <c r="C36" s="41" t="s">
        <v>738</v>
      </c>
      <c r="D36" s="41"/>
      <c r="E36" s="163">
        <f>E29</f>
        <v>523171.83</v>
      </c>
      <c r="F36" s="43" t="s">
        <v>739</v>
      </c>
      <c r="G36" s="64"/>
      <c r="H36" s="65"/>
      <c r="I36" s="64"/>
      <c r="J36" s="64"/>
      <c r="K36" s="64"/>
      <c r="L36" s="64"/>
      <c r="M36" s="64"/>
    </row>
    <row r="37" spans="1:13" ht="31.5" customHeight="1">
      <c r="A37" s="64"/>
      <c r="B37" s="44" t="s">
        <v>740</v>
      </c>
      <c r="C37" s="587" t="s">
        <v>741</v>
      </c>
      <c r="D37" s="588"/>
      <c r="E37" s="164">
        <f>E26</f>
        <v>755714.31528900005</v>
      </c>
      <c r="F37" s="43" t="s">
        <v>742</v>
      </c>
      <c r="G37" s="64"/>
      <c r="H37" s="64"/>
      <c r="I37" s="64"/>
      <c r="J37" s="64"/>
      <c r="K37" s="64"/>
      <c r="L37" s="64"/>
      <c r="M37" s="64"/>
    </row>
    <row r="38" spans="1:13" ht="16.5">
      <c r="A38" s="64"/>
      <c r="B38" s="44" t="s">
        <v>743</v>
      </c>
      <c r="C38" s="587" t="s">
        <v>744</v>
      </c>
      <c r="D38" s="588"/>
      <c r="E38" s="163">
        <f>E36-E37</f>
        <v>-232542.48528900003</v>
      </c>
      <c r="F38" s="43" t="s">
        <v>745</v>
      </c>
      <c r="G38" s="64"/>
      <c r="H38" s="64"/>
      <c r="I38" s="64"/>
      <c r="J38" s="64"/>
      <c r="K38" s="64"/>
      <c r="L38" s="64"/>
      <c r="M38" s="64"/>
    </row>
    <row r="39" spans="1:13" ht="30" customHeight="1">
      <c r="A39" s="64"/>
      <c r="B39" s="44" t="s">
        <v>746</v>
      </c>
      <c r="C39" s="589" t="s">
        <v>747</v>
      </c>
      <c r="D39" s="590"/>
      <c r="E39" s="165">
        <f>E38/E34</f>
        <v>-0.21551529724013208</v>
      </c>
      <c r="F39" s="43" t="s">
        <v>748</v>
      </c>
      <c r="G39" s="64"/>
      <c r="H39" s="64"/>
      <c r="I39" s="64"/>
      <c r="J39" s="64"/>
      <c r="K39" s="64"/>
      <c r="L39" s="64"/>
      <c r="M39" s="64"/>
    </row>
    <row r="40" spans="1:13" ht="16.5">
      <c r="A40" s="64"/>
      <c r="B40" s="95"/>
      <c r="C40" s="96"/>
      <c r="D40" s="96"/>
      <c r="E40" s="97"/>
      <c r="F40" s="98"/>
      <c r="G40" s="64"/>
      <c r="H40" s="64"/>
      <c r="I40" s="64"/>
      <c r="J40" s="64"/>
      <c r="K40" s="64"/>
      <c r="L40" s="64"/>
      <c r="M40" s="64"/>
    </row>
    <row r="41" spans="1:13">
      <c r="A41" s="64"/>
      <c r="B41" s="99" t="s">
        <v>206</v>
      </c>
      <c r="C41" s="100"/>
      <c r="D41" s="99"/>
      <c r="E41" s="99"/>
      <c r="F41" s="101"/>
      <c r="G41" s="104"/>
      <c r="H41" s="104"/>
      <c r="I41" s="104"/>
      <c r="J41" s="101"/>
      <c r="K41" s="101"/>
      <c r="L41" s="105"/>
      <c r="M41" s="64"/>
    </row>
    <row r="42" spans="1:13" ht="39" customHeight="1">
      <c r="A42" s="64"/>
      <c r="B42" s="591" t="s">
        <v>749</v>
      </c>
      <c r="C42" s="592"/>
      <c r="D42" s="592"/>
      <c r="E42" s="592"/>
      <c r="F42" s="592"/>
      <c r="G42" s="106"/>
      <c r="H42" s="106"/>
      <c r="I42" s="106"/>
      <c r="J42" s="106"/>
      <c r="K42" s="106"/>
      <c r="L42" s="106"/>
      <c r="M42" s="64"/>
    </row>
    <row r="43" spans="1:13" ht="14.85" customHeight="1">
      <c r="A43" s="64"/>
      <c r="B43" s="591" t="s">
        <v>750</v>
      </c>
      <c r="C43" s="592"/>
      <c r="D43" s="592"/>
      <c r="E43" s="592"/>
      <c r="F43" s="592"/>
      <c r="G43" s="64"/>
      <c r="H43" s="64"/>
      <c r="I43" s="64"/>
      <c r="J43" s="64"/>
      <c r="K43" s="64"/>
      <c r="L43" s="64"/>
      <c r="M43" s="64"/>
    </row>
    <row r="44" spans="1:13">
      <c r="A44" s="64"/>
      <c r="B44" s="102"/>
      <c r="C44" s="64"/>
      <c r="D44" s="64"/>
      <c r="E44" s="64"/>
      <c r="F44" s="64"/>
      <c r="G44" s="64"/>
      <c r="H44" s="64"/>
      <c r="I44" s="64"/>
      <c r="J44" s="64"/>
      <c r="K44" s="64"/>
      <c r="L44" s="64"/>
      <c r="M44" s="64"/>
    </row>
    <row r="45" spans="1:13">
      <c r="A45" s="64"/>
      <c r="B45" s="102"/>
      <c r="C45" s="64"/>
      <c r="D45" s="64"/>
      <c r="E45" s="64"/>
      <c r="F45" s="64"/>
      <c r="G45" s="64"/>
      <c r="H45" s="64"/>
      <c r="I45" s="64"/>
      <c r="J45" s="64"/>
      <c r="K45" s="64"/>
      <c r="L45" s="64"/>
      <c r="M45" s="64"/>
    </row>
    <row r="46" spans="1:13">
      <c r="A46" s="64"/>
      <c r="B46" s="102"/>
      <c r="C46" s="64"/>
      <c r="D46" s="64"/>
      <c r="E46" s="64"/>
      <c r="F46" s="64"/>
      <c r="G46" s="64"/>
      <c r="H46" s="64"/>
      <c r="I46" s="64"/>
      <c r="J46" s="64"/>
      <c r="K46" s="64"/>
      <c r="L46" s="64"/>
      <c r="M46" s="64"/>
    </row>
    <row r="47" spans="1:13">
      <c r="A47" s="64"/>
      <c r="B47" s="102"/>
      <c r="C47" s="64"/>
      <c r="D47" s="64"/>
      <c r="E47" s="64"/>
      <c r="F47" s="64"/>
      <c r="G47" s="64"/>
      <c r="H47" s="64"/>
      <c r="I47" s="64"/>
      <c r="J47" s="64"/>
      <c r="K47" s="64"/>
      <c r="L47" s="64"/>
      <c r="M47" s="64"/>
    </row>
    <row r="48" spans="1:13">
      <c r="A48" s="64"/>
      <c r="B48" s="102"/>
      <c r="C48" s="64"/>
      <c r="D48" s="64"/>
      <c r="E48" s="64"/>
      <c r="F48" s="64"/>
      <c r="G48" s="64"/>
      <c r="H48" s="64"/>
      <c r="I48" s="64"/>
      <c r="J48" s="64"/>
      <c r="K48" s="64"/>
      <c r="L48" s="64"/>
      <c r="M48" s="64"/>
    </row>
    <row r="49" spans="1:13">
      <c r="A49" s="64"/>
      <c r="B49" s="102"/>
      <c r="C49" s="64"/>
      <c r="D49" s="64"/>
      <c r="E49" s="64"/>
      <c r="F49" s="64"/>
      <c r="G49" s="64"/>
      <c r="H49" s="64"/>
      <c r="I49" s="64"/>
      <c r="J49" s="64"/>
      <c r="K49" s="64"/>
      <c r="L49" s="64"/>
      <c r="M49" s="64"/>
    </row>
    <row r="50" spans="1:13">
      <c r="A50" s="64"/>
      <c r="B50" s="102"/>
      <c r="C50" s="64"/>
      <c r="D50" s="64"/>
      <c r="E50" s="64"/>
      <c r="F50" s="64"/>
      <c r="G50" s="64"/>
      <c r="H50" s="64"/>
      <c r="I50" s="64"/>
      <c r="J50" s="64"/>
      <c r="K50" s="64"/>
      <c r="L50" s="64"/>
      <c r="M50" s="64"/>
    </row>
    <row r="51" spans="1:13">
      <c r="A51" s="64"/>
      <c r="B51" s="102"/>
      <c r="C51" s="64"/>
      <c r="D51" s="64"/>
      <c r="E51" s="64"/>
      <c r="F51" s="64"/>
      <c r="G51" s="64"/>
      <c r="H51" s="64"/>
      <c r="I51" s="64"/>
      <c r="J51" s="64"/>
      <c r="K51" s="64"/>
      <c r="L51" s="64"/>
      <c r="M51" s="64"/>
    </row>
    <row r="52" spans="1:13">
      <c r="A52" s="64"/>
      <c r="B52" s="102"/>
      <c r="C52" s="64"/>
      <c r="D52" s="64"/>
      <c r="E52" s="64"/>
      <c r="F52" s="64"/>
      <c r="G52" s="64"/>
      <c r="H52" s="64"/>
      <c r="I52" s="64"/>
      <c r="J52" s="64"/>
      <c r="K52" s="64"/>
      <c r="L52" s="64"/>
      <c r="M52" s="64"/>
    </row>
    <row r="53" spans="1:13">
      <c r="A53" s="64"/>
      <c r="B53" s="102"/>
      <c r="C53" s="64"/>
      <c r="D53" s="64"/>
      <c r="E53" s="64"/>
      <c r="F53" s="64"/>
      <c r="G53" s="64"/>
      <c r="H53" s="64"/>
      <c r="I53" s="64"/>
      <c r="J53" s="64"/>
      <c r="K53" s="64"/>
      <c r="L53" s="64"/>
      <c r="M53" s="64"/>
    </row>
    <row r="54" spans="1:13">
      <c r="A54" s="64"/>
      <c r="B54" s="102"/>
      <c r="C54" s="64"/>
      <c r="D54" s="64"/>
      <c r="E54" s="64"/>
      <c r="F54" s="64"/>
      <c r="G54" s="64"/>
      <c r="H54" s="64"/>
      <c r="I54" s="64"/>
      <c r="J54" s="64"/>
      <c r="K54" s="64"/>
      <c r="L54" s="64"/>
      <c r="M54" s="64"/>
    </row>
    <row r="55" spans="1:13">
      <c r="A55" s="64"/>
      <c r="B55" s="102"/>
      <c r="C55" s="64"/>
      <c r="D55" s="64"/>
      <c r="E55" s="64"/>
      <c r="F55" s="64"/>
      <c r="G55" s="64"/>
      <c r="H55" s="64"/>
      <c r="I55" s="64"/>
      <c r="J55" s="64"/>
      <c r="K55" s="64"/>
      <c r="L55" s="64"/>
      <c r="M55" s="64"/>
    </row>
    <row r="56" spans="1:13">
      <c r="A56" s="64"/>
      <c r="B56" s="102"/>
      <c r="C56" s="64"/>
      <c r="D56" s="64"/>
      <c r="E56" s="64"/>
      <c r="F56" s="64"/>
      <c r="G56" s="64"/>
      <c r="H56" s="64"/>
      <c r="I56" s="64"/>
      <c r="J56" s="64"/>
      <c r="K56" s="64"/>
      <c r="L56" s="64"/>
      <c r="M56" s="64"/>
    </row>
    <row r="57" spans="1:13">
      <c r="A57" s="64"/>
      <c r="B57" s="102"/>
      <c r="C57" s="64"/>
      <c r="D57" s="64"/>
      <c r="E57" s="64"/>
      <c r="F57" s="64"/>
      <c r="G57" s="64"/>
      <c r="H57" s="64"/>
      <c r="I57" s="64"/>
      <c r="J57" s="64"/>
      <c r="K57" s="64"/>
      <c r="L57" s="64"/>
      <c r="M57" s="64"/>
    </row>
  </sheetData>
  <mergeCells count="29">
    <mergeCell ref="C37:D37"/>
    <mergeCell ref="C38:D38"/>
    <mergeCell ref="C39:D39"/>
    <mergeCell ref="B42:F42"/>
    <mergeCell ref="B43:F43"/>
    <mergeCell ref="C33:D33"/>
    <mergeCell ref="C22:D22"/>
    <mergeCell ref="C23:D23"/>
    <mergeCell ref="C24:D24"/>
    <mergeCell ref="C25:D25"/>
    <mergeCell ref="C26:D26"/>
    <mergeCell ref="C27:D27"/>
    <mergeCell ref="C28:D28"/>
    <mergeCell ref="C29:D29"/>
    <mergeCell ref="C30:D30"/>
    <mergeCell ref="B31:F31"/>
    <mergeCell ref="C32:D32"/>
    <mergeCell ref="C21:D21"/>
    <mergeCell ref="B5:D6"/>
    <mergeCell ref="B8:D8"/>
    <mergeCell ref="B9:D9"/>
    <mergeCell ref="B10:D10"/>
    <mergeCell ref="B11:D11"/>
    <mergeCell ref="B15:F15"/>
    <mergeCell ref="C16:D16"/>
    <mergeCell ref="C17:D17"/>
    <mergeCell ref="C18:D18"/>
    <mergeCell ref="C19:D19"/>
    <mergeCell ref="C20:F20"/>
  </mergeCells>
  <printOptions horizontalCentered="1" headings="1"/>
  <pageMargins left="1" right="1" top="1.25" bottom="1" header="0.5" footer="0.5"/>
  <pageSetup scale="10" orientation="portrait" r:id="rId1"/>
  <headerFooter scaleWithDoc="0">
    <oddHeader>&amp;R&amp;"Arial,Bold"ICC Docket No. 17-0312
Statewide Quarterly Report ComEd 2019 Q4
Tab: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D7298ED617D146A3AF46250AE2AF4E" ma:contentTypeVersion="14" ma:contentTypeDescription="Create a new document." ma:contentTypeScope="" ma:versionID="e1409b309f0e72c7370bea2d232ee587">
  <xsd:schema xmlns:xsd="http://www.w3.org/2001/XMLSchema" xmlns:xs="http://www.w3.org/2001/XMLSchema" xmlns:p="http://schemas.microsoft.com/office/2006/metadata/properties" xmlns:ns2="34179d51-dc0c-413e-aa1e-3fce419c532c" xmlns:ns3="36036ecd-8164-441f-a01a-9502deb9fecc" targetNamespace="http://schemas.microsoft.com/office/2006/metadata/properties" ma:root="true" ma:fieldsID="25a67ee73ca2392e58fafd65512d8f2e" ns2:_="" ns3:_="">
    <xsd:import namespace="34179d51-dc0c-413e-aa1e-3fce419c532c"/>
    <xsd:import namespace="36036ecd-8164-441f-a01a-9502deb9fe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SubmissionDeadline" minOccurs="0"/>
                <xsd:element ref="ns2:MediaServiceObjectDetectorVersions" minOccurs="0"/>
                <xsd:element ref="ns2:Note" minOccurs="0"/>
                <xsd:element ref="ns2:GroupBy"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79d51-dc0c-413e-aa1e-3fce419c5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ubmissionDeadline" ma:index="14" nillable="true" ma:displayName="Submission Deadline" ma:description="ICC Filing deadline" ma:format="DateOnly" ma:internalName="SubmissionDeadline">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Note" ma:index="16" nillable="true" ma:displayName="Note" ma:format="Dropdown" ma:internalName="Note">
      <xsd:simpleType>
        <xsd:restriction base="dms:Text">
          <xsd:maxLength value="255"/>
        </xsd:restriction>
      </xsd:simpleType>
    </xsd:element>
    <xsd:element name="GroupBy" ma:index="17" nillable="true" ma:displayName="Group By" ma:format="Dropdown" ma:internalName="GroupBy">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036ecd-8164-441f-a01a-9502deb9fe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6036ecd-8164-441f-a01a-9502deb9fecc">
      <UserInfo>
        <DisplayName>Borggren, Erica J:(ComEd)</DisplayName>
        <AccountId>84</AccountId>
        <AccountType/>
      </UserInfo>
    </SharedWithUsers>
    <Note xmlns="34179d51-dc0c-413e-aa1e-3fce419c532c" xsi:nil="true"/>
    <SubmissionDeadline xmlns="34179d51-dc0c-413e-aa1e-3fce419c532c" xsi:nil="true"/>
    <GroupBy xmlns="34179d51-dc0c-413e-aa1e-3fce419c532c" xsi:nil="true"/>
  </documentManagement>
</p:properties>
</file>

<file path=customXml/itemProps1.xml><?xml version="1.0" encoding="utf-8"?>
<ds:datastoreItem xmlns:ds="http://schemas.openxmlformats.org/officeDocument/2006/customXml" ds:itemID="{D7CB91CF-5463-483A-B537-8D7B40E18DFE}">
  <ds:schemaRefs>
    <ds:schemaRef ds:uri="http://schemas.microsoft.com/sharepoint/v3/contenttype/forms"/>
  </ds:schemaRefs>
</ds:datastoreItem>
</file>

<file path=customXml/itemProps2.xml><?xml version="1.0" encoding="utf-8"?>
<ds:datastoreItem xmlns:ds="http://schemas.openxmlformats.org/officeDocument/2006/customXml" ds:itemID="{F529F8FE-F440-4691-AC28-F26C094DC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79d51-dc0c-413e-aa1e-3fce419c532c"/>
    <ds:schemaRef ds:uri="36036ecd-8164-441f-a01a-9502deb9f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265358-A200-4181-99F2-5390B7D0CBB5}">
  <ds:schemaRefs>
    <ds:schemaRef ds:uri="34179d51-dc0c-413e-aa1e-3fce419c532c"/>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36036ecd-8164-441f-a01a-9502deb9fec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 Ex Ante Results</vt:lpstr>
      <vt:lpstr>6+6 Savings LE</vt:lpstr>
      <vt:lpstr>6+6 Spend LE</vt:lpstr>
      <vt:lpstr>Sheet1</vt:lpstr>
      <vt:lpstr>HIDE - For Working Draft</vt:lpstr>
      <vt:lpstr>2- Costs</vt:lpstr>
      <vt:lpstr>3- Energy</vt:lpstr>
      <vt:lpstr>4- Other</vt:lpstr>
      <vt:lpstr>5- CPAS</vt:lpstr>
      <vt:lpstr>6- Historical Costs</vt:lpstr>
      <vt:lpstr>'1- Ex Ante Results'!Print_Area</vt:lpstr>
      <vt:lpstr>'6- Historical Costs'!Print_Area</vt:lpstr>
      <vt:lpstr>q3LEcheck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Kapoor, Shikha:(ComEd)</dc:creator>
  <cp:keywords/>
  <dc:description/>
  <cp:lastModifiedBy>Lee, Abbey Rose:(ComEd)</cp:lastModifiedBy>
  <cp:revision/>
  <dcterms:created xsi:type="dcterms:W3CDTF">2020-03-11T14:31:19Z</dcterms:created>
  <dcterms:modified xsi:type="dcterms:W3CDTF">2025-08-12T16:29:08Z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0x01010068D7298ED617D146A3AF46250AE2AF4E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c968b3d1-e05f-4796-9c23-acaf26d588cb_Enabled">
    <vt:lpwstr>true</vt:lpwstr>
  </property>
  <property fmtid="{D5CDD505-2E9C-101B-9397-08002B2CF9AE}" pid="6" name="MSIP_Label_c968b3d1-e05f-4796-9c23-acaf26d588cb_SetDate">
    <vt:lpwstr>2022-01-28T15:50:21Z</vt:lpwstr>
  </property>
  <property fmtid="{D5CDD505-2E9C-101B-9397-08002B2CF9AE}" pid="7" name="MSIP_Label_c968b3d1-e05f-4796-9c23-acaf26d588cb_Method">
    <vt:lpwstr>Standard</vt:lpwstr>
  </property>
  <property fmtid="{D5CDD505-2E9C-101B-9397-08002B2CF9AE}" pid="8" name="MSIP_Label_c968b3d1-e05f-4796-9c23-acaf26d588cb_Name">
    <vt:lpwstr>Company Confidential Information</vt:lpwstr>
  </property>
  <property fmtid="{D5CDD505-2E9C-101B-9397-08002B2CF9AE}" pid="9" name="MSIP_Label_c968b3d1-e05f-4796-9c23-acaf26d588cb_SiteId">
    <vt:lpwstr>600d01fc-055f-49c6-868f-3ecfcc791773</vt:lpwstr>
  </property>
  <property fmtid="{D5CDD505-2E9C-101B-9397-08002B2CF9AE}" pid="10" name="MSIP_Label_c968b3d1-e05f-4796-9c23-acaf26d588cb_ActionId">
    <vt:lpwstr>2c1ec06e-b615-464f-be7b-4ddee875247d</vt:lpwstr>
  </property>
  <property fmtid="{D5CDD505-2E9C-101B-9397-08002B2CF9AE}" pid="11" name="MSIP_Label_c968b3d1-e05f-4796-9c23-acaf26d588cb_ContentBits">
    <vt:lpwstr>0</vt:lpwstr>
  </property>
  <property fmtid="{D5CDD505-2E9C-101B-9397-08002B2CF9AE}" pid="12" name="Order">
    <vt:r8>7700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