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E916053\Downloads\"/>
    </mc:Choice>
  </mc:AlternateContent>
  <xr:revisionPtr revIDLastSave="0" documentId="13_ncr:1_{A00AEB5A-C5F2-4E0A-AA82-3E3B6E61FE14}" xr6:coauthVersionLast="47" xr6:coauthVersionMax="47" xr10:uidLastSave="{00000000-0000-0000-0000-000000000000}"/>
  <bookViews>
    <workbookView xWindow="-28920" yWindow="-120" windowWidth="29040" windowHeight="15720" xr2:uid="{7D229D66-900C-4347-B141-1069A3B0C045}"/>
  </bookViews>
  <sheets>
    <sheet name="1- Ex Ante Results" sheetId="9" r:id="rId1"/>
    <sheet name="LE Mapping" sheetId="10" state="hidden" r:id="rId2"/>
    <sheet name="2- Costs" sheetId="2" r:id="rId3"/>
    <sheet name="3- Energy" sheetId="3" r:id="rId4"/>
    <sheet name="4- Other" sheetId="4" r:id="rId5"/>
    <sheet name="5- CPAS" sheetId="7" r:id="rId6"/>
    <sheet name="6- Historical Costs" sheetId="8" r:id="rId7"/>
  </sheets>
  <definedNames>
    <definedName name="_xlnm._FilterDatabase" localSheetId="0" hidden="1">'1- Ex Ante Results'!$B$20:$M$115</definedName>
    <definedName name="_xlnm._FilterDatabase" localSheetId="3" hidden="1">'3- Energy'!$E$31:$E$32</definedName>
    <definedName name="_xlnm.Print_Area" localSheetId="0">'1- Ex Ante Results'!$A$1:$M$124</definedName>
    <definedName name="_xlnm.Print_Area" localSheetId="6">'6- Historical Costs'!$A$1:$G$31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7" l="1"/>
  <c r="E24" i="7"/>
  <c r="S21" i="4" l="1"/>
  <c r="G32" i="3" l="1"/>
  <c r="AF43" i="10" l="1"/>
  <c r="AG43" i="10"/>
  <c r="AH43" i="10"/>
  <c r="AH69" i="10" s="1"/>
  <c r="AF62" i="10"/>
  <c r="AG62" i="10"/>
  <c r="AH62" i="10"/>
  <c r="AF54" i="10"/>
  <c r="AG54" i="10"/>
  <c r="AH54" i="10"/>
  <c r="AC95" i="10"/>
  <c r="AC96" i="10"/>
  <c r="AC97" i="10"/>
  <c r="AC98" i="10"/>
  <c r="AC99" i="10"/>
  <c r="AC100" i="10"/>
  <c r="AC101" i="10"/>
  <c r="AC102" i="10"/>
  <c r="AC103" i="10"/>
  <c r="AC104" i="10"/>
  <c r="AC105" i="10"/>
  <c r="AC106" i="10"/>
  <c r="AC107" i="10"/>
  <c r="AC108" i="10"/>
  <c r="AC109" i="10"/>
  <c r="AC110" i="10"/>
  <c r="AC111" i="10"/>
  <c r="AC112" i="10"/>
  <c r="AC113" i="10"/>
  <c r="AC114" i="10"/>
  <c r="AC115" i="10"/>
  <c r="AC116" i="10"/>
  <c r="AC117" i="10"/>
  <c r="AC118" i="10"/>
  <c r="AC119" i="10"/>
  <c r="AC120" i="10"/>
  <c r="AC121" i="10"/>
  <c r="AC122" i="10"/>
  <c r="AC123" i="10"/>
  <c r="AC124" i="10"/>
  <c r="AC125" i="10"/>
  <c r="AC126" i="10"/>
  <c r="AC127" i="10"/>
  <c r="AC128" i="10"/>
  <c r="AC70" i="10"/>
  <c r="AC71" i="10"/>
  <c r="AC72" i="10"/>
  <c r="AC73" i="10"/>
  <c r="AC74" i="10"/>
  <c r="AC75" i="10"/>
  <c r="AC76" i="10"/>
  <c r="AC77" i="10"/>
  <c r="AC78" i="10"/>
  <c r="AC79" i="10"/>
  <c r="AC80" i="10"/>
  <c r="AC81" i="10"/>
  <c r="AC82" i="10"/>
  <c r="AC83" i="10"/>
  <c r="AC84" i="10"/>
  <c r="AC85" i="10"/>
  <c r="AC86" i="10"/>
  <c r="AC87" i="10"/>
  <c r="AC88" i="10"/>
  <c r="AC89" i="10"/>
  <c r="AC90" i="10"/>
  <c r="AC91" i="10"/>
  <c r="AC92" i="10"/>
  <c r="AC93" i="10"/>
  <c r="AC94" i="10"/>
  <c r="AG69" i="10"/>
  <c r="AF69" i="10"/>
  <c r="AC3" i="10" l="1"/>
  <c r="AC4" i="10"/>
  <c r="AC5" i="10"/>
  <c r="AC6" i="10"/>
  <c r="AC7" i="10"/>
  <c r="AC8" i="10"/>
  <c r="AC9" i="10"/>
  <c r="AC10" i="10"/>
  <c r="AC11" i="10"/>
  <c r="AC12" i="10"/>
  <c r="AC13" i="10"/>
  <c r="AC14" i="10"/>
  <c r="AC15" i="10"/>
  <c r="AC16" i="10"/>
  <c r="AC17" i="10"/>
  <c r="AC18" i="10"/>
  <c r="AC19" i="10"/>
  <c r="AC20" i="10"/>
  <c r="AC21" i="10"/>
  <c r="AC22" i="10"/>
  <c r="AC23" i="10"/>
  <c r="AC24" i="10"/>
  <c r="AC25" i="10"/>
  <c r="AC26" i="10"/>
  <c r="AC27" i="10"/>
  <c r="AC28" i="10"/>
  <c r="AC29" i="10"/>
  <c r="AC30" i="10"/>
  <c r="AC31" i="10"/>
  <c r="AC32" i="10"/>
  <c r="AC33" i="10"/>
  <c r="AC34" i="10"/>
  <c r="AC35" i="10"/>
  <c r="AC36" i="10"/>
  <c r="AC37" i="10"/>
  <c r="AC38" i="10"/>
  <c r="AC39" i="10"/>
  <c r="AC40" i="10"/>
  <c r="AC41" i="10"/>
  <c r="AC42" i="10"/>
  <c r="AC43" i="10"/>
  <c r="AC44" i="10"/>
  <c r="AC45" i="10"/>
  <c r="AC46" i="10"/>
  <c r="AC47" i="10"/>
  <c r="AC48" i="10"/>
  <c r="AC49" i="10"/>
  <c r="AC50" i="10"/>
  <c r="AC51" i="10"/>
  <c r="AC52" i="10"/>
  <c r="AC53" i="10"/>
  <c r="AC54" i="10"/>
  <c r="AC55" i="10"/>
  <c r="AC56" i="10"/>
  <c r="AC57" i="10"/>
  <c r="AC58" i="10"/>
  <c r="AC59" i="10"/>
  <c r="AC60" i="10"/>
  <c r="AC61" i="10"/>
  <c r="AC62" i="10"/>
  <c r="AC63" i="10"/>
  <c r="AC64" i="10"/>
  <c r="AC65" i="10"/>
  <c r="AC66" i="10"/>
  <c r="AC67" i="10"/>
  <c r="AC68" i="10"/>
  <c r="AC69" i="10"/>
  <c r="AC2" i="10"/>
  <c r="D34" i="8" l="1"/>
  <c r="B10" i="2" l="1"/>
  <c r="F32" i="3" l="1"/>
  <c r="Q14" i="4"/>
  <c r="Q13" i="4"/>
  <c r="Q15" i="4"/>
  <c r="Q16" i="4"/>
  <c r="C13" i="2" l="1"/>
  <c r="B12" i="8" l="1"/>
  <c r="B15" i="7"/>
  <c r="B14" i="7"/>
  <c r="B10" i="4"/>
  <c r="B29" i="2"/>
  <c r="B12" i="3"/>
  <c r="D21" i="3" l="1"/>
  <c r="E18" i="7" l="1"/>
  <c r="P12" i="4" l="1"/>
  <c r="F34" i="3"/>
  <c r="F33" i="3"/>
  <c r="F31" i="3"/>
  <c r="F35" i="3" l="1"/>
  <c r="G26" i="3" l="1"/>
  <c r="E35" i="3"/>
  <c r="E27" i="8"/>
  <c r="E30" i="8"/>
  <c r="E29" i="8"/>
  <c r="E28"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C14" i="2" l="1"/>
  <c r="C16" i="2"/>
  <c r="C15" i="2" l="1"/>
  <c r="C18" i="2" s="1"/>
  <c r="D33" i="3" l="1"/>
  <c r="G31" i="3"/>
  <c r="S12" i="4" l="1"/>
  <c r="S16" i="4" s="1"/>
  <c r="G33" i="3"/>
  <c r="D35" i="3"/>
  <c r="G35" i="3" s="1"/>
  <c r="E29" i="7"/>
  <c r="E36" i="7" s="1"/>
  <c r="E38" i="7" s="1"/>
  <c r="E39" i="7" s="1"/>
  <c r="E28" i="7"/>
  <c r="S14" i="4" l="1"/>
  <c r="S13" i="4"/>
  <c r="S15" i="4"/>
  <c r="E30" i="7"/>
  <c r="E33" i="8"/>
  <c r="E32" i="8"/>
  <c r="C25" i="2"/>
  <c r="C26" i="2" s="1"/>
  <c r="C34" i="8" l="1"/>
  <c r="E31" i="2" l="1"/>
  <c r="E34" i="8"/>
  <c r="C36" i="8"/>
  <c r="E3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tc={0CE1AF34-9ADF-4AB1-8464-003BA59B7055}</author>
    <author>tc={2F52308F-90DA-4117-9EEF-200440739BF9}</author>
  </authors>
  <commentList>
    <comment ref="B43" authorId="0" shapeId="0" xr:uid="{0CE1AF34-9ADF-4AB1-8464-003BA59B7055}">
      <text>
        <t>[Threaded comment]
Your version of Excel allows you to read this threaded comment; however, any edits to it will get removed if the file is opened in a newer version of Excel. Learn more: https://go.microsoft.com/fwlink/?linkid=870924
Comment:
    Can hide row</t>
      </text>
    </comment>
    <comment ref="B62" authorId="1" shapeId="0" xr:uid="{2F52308F-90DA-4117-9EEF-200440739BF9}">
      <text>
        <t>[Threaded comment]
Your version of Excel allows you to read this threaded comment; however, any edits to it will get removed if the file is opened in a newer version of Excel. Learn more: https://go.microsoft.com/fwlink/?linkid=870924
Comment:
    Can hide</t>
      </text>
    </comment>
  </commentList>
</comments>
</file>

<file path=xl/sharedStrings.xml><?xml version="1.0" encoding="utf-8"?>
<sst xmlns="http://schemas.openxmlformats.org/spreadsheetml/2006/main" count="1473" uniqueCount="427">
  <si>
    <t>Statewide Quarterly Report Template</t>
  </si>
  <si>
    <t>Tab 1: Ex Ante Results</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</si>
  <si>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</si>
  <si>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</si>
  <si>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</si>
  <si>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 xml:space="preserve"> Section 8-103B/8-104
(EEPS) Program</t>
  </si>
  <si>
    <t>Net Energy Savings Achieved
(MWh)</t>
  </si>
  <si>
    <t>Approved Net Energy Savings Goal (MWh)**</t>
  </si>
  <si>
    <t>Implementation Plan Savings Goal
(MWh)</t>
  </si>
  <si>
    <t>% Savings Achieved Compared to Implementation Plan Savings Goal</t>
  </si>
  <si>
    <t>Program Costs YTD</t>
  </si>
  <si>
    <t>Incentive Costs YTD***</t>
  </si>
  <si>
    <t>Non-Incentive Costs YTD***</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</si>
  <si>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</si>
  <si>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</si>
  <si>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</si>
  <si>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</si>
  <si>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</si>
  <si>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</si>
  <si>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</si>
  <si>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</si>
  <si>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</si>
  <si>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</si>
  <si>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</si>
  <si>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</si>
  <si>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</si>
  <si>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</si>
  <si>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</si>
  <si>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N/A</t>
  </si>
  <si>
    <t>Business Outreach</t>
  </si>
  <si>
    <t>Business General</t>
  </si>
  <si>
    <t>C&amp;I Programs Subtotal</t>
  </si>
  <si>
    <t>Incentives - Private</t>
  </si>
  <si>
    <t>Standard - Private</t>
  </si>
  <si>
    <t>Custom - Private</t>
  </si>
  <si>
    <t>Small Business - Private</t>
  </si>
  <si>
    <t>Midstream Upstream - Private</t>
  </si>
  <si>
    <t>Midstream/Upstream Private - Electrification</t>
  </si>
  <si>
    <t>Industrial Systems - Private</t>
  </si>
  <si>
    <t>Retro-commissioning - Private</t>
  </si>
  <si>
    <t xml:space="preserve">Strategic Energy Management - Private </t>
  </si>
  <si>
    <t>New Construction - Private</t>
  </si>
  <si>
    <t>Facility Assessment - Private</t>
  </si>
  <si>
    <t>Commercial Foodservice - Private</t>
  </si>
  <si>
    <t>Private Sector Outreach</t>
  </si>
  <si>
    <t>Private Sector General</t>
  </si>
  <si>
    <t>C&amp;I Programs - Private Sector Total</t>
  </si>
  <si>
    <t>Incentives - Public</t>
  </si>
  <si>
    <t>Standard - Public</t>
  </si>
  <si>
    <t>Custom - Public</t>
  </si>
  <si>
    <t>Small Business - Public</t>
  </si>
  <si>
    <t>Midstream/Upstream - Public</t>
  </si>
  <si>
    <t>Midstream/Upstream Public - Electrification</t>
  </si>
  <si>
    <t>Retro-commissioning - Public</t>
  </si>
  <si>
    <t>Strategic Energy Management - Public</t>
  </si>
  <si>
    <t>New Construction - Public</t>
  </si>
  <si>
    <t>Facility Assessments - Public</t>
  </si>
  <si>
    <t>Commercial Foodservice - Public</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</si>
  <si>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</si>
  <si>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</si>
  <si>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</si>
  <si>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</si>
  <si>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</si>
  <si>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</si>
  <si>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</si>
  <si>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</si>
  <si>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</si>
  <si>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</si>
  <si>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</si>
  <si>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</si>
  <si>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Behavior - Home Energy Report</t>
  </si>
  <si>
    <t>Product Distribution - Market Rate</t>
  </si>
  <si>
    <t>Residential General</t>
  </si>
  <si>
    <t>Residential Market Rate Subtotal</t>
  </si>
  <si>
    <t>Income Qualified Programs</t>
  </si>
  <si>
    <t>Product Distribution - Income Eligible</t>
  </si>
  <si>
    <t>Affordable Housing New Construction</t>
  </si>
  <si>
    <t>Affordable Housing New Construction Electrification</t>
  </si>
  <si>
    <t>IE General</t>
  </si>
  <si>
    <t>Income Qualified Programs Subtotal</t>
  </si>
  <si>
    <t>Demonstration of Breakthrough Equipment and Devices</t>
  </si>
  <si>
    <t>Voltage Optimization</t>
  </si>
  <si>
    <t>Business Energy Analyzer/Optimization</t>
  </si>
  <si>
    <t>Demonstration of Breakthrough Equipment and Devices Subtotal</t>
  </si>
  <si>
    <t>Other Fuel (Therm) Conversion</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</si>
  <si>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</si>
  <si>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</si>
  <si>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</si>
  <si>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</si>
  <si>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</si>
  <si>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</si>
  <si>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</si>
  <si>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</si>
  <si>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</si>
  <si>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</si>
  <si>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</si>
  <si>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</si>
  <si>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Program Costs by Sector</t>
  </si>
  <si>
    <t>C&amp;I Programs Private Sector</t>
  </si>
  <si>
    <t xml:space="preserve">C&amp;I Programs Public Sector </t>
  </si>
  <si>
    <t>Residential (Market Rate) Programs</t>
  </si>
  <si>
    <t>Market Transformation Programs</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</si>
  <si>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</si>
  <si>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</si>
  <si>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</si>
  <si>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Evaluation Costs</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</si>
  <si>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</si>
  <si>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</si>
  <si>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</si>
  <si>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</si>
  <si>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</si>
  <si>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</si>
  <si>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</si>
  <si>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</si>
  <si>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</si>
  <si>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</si>
  <si>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</si>
  <si>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</si>
  <si>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</si>
  <si>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</si>
  <si>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</si>
  <si>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</si>
  <si>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</si>
  <si>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</si>
  <si>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</si>
  <si>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</si>
  <si>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</si>
  <si>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</si>
  <si>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</si>
  <si>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</si>
  <si>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</si>
  <si>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</si>
  <si>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</si>
  <si>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</si>
  <si>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</si>
  <si>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</si>
  <si>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</si>
  <si>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</si>
  <si>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</si>
  <si>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</si>
  <si>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</si>
  <si>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</si>
  <si>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</si>
  <si>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</si>
  <si>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</si>
  <si>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</si>
  <si>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</si>
  <si>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</si>
  <si>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</si>
  <si>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</si>
  <si>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</si>
  <si>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</si>
  <si>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</si>
  <si>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</si>
  <si>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</si>
  <si>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</si>
  <si>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</si>
  <si>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</si>
  <si>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</si>
  <si>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</si>
  <si>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</si>
  <si>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</si>
  <si>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</si>
  <si>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</si>
  <si>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</si>
  <si>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</si>
  <si>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</si>
  <si>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</si>
  <si>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</si>
  <si>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</si>
  <si>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</si>
  <si>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</si>
  <si>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</si>
  <si>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</si>
  <si>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</si>
  <si>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</si>
  <si>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</si>
  <si>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</si>
  <si>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</si>
  <si>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</si>
  <si>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</si>
  <si>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</si>
  <si>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</si>
  <si>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</si>
  <si>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</si>
  <si>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</si>
  <si>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</si>
  <si>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</si>
  <si>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</si>
  <si>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</si>
  <si>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</si>
  <si>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</si>
  <si>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</si>
  <si>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</si>
  <si>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</si>
  <si>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</si>
  <si>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</si>
  <si>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</si>
  <si>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</si>
  <si>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</si>
  <si>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</si>
  <si>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</si>
  <si>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</si>
  <si>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</si>
  <si>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</si>
  <si>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</si>
  <si>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</si>
  <si>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</si>
  <si>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</si>
  <si>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</si>
  <si>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</si>
  <si>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</si>
  <si>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</si>
  <si>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</si>
  <si>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</si>
  <si>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</si>
  <si>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</si>
  <si>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</si>
  <si>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</si>
  <si>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</si>
  <si>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</si>
  <si>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</si>
  <si>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</si>
  <si>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</si>
  <si>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</si>
  <si>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</si>
  <si>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</si>
  <si>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</si>
  <si>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</si>
  <si>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</si>
  <si>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</si>
  <si>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</si>
  <si>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</si>
  <si>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</si>
  <si>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</si>
  <si>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</si>
  <si>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</si>
  <si>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</si>
  <si>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</si>
  <si>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</si>
  <si>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</si>
  <si>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</si>
  <si>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</si>
  <si>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</si>
  <si>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</si>
  <si>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</si>
  <si>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</si>
  <si>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</si>
  <si>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</si>
  <si>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</si>
  <si>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</si>
  <si>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</si>
  <si>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</si>
  <si>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</si>
  <si>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</si>
  <si>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</si>
  <si>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</si>
  <si>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</si>
  <si>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r>
      <t xml:space="preserve">= o * b    </t>
    </r>
    <r>
      <rPr>
        <i/>
        <sz val="8"/>
        <color theme="1"/>
        <rFont val="Century Gothic"/>
        <family val="2"/>
      </rPr>
      <t>**See footnote</t>
    </r>
  </si>
  <si>
    <t>q</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</si>
  <si>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</si>
  <si>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</si>
  <si>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</si>
  <si>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</si>
  <si>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</si>
  <si>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</si>
  <si>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</si>
  <si>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</si>
  <si>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</si>
  <si>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</si>
  <si>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</si>
  <si>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</si>
  <si>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</si>
  <si>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</si>
  <si>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</si>
  <si>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</si>
  <si>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</si>
  <si>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</si>
  <si>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</si>
  <si>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</si>
  <si>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</si>
  <si>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</si>
  <si>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</si>
  <si>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</si>
  <si>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</si>
  <si>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All-Electric New Construction - Electrification</t>
  </si>
  <si>
    <t>Net Energy Savings Achieved YTD
(MWh)</t>
  </si>
  <si>
    <t>All-Electric New Construction</t>
  </si>
  <si>
    <t>Previous Year's CPAS Goal (MWh)**</t>
  </si>
  <si>
    <t>**Calculations overwritten due to baseline variances between Revised Plan 6's CY2022 and CY2023 from different opt-out customers</t>
  </si>
  <si>
    <t>Contractor/Midstream Rebates Electrification</t>
  </si>
  <si>
    <t>Incentives - Custom - Private - Electrification</t>
  </si>
  <si>
    <t>Residential and Income Eligible Programs Subtotal</t>
  </si>
  <si>
    <t>C&amp;I Private Sector Programs</t>
  </si>
  <si>
    <t>C&amp;I Public Sector Programs</t>
  </si>
  <si>
    <t>Residential Market Rate Programs</t>
  </si>
  <si>
    <t>Additional/Other Claimable Savings******</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</si>
  <si>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t>
  </si>
  <si>
    <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t>
  </si>
  <si>
    <t>Whole Home Electrific (Single and Multi Family Upgrades Electrification - IE)</t>
  </si>
  <si>
    <t>Budget</t>
  </si>
  <si>
    <t>CY2024</t>
  </si>
  <si>
    <t>2024 Original Plan 
Savings Goal
(MWh)*</t>
  </si>
  <si>
    <t>2024 Original Plan 
Budget****</t>
  </si>
  <si>
    <t>2024
Approved Budget*****</t>
  </si>
  <si>
    <t>CY2024 Q1</t>
  </si>
  <si>
    <t>Retail - Market Rate (includes Marketplace 2.0 Non-Lighting and Retail Products Platform)</t>
  </si>
  <si>
    <t>Retail - Market Rate - Electrification</t>
  </si>
  <si>
    <t>Retail - Income Eligible + Electrification</t>
  </si>
  <si>
    <t>Project Description</t>
  </si>
  <si>
    <t>EE - Home Energy Assessment</t>
  </si>
  <si>
    <t>EE - Multi-Family Energy Assessment</t>
  </si>
  <si>
    <t>Public Housing Retrofits</t>
  </si>
  <si>
    <t>Multi-Family IE Retrofits</t>
  </si>
  <si>
    <t>Multi-Family Retrofits -HP</t>
  </si>
  <si>
    <t>Single- Family IE Retrofits</t>
  </si>
  <si>
    <t>(IE) Home Energy Assessment - Income Eligible</t>
  </si>
  <si>
    <t>Home Energy Report/ Residential Behavior</t>
  </si>
  <si>
    <t>IE Multi Family Electrification</t>
  </si>
  <si>
    <t>IE Single Family Electrification</t>
  </si>
  <si>
    <t>Market Rate Product Distribution</t>
  </si>
  <si>
    <t>Market Rate Retail</t>
  </si>
  <si>
    <t>EE Res Heating and Cooling</t>
  </si>
  <si>
    <t>Electric Homes New Construction</t>
  </si>
  <si>
    <t>EE Marketplace Residential Products</t>
  </si>
  <si>
    <t>EE - Marketplace Lighting Products</t>
  </si>
  <si>
    <t>IE Retail</t>
  </si>
  <si>
    <t>Res. Electrification</t>
  </si>
  <si>
    <t>Food Bank-LED Distribution</t>
  </si>
  <si>
    <t>Electric Homes-Elec. Measures</t>
  </si>
  <si>
    <t>Lighting Discounts - Income Eligible</t>
  </si>
  <si>
    <t>Affordable Housing NC-Elect.</t>
  </si>
  <si>
    <t>Product Rebates</t>
  </si>
  <si>
    <t>Retial Products Platform</t>
  </si>
  <si>
    <t>Appliance Recycling Program</t>
  </si>
  <si>
    <t>Income Eligible General</t>
  </si>
  <si>
    <t>Education &amp; Awareness - Residential (EEDEDUCA)</t>
  </si>
  <si>
    <t>Incentives- Standard</t>
  </si>
  <si>
    <t>Incentives- Standard - Public Sector</t>
  </si>
  <si>
    <t>Small Business Public Sector</t>
  </si>
  <si>
    <t>Rural Small Business Kits</t>
  </si>
  <si>
    <t>Small Business Kits - Public</t>
  </si>
  <si>
    <t>EE- C&amp;I Outreach  Private Sect</t>
  </si>
  <si>
    <t>EE- C&amp;I Outreach Public Sector</t>
  </si>
  <si>
    <t xml:space="preserve">Education &amp; Awareness - C&amp;I </t>
  </si>
  <si>
    <t>C&amp;I Key Accounts</t>
  </si>
  <si>
    <t>EE - C&amp;I Optimization</t>
  </si>
  <si>
    <t>EE-Industrial Systems</t>
  </si>
  <si>
    <t>Strategic Energy Management</t>
  </si>
  <si>
    <t>Strategic Energy Management Public Sector</t>
  </si>
  <si>
    <t>Incentives - Custom</t>
  </si>
  <si>
    <t>Incentives - Custom - Public Sector</t>
  </si>
  <si>
    <t>RetroCommissioning</t>
  </si>
  <si>
    <t>RetroCommissioning Public Sector</t>
  </si>
  <si>
    <t>EE-C&amp;I Tech Support General E</t>
  </si>
  <si>
    <t>Business Instant Discounts</t>
  </si>
  <si>
    <t>Business Instant Discounts Public Sector</t>
  </si>
  <si>
    <t>Non- Res New Construction</t>
  </si>
  <si>
    <t>Non- Res New Construction Public Sector</t>
  </si>
  <si>
    <t>EE - Commercial Food Private</t>
  </si>
  <si>
    <t>EE - Commercial Food Public</t>
  </si>
  <si>
    <t>Third Party C&amp;I Agricultural</t>
  </si>
  <si>
    <t>Third Party C&amp;I Energy Smart Grocer</t>
  </si>
  <si>
    <t>Public Buildings in Distressed Communities</t>
  </si>
  <si>
    <t>Third Party C&amp;I Non Profit Retrofits</t>
  </si>
  <si>
    <t>Facility Assessment</t>
  </si>
  <si>
    <t>Facility Assessment Public Sector</t>
  </si>
  <si>
    <t>Outreach Private Schools</t>
  </si>
  <si>
    <t>Outreach Public Schools</t>
  </si>
  <si>
    <t>Outreach Public Schools Tech Assistance</t>
  </si>
  <si>
    <t>EE EUDS (Energy Usage Data System)</t>
  </si>
  <si>
    <t>2023 Evaluation Expense</t>
  </si>
  <si>
    <t>2024 Evaluation Expense</t>
  </si>
  <si>
    <t>2025 Evaluation Expense</t>
  </si>
  <si>
    <t>AEG - 2021 Plan 6</t>
  </si>
  <si>
    <t>EE Portfolio Admin Stakeholders</t>
  </si>
  <si>
    <t>Research &amp; Development</t>
  </si>
  <si>
    <t>Research &amp; Development - Income Eligible</t>
  </si>
  <si>
    <t>Emerging Tech (ET) and Market Transformation (MT)</t>
  </si>
  <si>
    <t>Internal Legal and Outside Counsel</t>
  </si>
  <si>
    <t>Non-EE Labor Charges re: PCI Timekeeping Rpt</t>
  </si>
  <si>
    <t>EE- Portfolio Analytics Services &amp; Su</t>
  </si>
  <si>
    <t>EE-Mrkt Research</t>
  </si>
  <si>
    <t>Legal and IT Support</t>
  </si>
  <si>
    <t>EE Portfolio Admin eTrack</t>
  </si>
  <si>
    <t>EE Portfolio Admin Salesforce</t>
  </si>
  <si>
    <t>EE Scorecard Automation</t>
  </si>
  <si>
    <t>EE-Gen Portfolio Support</t>
  </si>
  <si>
    <t>Market Development Initiative</t>
  </si>
  <si>
    <t>Cost of EDA on bill financing</t>
  </si>
  <si>
    <t>Forecast File Enhancement</t>
  </si>
  <si>
    <t>General Program Costs</t>
  </si>
  <si>
    <t>EE - Conference Travel Costs</t>
  </si>
  <si>
    <t>Portfolio Admin Support</t>
  </si>
  <si>
    <t>General Admin and EE Travel</t>
  </si>
  <si>
    <t>Call Center Budget</t>
  </si>
  <si>
    <t>EE Incentives for replacement of ComEd-owned streetlights</t>
  </si>
  <si>
    <t xml:space="preserve"> -   </t>
  </si>
  <si>
    <t xml:space="preserve"> - </t>
  </si>
  <si>
    <t>Custom - Private - Electrification</t>
  </si>
  <si>
    <t>Market Rate Retail + EE Marketplace Residential Products</t>
  </si>
  <si>
    <t>Multi-Family IE Retrofits + Multi-Family Retrofits -HP</t>
  </si>
  <si>
    <t>IE Multi Family Electrification + IE Single Family Electrification</t>
  </si>
  <si>
    <t>AHNC - Electrification</t>
  </si>
  <si>
    <t xml:space="preserve">-   </t>
  </si>
  <si>
    <t xml:space="preserve">- </t>
  </si>
  <si>
    <t>3+9</t>
  </si>
  <si>
    <t>YTD</t>
  </si>
  <si>
    <t>LE Name</t>
  </si>
  <si>
    <t xml:space="preserve"> 2024
Actual Costs YTD</t>
  </si>
  <si>
    <t>2024
Actual Costs YTD</t>
  </si>
  <si>
    <t>2024
Approved Budget</t>
  </si>
  <si>
    <t>Market Rate Retail + EE Marketplace Residential Products + Retial Product Platform</t>
  </si>
  <si>
    <t>= g * b</t>
  </si>
  <si>
    <t xml:space="preserve">= c - p </t>
  </si>
  <si>
    <t>2012-2017 Legacy Savings Expiring in Current Year (MWh)</t>
  </si>
  <si>
    <t>Current Year Applicable Annual Incremental Goal (MWh)</t>
  </si>
  <si>
    <t>verification report for previous year (First draft)</t>
  </si>
  <si>
    <t>*Savings from Measures Installed post-2017 Expiring in Current Year per Guidehouse's April 2024 first draft of evaluation report.</t>
  </si>
  <si>
    <t>Single-Family Upgrades – Income Eligible Retrofits</t>
  </si>
  <si>
    <t>Single-Family Upgrades – Home Energy Assessments - IE</t>
  </si>
  <si>
    <t>Single-Family Upgrades – Home Energy Assessments - Market Rate</t>
  </si>
  <si>
    <t>Multi-Family Upgrades - Market Rate</t>
  </si>
  <si>
    <t>Multi-Family Upgrades - Income Eligible</t>
  </si>
  <si>
    <t>Multi-Family Upgrades - Public Housing</t>
  </si>
  <si>
    <t>Final (updated 5-01-2024)</t>
  </si>
  <si>
    <t>Emerging Technology/R&amp;D/Market Transformation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</si>
</sst>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69"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color theme="1"/>
      <name val="Century Gothic"/>
      <family val="2"/>
    </font>
    <font>
      <u/>
      <sz val="9"/>
      <color theme="10"/>
      <name val="Century Gothic"/>
      <family val="2"/>
    </font>
    <font>
      <b/>
      <sz val="11"/>
      <name val="Arial"/>
      <family val="2"/>
    </font>
    <font>
      <sz val="10"/>
      <color rgb="FF000000"/>
      <name val="Arial"/>
      <family val="2"/>
    </font>
    <font>
      <sz val="10"/>
      <color rgb="FFFF0000"/>
      <name val="Arial"/>
      <family val="2"/>
    </font>
    <font>
      <strike/>
      <sz val="10"/>
      <color rgb="FFFF0000"/>
      <name val="Arial"/>
      <family val="2"/>
    </font>
    <font>
      <b/>
      <sz val="10"/>
      <name val="Arial"/>
      <family val="2"/>
    </font>
    <font>
      <b/>
      <sz val="10"/>
      <color rgb="FFFF0000"/>
      <name val="Arial"/>
      <family val="2"/>
    </font>
    <font>
      <b/>
      <sz val="10"/>
      <color rgb="FF008000"/>
      <name val="Arial"/>
      <family val="2"/>
    </font>
    <font>
      <strike/>
      <sz val="10"/>
      <name val="Arial"/>
      <family val="2"/>
    </font>
    <font>
      <b/>
      <sz val="12"/>
      <color rgb="FF000000"/>
      <name val="Arial"/>
      <family val="2"/>
    </font>
    <font>
      <b/>
      <sz val="11"/>
      <color rgb="FF008000"/>
      <name val="Arial"/>
      <family val="2"/>
    </font>
    <font>
      <sz val="11"/>
      <name val="Arial"/>
      <family val="2"/>
    </font>
    <font>
      <sz val="11"/>
      <color rgb="FF000000"/>
      <name val="Arial"/>
      <family val="2"/>
    </font>
    <font>
      <sz val="10"/>
      <color rgb="FF008000"/>
      <name val="Arial"/>
      <family val="2"/>
    </font>
    <font>
      <b/>
      <sz val="11"/>
      <color rgb="FF000000"/>
      <name val="Arial"/>
      <family val="2"/>
    </font>
    <font>
      <b/>
      <sz val="10"/>
      <name val="Century Gothic"/>
      <family val="2"/>
    </font>
    <font>
      <sz val="6"/>
      <color rgb="FF000000"/>
      <name val="Aptos Narrow"/>
      <family val="2"/>
    </font>
    <font>
      <b/>
      <sz val="10"/>
      <name val="Century Gothic"/>
      <family val="2"/>
    </font>
    <font>
      <b/>
      <sz val="10"/>
      <color theme="0"/>
      <name val="Century Gothic"/>
      <family val="2"/>
    </font>
    <font>
      <sz val="10"/>
      <name val="Century Gothic"/>
      <family val="2"/>
    </font>
    <font>
      <i/>
      <sz val="10"/>
      <name val="Century Gothic"/>
      <family val="2"/>
    </font>
    <font>
      <b/>
      <sz val="10"/>
      <color indexed="9"/>
      <name val="Century Gothic"/>
      <family val="2"/>
    </font>
    <font>
      <b/>
      <sz val="12"/>
      <color rgb="FFFF0000"/>
      <name val="Century Gothic"/>
      <family val="2"/>
    </font>
    <font>
      <b/>
      <sz val="12"/>
      <color theme="1"/>
      <name val="Century Gothic"/>
      <family val="2"/>
    </font>
    <font>
      <sz val="10"/>
      <color theme="1"/>
      <name val="Century Gothic"/>
      <family val="2"/>
    </font>
    <font>
      <b/>
      <sz val="11"/>
      <color theme="1"/>
      <name val="Century Gothic"/>
      <family val="2"/>
    </font>
  </fonts>
  <fills count="23">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B7DEE8"/>
        <bgColor rgb="FF000000"/>
      </patternFill>
    </fill>
    <fill>
      <patternFill patternType="solid">
        <fgColor rgb="FFD9D9D9"/>
        <bgColor rgb="FF000000"/>
      </patternFill>
    </fill>
    <fill>
      <patternFill patternType="solid">
        <fgColor rgb="FFDAEEF3"/>
        <bgColor rgb="FF000000"/>
      </patternFill>
    </fill>
    <fill>
      <patternFill patternType="solid">
        <fgColor rgb="FF92CDDC"/>
        <bgColor rgb="FF000000"/>
      </patternFill>
    </fill>
    <fill>
      <patternFill patternType="solid">
        <fgColor rgb="FF92D050"/>
        <bgColor rgb="FF000000"/>
      </patternFill>
    </fill>
    <fill>
      <patternFill patternType="solid">
        <fgColor rgb="FFEBF1DE"/>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9" fontId="28" fillId="0" borderId="0" applyFont="0" applyFill="0" applyBorder="0" applyAlignment="0" applyProtection="0"/>
    <xf numFmtId="44" fontId="28" fillId="0" borderId="0" applyFont="0" applyFill="0" applyBorder="0" applyAlignment="0" applyProtection="0"/>
    <xf numFmtId="42" fontId="1" fillId="0" borderId="0" applyFont="0" applyFill="0" applyBorder="0" applyAlignment="0" applyProtection="0"/>
    <xf numFmtId="43" fontId="28"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8" fillId="0" borderId="0"/>
    <xf numFmtId="0" fontId="28" fillId="0" borderId="0"/>
  </cellStyleXfs>
  <cellXfs count="407">
    <xf numFmtId="0" fontId="0" fillId="0" borderId="0" xfId="0"/>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9" fontId="5" fillId="0" borderId="14"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0" fillId="13" borderId="0" xfId="0" applyFill="1"/>
    <xf numFmtId="0" fontId="19" fillId="13" borderId="0" xfId="0" applyFont="1" applyFill="1"/>
    <xf numFmtId="0" fontId="36"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5"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6"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6"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2" fillId="13" borderId="0" xfId="0" applyFont="1" applyFill="1"/>
    <xf numFmtId="0" fontId="22" fillId="13" borderId="0" xfId="0" applyFont="1" applyFill="1" applyAlignment="1">
      <alignment horizontal="center"/>
    </xf>
    <xf numFmtId="0" fontId="20" fillId="13" borderId="0" xfId="0" applyFont="1" applyFill="1"/>
    <xf numFmtId="0" fontId="21"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5" fillId="13" borderId="0" xfId="1" applyFont="1" applyFill="1" applyAlignment="1">
      <alignment horizontal="center" vertical="center"/>
    </xf>
    <xf numFmtId="0" fontId="25"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5" fillId="13" borderId="0" xfId="0" applyNumberFormat="1" applyFont="1" applyFill="1"/>
    <xf numFmtId="164" fontId="0" fillId="13" borderId="0" xfId="2" applyNumberFormat="1" applyFont="1" applyFill="1" applyBorder="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38"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3" xfId="2" applyNumberFormat="1" applyFont="1" applyFill="1" applyBorder="1" applyAlignment="1">
      <alignment horizontal="center" vertical="center"/>
    </xf>
    <xf numFmtId="164" fontId="11" fillId="4" borderId="13"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4"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4" fillId="13" borderId="0" xfId="0" applyFont="1" applyFill="1" applyAlignment="1">
      <alignment vertical="center"/>
    </xf>
    <xf numFmtId="0" fontId="16" fillId="13" borderId="0" xfId="0" applyFont="1" applyFill="1"/>
    <xf numFmtId="0" fontId="3" fillId="13" borderId="0" xfId="0" applyFont="1" applyFill="1" applyAlignment="1">
      <alignment horizontal="left" wrapText="1"/>
    </xf>
    <xf numFmtId="0" fontId="4" fillId="13" borderId="0" xfId="0" applyFont="1" applyFill="1" applyAlignment="1">
      <alignment horizontal="center" wrapText="1"/>
    </xf>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0" fontId="4" fillId="13" borderId="0" xfId="0" applyFont="1" applyFill="1" applyAlignment="1">
      <alignment horizontal="left" wrapText="1"/>
    </xf>
    <xf numFmtId="37" fontId="4" fillId="13" borderId="0" xfId="4" applyNumberFormat="1" applyFont="1" applyFill="1" applyBorder="1" applyAlignment="1">
      <alignment horizontal="center"/>
    </xf>
    <xf numFmtId="9" fontId="3" fillId="13" borderId="0" xfId="1" applyFont="1" applyFill="1" applyBorder="1" applyAlignment="1">
      <alignment horizontal="center"/>
    </xf>
    <xf numFmtId="10" fontId="0" fillId="13" borderId="0" xfId="0" applyNumberFormat="1" applyFill="1"/>
    <xf numFmtId="0" fontId="24" fillId="13" borderId="0" xfId="0" applyFont="1" applyFill="1" applyAlignment="1">
      <alignment horizontal="center"/>
    </xf>
    <xf numFmtId="0" fontId="27"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10" fontId="31" fillId="13" borderId="0" xfId="0" applyNumberFormat="1" applyFont="1" applyFill="1" applyAlignment="1">
      <alignment wrapText="1"/>
    </xf>
    <xf numFmtId="0" fontId="31" fillId="13" borderId="0" xfId="0" applyFont="1" applyFill="1" applyAlignment="1">
      <alignment wrapText="1"/>
    </xf>
    <xf numFmtId="0" fontId="30" fillId="13" borderId="0" xfId="0" applyFont="1" applyFill="1"/>
    <xf numFmtId="1" fontId="0" fillId="13" borderId="0" xfId="0" applyNumberFormat="1" applyFill="1"/>
    <xf numFmtId="165" fontId="34"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3" fontId="39"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0" fillId="13" borderId="0" xfId="1" applyFont="1" applyFill="1"/>
    <xf numFmtId="43" fontId="25" fillId="13" borderId="0" xfId="4" applyFont="1" applyFill="1" applyAlignment="1">
      <alignment horizontal="center" vertical="center"/>
    </xf>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3" fontId="30"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3" xfId="0" applyFont="1" applyFill="1" applyBorder="1" applyAlignment="1">
      <alignment vertical="center"/>
    </xf>
    <xf numFmtId="0" fontId="3" fillId="4" borderId="4" xfId="0" applyFont="1" applyFill="1" applyBorder="1" applyAlignment="1">
      <alignment vertical="center"/>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3" fillId="13" borderId="0" xfId="0" applyFont="1" applyFill="1" applyAlignment="1">
      <alignment horizontal="left" vertical="center"/>
    </xf>
    <xf numFmtId="0" fontId="23" fillId="13" borderId="0" xfId="0" applyFont="1" applyFill="1" applyAlignment="1">
      <alignment horizontal="left" vertical="top"/>
    </xf>
    <xf numFmtId="0" fontId="23" fillId="13" borderId="0" xfId="0" applyFont="1" applyFill="1" applyAlignment="1">
      <alignment vertical="top"/>
    </xf>
    <xf numFmtId="3" fontId="31" fillId="13" borderId="0" xfId="0" applyNumberFormat="1" applyFont="1" applyFill="1" applyAlignment="1">
      <alignment wrapText="1"/>
    </xf>
    <xf numFmtId="164" fontId="7" fillId="0" borderId="13" xfId="2" applyNumberFormat="1" applyFont="1" applyFill="1" applyBorder="1"/>
    <xf numFmtId="164" fontId="7" fillId="0" borderId="15" xfId="2" applyNumberFormat="1" applyFont="1" applyFill="1" applyBorder="1"/>
    <xf numFmtId="164" fontId="7" fillId="0" borderId="14"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43" fillId="0" borderId="1" xfId="6" applyNumberFormat="1" applyFont="1" applyBorder="1" applyAlignment="1" applyProtection="1">
      <alignment horizontal="center" vertical="center" wrapText="1"/>
    </xf>
    <xf numFmtId="165" fontId="28" fillId="13" borderId="0" xfId="4" applyNumberFormat="1" applyFont="1" applyFill="1"/>
    <xf numFmtId="165" fontId="28" fillId="13" borderId="0" xfId="4" applyNumberFormat="1" applyFont="1" applyFill="1" applyAlignment="1">
      <alignment wrapText="1"/>
    </xf>
    <xf numFmtId="165" fontId="28" fillId="13" borderId="0" xfId="4" applyNumberFormat="1" applyFont="1" applyFill="1" applyAlignment="1">
      <alignment horizontal="right" vertical="center"/>
    </xf>
    <xf numFmtId="165" fontId="28" fillId="0" borderId="0" xfId="4" applyNumberFormat="1" applyFont="1"/>
    <xf numFmtId="3" fontId="2" fillId="0" borderId="1" xfId="0" applyNumberFormat="1" applyFont="1" applyFill="1" applyBorder="1" applyAlignment="1">
      <alignment horizontal="center" vertical="center"/>
    </xf>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9" fontId="3" fillId="11" borderId="1" xfId="1" applyNumberFormat="1" applyFont="1" applyFill="1" applyBorder="1" applyAlignment="1">
      <alignment horizontal="center"/>
    </xf>
    <xf numFmtId="3" fontId="2" fillId="10" borderId="1" xfId="4" applyNumberFormat="1" applyFont="1" applyFill="1" applyBorder="1" applyAlignment="1">
      <alignment horizontal="center" vertical="center"/>
    </xf>
    <xf numFmtId="3" fontId="2" fillId="0" borderId="1" xfId="0" applyNumberFormat="1" applyFont="1" applyFill="1" applyBorder="1" applyAlignment="1">
      <alignment horizontal="center" wrapText="1"/>
    </xf>
    <xf numFmtId="0" fontId="44" fillId="17" borderId="1" xfId="0" applyFont="1" applyFill="1" applyBorder="1" applyAlignment="1">
      <alignment horizontal="center" vertical="center" wrapText="1"/>
    </xf>
    <xf numFmtId="0" fontId="45" fillId="0" borderId="0" xfId="0" applyFont="1" applyAlignment="1">
      <alignment vertical="center"/>
    </xf>
    <xf numFmtId="0" fontId="1" fillId="0" borderId="0" xfId="0" applyFont="1" applyAlignment="1">
      <alignment horizontal="left" vertical="center" wrapText="1"/>
    </xf>
    <xf numFmtId="0" fontId="1" fillId="18" borderId="0" xfId="0" applyFont="1" applyFill="1" applyAlignment="1">
      <alignment horizontal="center" vertical="center"/>
    </xf>
    <xf numFmtId="0" fontId="47" fillId="0" borderId="0" xfId="0" applyFont="1" applyAlignment="1">
      <alignment horizontal="left" vertical="center" wrapText="1"/>
    </xf>
    <xf numFmtId="0" fontId="48" fillId="18" borderId="0" xfId="0" applyFont="1" applyFill="1" applyAlignment="1">
      <alignment vertical="center" wrapText="1"/>
    </xf>
    <xf numFmtId="0" fontId="49" fillId="18" borderId="0" xfId="0" applyFont="1" applyFill="1" applyAlignment="1">
      <alignment vertical="center" wrapText="1"/>
    </xf>
    <xf numFmtId="0" fontId="50" fillId="18" borderId="0" xfId="0" applyFont="1" applyFill="1" applyAlignment="1">
      <alignment vertical="center" wrapText="1"/>
    </xf>
    <xf numFmtId="0" fontId="48" fillId="19" borderId="0" xfId="0" applyFont="1" applyFill="1" applyAlignment="1">
      <alignment horizontal="left" vertical="center" wrapText="1"/>
    </xf>
    <xf numFmtId="0" fontId="51" fillId="0" borderId="0" xfId="0" applyFont="1" applyAlignment="1">
      <alignment horizontal="left" vertical="center" wrapText="1"/>
    </xf>
    <xf numFmtId="0" fontId="52" fillId="20" borderId="0" xfId="0" applyFont="1" applyFill="1" applyAlignment="1">
      <alignment vertical="center"/>
    </xf>
    <xf numFmtId="0" fontId="1" fillId="18" borderId="0" xfId="0" applyFont="1" applyFill="1" applyAlignment="1">
      <alignment vertical="center"/>
    </xf>
    <xf numFmtId="0" fontId="1" fillId="18" borderId="0" xfId="0" applyFont="1" applyFill="1" applyAlignment="1">
      <alignment vertical="center" wrapText="1"/>
    </xf>
    <xf numFmtId="0" fontId="53" fillId="19" borderId="0" xfId="0" applyFont="1" applyFill="1" applyAlignment="1">
      <alignment horizontal="left" vertical="center" wrapText="1"/>
    </xf>
    <xf numFmtId="0" fontId="54" fillId="0" borderId="0" xfId="0" applyFont="1" applyAlignment="1">
      <alignment horizontal="left" vertical="center" wrapText="1"/>
    </xf>
    <xf numFmtId="0" fontId="45" fillId="17" borderId="0" xfId="0" applyFont="1" applyFill="1" applyAlignment="1">
      <alignment vertical="center" wrapText="1"/>
    </xf>
    <xf numFmtId="16" fontId="44" fillId="18" borderId="17" xfId="0" applyNumberFormat="1" applyFont="1" applyFill="1" applyBorder="1" applyAlignment="1">
      <alignment horizontal="center" vertical="center" wrapText="1"/>
    </xf>
    <xf numFmtId="0" fontId="44" fillId="18" borderId="18" xfId="0" applyFont="1" applyFill="1" applyBorder="1" applyAlignment="1">
      <alignment horizontal="center" vertical="center" wrapText="1"/>
    </xf>
    <xf numFmtId="3" fontId="0" fillId="0" borderId="0" xfId="0" applyNumberFormat="1"/>
    <xf numFmtId="3" fontId="1" fillId="0" borderId="0" xfId="0" applyNumberFormat="1" applyFont="1" applyAlignment="1">
      <alignment vertical="center"/>
    </xf>
    <xf numFmtId="3" fontId="55" fillId="0" borderId="0" xfId="0" applyNumberFormat="1" applyFont="1" applyAlignment="1">
      <alignment vertical="center"/>
    </xf>
    <xf numFmtId="0" fontId="1" fillId="0" borderId="0" xfId="0" applyFont="1" applyAlignment="1">
      <alignment vertical="center"/>
    </xf>
    <xf numFmtId="3" fontId="1" fillId="18" borderId="0" xfId="0" applyNumberFormat="1" applyFont="1" applyFill="1" applyAlignment="1">
      <alignment vertical="center"/>
    </xf>
    <xf numFmtId="3" fontId="45" fillId="0" borderId="0" xfId="0" applyNumberFormat="1" applyFont="1" applyAlignment="1">
      <alignment vertical="center"/>
    </xf>
    <xf numFmtId="3" fontId="45" fillId="21" borderId="0" xfId="0" applyNumberFormat="1" applyFont="1" applyFill="1" applyAlignment="1">
      <alignment vertical="center"/>
    </xf>
    <xf numFmtId="0" fontId="46" fillId="18" borderId="0" xfId="0" applyFont="1" applyFill="1" applyAlignment="1">
      <alignment vertical="center"/>
    </xf>
    <xf numFmtId="3" fontId="56" fillId="18" borderId="0" xfId="0" applyNumberFormat="1" applyFont="1" applyFill="1" applyAlignment="1">
      <alignment vertical="center"/>
    </xf>
    <xf numFmtId="3" fontId="55" fillId="19" borderId="0" xfId="0" applyNumberFormat="1" applyFont="1" applyFill="1" applyAlignment="1">
      <alignment vertical="center"/>
    </xf>
    <xf numFmtId="0" fontId="55" fillId="0" borderId="0" xfId="0" applyFont="1" applyAlignment="1">
      <alignment vertical="center"/>
    </xf>
    <xf numFmtId="3" fontId="55" fillId="20" borderId="0" xfId="0" applyNumberFormat="1" applyFont="1" applyFill="1" applyAlignment="1">
      <alignment vertical="center"/>
    </xf>
    <xf numFmtId="0" fontId="56" fillId="0" borderId="0" xfId="0" applyFont="1" applyAlignment="1">
      <alignment vertical="center"/>
    </xf>
    <xf numFmtId="3" fontId="56" fillId="0" borderId="0" xfId="0" applyNumberFormat="1" applyFont="1" applyAlignment="1">
      <alignment vertical="center"/>
    </xf>
    <xf numFmtId="3" fontId="57" fillId="20" borderId="3" xfId="0" applyNumberFormat="1" applyFont="1" applyFill="1" applyBorder="1" applyAlignment="1">
      <alignment vertical="center"/>
    </xf>
    <xf numFmtId="0" fontId="54" fillId="17" borderId="0" xfId="0" applyFont="1" applyFill="1" applyAlignment="1">
      <alignment vertical="center"/>
    </xf>
    <xf numFmtId="3" fontId="44" fillId="20" borderId="3" xfId="0" applyNumberFormat="1" applyFont="1" applyFill="1" applyBorder="1" applyAlignment="1">
      <alignment vertical="center"/>
    </xf>
    <xf numFmtId="165" fontId="28" fillId="13" borderId="1" xfId="4" applyNumberFormat="1" applyFont="1" applyFill="1" applyBorder="1" applyAlignment="1"/>
    <xf numFmtId="165" fontId="25" fillId="13" borderId="1" xfId="4" applyNumberFormat="1" applyFont="1" applyFill="1" applyBorder="1" applyAlignment="1"/>
    <xf numFmtId="165" fontId="28" fillId="13" borderId="16" xfId="4" applyNumberFormat="1" applyFont="1" applyFill="1" applyBorder="1" applyAlignment="1"/>
    <xf numFmtId="16" fontId="44" fillId="22" borderId="17" xfId="0" applyNumberFormat="1" applyFont="1" applyFill="1" applyBorder="1" applyAlignment="1">
      <alignment horizontal="center" vertical="center" wrapText="1"/>
    </xf>
    <xf numFmtId="0" fontId="44" fillId="22" borderId="19" xfId="0" applyFont="1" applyFill="1" applyBorder="1" applyAlignment="1">
      <alignment horizontal="center" vertical="center" wrapText="1"/>
    </xf>
    <xf numFmtId="164" fontId="0" fillId="0" borderId="0" xfId="2" applyNumberFormat="1" applyFont="1"/>
    <xf numFmtId="164" fontId="0" fillId="0" borderId="1" xfId="2" applyNumberFormat="1" applyFont="1" applyBorder="1"/>
    <xf numFmtId="164" fontId="0" fillId="0" borderId="16" xfId="2" applyNumberFormat="1" applyFont="1" applyFill="1" applyBorder="1"/>
    <xf numFmtId="0" fontId="0" fillId="13" borderId="0" xfId="0" applyFill="1" applyBorder="1" applyAlignment="1">
      <alignment horizontal="right" vertical="center"/>
    </xf>
    <xf numFmtId="3" fontId="2" fillId="14" borderId="4" xfId="0" applyNumberFormat="1" applyFont="1" applyFill="1" applyBorder="1" applyAlignment="1">
      <alignment horizontal="center" vertical="center" wrapText="1"/>
    </xf>
    <xf numFmtId="3" fontId="3" fillId="5"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xf>
    <xf numFmtId="164" fontId="2" fillId="13" borderId="1" xfId="2" applyNumberFormat="1" applyFont="1" applyFill="1" applyBorder="1" applyAlignment="1">
      <alignment vertical="center"/>
    </xf>
    <xf numFmtId="0" fontId="2" fillId="13" borderId="1" xfId="0" applyFont="1" applyFill="1" applyBorder="1" applyAlignment="1">
      <alignment horizontal="center" wrapText="1"/>
    </xf>
    <xf numFmtId="3" fontId="2" fillId="13" borderId="1" xfId="0" applyNumberFormat="1" applyFont="1" applyFill="1" applyBorder="1" applyAlignment="1">
      <alignment horizontal="center" vertical="center"/>
    </xf>
    <xf numFmtId="3" fontId="2" fillId="13" borderId="1" xfId="0" applyNumberFormat="1" applyFont="1" applyFill="1" applyBorder="1" applyAlignment="1">
      <alignment horizontal="center" wrapText="1"/>
    </xf>
    <xf numFmtId="3" fontId="2" fillId="13" borderId="1" xfId="0" applyNumberFormat="1" applyFont="1" applyFill="1" applyBorder="1" applyAlignment="1">
      <alignment horizontal="center" vertical="center" wrapText="1"/>
    </xf>
    <xf numFmtId="3" fontId="2" fillId="13" borderId="1" xfId="4" applyNumberFormat="1" applyFont="1" applyFill="1" applyBorder="1" applyAlignment="1">
      <alignment horizontal="center" vertical="center"/>
    </xf>
    <xf numFmtId="3" fontId="11" fillId="0" borderId="1" xfId="0" applyNumberFormat="1" applyFont="1" applyFill="1" applyBorder="1" applyAlignment="1">
      <alignment horizontal="center"/>
    </xf>
    <xf numFmtId="164" fontId="0" fillId="0" borderId="0" xfId="0" applyNumberFormat="1"/>
    <xf numFmtId="43" fontId="0" fillId="13" borderId="0" xfId="4" applyFont="1" applyFill="1"/>
    <xf numFmtId="3" fontId="2" fillId="0" borderId="1" xfId="0" applyNumberFormat="1" applyFont="1" applyFill="1" applyBorder="1" applyAlignment="1">
      <alignment horizontal="center"/>
    </xf>
    <xf numFmtId="0" fontId="58" fillId="13" borderId="0" xfId="0" applyFont="1" applyFill="1" applyAlignment="1">
      <alignment horizontal="left" wrapText="1"/>
    </xf>
    <xf numFmtId="0" fontId="7" fillId="13" borderId="0" xfId="0" applyFont="1" applyFill="1" applyAlignment="1">
      <alignment horizontal="center" vertical="center" wrapText="1"/>
    </xf>
    <xf numFmtId="0" fontId="23" fillId="13" borderId="0" xfId="0" applyFont="1" applyFill="1" applyAlignment="1">
      <alignment horizontal="center" vertical="center"/>
    </xf>
    <xf numFmtId="0" fontId="9" fillId="13" borderId="0" xfId="0" applyFont="1" applyFill="1" applyAlignment="1">
      <alignment horizontal="center" vertical="center"/>
    </xf>
    <xf numFmtId="164" fontId="2" fillId="14" borderId="4"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4" fontId="3" fillId="2" borderId="1" xfId="2" applyNumberFormat="1" applyFont="1" applyFill="1" applyBorder="1" applyAlignment="1">
      <alignment horizontal="center" vertical="center"/>
    </xf>
    <xf numFmtId="164" fontId="2" fillId="13" borderId="1" xfId="2" applyNumberFormat="1" applyFont="1" applyFill="1" applyBorder="1" applyAlignment="1">
      <alignment horizontal="center" vertical="center"/>
    </xf>
    <xf numFmtId="164" fontId="3" fillId="5" borderId="1" xfId="2" applyNumberFormat="1" applyFont="1" applyFill="1" applyBorder="1" applyAlignment="1">
      <alignment horizontal="center" vertical="center"/>
    </xf>
    <xf numFmtId="164" fontId="3" fillId="13" borderId="0" xfId="0" applyNumberFormat="1" applyFont="1" applyFill="1" applyAlignment="1">
      <alignment horizontal="center"/>
    </xf>
    <xf numFmtId="164" fontId="18" fillId="13" borderId="0" xfId="0" applyNumberFormat="1" applyFont="1" applyFill="1" applyAlignment="1">
      <alignment horizontal="center"/>
    </xf>
    <xf numFmtId="0" fontId="59" fillId="0" borderId="0" xfId="0" applyFont="1"/>
    <xf numFmtId="0" fontId="0" fillId="13" borderId="0" xfId="0" applyFill="1" applyBorder="1"/>
    <xf numFmtId="0" fontId="0" fillId="13" borderId="0" xfId="0" applyFill="1" applyBorder="1" applyAlignment="1">
      <alignment horizontal="center" vertical="center"/>
    </xf>
    <xf numFmtId="0" fontId="0" fillId="0" borderId="0" xfId="0" applyBorder="1"/>
    <xf numFmtId="0" fontId="60" fillId="13" borderId="0" xfId="0" applyFont="1" applyFill="1" applyAlignment="1">
      <alignment horizontal="left" wrapText="1"/>
    </xf>
    <xf numFmtId="0" fontId="61" fillId="13" borderId="0" xfId="0" applyFont="1" applyFill="1" applyAlignment="1">
      <alignment horizontal="left" wrapText="1"/>
    </xf>
    <xf numFmtId="0" fontId="61" fillId="13" borderId="0" xfId="0" applyFont="1" applyFill="1" applyAlignment="1">
      <alignment horizontal="left" vertical="center" wrapText="1"/>
    </xf>
    <xf numFmtId="0" fontId="60" fillId="7" borderId="1" xfId="0" applyFont="1" applyFill="1" applyBorder="1" applyAlignment="1">
      <alignment horizontal="right" vertical="center" wrapText="1"/>
    </xf>
    <xf numFmtId="0" fontId="60" fillId="2" borderId="1" xfId="0" applyFont="1" applyFill="1" applyBorder="1" applyAlignment="1">
      <alignment horizontal="left" vertical="center" wrapText="1"/>
    </xf>
    <xf numFmtId="0" fontId="62" fillId="0" borderId="1" xfId="0" applyFont="1" applyBorder="1" applyAlignment="1">
      <alignment horizontal="left" vertical="center" wrapText="1"/>
    </xf>
    <xf numFmtId="0" fontId="62" fillId="0" borderId="16" xfId="0" applyFont="1" applyBorder="1" applyAlignment="1">
      <alignment horizontal="left" wrapText="1"/>
    </xf>
    <xf numFmtId="0" fontId="60" fillId="4" borderId="1" xfId="0" applyFont="1" applyFill="1" applyBorder="1" applyAlignment="1">
      <alignment vertical="center" wrapText="1"/>
    </xf>
    <xf numFmtId="0" fontId="60" fillId="4" borderId="1" xfId="0" applyFont="1" applyFill="1" applyBorder="1" applyAlignment="1">
      <alignment vertical="center"/>
    </xf>
    <xf numFmtId="0" fontId="63" fillId="5" borderId="1" xfId="0" applyFont="1" applyFill="1" applyBorder="1" applyAlignment="1">
      <alignment horizontal="right" wrapText="1"/>
    </xf>
    <xf numFmtId="0" fontId="62" fillId="10" borderId="1" xfId="0" applyFont="1" applyFill="1" applyBorder="1" applyAlignment="1">
      <alignment horizontal="left" wrapText="1"/>
    </xf>
    <xf numFmtId="0" fontId="60" fillId="4" borderId="2" xfId="0" applyFont="1" applyFill="1" applyBorder="1" applyAlignment="1">
      <alignment vertical="center"/>
    </xf>
    <xf numFmtId="0" fontId="60" fillId="2" borderId="1" xfId="0" applyFont="1" applyFill="1" applyBorder="1" applyAlignment="1">
      <alignment horizontal="left" wrapText="1"/>
    </xf>
    <xf numFmtId="0" fontId="63" fillId="0" borderId="1" xfId="0" applyFont="1" applyBorder="1" applyAlignment="1">
      <alignment horizontal="left" wrapText="1" indent="4"/>
    </xf>
    <xf numFmtId="0" fontId="62" fillId="0" borderId="1" xfId="0" applyFont="1" applyBorder="1" applyAlignment="1">
      <alignment horizontal="left" wrapText="1"/>
    </xf>
    <xf numFmtId="0" fontId="60" fillId="4" borderId="2" xfId="0" applyFont="1" applyFill="1" applyBorder="1" applyAlignment="1">
      <alignment vertical="center" wrapText="1"/>
    </xf>
    <xf numFmtId="0" fontId="64" fillId="3" borderId="1" xfId="0" applyFont="1" applyFill="1" applyBorder="1" applyAlignment="1">
      <alignment horizontal="center" vertical="center" wrapText="1"/>
    </xf>
    <xf numFmtId="0" fontId="65" fillId="13" borderId="0" xfId="0" applyFont="1" applyFill="1" applyAlignment="1">
      <alignment horizontal="left" vertical="top"/>
    </xf>
    <xf numFmtId="0" fontId="66" fillId="13" borderId="0" xfId="0" applyFont="1" applyFill="1" applyAlignment="1">
      <alignment horizontal="left" vertical="center"/>
    </xf>
    <xf numFmtId="0" fontId="67" fillId="13" borderId="0" xfId="0" applyFont="1" applyFill="1" applyAlignment="1">
      <alignment horizontal="left" vertical="center" wrapText="1"/>
    </xf>
    <xf numFmtId="0" fontId="68" fillId="13" borderId="0" xfId="0" applyFont="1" applyFill="1" applyAlignment="1">
      <alignment wrapText="1"/>
    </xf>
    <xf numFmtId="0" fontId="68" fillId="13" borderId="0" xfId="0" applyFont="1" applyFill="1"/>
    <xf numFmtId="165" fontId="0" fillId="13" borderId="0" xfId="4" applyNumberFormat="1" applyFont="1" applyFill="1" applyBorder="1"/>
    <xf numFmtId="0" fontId="3" fillId="0" borderId="0" xfId="0" applyFont="1" applyBorder="1" applyAlignment="1">
      <alignment horizontal="center" vertical="center" wrapText="1"/>
    </xf>
    <xf numFmtId="3" fontId="60" fillId="2" borderId="1" xfId="0" applyNumberFormat="1" applyFont="1" applyFill="1" applyBorder="1" applyAlignment="1">
      <alignment horizontal="center"/>
    </xf>
    <xf numFmtId="3" fontId="62" fillId="13" borderId="1" xfId="0" applyNumberFormat="1" applyFont="1" applyFill="1" applyBorder="1" applyAlignment="1">
      <alignment horizontal="center" wrapText="1"/>
    </xf>
    <xf numFmtId="3" fontId="60" fillId="11" borderId="1" xfId="0" applyNumberFormat="1" applyFont="1" applyFill="1" applyBorder="1" applyAlignment="1">
      <alignment horizontal="center"/>
    </xf>
    <xf numFmtId="3" fontId="5" fillId="0" borderId="1" xfId="0" applyNumberFormat="1" applyFont="1" applyFill="1" applyBorder="1" applyAlignment="1">
      <alignment horizontal="center"/>
    </xf>
    <xf numFmtId="3" fontId="5" fillId="0" borderId="2" xfId="0" applyNumberFormat="1" applyFont="1" applyFill="1" applyBorder="1" applyAlignment="1">
      <alignment horizontal="center"/>
    </xf>
    <xf numFmtId="9" fontId="3" fillId="13" borderId="0" xfId="1" applyFont="1" applyFill="1" applyAlignment="1">
      <alignment horizontal="center" wrapText="1"/>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5"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2"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37" fillId="16" borderId="8" xfId="0" applyFont="1" applyFill="1" applyBorder="1" applyAlignment="1">
      <alignment horizontal="center" vertical="center" textRotation="90"/>
    </xf>
    <xf numFmtId="0" fontId="37" fillId="16" borderId="12" xfId="0" applyFont="1" applyFill="1" applyBorder="1" applyAlignment="1">
      <alignment horizontal="center" vertical="center" textRotation="90"/>
    </xf>
    <xf numFmtId="0" fontId="37" fillId="16" borderId="11" xfId="0" applyFont="1" applyFill="1" applyBorder="1" applyAlignment="1">
      <alignment horizontal="center" vertical="center" textRotation="90"/>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2" fillId="13" borderId="2" xfId="0" applyFont="1" applyFill="1" applyBorder="1" applyAlignment="1">
      <alignment horizontal="left" vertical="center"/>
    </xf>
    <xf numFmtId="0" fontId="32" fillId="13" borderId="3" xfId="0" applyFont="1" applyFill="1" applyBorder="1" applyAlignment="1">
      <alignment horizontal="left" vertical="center"/>
    </xf>
    <xf numFmtId="0" fontId="32"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3" fillId="0" borderId="2" xfId="0" applyFont="1" applyBorder="1" applyAlignment="1">
      <alignment horizontal="right" vertical="center"/>
    </xf>
    <xf numFmtId="0" fontId="33" fillId="0" borderId="4" xfId="0" applyFont="1" applyBorder="1" applyAlignment="1">
      <alignment horizontal="righ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9" fontId="28" fillId="13" borderId="0" xfId="1" applyFont="1" applyFill="1" applyAlignment="1">
      <alignment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odriguez, Ilse:(ComEd)" id="{BA2B3981-C5E5-49DF-AFD9-5E37C6648BF5}" userId="S::E092923@exelonds.com::21c8a896-39e0-47fb-bdc8-6ba5147fc20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3" dT="2024-04-25T15:03:11.49" personId="{BA2B3981-C5E5-49DF-AFD9-5E37C6648BF5}" id="{0CE1AF34-9ADF-4AB1-8464-003BA59B7055}">
    <text>Can hide row</text>
  </threadedComment>
  <threadedComment ref="B62" dT="2024-04-25T17:12:31.65" personId="{BA2B3981-C5E5-49DF-AFD9-5E37C6648BF5}" id="{2F52308F-90DA-4117-9EEF-200440739BF9}">
    <text>Can hide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C5D26-E036-4123-89E3-BBB6FE88CEE2}">
  <sheetPr>
    <tabColor theme="0"/>
    <pageSetUpPr fitToPage="1"/>
  </sheetPr>
  <dimension ref="A1:Z135"/>
  <sheetViews>
    <sheetView tabSelected="1" topLeftCell="A89" zoomScaleNormal="100" workbookViewId="0">
      <selection activeCell="L115" sqref="L115"/>
    </sheetView>
  </sheetViews>
  <sheetFormatPr defaultColWidth="9.109375" defaultRowHeight="22.5" customHeight="1" x14ac:dyDescent="0.3"/>
  <cols>
    <col min="1" max="1" width="1.33203125" style="312" customWidth="1"/>
    <col min="2" max="2" width="43" customWidth="1"/>
    <col min="3" max="3" width="12.88671875" customWidth="1"/>
    <col min="4" max="5" width="11.88671875" customWidth="1"/>
    <col min="6" max="6" width="14.77734375" customWidth="1"/>
    <col min="7" max="7" width="17" style="1" customWidth="1"/>
    <col min="8" max="8" width="14.5546875" style="1" customWidth="1"/>
    <col min="9" max="12" width="15.5546875" customWidth="1"/>
    <col min="13" max="13" width="14.109375" customWidth="1"/>
    <col min="14" max="14" width="29.109375" style="233" customWidth="1"/>
    <col min="15" max="15" width="24.5546875" customWidth="1"/>
    <col min="16" max="17" width="14" customWidth="1"/>
    <col min="18" max="18" width="18.109375" customWidth="1"/>
    <col min="19" max="19" width="17.5546875" customWidth="1"/>
    <col min="20" max="20" width="10.5546875" bestFit="1" customWidth="1"/>
    <col min="21" max="21" width="17" bestFit="1" customWidth="1"/>
    <col min="22" max="22" width="13.109375" bestFit="1" customWidth="1"/>
  </cols>
  <sheetData>
    <row r="1" spans="1:26" ht="14.4" x14ac:dyDescent="0.3">
      <c r="A1" s="310"/>
      <c r="B1" s="334" t="s">
        <v>0</v>
      </c>
      <c r="C1" s="65"/>
      <c r="D1" s="65"/>
      <c r="E1" s="65"/>
      <c r="F1" s="58"/>
      <c r="G1" s="96"/>
      <c r="H1" s="96"/>
      <c r="I1" s="58"/>
      <c r="J1" s="58"/>
      <c r="K1" s="58"/>
      <c r="L1" s="58"/>
      <c r="M1" s="58"/>
      <c r="N1" s="230"/>
      <c r="O1" s="58"/>
      <c r="P1" s="58"/>
      <c r="Q1" s="58"/>
      <c r="R1" s="58"/>
      <c r="S1" s="58"/>
      <c r="T1" s="58"/>
      <c r="U1" s="58"/>
      <c r="V1" s="58"/>
      <c r="W1" s="58"/>
      <c r="X1" s="58"/>
      <c r="Y1" s="58"/>
      <c r="Z1" s="58"/>
    </row>
    <row r="2" spans="1:26" ht="14.4" x14ac:dyDescent="0.3">
      <c r="A2" s="310"/>
      <c r="B2" s="334" t="s">
        <v>1</v>
      </c>
      <c r="C2" s="65"/>
      <c r="D2" s="65"/>
      <c r="E2" s="65"/>
      <c r="F2" s="58"/>
      <c r="G2" s="96"/>
      <c r="H2" s="96"/>
      <c r="I2" s="58"/>
      <c r="J2" s="58"/>
      <c r="K2" s="58"/>
      <c r="L2" s="58"/>
      <c r="M2" s="58"/>
      <c r="N2" s="230"/>
      <c r="O2" s="58"/>
      <c r="P2" s="58"/>
      <c r="Q2" s="58"/>
      <c r="R2" s="58"/>
      <c r="S2" s="58"/>
      <c r="T2" s="58"/>
      <c r="U2" s="58"/>
      <c r="V2" s="58"/>
      <c r="W2" s="58"/>
      <c r="X2" s="58"/>
      <c r="Y2" s="58"/>
      <c r="Z2" s="58"/>
    </row>
    <row r="3" spans="1:26" ht="14.4" x14ac:dyDescent="0.3">
      <c r="A3" s="310"/>
      <c r="B3" s="334" t="s">
        <v>425</v>
      </c>
      <c r="C3" s="65"/>
      <c r="D3" s="65"/>
      <c r="E3" s="65"/>
      <c r="F3" s="58"/>
      <c r="G3" s="96"/>
      <c r="H3" s="96"/>
      <c r="I3" s="58"/>
      <c r="J3" s="58"/>
      <c r="K3" s="58"/>
      <c r="L3" s="58"/>
      <c r="M3" s="58"/>
      <c r="N3" s="230"/>
      <c r="O3" s="58"/>
      <c r="P3" s="58"/>
      <c r="Q3" s="58"/>
      <c r="R3" s="58"/>
      <c r="S3" s="58"/>
      <c r="T3" s="58"/>
      <c r="U3" s="58"/>
      <c r="V3" s="58"/>
      <c r="W3" s="58"/>
      <c r="X3" s="58"/>
      <c r="Y3" s="58"/>
      <c r="Z3" s="58"/>
    </row>
    <row r="4" spans="1:26" ht="14.4" x14ac:dyDescent="0.3">
      <c r="A4" s="310"/>
      <c r="B4" s="334"/>
      <c r="C4" s="65"/>
      <c r="D4" s="65"/>
      <c r="E4" s="65"/>
      <c r="F4" s="58"/>
      <c r="G4" s="96"/>
      <c r="H4" s="96"/>
      <c r="I4" s="58"/>
      <c r="J4" s="58"/>
      <c r="K4" s="58"/>
      <c r="L4" s="58"/>
      <c r="M4" s="58"/>
      <c r="N4" s="230"/>
      <c r="O4" s="58"/>
      <c r="P4" s="58"/>
      <c r="Q4" s="58"/>
      <c r="R4" s="58"/>
      <c r="S4" s="58"/>
      <c r="T4" s="58"/>
      <c r="U4" s="58"/>
      <c r="V4" s="58"/>
      <c r="W4" s="58"/>
      <c r="X4" s="58"/>
      <c r="Y4" s="58"/>
      <c r="Z4" s="58"/>
    </row>
    <row r="5" spans="1:26" ht="22.5" customHeight="1" x14ac:dyDescent="0.3">
      <c r="A5" s="310"/>
      <c r="B5" s="347" t="s">
        <v>2</v>
      </c>
      <c r="C5" s="348"/>
      <c r="D5" s="348"/>
      <c r="E5" s="348"/>
      <c r="F5" s="348"/>
      <c r="G5" s="348"/>
      <c r="H5" s="348"/>
      <c r="I5" s="348"/>
      <c r="J5" s="348"/>
      <c r="K5" s="348"/>
      <c r="L5" s="348"/>
      <c r="M5" s="349"/>
      <c r="N5" s="230"/>
      <c r="O5" s="58"/>
      <c r="P5" s="58"/>
      <c r="Q5" s="58"/>
      <c r="R5" s="58"/>
      <c r="S5" s="58"/>
      <c r="T5" s="58"/>
      <c r="U5" s="58"/>
      <c r="V5" s="58"/>
      <c r="W5" s="58"/>
      <c r="X5" s="58"/>
      <c r="Y5" s="58"/>
      <c r="Z5" s="58"/>
    </row>
    <row r="6" spans="1:26" ht="45" customHeight="1" x14ac:dyDescent="0.3">
      <c r="A6" s="310"/>
      <c r="B6" s="350"/>
      <c r="C6" s="351"/>
      <c r="D6" s="351"/>
      <c r="E6" s="351"/>
      <c r="F6" s="351"/>
      <c r="G6" s="351"/>
      <c r="H6" s="351"/>
      <c r="I6" s="351"/>
      <c r="J6" s="351"/>
      <c r="K6" s="351"/>
      <c r="L6" s="351"/>
      <c r="M6" s="352"/>
      <c r="N6" s="230"/>
      <c r="O6" s="58"/>
      <c r="P6" s="58"/>
      <c r="Q6" s="58"/>
      <c r="R6" s="58"/>
      <c r="S6" s="58"/>
      <c r="T6" s="58"/>
      <c r="U6" s="58"/>
      <c r="V6" s="58"/>
      <c r="W6" s="58"/>
      <c r="X6" s="58"/>
      <c r="Y6" s="58"/>
      <c r="Z6" s="58"/>
    </row>
    <row r="7" spans="1:26" ht="22.5" customHeight="1" x14ac:dyDescent="0.3">
      <c r="A7" s="310"/>
      <c r="B7" s="333"/>
      <c r="C7" s="65"/>
      <c r="D7" s="65"/>
      <c r="E7" s="65"/>
      <c r="F7" s="58"/>
      <c r="G7" s="96"/>
      <c r="H7" s="96"/>
      <c r="I7" s="58"/>
      <c r="J7" s="58"/>
      <c r="K7" s="58"/>
      <c r="L7" s="58"/>
      <c r="M7" s="58"/>
      <c r="N7" s="230"/>
      <c r="O7" s="58"/>
      <c r="P7" s="58"/>
      <c r="Q7" s="58"/>
      <c r="R7" s="58"/>
      <c r="S7" s="58"/>
      <c r="T7" s="58"/>
      <c r="U7" s="58"/>
      <c r="V7" s="58"/>
      <c r="W7" s="58"/>
      <c r="X7" s="58"/>
      <c r="Y7" s="58"/>
      <c r="Z7" s="58"/>
    </row>
    <row r="8" spans="1:26" ht="7.35" customHeight="1" x14ac:dyDescent="0.3">
      <c r="A8" s="310"/>
      <c r="B8" s="353" t="s">
        <v>3</v>
      </c>
      <c r="C8" s="353"/>
      <c r="D8" s="353"/>
      <c r="E8" s="353"/>
      <c r="F8" s="353"/>
      <c r="G8" s="353"/>
      <c r="H8" s="353"/>
      <c r="I8" s="353"/>
      <c r="J8" s="353"/>
      <c r="K8" s="353"/>
      <c r="L8" s="353"/>
      <c r="M8" s="353"/>
      <c r="N8" s="230"/>
      <c r="O8" s="58"/>
      <c r="P8" s="58"/>
      <c r="Q8" s="58"/>
      <c r="R8" s="58"/>
      <c r="S8" s="58"/>
      <c r="T8" s="58"/>
      <c r="U8" s="58"/>
      <c r="V8" s="58"/>
      <c r="W8" s="58"/>
      <c r="X8" s="58"/>
      <c r="Y8" s="58"/>
      <c r="Z8" s="58"/>
    </row>
    <row r="9" spans="1:26" ht="15.75" customHeight="1" x14ac:dyDescent="0.3">
      <c r="A9" s="310"/>
      <c r="B9" s="353"/>
      <c r="C9" s="353"/>
      <c r="D9" s="353"/>
      <c r="E9" s="353"/>
      <c r="F9" s="353"/>
      <c r="G9" s="353"/>
      <c r="H9" s="353"/>
      <c r="I9" s="353"/>
      <c r="J9" s="353"/>
      <c r="K9" s="353"/>
      <c r="L9" s="353"/>
      <c r="M9" s="353"/>
      <c r="N9" s="230"/>
      <c r="O9" s="58"/>
      <c r="P9" s="58"/>
      <c r="Q9" s="58"/>
      <c r="R9" s="58"/>
      <c r="S9" s="58"/>
      <c r="T9" s="58"/>
      <c r="U9" s="58"/>
      <c r="V9" s="58"/>
      <c r="W9" s="58"/>
      <c r="X9" s="58"/>
      <c r="Y9" s="58"/>
      <c r="Z9" s="58"/>
    </row>
    <row r="10" spans="1:26" ht="10.5" customHeight="1" x14ac:dyDescent="0.3">
      <c r="A10" s="310"/>
      <c r="B10" s="353"/>
      <c r="C10" s="353"/>
      <c r="D10" s="353"/>
      <c r="E10" s="353"/>
      <c r="F10" s="353"/>
      <c r="G10" s="353"/>
      <c r="H10" s="353"/>
      <c r="I10" s="353"/>
      <c r="J10" s="353"/>
      <c r="K10" s="353"/>
      <c r="L10" s="353"/>
      <c r="M10" s="353"/>
      <c r="N10" s="230"/>
      <c r="O10" s="58"/>
      <c r="P10" s="58"/>
      <c r="Q10" s="58"/>
      <c r="R10" s="58"/>
      <c r="S10" s="58"/>
      <c r="T10" s="58"/>
      <c r="U10" s="58"/>
      <c r="V10" s="58"/>
      <c r="W10" s="58"/>
      <c r="X10" s="58"/>
      <c r="Y10" s="58"/>
      <c r="Z10" s="58"/>
    </row>
    <row r="11" spans="1:26" ht="22.5" customHeight="1" x14ac:dyDescent="0.3">
      <c r="A11" s="310"/>
      <c r="B11" s="353"/>
      <c r="C11" s="353"/>
      <c r="D11" s="353"/>
      <c r="E11" s="353"/>
      <c r="F11" s="353"/>
      <c r="G11" s="353"/>
      <c r="H11" s="353"/>
      <c r="I11" s="353"/>
      <c r="J11" s="353"/>
      <c r="K11" s="353"/>
      <c r="L11" s="353"/>
      <c r="M11" s="353"/>
      <c r="N11" s="230"/>
      <c r="O11" s="58"/>
      <c r="P11" s="58"/>
      <c r="Q11" s="58"/>
      <c r="R11" s="58"/>
      <c r="S11" s="58"/>
      <c r="T11" s="58"/>
      <c r="U11" s="58"/>
      <c r="V11" s="58"/>
      <c r="W11" s="58"/>
      <c r="X11" s="58"/>
      <c r="Y11" s="58"/>
      <c r="Z11" s="58"/>
    </row>
    <row r="12" spans="1:26" ht="22.5" customHeight="1" x14ac:dyDescent="0.3">
      <c r="A12" s="310"/>
      <c r="B12" s="353"/>
      <c r="C12" s="353"/>
      <c r="D12" s="353"/>
      <c r="E12" s="353"/>
      <c r="F12" s="353"/>
      <c r="G12" s="353"/>
      <c r="H12" s="353"/>
      <c r="I12" s="353"/>
      <c r="J12" s="353"/>
      <c r="K12" s="353"/>
      <c r="L12" s="353"/>
      <c r="M12" s="353"/>
      <c r="N12" s="230"/>
      <c r="O12" s="58"/>
      <c r="P12" s="58"/>
      <c r="Q12" s="58"/>
      <c r="R12" s="58"/>
      <c r="S12" s="58"/>
      <c r="T12" s="58"/>
      <c r="U12" s="58"/>
      <c r="V12" s="58"/>
      <c r="W12" s="58"/>
      <c r="X12" s="58"/>
      <c r="Y12" s="58"/>
      <c r="Z12" s="58"/>
    </row>
    <row r="13" spans="1:26" ht="22.5" customHeight="1" x14ac:dyDescent="0.3">
      <c r="A13" s="310"/>
      <c r="B13" s="353"/>
      <c r="C13" s="353"/>
      <c r="D13" s="353"/>
      <c r="E13" s="353"/>
      <c r="F13" s="353"/>
      <c r="G13" s="353"/>
      <c r="H13" s="353"/>
      <c r="I13" s="353"/>
      <c r="J13" s="353"/>
      <c r="K13" s="353"/>
      <c r="L13" s="353"/>
      <c r="M13" s="353"/>
      <c r="N13" s="230"/>
      <c r="O13" s="58"/>
      <c r="P13" s="58"/>
      <c r="Q13" s="58"/>
      <c r="R13" s="58"/>
      <c r="S13" s="58"/>
      <c r="T13" s="58"/>
      <c r="U13" s="58"/>
      <c r="V13" s="58"/>
      <c r="W13" s="58"/>
      <c r="X13" s="58"/>
      <c r="Y13" s="58"/>
      <c r="Z13" s="58"/>
    </row>
    <row r="14" spans="1:26" ht="27.75" customHeight="1" x14ac:dyDescent="0.3">
      <c r="A14" s="310"/>
      <c r="B14" s="353"/>
      <c r="C14" s="353"/>
      <c r="D14" s="353"/>
      <c r="E14" s="353"/>
      <c r="F14" s="353"/>
      <c r="G14" s="353"/>
      <c r="H14" s="353"/>
      <c r="I14" s="353"/>
      <c r="J14" s="353"/>
      <c r="K14" s="353"/>
      <c r="L14" s="353"/>
      <c r="M14" s="353"/>
      <c r="N14" s="230"/>
      <c r="O14" s="58"/>
      <c r="P14" s="58"/>
      <c r="Q14" s="58"/>
      <c r="R14" s="58"/>
      <c r="S14" s="58"/>
      <c r="T14" s="58"/>
      <c r="U14" s="58"/>
      <c r="V14" s="58"/>
      <c r="W14" s="58"/>
      <c r="X14" s="58"/>
      <c r="Y14" s="58"/>
      <c r="Z14" s="58"/>
    </row>
    <row r="15" spans="1:26" ht="17.850000000000001" customHeight="1" x14ac:dyDescent="0.3">
      <c r="A15" s="310"/>
      <c r="B15" s="353"/>
      <c r="C15" s="353"/>
      <c r="D15" s="353"/>
      <c r="E15" s="353"/>
      <c r="F15" s="353"/>
      <c r="G15" s="353"/>
      <c r="H15" s="353"/>
      <c r="I15" s="353"/>
      <c r="J15" s="353"/>
      <c r="K15" s="353"/>
      <c r="L15" s="353"/>
      <c r="M15" s="353"/>
      <c r="N15" s="230"/>
      <c r="O15" s="58"/>
      <c r="P15" s="58"/>
      <c r="Q15" s="58"/>
      <c r="R15" s="58"/>
      <c r="S15" s="58"/>
      <c r="T15" s="58"/>
      <c r="U15" s="58"/>
      <c r="V15" s="58"/>
      <c r="W15" s="58"/>
      <c r="X15" s="58"/>
      <c r="Y15" s="58"/>
      <c r="Z15" s="58"/>
    </row>
    <row r="16" spans="1:26" ht="7.5" customHeight="1" x14ac:dyDescent="0.3">
      <c r="A16" s="310"/>
      <c r="B16" s="353"/>
      <c r="C16" s="353"/>
      <c r="D16" s="353"/>
      <c r="E16" s="353"/>
      <c r="F16" s="353"/>
      <c r="G16" s="353"/>
      <c r="H16" s="353"/>
      <c r="I16" s="353"/>
      <c r="J16" s="353"/>
      <c r="K16" s="353"/>
      <c r="L16" s="353"/>
      <c r="M16" s="353"/>
      <c r="N16" s="230"/>
      <c r="O16" s="150"/>
      <c r="P16" s="58"/>
      <c r="Q16" s="58"/>
      <c r="R16" s="58"/>
      <c r="S16" s="58"/>
      <c r="T16" s="58"/>
      <c r="U16" s="58"/>
      <c r="V16" s="58"/>
      <c r="W16" s="58"/>
      <c r="X16" s="58"/>
      <c r="Y16" s="58"/>
      <c r="Z16" s="58"/>
    </row>
    <row r="17" spans="1:26" ht="22.5" customHeight="1" x14ac:dyDescent="0.3">
      <c r="A17" s="310"/>
      <c r="B17" s="332"/>
      <c r="C17" s="88"/>
      <c r="D17" s="88"/>
      <c r="E17" s="88"/>
      <c r="F17" s="88"/>
      <c r="G17" s="88"/>
      <c r="H17" s="299"/>
      <c r="I17" s="88"/>
      <c r="J17" s="88"/>
      <c r="K17" s="88"/>
      <c r="L17" s="88"/>
      <c r="M17" s="88"/>
      <c r="N17" s="230"/>
      <c r="O17" s="58"/>
      <c r="P17" s="58"/>
      <c r="Q17" s="58"/>
      <c r="R17" s="58"/>
      <c r="S17" s="58"/>
      <c r="T17" s="58"/>
      <c r="U17" s="58"/>
      <c r="V17" s="58"/>
      <c r="W17" s="58"/>
      <c r="X17" s="58"/>
      <c r="Y17" s="58"/>
      <c r="Z17" s="58"/>
    </row>
    <row r="18" spans="1:26" ht="22.5" customHeight="1" x14ac:dyDescent="0.3">
      <c r="A18" s="310"/>
      <c r="B18" s="331" t="s">
        <v>4</v>
      </c>
      <c r="C18" s="88"/>
      <c r="D18" s="216"/>
      <c r="E18" s="216"/>
      <c r="F18" s="216"/>
      <c r="G18" s="216"/>
      <c r="H18" s="300"/>
      <c r="I18" s="216"/>
      <c r="J18" s="216"/>
      <c r="K18" s="216"/>
      <c r="L18" s="216"/>
      <c r="M18" s="216"/>
      <c r="N18" s="230"/>
      <c r="O18" s="58"/>
      <c r="P18" s="58"/>
      <c r="Q18" s="58"/>
      <c r="R18" s="58"/>
      <c r="S18" s="58"/>
      <c r="T18" s="58"/>
      <c r="U18" s="58"/>
      <c r="V18" s="58"/>
      <c r="W18" s="58"/>
      <c r="X18" s="58"/>
      <c r="Y18" s="58"/>
      <c r="Z18" s="58"/>
    </row>
    <row r="19" spans="1:26" ht="41.1" customHeight="1" x14ac:dyDescent="0.3">
      <c r="A19" s="310"/>
      <c r="B19" s="330" t="s">
        <v>305</v>
      </c>
      <c r="C19" s="88"/>
      <c r="D19" s="216"/>
      <c r="E19" s="88"/>
      <c r="F19" s="216"/>
      <c r="G19" s="88"/>
      <c r="H19" s="301"/>
      <c r="I19" s="88"/>
      <c r="J19" s="88"/>
      <c r="K19" s="216"/>
      <c r="L19" s="216"/>
      <c r="M19" s="88"/>
      <c r="N19" s="230"/>
      <c r="O19" s="58"/>
      <c r="P19" s="151"/>
      <c r="Q19" s="151"/>
      <c r="R19" s="58"/>
      <c r="S19" s="58"/>
      <c r="T19" s="58"/>
      <c r="U19" s="58"/>
      <c r="V19" s="58"/>
      <c r="W19" s="58"/>
      <c r="X19" s="58"/>
      <c r="Y19" s="58"/>
      <c r="Z19" s="58"/>
    </row>
    <row r="20" spans="1:26" s="17" customFormat="1" ht="81" customHeight="1" x14ac:dyDescent="0.3">
      <c r="A20" s="311"/>
      <c r="B20" s="329" t="s">
        <v>5</v>
      </c>
      <c r="C20" s="16" t="s">
        <v>286</v>
      </c>
      <c r="D20" s="16" t="s">
        <v>302</v>
      </c>
      <c r="E20" s="16" t="s">
        <v>7</v>
      </c>
      <c r="F20" s="16" t="s">
        <v>8</v>
      </c>
      <c r="G20" s="48" t="s">
        <v>9</v>
      </c>
      <c r="H20" s="16" t="s">
        <v>10</v>
      </c>
      <c r="I20" s="16" t="s">
        <v>11</v>
      </c>
      <c r="J20" s="16" t="s">
        <v>12</v>
      </c>
      <c r="K20" s="16" t="s">
        <v>303</v>
      </c>
      <c r="L20" s="16" t="s">
        <v>304</v>
      </c>
      <c r="M20" s="16" t="s">
        <v>13</v>
      </c>
      <c r="N20" s="231"/>
      <c r="O20" s="152"/>
      <c r="P20" s="152"/>
      <c r="Q20" s="152"/>
      <c r="R20" s="137"/>
      <c r="S20" s="137"/>
      <c r="T20" s="137"/>
      <c r="U20" s="137"/>
      <c r="V20" s="137"/>
      <c r="W20" s="137"/>
      <c r="X20" s="137"/>
      <c r="Y20" s="137"/>
      <c r="Z20" s="137"/>
    </row>
    <row r="21" spans="1:26" ht="20.100000000000001" customHeight="1" x14ac:dyDescent="0.3">
      <c r="A21" s="284"/>
      <c r="B21" s="328" t="s">
        <v>14</v>
      </c>
      <c r="C21" s="200"/>
      <c r="D21" s="14"/>
      <c r="E21" s="14"/>
      <c r="F21" s="14"/>
      <c r="G21" s="200"/>
      <c r="H21" s="14"/>
      <c r="I21" s="14"/>
      <c r="J21" s="14"/>
      <c r="K21" s="14"/>
      <c r="L21" s="14"/>
      <c r="M21" s="15"/>
      <c r="N21" s="230"/>
      <c r="O21" s="219"/>
      <c r="P21" s="183"/>
      <c r="Q21" s="183"/>
      <c r="R21" s="58"/>
      <c r="S21" s="58"/>
      <c r="T21" s="58"/>
      <c r="U21" s="58"/>
      <c r="V21" s="58"/>
      <c r="W21" s="58"/>
      <c r="X21" s="58"/>
      <c r="Y21" s="58"/>
      <c r="Z21" s="58"/>
    </row>
    <row r="22" spans="1:26" ht="15" customHeight="1" x14ac:dyDescent="0.3">
      <c r="A22" s="284"/>
      <c r="B22" s="327" t="s">
        <v>15</v>
      </c>
      <c r="C22" s="188">
        <v>49574.200000000004</v>
      </c>
      <c r="D22" s="188">
        <v>227183.28</v>
      </c>
      <c r="E22" s="188">
        <v>227183.28</v>
      </c>
      <c r="F22" s="189">
        <v>226473</v>
      </c>
      <c r="G22" s="77">
        <v>0.21889673382699043</v>
      </c>
      <c r="H22" s="302">
        <v>15245853</v>
      </c>
      <c r="I22" s="203">
        <v>9909804.4500000011</v>
      </c>
      <c r="J22" s="203">
        <v>5336048.55</v>
      </c>
      <c r="K22" s="203">
        <v>73384744</v>
      </c>
      <c r="L22" s="203">
        <v>73384744</v>
      </c>
      <c r="M22" s="78">
        <v>0.20775234972544157</v>
      </c>
      <c r="O22" s="153"/>
      <c r="P22" s="58"/>
      <c r="Q22" s="58"/>
      <c r="R22" s="58"/>
      <c r="S22" s="58"/>
      <c r="T22" s="58"/>
      <c r="U22" s="58"/>
      <c r="V22" s="58"/>
      <c r="W22" s="58"/>
      <c r="X22" s="58"/>
      <c r="Y22" s="58"/>
      <c r="Z22" s="58"/>
    </row>
    <row r="23" spans="1:26" ht="15" customHeight="1" x14ac:dyDescent="0.3">
      <c r="A23" s="335"/>
      <c r="B23" s="326" t="s">
        <v>16</v>
      </c>
      <c r="C23" s="188">
        <v>48838.320000000007</v>
      </c>
      <c r="D23" s="188">
        <v>210483.28</v>
      </c>
      <c r="E23" s="188">
        <v>210483.28</v>
      </c>
      <c r="F23" s="189">
        <v>210483</v>
      </c>
      <c r="G23" s="77">
        <v>0.23202976012314536</v>
      </c>
      <c r="H23" s="302">
        <v>14359216</v>
      </c>
      <c r="I23" s="203">
        <v>9333490.4000000004</v>
      </c>
      <c r="J23" s="203">
        <v>5025725.5999999996</v>
      </c>
      <c r="K23" s="203">
        <v>63777220</v>
      </c>
      <c r="L23" s="203">
        <v>63777220</v>
      </c>
      <c r="M23" s="78">
        <v>0.22514647079317662</v>
      </c>
      <c r="N23" s="231"/>
      <c r="O23" s="154"/>
      <c r="P23" s="58"/>
      <c r="Q23" s="58"/>
      <c r="R23" s="58"/>
      <c r="S23" s="58"/>
      <c r="T23" s="58"/>
      <c r="U23" s="58"/>
      <c r="V23" s="58"/>
      <c r="W23" s="58"/>
      <c r="X23" s="58"/>
      <c r="Y23" s="58"/>
      <c r="Z23" s="58"/>
    </row>
    <row r="24" spans="1:26" ht="15" customHeight="1" x14ac:dyDescent="0.3">
      <c r="A24" s="335"/>
      <c r="B24" s="326" t="s">
        <v>17</v>
      </c>
      <c r="C24" s="188">
        <v>735.88</v>
      </c>
      <c r="D24" s="188">
        <v>16700</v>
      </c>
      <c r="E24" s="188">
        <v>16700</v>
      </c>
      <c r="F24" s="189">
        <v>15990</v>
      </c>
      <c r="G24" s="77">
        <v>4.6021263289555969E-2</v>
      </c>
      <c r="H24" s="302">
        <v>886637</v>
      </c>
      <c r="I24" s="203">
        <v>576314.05000000005</v>
      </c>
      <c r="J24" s="203">
        <v>310322.94999999995</v>
      </c>
      <c r="K24" s="203">
        <v>9607524</v>
      </c>
      <c r="L24" s="203">
        <v>9607524</v>
      </c>
      <c r="M24" s="78">
        <v>9.2285691922289234E-2</v>
      </c>
      <c r="N24" s="231"/>
      <c r="O24" s="219"/>
      <c r="P24" s="183"/>
      <c r="Q24" s="183"/>
      <c r="R24" s="58"/>
      <c r="S24" s="58"/>
      <c r="T24" s="58"/>
      <c r="U24" s="58"/>
      <c r="V24" s="58"/>
      <c r="W24" s="58"/>
      <c r="X24" s="58"/>
      <c r="Y24" s="58"/>
      <c r="Z24" s="58"/>
    </row>
    <row r="25" spans="1:26" ht="15" hidden="1" customHeight="1" x14ac:dyDescent="0.3">
      <c r="A25" s="284"/>
      <c r="B25" s="326" t="s">
        <v>18</v>
      </c>
      <c r="C25" s="188">
        <v>0</v>
      </c>
      <c r="D25" s="188">
        <v>0</v>
      </c>
      <c r="E25" s="188">
        <v>0</v>
      </c>
      <c r="F25" s="189">
        <v>0</v>
      </c>
      <c r="G25" s="77" t="s">
        <v>28</v>
      </c>
      <c r="H25" s="302">
        <v>0</v>
      </c>
      <c r="I25" s="203">
        <v>0</v>
      </c>
      <c r="J25" s="203">
        <v>0</v>
      </c>
      <c r="K25" s="203">
        <v>0</v>
      </c>
      <c r="L25" s="203">
        <v>0</v>
      </c>
      <c r="M25" s="78" t="s">
        <v>28</v>
      </c>
      <c r="N25" s="231"/>
      <c r="O25" s="153"/>
      <c r="P25" s="58"/>
      <c r="Q25" s="58"/>
      <c r="R25" s="58"/>
      <c r="S25" s="58"/>
      <c r="T25" s="58"/>
      <c r="U25" s="58"/>
      <c r="V25" s="58"/>
      <c r="W25" s="58"/>
      <c r="X25" s="58"/>
      <c r="Y25" s="58"/>
      <c r="Z25" s="58"/>
    </row>
    <row r="26" spans="1:26" ht="15" customHeight="1" x14ac:dyDescent="0.3">
      <c r="A26" s="335"/>
      <c r="B26" s="327" t="s">
        <v>19</v>
      </c>
      <c r="C26" s="188">
        <v>31129.989999999998</v>
      </c>
      <c r="D26" s="188">
        <v>248979.42804199998</v>
      </c>
      <c r="E26" s="188">
        <v>248979.42804199998</v>
      </c>
      <c r="F26" s="189">
        <v>248976</v>
      </c>
      <c r="G26" s="77">
        <v>0.12503209144656513</v>
      </c>
      <c r="H26" s="302">
        <v>10525777</v>
      </c>
      <c r="I26" s="203">
        <v>6841755.0499999998</v>
      </c>
      <c r="J26" s="203">
        <v>3684021.95</v>
      </c>
      <c r="K26" s="203">
        <v>88430034</v>
      </c>
      <c r="L26" s="203">
        <v>88430035</v>
      </c>
      <c r="M26" s="78">
        <v>0.11902943383433015</v>
      </c>
      <c r="N26" s="231"/>
      <c r="O26" s="154"/>
      <c r="P26" s="58"/>
      <c r="Q26" s="58"/>
      <c r="R26" s="58"/>
      <c r="S26" s="58"/>
      <c r="T26" s="58"/>
      <c r="U26" s="58"/>
      <c r="V26" s="58"/>
      <c r="W26" s="58"/>
      <c r="X26" s="58"/>
      <c r="Y26" s="58"/>
      <c r="Z26" s="58"/>
    </row>
    <row r="27" spans="1:26" ht="15" customHeight="1" x14ac:dyDescent="0.3">
      <c r="A27" s="335"/>
      <c r="B27" s="327" t="s">
        <v>20</v>
      </c>
      <c r="C27" s="188">
        <v>27368</v>
      </c>
      <c r="D27" s="188">
        <v>109097</v>
      </c>
      <c r="E27" s="188">
        <v>109097</v>
      </c>
      <c r="F27" s="189">
        <v>107473</v>
      </c>
      <c r="G27" s="77">
        <v>0.25465000511756442</v>
      </c>
      <c r="H27" s="302">
        <v>4427115</v>
      </c>
      <c r="I27" s="203">
        <v>2877624.75</v>
      </c>
      <c r="J27" s="203">
        <v>1549490.25</v>
      </c>
      <c r="K27" s="203">
        <v>15307867</v>
      </c>
      <c r="L27" s="203">
        <v>15307868</v>
      </c>
      <c r="M27" s="78">
        <v>0.28920519826797564</v>
      </c>
      <c r="N27" s="231"/>
      <c r="O27" s="219"/>
      <c r="P27" s="183"/>
      <c r="Q27" s="183"/>
      <c r="R27" s="58"/>
      <c r="S27" s="58"/>
      <c r="T27" s="58"/>
      <c r="U27" s="58"/>
      <c r="V27" s="58"/>
      <c r="W27" s="58"/>
      <c r="X27" s="58"/>
      <c r="Y27" s="58"/>
      <c r="Z27" s="58"/>
    </row>
    <row r="28" spans="1:26" ht="15" customHeight="1" x14ac:dyDescent="0.3">
      <c r="A28" s="284"/>
      <c r="B28" s="327" t="s">
        <v>21</v>
      </c>
      <c r="C28" s="188">
        <v>296.32</v>
      </c>
      <c r="D28" s="188">
        <v>6037</v>
      </c>
      <c r="E28" s="188">
        <v>6037</v>
      </c>
      <c r="F28" s="188">
        <v>6478</v>
      </c>
      <c r="G28" s="77">
        <v>4.5742513121333747E-2</v>
      </c>
      <c r="H28" s="303">
        <v>293065</v>
      </c>
      <c r="I28" s="203">
        <v>190492.25</v>
      </c>
      <c r="J28" s="203">
        <v>102572.75</v>
      </c>
      <c r="K28" s="203">
        <v>3231401</v>
      </c>
      <c r="L28" s="203">
        <v>3231402</v>
      </c>
      <c r="M28" s="78">
        <v>9.0692832399063936E-2</v>
      </c>
      <c r="N28" s="231"/>
      <c r="O28" s="153"/>
      <c r="P28" s="58"/>
      <c r="Q28" s="58"/>
      <c r="R28" s="58"/>
      <c r="S28" s="58"/>
      <c r="T28" s="58"/>
      <c r="U28" s="58"/>
      <c r="V28" s="58"/>
      <c r="W28" s="58"/>
      <c r="X28" s="58"/>
      <c r="Y28" s="58"/>
      <c r="Z28" s="58"/>
    </row>
    <row r="29" spans="1:26" ht="15" customHeight="1" x14ac:dyDescent="0.3">
      <c r="A29" s="284"/>
      <c r="B29" s="327" t="s">
        <v>22</v>
      </c>
      <c r="C29" s="188">
        <v>4448.3</v>
      </c>
      <c r="D29" s="188">
        <v>52245</v>
      </c>
      <c r="E29" s="188">
        <v>52245</v>
      </c>
      <c r="F29" s="188">
        <v>52225</v>
      </c>
      <c r="G29" s="77">
        <v>8.5175682144566778E-2</v>
      </c>
      <c r="H29" s="303">
        <v>1148448</v>
      </c>
      <c r="I29" s="203">
        <v>746491.20000000007</v>
      </c>
      <c r="J29" s="203">
        <v>401956.79999999993</v>
      </c>
      <c r="K29" s="203">
        <v>17115684</v>
      </c>
      <c r="L29" s="203">
        <v>17115684</v>
      </c>
      <c r="M29" s="78">
        <v>6.709915887673551E-2</v>
      </c>
      <c r="N29" s="231"/>
      <c r="O29" s="154"/>
      <c r="P29" s="58"/>
      <c r="Q29" s="58"/>
      <c r="R29" s="58"/>
      <c r="S29" s="58"/>
      <c r="T29" s="58"/>
      <c r="U29" s="58"/>
      <c r="V29" s="58"/>
      <c r="W29" s="58"/>
      <c r="X29" s="58"/>
      <c r="Y29" s="58"/>
      <c r="Z29" s="58"/>
    </row>
    <row r="30" spans="1:26" ht="15" customHeight="1" x14ac:dyDescent="0.3">
      <c r="A30" s="284"/>
      <c r="B30" s="327" t="s">
        <v>23</v>
      </c>
      <c r="C30" s="188">
        <v>1354.01</v>
      </c>
      <c r="D30" s="188">
        <v>49713</v>
      </c>
      <c r="E30" s="188">
        <v>49713</v>
      </c>
      <c r="F30" s="188">
        <v>49714</v>
      </c>
      <c r="G30" s="77">
        <v>2.7235989862010701E-2</v>
      </c>
      <c r="H30" s="303">
        <v>1063177</v>
      </c>
      <c r="I30" s="203">
        <v>691065.05</v>
      </c>
      <c r="J30" s="203">
        <v>372111.94999999995</v>
      </c>
      <c r="K30" s="203">
        <v>17356099</v>
      </c>
      <c r="L30" s="203">
        <v>17356099</v>
      </c>
      <c r="M30" s="78">
        <v>6.125667985645853E-2</v>
      </c>
      <c r="N30" s="231"/>
      <c r="O30" s="219"/>
      <c r="P30" s="183"/>
      <c r="Q30" s="183"/>
      <c r="R30" s="58"/>
      <c r="S30" s="58"/>
      <c r="T30" s="58"/>
      <c r="U30" s="58"/>
      <c r="V30" s="58"/>
      <c r="W30" s="58"/>
      <c r="X30" s="58"/>
      <c r="Y30" s="58"/>
      <c r="Z30" s="58"/>
    </row>
    <row r="31" spans="1:26" ht="15" customHeight="1" x14ac:dyDescent="0.3">
      <c r="A31" s="284"/>
      <c r="B31" s="327" t="s">
        <v>24</v>
      </c>
      <c r="C31" s="188">
        <v>4128.3900000000003</v>
      </c>
      <c r="D31" s="188">
        <v>45412</v>
      </c>
      <c r="E31" s="188">
        <v>45412</v>
      </c>
      <c r="F31" s="188">
        <v>45314</v>
      </c>
      <c r="G31" s="77">
        <v>9.1106280619676044E-2</v>
      </c>
      <c r="H31" s="303">
        <v>1904869</v>
      </c>
      <c r="I31" s="203">
        <v>0</v>
      </c>
      <c r="J31" s="203">
        <v>1904869</v>
      </c>
      <c r="K31" s="203">
        <v>9827383</v>
      </c>
      <c r="L31" s="203">
        <v>9827383</v>
      </c>
      <c r="M31" s="78">
        <v>0.19383278335646428</v>
      </c>
      <c r="N31" s="231"/>
      <c r="O31" s="153"/>
      <c r="P31" s="58"/>
      <c r="Q31" s="58"/>
      <c r="R31" s="58"/>
      <c r="S31" s="58"/>
      <c r="T31" s="58"/>
      <c r="U31" s="58"/>
      <c r="V31" s="58"/>
      <c r="W31" s="58"/>
      <c r="X31" s="58"/>
      <c r="Y31" s="58"/>
      <c r="Z31" s="58"/>
    </row>
    <row r="32" spans="1:26" ht="15" customHeight="1" x14ac:dyDescent="0.3">
      <c r="A32" s="284"/>
      <c r="B32" s="327" t="s">
        <v>25</v>
      </c>
      <c r="C32" s="188" t="s">
        <v>28</v>
      </c>
      <c r="D32" s="188" t="s">
        <v>28</v>
      </c>
      <c r="E32" s="188" t="s">
        <v>28</v>
      </c>
      <c r="F32" s="188" t="s">
        <v>28</v>
      </c>
      <c r="G32" s="188" t="s">
        <v>28</v>
      </c>
      <c r="H32" s="303">
        <v>185562</v>
      </c>
      <c r="I32" s="203">
        <v>120615.3</v>
      </c>
      <c r="J32" s="203">
        <v>64946.7</v>
      </c>
      <c r="K32" s="203">
        <v>1700000</v>
      </c>
      <c r="L32" s="203">
        <v>1700000</v>
      </c>
      <c r="M32" s="78">
        <v>0.10915411764705882</v>
      </c>
      <c r="N32" s="231"/>
      <c r="O32" s="154"/>
      <c r="P32" s="58"/>
      <c r="Q32" s="58"/>
      <c r="R32" s="58"/>
      <c r="S32" s="58"/>
      <c r="T32" s="58"/>
      <c r="U32" s="58"/>
      <c r="V32" s="58"/>
      <c r="W32" s="58"/>
      <c r="X32" s="58"/>
      <c r="Y32" s="58"/>
      <c r="Z32" s="58"/>
    </row>
    <row r="33" spans="1:26" ht="15" customHeight="1" x14ac:dyDescent="0.3">
      <c r="A33" s="284"/>
      <c r="B33" s="327" t="s">
        <v>26</v>
      </c>
      <c r="C33" s="188">
        <v>376.4</v>
      </c>
      <c r="D33" s="188">
        <v>1509</v>
      </c>
      <c r="E33" s="188">
        <v>1509</v>
      </c>
      <c r="F33" s="188">
        <v>1511</v>
      </c>
      <c r="G33" s="77">
        <v>0.24910655195234943</v>
      </c>
      <c r="H33" s="303">
        <v>145117</v>
      </c>
      <c r="I33" s="203">
        <v>0</v>
      </c>
      <c r="J33" s="203">
        <v>145117</v>
      </c>
      <c r="K33" s="203">
        <v>481032</v>
      </c>
      <c r="L33" s="203">
        <v>481032</v>
      </c>
      <c r="M33" s="78">
        <v>0.30167847461291558</v>
      </c>
      <c r="N33" s="231"/>
      <c r="O33" s="219"/>
      <c r="P33" s="183"/>
      <c r="Q33" s="183"/>
      <c r="R33" s="58"/>
      <c r="S33" s="58"/>
      <c r="T33" s="58"/>
      <c r="U33" s="58"/>
      <c r="V33" s="58"/>
      <c r="W33" s="58"/>
      <c r="X33" s="58"/>
      <c r="Y33" s="58"/>
      <c r="Z33" s="58"/>
    </row>
    <row r="34" spans="1:26" ht="15" customHeight="1" x14ac:dyDescent="0.3">
      <c r="A34" s="284"/>
      <c r="B34" s="327" t="s">
        <v>27</v>
      </c>
      <c r="C34" s="188">
        <v>4292</v>
      </c>
      <c r="D34" s="188">
        <v>16700</v>
      </c>
      <c r="E34" s="188">
        <v>16700</v>
      </c>
      <c r="F34" s="188">
        <v>16499</v>
      </c>
      <c r="G34" s="188">
        <v>0.26013697799866659</v>
      </c>
      <c r="H34" s="303" t="s">
        <v>28</v>
      </c>
      <c r="I34" s="188" t="s">
        <v>28</v>
      </c>
      <c r="J34" s="188" t="s">
        <v>28</v>
      </c>
      <c r="K34" s="188" t="s">
        <v>28</v>
      </c>
      <c r="L34" s="188" t="s">
        <v>28</v>
      </c>
      <c r="M34" s="188" t="s">
        <v>28</v>
      </c>
      <c r="N34" s="231"/>
      <c r="O34" s="153"/>
      <c r="P34" s="58"/>
      <c r="Q34" s="58"/>
      <c r="R34" s="58"/>
      <c r="S34" s="58"/>
      <c r="T34" s="58"/>
      <c r="U34" s="58"/>
      <c r="V34" s="58"/>
      <c r="W34" s="58"/>
      <c r="X34" s="58"/>
      <c r="Y34" s="58"/>
      <c r="Z34" s="58"/>
    </row>
    <row r="35" spans="1:26" ht="15" customHeight="1" x14ac:dyDescent="0.3">
      <c r="A35" s="284"/>
      <c r="B35" s="327" t="s">
        <v>29</v>
      </c>
      <c r="C35" s="75" t="s">
        <v>28</v>
      </c>
      <c r="D35" s="75" t="s">
        <v>28</v>
      </c>
      <c r="E35" s="75" t="s">
        <v>28</v>
      </c>
      <c r="F35" s="75" t="s">
        <v>28</v>
      </c>
      <c r="G35" s="77" t="s">
        <v>28</v>
      </c>
      <c r="H35" s="303">
        <v>2554594</v>
      </c>
      <c r="I35" s="203">
        <v>0</v>
      </c>
      <c r="J35" s="203">
        <v>2554594</v>
      </c>
      <c r="K35" s="203">
        <v>8036241</v>
      </c>
      <c r="L35" s="203">
        <v>8036241</v>
      </c>
      <c r="M35" s="78">
        <v>0.3178841948617519</v>
      </c>
      <c r="N35" s="231"/>
      <c r="O35" s="154"/>
      <c r="P35" s="58"/>
      <c r="Q35" s="58"/>
      <c r="R35" s="58"/>
      <c r="S35" s="58"/>
      <c r="T35" s="58"/>
      <c r="U35" s="58"/>
      <c r="V35" s="58"/>
      <c r="W35" s="58"/>
      <c r="X35" s="58"/>
      <c r="Y35" s="58"/>
      <c r="Z35" s="58"/>
    </row>
    <row r="36" spans="1:26" ht="14.4" x14ac:dyDescent="0.3">
      <c r="A36" s="284"/>
      <c r="B36" s="327" t="s">
        <v>30</v>
      </c>
      <c r="C36" s="75" t="s">
        <v>28</v>
      </c>
      <c r="D36" s="75" t="s">
        <v>28</v>
      </c>
      <c r="E36" s="75" t="s">
        <v>28</v>
      </c>
      <c r="F36" s="75" t="s">
        <v>28</v>
      </c>
      <c r="G36" s="77" t="s">
        <v>28</v>
      </c>
      <c r="H36" s="303">
        <v>8308</v>
      </c>
      <c r="I36" s="203">
        <v>0</v>
      </c>
      <c r="J36" s="203">
        <v>8308</v>
      </c>
      <c r="K36" s="203">
        <v>50000</v>
      </c>
      <c r="L36" s="203">
        <v>50000</v>
      </c>
      <c r="M36" s="78">
        <v>0.16616</v>
      </c>
      <c r="N36" s="231"/>
      <c r="O36" s="219"/>
      <c r="P36" s="183"/>
      <c r="Q36" s="183"/>
      <c r="R36" s="58"/>
      <c r="S36" s="58"/>
      <c r="T36" s="58"/>
      <c r="U36" s="58"/>
      <c r="V36" s="58"/>
      <c r="W36" s="58"/>
      <c r="X36" s="58"/>
      <c r="Y36" s="58"/>
      <c r="Z36" s="58"/>
    </row>
    <row r="37" spans="1:26" ht="20.100000000000001" customHeight="1" x14ac:dyDescent="0.3">
      <c r="A37" s="284"/>
      <c r="B37" s="325" t="s">
        <v>31</v>
      </c>
      <c r="C37" s="190">
        <v>122967.61</v>
      </c>
      <c r="D37" s="190">
        <v>756875.70804199995</v>
      </c>
      <c r="E37" s="190">
        <v>756875.70804199995</v>
      </c>
      <c r="F37" s="190">
        <v>754663</v>
      </c>
      <c r="G37" s="76">
        <v>0.1629437378008462</v>
      </c>
      <c r="H37" s="304">
        <v>37501885</v>
      </c>
      <c r="I37" s="204">
        <v>21377848.050000001</v>
      </c>
      <c r="J37" s="204">
        <v>16124036.949999999</v>
      </c>
      <c r="K37" s="204">
        <v>234920485</v>
      </c>
      <c r="L37" s="204">
        <v>234920488</v>
      </c>
      <c r="M37" s="181">
        <v>0.15963650220239625</v>
      </c>
      <c r="N37" s="231"/>
      <c r="O37" s="153"/>
      <c r="P37" s="58"/>
      <c r="Q37" s="58"/>
      <c r="R37" s="58"/>
      <c r="S37" s="58"/>
      <c r="T37" s="58"/>
      <c r="U37" s="58"/>
      <c r="V37" s="58"/>
      <c r="W37" s="58"/>
      <c r="X37" s="58"/>
      <c r="Y37" s="58"/>
      <c r="Z37" s="58"/>
    </row>
    <row r="38" spans="1:26" ht="20.100000000000001" customHeight="1" x14ac:dyDescent="0.3">
      <c r="A38" s="284"/>
      <c r="B38" s="324" t="s">
        <v>293</v>
      </c>
      <c r="C38" s="195"/>
      <c r="D38" s="195"/>
      <c r="E38" s="195"/>
      <c r="F38" s="195"/>
      <c r="G38" s="195"/>
      <c r="H38" s="195"/>
      <c r="I38" s="186"/>
      <c r="J38" s="186"/>
      <c r="K38" s="186"/>
      <c r="L38" s="186"/>
      <c r="M38" s="187"/>
      <c r="N38" s="231"/>
      <c r="O38" s="154"/>
      <c r="P38" s="58"/>
      <c r="Q38" s="58"/>
      <c r="R38" s="58"/>
      <c r="S38" s="58"/>
      <c r="T38" s="58"/>
      <c r="U38" s="58"/>
      <c r="V38" s="58"/>
      <c r="W38" s="58"/>
      <c r="X38" s="58"/>
      <c r="Y38" s="58"/>
      <c r="Z38" s="58"/>
    </row>
    <row r="39" spans="1:26" ht="14.4" x14ac:dyDescent="0.3">
      <c r="A39" s="284"/>
      <c r="B39" s="327" t="s">
        <v>32</v>
      </c>
      <c r="C39" s="75">
        <v>44460.800000000003</v>
      </c>
      <c r="D39" s="75">
        <v>189724</v>
      </c>
      <c r="E39" s="191">
        <v>189724</v>
      </c>
      <c r="F39" s="191">
        <v>189139</v>
      </c>
      <c r="G39" s="77">
        <v>0.23506944628024892</v>
      </c>
      <c r="H39" s="303">
        <v>13086448</v>
      </c>
      <c r="I39" s="203">
        <v>8506191.2000000011</v>
      </c>
      <c r="J39" s="203">
        <v>4580256.8</v>
      </c>
      <c r="K39" s="203">
        <v>59524123</v>
      </c>
      <c r="L39" s="203">
        <v>59524123</v>
      </c>
      <c r="M39" s="78">
        <v>0.21985116857580581</v>
      </c>
      <c r="N39" s="231"/>
      <c r="O39" s="154"/>
      <c r="P39" s="58"/>
      <c r="Q39" s="58"/>
      <c r="R39" s="58"/>
      <c r="S39" s="58"/>
      <c r="T39" s="58"/>
      <c r="U39" s="58"/>
      <c r="V39" s="58"/>
      <c r="W39" s="58"/>
      <c r="X39" s="58"/>
      <c r="Y39" s="58"/>
      <c r="Z39" s="58"/>
    </row>
    <row r="40" spans="1:26" ht="14.4" x14ac:dyDescent="0.3">
      <c r="A40" s="335"/>
      <c r="B40" s="326" t="s">
        <v>33</v>
      </c>
      <c r="C40" s="290">
        <v>43778.270000000004</v>
      </c>
      <c r="D40" s="237">
        <v>175024</v>
      </c>
      <c r="E40" s="191">
        <v>175024</v>
      </c>
      <c r="F40" s="293">
        <v>175024</v>
      </c>
      <c r="G40" s="78">
        <v>0.25012723969284217</v>
      </c>
      <c r="H40" s="305">
        <v>12286946</v>
      </c>
      <c r="I40" s="203">
        <v>7986514.9000000004</v>
      </c>
      <c r="J40" s="203">
        <v>4300431.0999999996</v>
      </c>
      <c r="K40" s="288">
        <v>51248795</v>
      </c>
      <c r="L40" s="288">
        <v>51248795</v>
      </c>
      <c r="M40" s="78">
        <v>0.23975092487540439</v>
      </c>
      <c r="N40" s="231"/>
      <c r="O40" s="219"/>
      <c r="P40" s="183"/>
      <c r="Q40" s="183"/>
      <c r="R40" s="58"/>
      <c r="S40" s="58"/>
      <c r="T40" s="58"/>
      <c r="U40" s="58"/>
      <c r="V40" s="58"/>
      <c r="W40" s="58"/>
      <c r="X40" s="58"/>
      <c r="Y40" s="58"/>
      <c r="Z40" s="58"/>
    </row>
    <row r="41" spans="1:26" ht="14.4" x14ac:dyDescent="0.3">
      <c r="A41" s="335"/>
      <c r="B41" s="326" t="s">
        <v>34</v>
      </c>
      <c r="C41" s="290">
        <v>682.53</v>
      </c>
      <c r="D41" s="237">
        <v>14700</v>
      </c>
      <c r="E41" s="191">
        <v>14700</v>
      </c>
      <c r="F41" s="293">
        <v>14115</v>
      </c>
      <c r="G41" s="78">
        <v>4.8354941551540909E-2</v>
      </c>
      <c r="H41" s="305">
        <v>799502</v>
      </c>
      <c r="I41" s="203">
        <v>519676.30000000005</v>
      </c>
      <c r="J41" s="203">
        <v>279825.69999999995</v>
      </c>
      <c r="K41" s="288">
        <v>8275328</v>
      </c>
      <c r="L41" s="288">
        <v>8275328</v>
      </c>
      <c r="M41" s="78">
        <v>9.6612726407944188E-2</v>
      </c>
      <c r="N41" s="231"/>
      <c r="O41" s="153"/>
      <c r="P41" s="58"/>
      <c r="Q41" s="58"/>
      <c r="R41" s="58"/>
      <c r="S41" s="58"/>
      <c r="T41" s="58"/>
      <c r="U41" s="58"/>
      <c r="V41" s="58"/>
      <c r="W41" s="58"/>
      <c r="X41" s="58"/>
      <c r="Y41" s="58"/>
      <c r="Z41" s="58"/>
    </row>
    <row r="42" spans="1:26" ht="14.4" hidden="1" x14ac:dyDescent="0.3">
      <c r="A42" s="284"/>
      <c r="B42" s="326" t="s">
        <v>18</v>
      </c>
      <c r="C42" s="290"/>
      <c r="D42" s="239"/>
      <c r="E42" s="191"/>
      <c r="F42" s="293"/>
      <c r="G42" s="78"/>
      <c r="H42" s="305"/>
      <c r="I42" s="203"/>
      <c r="J42" s="203"/>
      <c r="K42" s="288"/>
      <c r="L42" s="288"/>
      <c r="M42" s="78"/>
      <c r="N42" s="231"/>
      <c r="O42" s="154"/>
      <c r="P42" s="58"/>
      <c r="Q42" s="58"/>
      <c r="R42" s="58"/>
      <c r="S42" s="58"/>
      <c r="T42" s="58"/>
      <c r="U42" s="58"/>
      <c r="V42" s="58"/>
      <c r="W42" s="58"/>
      <c r="X42" s="58"/>
      <c r="Y42" s="58"/>
      <c r="Z42" s="58"/>
    </row>
    <row r="43" spans="1:26" ht="14.4" hidden="1" x14ac:dyDescent="0.3">
      <c r="B43" s="323" t="s">
        <v>291</v>
      </c>
      <c r="C43" s="290" t="s">
        <v>28</v>
      </c>
      <c r="D43" s="192" t="s">
        <v>28</v>
      </c>
      <c r="E43" s="191" t="s">
        <v>28</v>
      </c>
      <c r="F43" s="290" t="s">
        <v>28</v>
      </c>
      <c r="G43" s="78" t="s">
        <v>28</v>
      </c>
      <c r="H43" s="305" t="s">
        <v>28</v>
      </c>
      <c r="I43" s="203" t="s">
        <v>28</v>
      </c>
      <c r="J43" s="203" t="s">
        <v>28</v>
      </c>
      <c r="K43" s="288" t="s">
        <v>28</v>
      </c>
      <c r="L43" s="288" t="s">
        <v>28</v>
      </c>
      <c r="M43" s="78" t="s">
        <v>28</v>
      </c>
      <c r="N43" s="231"/>
      <c r="O43" s="154"/>
      <c r="P43" s="58"/>
      <c r="Q43" s="58"/>
      <c r="R43" s="58"/>
      <c r="S43" s="58"/>
      <c r="T43" s="58"/>
      <c r="U43" s="58"/>
      <c r="V43" s="58"/>
      <c r="W43" s="58"/>
      <c r="X43" s="58"/>
      <c r="Y43" s="58"/>
      <c r="Z43" s="58"/>
    </row>
    <row r="44" spans="1:26" ht="14.4" x14ac:dyDescent="0.3">
      <c r="A44" s="335"/>
      <c r="B44" s="327" t="s">
        <v>35</v>
      </c>
      <c r="C44" s="290">
        <v>29222.82</v>
      </c>
      <c r="D44" s="237">
        <v>212171</v>
      </c>
      <c r="E44" s="191">
        <v>212171</v>
      </c>
      <c r="F44" s="293">
        <v>212171</v>
      </c>
      <c r="G44" s="78">
        <v>0.13773239509640808</v>
      </c>
      <c r="H44" s="305">
        <v>9802157</v>
      </c>
      <c r="I44" s="203">
        <v>6371402.0499999998</v>
      </c>
      <c r="J44" s="203">
        <v>3430754.95</v>
      </c>
      <c r="K44" s="288">
        <v>75360609</v>
      </c>
      <c r="L44" s="288">
        <v>75360609</v>
      </c>
      <c r="M44" s="78">
        <v>0.13007003433318859</v>
      </c>
      <c r="N44" s="231"/>
      <c r="O44" s="219"/>
      <c r="P44" s="183"/>
      <c r="Q44" s="183"/>
      <c r="R44" s="58"/>
      <c r="S44" s="58"/>
      <c r="T44" s="58"/>
      <c r="U44" s="58"/>
      <c r="V44" s="58"/>
      <c r="W44" s="58"/>
      <c r="X44" s="58"/>
      <c r="Y44" s="58"/>
      <c r="Z44" s="58"/>
    </row>
    <row r="45" spans="1:26" ht="14.4" x14ac:dyDescent="0.3">
      <c r="A45" s="335"/>
      <c r="B45" s="327" t="s">
        <v>36</v>
      </c>
      <c r="C45" s="290">
        <v>22324</v>
      </c>
      <c r="D45" s="237">
        <v>95103</v>
      </c>
      <c r="E45" s="191">
        <v>95103</v>
      </c>
      <c r="F45" s="293">
        <v>91463</v>
      </c>
      <c r="G45" s="78">
        <v>0.24407683981500716</v>
      </c>
      <c r="H45" s="305">
        <v>3899666</v>
      </c>
      <c r="I45" s="203">
        <v>2534782.9</v>
      </c>
      <c r="J45" s="203">
        <v>1364883.1</v>
      </c>
      <c r="K45" s="288">
        <v>13402537</v>
      </c>
      <c r="L45" s="288">
        <v>13402537</v>
      </c>
      <c r="M45" s="78">
        <v>0.29096476286541867</v>
      </c>
      <c r="N45" s="231"/>
      <c r="O45" s="153"/>
      <c r="P45" s="58"/>
      <c r="Q45" s="58"/>
      <c r="R45" s="58"/>
      <c r="S45" s="58"/>
      <c r="T45" s="58"/>
      <c r="U45" s="58"/>
      <c r="V45" s="58"/>
      <c r="W45" s="58"/>
      <c r="X45" s="58"/>
      <c r="Y45" s="58"/>
      <c r="Z45" s="58"/>
    </row>
    <row r="46" spans="1:26" ht="14.4" x14ac:dyDescent="0.3">
      <c r="A46" s="284"/>
      <c r="B46" s="327" t="s">
        <v>37</v>
      </c>
      <c r="C46" s="290">
        <v>4292</v>
      </c>
      <c r="D46" s="237">
        <v>16700</v>
      </c>
      <c r="E46" s="191">
        <v>16700</v>
      </c>
      <c r="F46" s="293">
        <v>16499</v>
      </c>
      <c r="G46" s="78">
        <v>0.26013697799866659</v>
      </c>
      <c r="H46" s="305" t="s">
        <v>28</v>
      </c>
      <c r="I46" s="203" t="s">
        <v>28</v>
      </c>
      <c r="J46" s="203" t="s">
        <v>28</v>
      </c>
      <c r="K46" s="288" t="s">
        <v>28</v>
      </c>
      <c r="L46" s="288" t="s">
        <v>28</v>
      </c>
      <c r="M46" s="78" t="s">
        <v>28</v>
      </c>
      <c r="N46" s="231"/>
      <c r="O46" s="154"/>
      <c r="P46" s="58"/>
      <c r="Q46" s="58"/>
      <c r="R46" s="58"/>
      <c r="S46" s="58"/>
      <c r="T46" s="58"/>
      <c r="U46" s="58"/>
      <c r="V46" s="58"/>
      <c r="W46" s="58"/>
      <c r="X46" s="58"/>
      <c r="Y46" s="58"/>
      <c r="Z46" s="58"/>
    </row>
    <row r="47" spans="1:26" ht="14.4" x14ac:dyDescent="0.3">
      <c r="A47" s="335"/>
      <c r="B47" s="327" t="s">
        <v>38</v>
      </c>
      <c r="C47" s="290">
        <v>4448.3</v>
      </c>
      <c r="D47" s="192">
        <v>52245</v>
      </c>
      <c r="E47" s="191">
        <v>52245</v>
      </c>
      <c r="F47" s="293">
        <v>52225</v>
      </c>
      <c r="G47" s="78">
        <v>8.5175682144566778E-2</v>
      </c>
      <c r="H47" s="305">
        <v>1148448</v>
      </c>
      <c r="I47" s="203">
        <v>746491.20000000007</v>
      </c>
      <c r="J47" s="203">
        <v>401956.79999999993</v>
      </c>
      <c r="K47" s="288">
        <v>17115684</v>
      </c>
      <c r="L47" s="288">
        <v>17115684</v>
      </c>
      <c r="M47" s="78">
        <v>6.709915887673551E-2</v>
      </c>
      <c r="N47" s="231"/>
      <c r="O47" s="219"/>
      <c r="P47" s="183"/>
      <c r="Q47" s="183"/>
      <c r="R47" s="58"/>
      <c r="S47" s="58"/>
      <c r="T47" s="58"/>
      <c r="U47" s="58"/>
      <c r="V47" s="58"/>
      <c r="W47" s="58"/>
      <c r="X47" s="58"/>
      <c r="Y47" s="58"/>
      <c r="Z47" s="58"/>
    </row>
    <row r="48" spans="1:26" ht="14.4" x14ac:dyDescent="0.3">
      <c r="A48" s="335"/>
      <c r="B48" s="327" t="s">
        <v>39</v>
      </c>
      <c r="C48" s="290">
        <v>842.68</v>
      </c>
      <c r="D48" s="192">
        <v>36100</v>
      </c>
      <c r="E48" s="191">
        <v>36100</v>
      </c>
      <c r="F48" s="293">
        <v>36101</v>
      </c>
      <c r="G48" s="78">
        <v>2.3342289687266281E-2</v>
      </c>
      <c r="H48" s="305">
        <v>672290</v>
      </c>
      <c r="I48" s="203">
        <v>436988.5</v>
      </c>
      <c r="J48" s="203">
        <v>235301.5</v>
      </c>
      <c r="K48" s="288">
        <v>12669953</v>
      </c>
      <c r="L48" s="288">
        <v>12669953</v>
      </c>
      <c r="M48" s="78">
        <v>5.3061759581902158E-2</v>
      </c>
      <c r="N48" s="231"/>
      <c r="O48" s="153"/>
      <c r="P48" s="58"/>
      <c r="Q48" s="58"/>
      <c r="R48" s="58"/>
      <c r="S48" s="58"/>
      <c r="T48" s="58"/>
      <c r="U48" s="58"/>
      <c r="V48" s="58"/>
      <c r="W48" s="58"/>
      <c r="X48" s="58"/>
      <c r="Y48" s="58"/>
      <c r="Z48" s="58"/>
    </row>
    <row r="49" spans="1:26" ht="14.4" x14ac:dyDescent="0.3">
      <c r="A49" s="335"/>
      <c r="B49" s="327" t="s">
        <v>40</v>
      </c>
      <c r="C49" s="290">
        <v>4128.3900000000003</v>
      </c>
      <c r="D49" s="192">
        <v>37862</v>
      </c>
      <c r="E49" s="191">
        <v>37862</v>
      </c>
      <c r="F49" s="293">
        <v>37763</v>
      </c>
      <c r="G49" s="78">
        <v>0.10932367661467575</v>
      </c>
      <c r="H49" s="305">
        <v>1647006</v>
      </c>
      <c r="I49" s="203">
        <v>0</v>
      </c>
      <c r="J49" s="203">
        <v>1647006</v>
      </c>
      <c r="K49" s="288">
        <v>8256814</v>
      </c>
      <c r="L49" s="288">
        <v>8256814</v>
      </c>
      <c r="M49" s="78">
        <v>0.19947233884643642</v>
      </c>
      <c r="N49" s="231"/>
      <c r="O49" s="154"/>
      <c r="P49" s="58"/>
      <c r="Q49" s="58"/>
      <c r="R49" s="58"/>
      <c r="S49" s="58"/>
      <c r="T49" s="58"/>
      <c r="U49" s="58"/>
      <c r="V49" s="58"/>
      <c r="W49" s="58"/>
      <c r="X49" s="58"/>
      <c r="Y49" s="58"/>
      <c r="Z49" s="58"/>
    </row>
    <row r="50" spans="1:26" ht="14.4" x14ac:dyDescent="0.3">
      <c r="A50" s="335"/>
      <c r="B50" s="327" t="s">
        <v>41</v>
      </c>
      <c r="C50" s="290">
        <v>296.32</v>
      </c>
      <c r="D50" s="192">
        <v>5204</v>
      </c>
      <c r="E50" s="191">
        <v>5204</v>
      </c>
      <c r="F50" s="293">
        <v>5434</v>
      </c>
      <c r="G50" s="78">
        <v>5.4530732425469269E-2</v>
      </c>
      <c r="H50" s="305">
        <v>260150</v>
      </c>
      <c r="I50" s="203">
        <v>169097.5</v>
      </c>
      <c r="J50" s="203">
        <v>91052.5</v>
      </c>
      <c r="K50" s="288">
        <v>2795623</v>
      </c>
      <c r="L50" s="288">
        <v>2795623</v>
      </c>
      <c r="M50" s="78">
        <v>9.3056181037285787E-2</v>
      </c>
      <c r="N50" s="231"/>
      <c r="O50" s="219"/>
      <c r="P50" s="183"/>
      <c r="Q50" s="183"/>
      <c r="R50" s="58"/>
      <c r="S50" s="58"/>
      <c r="T50" s="58"/>
      <c r="U50" s="58"/>
      <c r="V50" s="58"/>
      <c r="W50" s="58"/>
      <c r="X50" s="58"/>
      <c r="Y50" s="58"/>
      <c r="Z50" s="58"/>
    </row>
    <row r="51" spans="1:26" ht="14.4" x14ac:dyDescent="0.3">
      <c r="A51" s="335"/>
      <c r="B51" s="327" t="s">
        <v>42</v>
      </c>
      <c r="C51" s="290" t="s">
        <v>28</v>
      </c>
      <c r="D51" s="234" t="s">
        <v>28</v>
      </c>
      <c r="E51" s="191" t="s">
        <v>28</v>
      </c>
      <c r="F51" s="290" t="s">
        <v>28</v>
      </c>
      <c r="G51" s="78" t="s">
        <v>28</v>
      </c>
      <c r="H51" s="305">
        <v>122807</v>
      </c>
      <c r="I51" s="203">
        <v>79824.55</v>
      </c>
      <c r="J51" s="203">
        <v>42982.45</v>
      </c>
      <c r="K51" s="288">
        <v>1131657</v>
      </c>
      <c r="L51" s="288">
        <v>1131657</v>
      </c>
      <c r="M51" s="78">
        <v>0.10851963094824668</v>
      </c>
      <c r="N51" s="231"/>
      <c r="O51" s="153"/>
      <c r="P51" s="58"/>
      <c r="Q51" s="58"/>
      <c r="R51" s="58"/>
      <c r="S51" s="58"/>
      <c r="T51" s="58"/>
      <c r="U51" s="58"/>
      <c r="V51" s="58"/>
      <c r="W51" s="58"/>
      <c r="X51" s="58"/>
      <c r="Y51" s="58"/>
      <c r="Z51" s="58"/>
    </row>
    <row r="52" spans="1:26" ht="14.4" x14ac:dyDescent="0.3">
      <c r="A52" s="335"/>
      <c r="B52" s="327" t="s">
        <v>43</v>
      </c>
      <c r="C52" s="290">
        <v>374</v>
      </c>
      <c r="D52" s="192">
        <v>1435</v>
      </c>
      <c r="E52" s="191">
        <v>1435</v>
      </c>
      <c r="F52" s="293">
        <v>1436</v>
      </c>
      <c r="G52" s="78">
        <v>0.26044568245125349</v>
      </c>
      <c r="H52" s="305">
        <v>138962</v>
      </c>
      <c r="I52" s="203">
        <v>0</v>
      </c>
      <c r="J52" s="203">
        <v>138962</v>
      </c>
      <c r="K52" s="288">
        <v>457456</v>
      </c>
      <c r="L52" s="288">
        <v>457456</v>
      </c>
      <c r="M52" s="78">
        <v>0.30377129166520933</v>
      </c>
      <c r="N52" s="231"/>
      <c r="O52" s="154"/>
      <c r="P52" s="58"/>
      <c r="Q52" s="58"/>
      <c r="R52" s="58"/>
      <c r="S52" s="58"/>
      <c r="T52" s="58"/>
      <c r="U52" s="58"/>
      <c r="V52" s="58"/>
      <c r="W52" s="58"/>
      <c r="X52" s="58"/>
      <c r="Y52" s="58"/>
      <c r="Z52" s="58"/>
    </row>
    <row r="53" spans="1:26" ht="14.4" x14ac:dyDescent="0.3">
      <c r="A53" s="335"/>
      <c r="B53" s="327" t="s">
        <v>44</v>
      </c>
      <c r="C53" s="290" t="s">
        <v>28</v>
      </c>
      <c r="D53" s="234" t="s">
        <v>28</v>
      </c>
      <c r="E53" s="191" t="s">
        <v>28</v>
      </c>
      <c r="F53" s="290" t="s">
        <v>28</v>
      </c>
      <c r="G53" s="75" t="s">
        <v>28</v>
      </c>
      <c r="H53" s="305">
        <v>1652817</v>
      </c>
      <c r="I53" s="203">
        <v>0</v>
      </c>
      <c r="J53" s="203">
        <v>1652817</v>
      </c>
      <c r="K53" s="288">
        <v>6173000</v>
      </c>
      <c r="L53" s="288">
        <v>6173000</v>
      </c>
      <c r="M53" s="78">
        <v>0.2677493925157946</v>
      </c>
      <c r="N53" s="231"/>
      <c r="O53" s="219"/>
      <c r="P53" s="183"/>
      <c r="Q53" s="183"/>
      <c r="R53" s="58"/>
      <c r="S53" s="58"/>
      <c r="T53" s="58"/>
      <c r="U53" s="58"/>
      <c r="V53" s="58"/>
      <c r="W53" s="58"/>
      <c r="X53" s="58"/>
      <c r="Y53" s="58"/>
      <c r="Z53" s="58"/>
    </row>
    <row r="54" spans="1:26" ht="14.4" x14ac:dyDescent="0.3">
      <c r="A54" s="335"/>
      <c r="B54" s="327" t="s">
        <v>45</v>
      </c>
      <c r="C54" s="290" t="s">
        <v>28</v>
      </c>
      <c r="D54" s="234" t="s">
        <v>28</v>
      </c>
      <c r="E54" s="191" t="s">
        <v>28</v>
      </c>
      <c r="F54" s="290" t="s">
        <v>28</v>
      </c>
      <c r="G54" s="75" t="s">
        <v>28</v>
      </c>
      <c r="H54" s="305">
        <v>8308</v>
      </c>
      <c r="I54" s="203">
        <v>0</v>
      </c>
      <c r="J54" s="203">
        <v>8308</v>
      </c>
      <c r="K54" s="288">
        <v>50000</v>
      </c>
      <c r="L54" s="288">
        <v>50000</v>
      </c>
      <c r="M54" s="78">
        <v>0.16616</v>
      </c>
      <c r="N54" s="231"/>
      <c r="O54" s="153"/>
      <c r="P54" s="58"/>
      <c r="Q54" s="58"/>
      <c r="R54" s="58"/>
      <c r="S54" s="58"/>
      <c r="T54" s="58"/>
      <c r="U54" s="58"/>
      <c r="V54" s="58"/>
      <c r="W54" s="58"/>
      <c r="X54" s="58"/>
      <c r="Y54" s="58"/>
      <c r="Z54" s="58"/>
    </row>
    <row r="55" spans="1:26" ht="20.100000000000001" customHeight="1" x14ac:dyDescent="0.3">
      <c r="A55" s="284"/>
      <c r="B55" s="322" t="s">
        <v>46</v>
      </c>
      <c r="C55" s="286">
        <v>110389.31</v>
      </c>
      <c r="D55" s="208">
        <v>646544</v>
      </c>
      <c r="E55" s="208">
        <v>646544</v>
      </c>
      <c r="F55" s="208">
        <v>642231</v>
      </c>
      <c r="G55" s="209">
        <v>0.17188411957691235</v>
      </c>
      <c r="H55" s="306">
        <v>32439059</v>
      </c>
      <c r="I55" s="210">
        <v>18844777.899999999</v>
      </c>
      <c r="J55" s="210">
        <v>13594281.100000001</v>
      </c>
      <c r="K55" s="210">
        <v>196937456</v>
      </c>
      <c r="L55" s="210">
        <v>196937456</v>
      </c>
      <c r="M55" s="79">
        <v>0.16471756901338261</v>
      </c>
      <c r="N55" s="231"/>
      <c r="O55" s="154"/>
      <c r="P55" s="58"/>
      <c r="Q55" s="58"/>
      <c r="R55" s="58"/>
      <c r="S55" s="58"/>
      <c r="T55" s="58"/>
      <c r="U55" s="58"/>
      <c r="V55" s="58"/>
      <c r="W55" s="58"/>
      <c r="X55" s="58"/>
      <c r="Y55" s="58"/>
      <c r="Z55" s="58"/>
    </row>
    <row r="56" spans="1:26" ht="20.100000000000001" customHeight="1" x14ac:dyDescent="0.3">
      <c r="A56" s="284"/>
      <c r="B56" s="321" t="s">
        <v>294</v>
      </c>
      <c r="C56" s="195"/>
      <c r="D56" s="195"/>
      <c r="E56" s="195"/>
      <c r="F56" s="195"/>
      <c r="G56" s="195"/>
      <c r="H56" s="195"/>
      <c r="I56" s="186"/>
      <c r="J56" s="186"/>
      <c r="K56" s="186"/>
      <c r="L56" s="186"/>
      <c r="M56" s="187"/>
      <c r="N56" s="231"/>
      <c r="O56" s="154"/>
      <c r="P56" s="58"/>
      <c r="Q56" s="58"/>
      <c r="R56" s="58"/>
      <c r="S56" s="58"/>
      <c r="T56" s="58"/>
      <c r="U56" s="58"/>
      <c r="V56" s="58"/>
      <c r="W56" s="58"/>
      <c r="X56" s="58"/>
      <c r="Y56" s="58"/>
      <c r="Z56" s="58"/>
    </row>
    <row r="57" spans="1:26" ht="14.4" x14ac:dyDescent="0.3">
      <c r="A57" s="284"/>
      <c r="B57" s="327" t="s">
        <v>47</v>
      </c>
      <c r="C57" s="285">
        <v>5113.4000000000005</v>
      </c>
      <c r="D57" s="188">
        <v>37459.279999999999</v>
      </c>
      <c r="E57" s="188">
        <v>37459.279999999999</v>
      </c>
      <c r="F57" s="188">
        <v>37334</v>
      </c>
      <c r="G57" s="78">
        <v>0.13696362564954198</v>
      </c>
      <c r="H57" s="303">
        <v>2159405</v>
      </c>
      <c r="I57" s="203">
        <v>1403613.25</v>
      </c>
      <c r="J57" s="203">
        <v>755791.75</v>
      </c>
      <c r="K57" s="203">
        <v>13860621</v>
      </c>
      <c r="L57" s="203">
        <v>13860621</v>
      </c>
      <c r="M57" s="78">
        <v>0.15579424615967785</v>
      </c>
      <c r="N57" s="231"/>
      <c r="O57" s="219"/>
      <c r="P57" s="183"/>
      <c r="Q57" s="183"/>
      <c r="R57" s="58"/>
      <c r="S57" s="58"/>
      <c r="T57" s="58"/>
      <c r="U57" s="58"/>
      <c r="V57" s="58"/>
      <c r="W57" s="58"/>
      <c r="X57" s="58"/>
      <c r="Y57" s="58"/>
      <c r="Z57" s="58"/>
    </row>
    <row r="58" spans="1:26" ht="14.4" x14ac:dyDescent="0.3">
      <c r="A58" s="335"/>
      <c r="B58" s="326" t="s">
        <v>48</v>
      </c>
      <c r="C58" s="292">
        <v>5060.05</v>
      </c>
      <c r="D58" s="237">
        <v>35459.279999999999</v>
      </c>
      <c r="E58" s="188">
        <v>35459.279999999999</v>
      </c>
      <c r="F58" s="293">
        <v>35459</v>
      </c>
      <c r="G58" s="78">
        <v>0.14270142982035591</v>
      </c>
      <c r="H58" s="305">
        <v>2072270</v>
      </c>
      <c r="I58" s="203">
        <v>1346975.5</v>
      </c>
      <c r="J58" s="203">
        <v>725294.5</v>
      </c>
      <c r="K58" s="288">
        <v>12528425</v>
      </c>
      <c r="L58" s="288">
        <v>12528425</v>
      </c>
      <c r="M58" s="78">
        <v>0.16540546796584565</v>
      </c>
      <c r="N58" s="231"/>
      <c r="O58" s="153"/>
      <c r="P58" s="58"/>
      <c r="Q58" s="58"/>
      <c r="R58" s="58"/>
      <c r="S58" s="58"/>
      <c r="T58" s="58"/>
      <c r="U58" s="58"/>
      <c r="V58" s="58"/>
      <c r="W58" s="58"/>
      <c r="X58" s="58"/>
      <c r="Y58" s="58"/>
      <c r="Z58" s="58"/>
    </row>
    <row r="59" spans="1:26" ht="14.4" x14ac:dyDescent="0.3">
      <c r="A59" s="335"/>
      <c r="B59" s="326" t="s">
        <v>49</v>
      </c>
      <c r="C59" s="292">
        <v>53.35</v>
      </c>
      <c r="D59" s="237">
        <v>2000</v>
      </c>
      <c r="E59" s="188">
        <v>2000</v>
      </c>
      <c r="F59" s="293">
        <v>1875</v>
      </c>
      <c r="G59" s="78">
        <v>2.8453333333333334E-2</v>
      </c>
      <c r="H59" s="305">
        <v>87135</v>
      </c>
      <c r="I59" s="203">
        <v>56637.75</v>
      </c>
      <c r="J59" s="203">
        <v>30497.25</v>
      </c>
      <c r="K59" s="288">
        <v>1332196</v>
      </c>
      <c r="L59" s="288">
        <v>1332196</v>
      </c>
      <c r="M59" s="78">
        <v>6.5407042207002566E-2</v>
      </c>
      <c r="N59" s="231"/>
      <c r="O59" s="154"/>
      <c r="P59" s="58"/>
      <c r="Q59" s="58"/>
      <c r="R59" s="58"/>
      <c r="S59" s="58"/>
      <c r="T59" s="58"/>
      <c r="U59" s="58"/>
      <c r="V59" s="58"/>
      <c r="W59" s="58"/>
      <c r="X59" s="58"/>
      <c r="Y59" s="58"/>
      <c r="Z59" s="58"/>
    </row>
    <row r="60" spans="1:26" ht="14.4" x14ac:dyDescent="0.3">
      <c r="A60" s="335"/>
      <c r="B60" s="327" t="s">
        <v>50</v>
      </c>
      <c r="C60" s="292">
        <v>1907.17</v>
      </c>
      <c r="D60" s="237">
        <v>36808.428042</v>
      </c>
      <c r="E60" s="188">
        <v>36808.428042</v>
      </c>
      <c r="F60" s="293">
        <v>36805</v>
      </c>
      <c r="G60" s="78">
        <v>5.1818231218584435E-2</v>
      </c>
      <c r="H60" s="305">
        <v>723620</v>
      </c>
      <c r="I60" s="203">
        <v>470353</v>
      </c>
      <c r="J60" s="203">
        <v>253267</v>
      </c>
      <c r="K60" s="288">
        <v>13069425</v>
      </c>
      <c r="L60" s="288">
        <v>13069426</v>
      </c>
      <c r="M60" s="78">
        <v>5.5367389508919521E-2</v>
      </c>
      <c r="N60" s="231"/>
      <c r="O60" s="219"/>
      <c r="P60" s="183"/>
      <c r="Q60" s="183"/>
      <c r="R60" s="58"/>
      <c r="S60" s="58"/>
      <c r="T60" s="58"/>
      <c r="U60" s="58"/>
      <c r="V60" s="58"/>
      <c r="W60" s="58"/>
      <c r="X60" s="58"/>
      <c r="Y60" s="58"/>
      <c r="Z60" s="58"/>
    </row>
    <row r="61" spans="1:26" ht="14.4" x14ac:dyDescent="0.3">
      <c r="A61" s="335"/>
      <c r="B61" s="327" t="s">
        <v>51</v>
      </c>
      <c r="C61" s="292">
        <v>5044</v>
      </c>
      <c r="D61" s="237">
        <v>13994</v>
      </c>
      <c r="E61" s="188">
        <v>13994</v>
      </c>
      <c r="F61" s="293">
        <v>16010</v>
      </c>
      <c r="G61" s="78">
        <v>0.31505309181761398</v>
      </c>
      <c r="H61" s="305">
        <v>527449</v>
      </c>
      <c r="I61" s="203">
        <v>342841.85000000003</v>
      </c>
      <c r="J61" s="203">
        <v>184607.14999999997</v>
      </c>
      <c r="K61" s="288">
        <v>1905330</v>
      </c>
      <c r="L61" s="288">
        <v>1905331</v>
      </c>
      <c r="M61" s="78">
        <v>0.27682801570960636</v>
      </c>
      <c r="N61" s="231"/>
      <c r="O61" s="153"/>
      <c r="P61" s="58"/>
      <c r="Q61" s="58"/>
      <c r="R61" s="58"/>
      <c r="S61" s="58"/>
      <c r="T61" s="58"/>
      <c r="U61" s="58"/>
      <c r="V61" s="58"/>
      <c r="W61" s="58"/>
      <c r="X61" s="58"/>
      <c r="Y61" s="58"/>
      <c r="Z61" s="58"/>
    </row>
    <row r="62" spans="1:26" ht="14.4" hidden="1" x14ac:dyDescent="0.3">
      <c r="A62" s="284"/>
      <c r="B62" s="323" t="s">
        <v>52</v>
      </c>
      <c r="C62" s="290" t="s">
        <v>28</v>
      </c>
      <c r="D62" s="234" t="s">
        <v>28</v>
      </c>
      <c r="E62" s="191" t="s">
        <v>28</v>
      </c>
      <c r="F62" s="290" t="s">
        <v>28</v>
      </c>
      <c r="G62" s="78" t="s">
        <v>28</v>
      </c>
      <c r="H62" s="305" t="s">
        <v>28</v>
      </c>
      <c r="I62" s="203" t="s">
        <v>28</v>
      </c>
      <c r="J62" s="203" t="s">
        <v>28</v>
      </c>
      <c r="K62" s="288" t="s">
        <v>28</v>
      </c>
      <c r="L62" s="288" t="s">
        <v>28</v>
      </c>
      <c r="M62" s="78" t="s">
        <v>28</v>
      </c>
      <c r="N62" s="231"/>
      <c r="O62" s="154"/>
      <c r="P62" s="58"/>
      <c r="Q62" s="58"/>
      <c r="R62" s="58"/>
      <c r="S62" s="58"/>
      <c r="T62" s="58"/>
      <c r="U62" s="58"/>
      <c r="V62" s="58"/>
      <c r="W62" s="58"/>
      <c r="X62" s="58"/>
      <c r="Y62" s="58"/>
      <c r="Z62" s="58"/>
    </row>
    <row r="63" spans="1:26" ht="14.4" x14ac:dyDescent="0.3">
      <c r="A63" s="335"/>
      <c r="B63" s="327" t="s">
        <v>53</v>
      </c>
      <c r="C63" s="292">
        <v>511.33</v>
      </c>
      <c r="D63" s="237">
        <v>13613</v>
      </c>
      <c r="E63" s="188">
        <v>13613</v>
      </c>
      <c r="F63" s="293">
        <v>13613</v>
      </c>
      <c r="G63" s="78">
        <v>3.756188937045471E-2</v>
      </c>
      <c r="H63" s="305">
        <v>390887</v>
      </c>
      <c r="I63" s="203">
        <v>254076.55000000002</v>
      </c>
      <c r="J63" s="203">
        <v>136810.44999999998</v>
      </c>
      <c r="K63" s="288">
        <v>4686146</v>
      </c>
      <c r="L63" s="288">
        <v>4686146</v>
      </c>
      <c r="M63" s="78">
        <v>8.3413320882447961E-2</v>
      </c>
      <c r="N63" s="231"/>
      <c r="O63" s="219"/>
      <c r="P63" s="183"/>
      <c r="Q63" s="183"/>
      <c r="R63" s="58"/>
      <c r="S63" s="58"/>
      <c r="T63" s="58"/>
      <c r="U63" s="58"/>
      <c r="V63" s="58"/>
      <c r="W63" s="58"/>
      <c r="X63" s="58"/>
      <c r="Y63" s="58"/>
      <c r="Z63" s="58"/>
    </row>
    <row r="64" spans="1:26" ht="14.4" x14ac:dyDescent="0.3">
      <c r="A64" s="335"/>
      <c r="B64" s="327" t="s">
        <v>54</v>
      </c>
      <c r="C64" s="292">
        <v>0</v>
      </c>
      <c r="D64" s="237">
        <v>7550</v>
      </c>
      <c r="E64" s="188">
        <v>7550</v>
      </c>
      <c r="F64" s="293">
        <v>7551</v>
      </c>
      <c r="G64" s="78">
        <v>0</v>
      </c>
      <c r="H64" s="305">
        <v>257863</v>
      </c>
      <c r="I64" s="203">
        <v>0</v>
      </c>
      <c r="J64" s="203">
        <v>257863</v>
      </c>
      <c r="K64" s="288">
        <v>1570569</v>
      </c>
      <c r="L64" s="288">
        <v>1570569</v>
      </c>
      <c r="M64" s="78">
        <v>0.16418444525519096</v>
      </c>
      <c r="N64" s="231"/>
      <c r="O64" s="153"/>
      <c r="P64" s="58"/>
      <c r="Q64" s="58"/>
      <c r="R64" s="58"/>
      <c r="S64" s="58"/>
      <c r="T64" s="58"/>
      <c r="U64" s="58"/>
      <c r="V64" s="58"/>
      <c r="W64" s="58"/>
      <c r="X64" s="58"/>
      <c r="Y64" s="58"/>
      <c r="Z64" s="58"/>
    </row>
    <row r="65" spans="1:26" ht="14.4" x14ac:dyDescent="0.3">
      <c r="A65" s="335"/>
      <c r="B65" s="327" t="s">
        <v>55</v>
      </c>
      <c r="C65" s="292">
        <v>0</v>
      </c>
      <c r="D65" s="237">
        <v>833</v>
      </c>
      <c r="E65" s="188">
        <v>833</v>
      </c>
      <c r="F65" s="293">
        <v>1044</v>
      </c>
      <c r="G65" s="78">
        <v>0</v>
      </c>
      <c r="H65" s="305">
        <v>32915</v>
      </c>
      <c r="I65" s="203">
        <v>21394.75</v>
      </c>
      <c r="J65" s="203">
        <v>11520.25</v>
      </c>
      <c r="K65" s="288">
        <v>435778</v>
      </c>
      <c r="L65" s="288">
        <v>435779</v>
      </c>
      <c r="M65" s="78">
        <v>7.5531404679895081E-2</v>
      </c>
      <c r="N65" s="406"/>
      <c r="O65" s="154"/>
      <c r="P65" s="58"/>
      <c r="Q65" s="58"/>
      <c r="R65" s="58"/>
      <c r="S65" s="58"/>
      <c r="T65" s="58"/>
      <c r="U65" s="58"/>
      <c r="V65" s="58"/>
      <c r="W65" s="58"/>
      <c r="X65" s="58"/>
      <c r="Y65" s="58"/>
      <c r="Z65" s="58"/>
    </row>
    <row r="66" spans="1:26" ht="14.4" x14ac:dyDescent="0.3">
      <c r="A66" s="335"/>
      <c r="B66" s="327" t="s">
        <v>56</v>
      </c>
      <c r="C66" s="290" t="s">
        <v>28</v>
      </c>
      <c r="D66" s="234" t="s">
        <v>28</v>
      </c>
      <c r="E66" s="191" t="s">
        <v>28</v>
      </c>
      <c r="F66" s="290" t="s">
        <v>28</v>
      </c>
      <c r="G66" s="78" t="s">
        <v>28</v>
      </c>
      <c r="H66" s="305">
        <v>62755</v>
      </c>
      <c r="I66" s="203">
        <v>40790.75</v>
      </c>
      <c r="J66" s="203">
        <v>21964.25</v>
      </c>
      <c r="K66" s="288">
        <v>568343</v>
      </c>
      <c r="L66" s="288">
        <v>568343</v>
      </c>
      <c r="M66" s="78">
        <v>0.11041747677018983</v>
      </c>
      <c r="N66" s="231"/>
      <c r="O66" s="219"/>
      <c r="P66" s="183"/>
      <c r="Q66" s="183"/>
      <c r="R66" s="58"/>
      <c r="S66" s="58"/>
      <c r="T66" s="58"/>
      <c r="U66" s="58"/>
      <c r="V66" s="58"/>
      <c r="W66" s="58"/>
      <c r="X66" s="58"/>
      <c r="Y66" s="58"/>
      <c r="Z66" s="58"/>
    </row>
    <row r="67" spans="1:26" ht="14.4" x14ac:dyDescent="0.3">
      <c r="A67" s="335"/>
      <c r="B67" s="327" t="s">
        <v>57</v>
      </c>
      <c r="C67" s="292">
        <v>2.4</v>
      </c>
      <c r="D67" s="237">
        <v>74</v>
      </c>
      <c r="E67" s="188">
        <v>74</v>
      </c>
      <c r="F67" s="293">
        <v>75</v>
      </c>
      <c r="G67" s="78">
        <v>3.2000000000000001E-2</v>
      </c>
      <c r="H67" s="305">
        <v>6155</v>
      </c>
      <c r="I67" s="203">
        <v>0</v>
      </c>
      <c r="J67" s="203">
        <v>6155</v>
      </c>
      <c r="K67" s="288">
        <v>23576</v>
      </c>
      <c r="L67" s="288">
        <v>23576</v>
      </c>
      <c r="M67" s="78">
        <v>0.2610705802511028</v>
      </c>
      <c r="N67" s="231"/>
      <c r="O67" s="153"/>
      <c r="P67" s="58"/>
      <c r="Q67" s="58"/>
      <c r="R67" s="58"/>
      <c r="S67" s="58"/>
      <c r="T67" s="58"/>
      <c r="U67" s="58"/>
      <c r="V67" s="58"/>
      <c r="W67" s="58"/>
      <c r="X67" s="58"/>
      <c r="Y67" s="58"/>
      <c r="Z67" s="58"/>
    </row>
    <row r="68" spans="1:26" ht="14.4" x14ac:dyDescent="0.3">
      <c r="A68" s="335"/>
      <c r="B68" s="327" t="s">
        <v>58</v>
      </c>
      <c r="C68" s="290" t="s">
        <v>28</v>
      </c>
      <c r="D68" s="234" t="s">
        <v>28</v>
      </c>
      <c r="E68" s="75" t="s">
        <v>28</v>
      </c>
      <c r="F68" s="290" t="s">
        <v>28</v>
      </c>
      <c r="G68" s="75" t="s">
        <v>28</v>
      </c>
      <c r="H68" s="305">
        <v>901777</v>
      </c>
      <c r="I68" s="203">
        <v>0</v>
      </c>
      <c r="J68" s="203">
        <v>901777</v>
      </c>
      <c r="K68" s="288">
        <v>1863241</v>
      </c>
      <c r="L68" s="288">
        <v>1863241</v>
      </c>
      <c r="M68" s="78">
        <v>0.48398301668973581</v>
      </c>
      <c r="N68" s="231"/>
      <c r="O68" s="154"/>
      <c r="P68" s="58"/>
      <c r="Q68" s="58"/>
      <c r="R68" s="58"/>
      <c r="S68" s="58"/>
      <c r="T68" s="58"/>
      <c r="U68" s="58"/>
      <c r="V68" s="58"/>
      <c r="W68" s="58"/>
      <c r="X68" s="58"/>
      <c r="Y68" s="58"/>
      <c r="Z68" s="58"/>
    </row>
    <row r="69" spans="1:26" ht="20.100000000000001" customHeight="1" x14ac:dyDescent="0.3">
      <c r="A69" s="284"/>
      <c r="B69" s="322" t="s">
        <v>59</v>
      </c>
      <c r="C69" s="286">
        <v>12578.3</v>
      </c>
      <c r="D69" s="208">
        <v>110331.708042</v>
      </c>
      <c r="E69" s="208">
        <v>110331.708042</v>
      </c>
      <c r="F69" s="208">
        <v>112432</v>
      </c>
      <c r="G69" s="209">
        <v>0.11187473317205066</v>
      </c>
      <c r="H69" s="306">
        <v>5062826</v>
      </c>
      <c r="I69" s="210">
        <v>2533070.15</v>
      </c>
      <c r="J69" s="210">
        <v>2529755.8499999996</v>
      </c>
      <c r="K69" s="210">
        <v>37983029</v>
      </c>
      <c r="L69" s="210">
        <v>37983032</v>
      </c>
      <c r="M69" s="79">
        <v>0.13329178144598883</v>
      </c>
      <c r="N69" s="231"/>
      <c r="O69" s="219"/>
      <c r="P69" s="183"/>
      <c r="Q69" s="183"/>
      <c r="R69" s="58"/>
      <c r="S69" s="58"/>
      <c r="T69" s="58"/>
      <c r="U69" s="58"/>
      <c r="V69" s="58"/>
      <c r="W69" s="58"/>
      <c r="X69" s="58"/>
      <c r="Y69" s="58"/>
      <c r="Z69" s="58"/>
    </row>
    <row r="70" spans="1:26" ht="20.100000000000001" customHeight="1" x14ac:dyDescent="0.3">
      <c r="A70" s="284"/>
      <c r="B70" s="320" t="s">
        <v>60</v>
      </c>
      <c r="C70" s="193"/>
      <c r="D70" s="193"/>
      <c r="E70" s="193"/>
      <c r="F70" s="193"/>
      <c r="G70" s="336"/>
      <c r="H70" s="200"/>
      <c r="I70" s="14"/>
      <c r="J70" s="14"/>
      <c r="K70" s="14"/>
      <c r="L70" s="14"/>
      <c r="M70" s="15"/>
      <c r="N70" s="231"/>
      <c r="O70" s="153"/>
      <c r="P70" s="58"/>
      <c r="Q70" s="58"/>
      <c r="R70" s="58"/>
      <c r="S70" s="58"/>
      <c r="T70" s="58"/>
      <c r="U70" s="58"/>
      <c r="V70" s="58"/>
      <c r="W70" s="58"/>
      <c r="X70" s="58"/>
      <c r="Y70" s="58"/>
      <c r="Z70" s="58"/>
    </row>
    <row r="71" spans="1:26" ht="14.4" x14ac:dyDescent="0.3">
      <c r="A71" s="335"/>
      <c r="B71" s="327" t="s">
        <v>61</v>
      </c>
      <c r="C71" s="285">
        <v>23863</v>
      </c>
      <c r="D71" s="188">
        <v>93451</v>
      </c>
      <c r="E71" s="188">
        <v>93451</v>
      </c>
      <c r="F71" s="189">
        <v>93451</v>
      </c>
      <c r="G71" s="77">
        <v>0.2553530727333041</v>
      </c>
      <c r="H71" s="302">
        <v>1547670</v>
      </c>
      <c r="I71" s="202">
        <v>1005985.5</v>
      </c>
      <c r="J71" s="203">
        <v>541684.5</v>
      </c>
      <c r="K71" s="203">
        <v>6259880</v>
      </c>
      <c r="L71" s="203">
        <v>6259880</v>
      </c>
      <c r="M71" s="78">
        <v>0.24723636874828273</v>
      </c>
      <c r="N71" s="231"/>
      <c r="O71" s="154"/>
      <c r="P71" s="58"/>
      <c r="Q71" s="58"/>
      <c r="R71" s="58"/>
      <c r="S71" s="58"/>
      <c r="T71" s="58"/>
      <c r="U71" s="58"/>
      <c r="V71" s="58"/>
      <c r="W71" s="58"/>
      <c r="X71" s="58"/>
      <c r="Y71" s="58"/>
      <c r="Z71" s="58"/>
    </row>
    <row r="72" spans="1:26" ht="14.4" x14ac:dyDescent="0.3">
      <c r="A72" s="335"/>
      <c r="B72" s="327" t="s">
        <v>62</v>
      </c>
      <c r="C72" s="285">
        <v>3555</v>
      </c>
      <c r="D72" s="188">
        <v>14309</v>
      </c>
      <c r="E72" s="188">
        <v>14309</v>
      </c>
      <c r="F72" s="189">
        <v>14309</v>
      </c>
      <c r="G72" s="77">
        <v>0.24844503459361242</v>
      </c>
      <c r="H72" s="302">
        <v>4430561.5</v>
      </c>
      <c r="I72" s="202">
        <v>2879864.9750000001</v>
      </c>
      <c r="J72" s="203">
        <v>1550696.5249999999</v>
      </c>
      <c r="K72" s="203">
        <v>32319012</v>
      </c>
      <c r="L72" s="203">
        <v>32319012</v>
      </c>
      <c r="M72" s="78">
        <v>0.13708839552397209</v>
      </c>
      <c r="N72" s="231"/>
      <c r="O72" s="219"/>
      <c r="P72" s="183"/>
      <c r="Q72" s="183"/>
      <c r="R72" s="58"/>
      <c r="S72" s="58"/>
      <c r="T72" s="58"/>
      <c r="U72" s="58"/>
      <c r="V72" s="58"/>
      <c r="W72" s="58"/>
      <c r="X72" s="58"/>
      <c r="Y72" s="58"/>
      <c r="Z72" s="58"/>
    </row>
    <row r="73" spans="1:26" ht="14.4" x14ac:dyDescent="0.3">
      <c r="A73" s="335"/>
      <c r="B73" s="327" t="s">
        <v>63</v>
      </c>
      <c r="C73" s="285">
        <v>4540</v>
      </c>
      <c r="D73" s="188">
        <v>33860</v>
      </c>
      <c r="E73" s="188">
        <v>33860</v>
      </c>
      <c r="F73" s="189">
        <v>33862</v>
      </c>
      <c r="G73" s="77">
        <v>0.13407359281790798</v>
      </c>
      <c r="H73" s="302">
        <v>6342832.2000000002</v>
      </c>
      <c r="I73" s="202">
        <v>4122840.93</v>
      </c>
      <c r="J73" s="203">
        <v>2219991.27</v>
      </c>
      <c r="K73" s="203">
        <v>35329334</v>
      </c>
      <c r="L73" s="203">
        <v>35329334</v>
      </c>
      <c r="M73" s="78">
        <v>0.17953444013408235</v>
      </c>
      <c r="N73" s="231"/>
      <c r="O73" s="153"/>
      <c r="P73" s="58"/>
      <c r="Q73" s="58"/>
      <c r="R73" s="58"/>
      <c r="S73" s="58"/>
      <c r="T73" s="58"/>
      <c r="U73" s="58"/>
      <c r="V73" s="58"/>
      <c r="W73" s="58"/>
      <c r="X73" s="58"/>
      <c r="Y73" s="58"/>
      <c r="Z73" s="58"/>
    </row>
    <row r="74" spans="1:26" ht="14.4" x14ac:dyDescent="0.3">
      <c r="A74" s="284"/>
      <c r="B74" s="327" t="s">
        <v>64</v>
      </c>
      <c r="C74" s="285">
        <v>88175</v>
      </c>
      <c r="D74" s="188">
        <v>203466.21002319999</v>
      </c>
      <c r="E74" s="188">
        <v>203466.21002319999</v>
      </c>
      <c r="F74" s="189">
        <v>203466</v>
      </c>
      <c r="G74" s="77">
        <v>0.4333647882201449</v>
      </c>
      <c r="H74" s="302">
        <v>8500418.7599999979</v>
      </c>
      <c r="I74" s="202">
        <v>5525272.1939999992</v>
      </c>
      <c r="J74" s="203">
        <v>2975146.5659999996</v>
      </c>
      <c r="K74" s="203">
        <v>35353710</v>
      </c>
      <c r="L74" s="203">
        <v>35353711</v>
      </c>
      <c r="M74" s="78">
        <v>0.24043922178353491</v>
      </c>
      <c r="N74" s="231"/>
      <c r="O74" s="154"/>
      <c r="P74" s="58"/>
      <c r="Q74" s="58"/>
      <c r="R74" s="58"/>
      <c r="S74" s="58"/>
      <c r="T74" s="58"/>
      <c r="U74" s="58"/>
      <c r="V74" s="58"/>
      <c r="W74" s="58"/>
      <c r="X74" s="58"/>
      <c r="Y74" s="58"/>
      <c r="Z74" s="58"/>
    </row>
    <row r="75" spans="1:26" ht="14.4" x14ac:dyDescent="0.3">
      <c r="A75" s="284"/>
      <c r="B75" s="327" t="s">
        <v>65</v>
      </c>
      <c r="C75" s="285">
        <v>57467.520000000004</v>
      </c>
      <c r="D75" s="188">
        <v>260360.18</v>
      </c>
      <c r="E75" s="188">
        <v>260360.18</v>
      </c>
      <c r="F75" s="188">
        <v>260360</v>
      </c>
      <c r="G75" s="77">
        <v>0.22072330619142727</v>
      </c>
      <c r="H75" s="303">
        <v>3963662.38</v>
      </c>
      <c r="I75" s="203">
        <v>2576380.5470000003</v>
      </c>
      <c r="J75" s="203">
        <v>1387281.8329999999</v>
      </c>
      <c r="K75" s="203">
        <v>15928440</v>
      </c>
      <c r="L75" s="203">
        <v>15928440</v>
      </c>
      <c r="M75" s="78">
        <v>0.24884184389682856</v>
      </c>
      <c r="N75" s="231"/>
      <c r="O75" s="219"/>
      <c r="P75" s="183"/>
      <c r="Q75" s="183"/>
      <c r="R75" s="58"/>
      <c r="S75" s="58"/>
      <c r="T75" s="58"/>
      <c r="U75" s="58"/>
      <c r="V75" s="58"/>
      <c r="W75" s="58"/>
      <c r="X75" s="58"/>
      <c r="Y75" s="58"/>
      <c r="Z75" s="58"/>
    </row>
    <row r="76" spans="1:26" ht="14.4" x14ac:dyDescent="0.3">
      <c r="A76" s="284"/>
      <c r="B76" s="327" t="s">
        <v>66</v>
      </c>
      <c r="C76" s="285">
        <v>276</v>
      </c>
      <c r="D76" s="188">
        <v>2895</v>
      </c>
      <c r="E76" s="188">
        <v>2895</v>
      </c>
      <c r="F76" s="188">
        <v>2895</v>
      </c>
      <c r="G76" s="77">
        <v>9.5336787564766837E-2</v>
      </c>
      <c r="H76" s="303">
        <v>300849.46999999997</v>
      </c>
      <c r="I76" s="203">
        <v>195552.15549999999</v>
      </c>
      <c r="J76" s="203">
        <v>105297.31449999998</v>
      </c>
      <c r="K76" s="203">
        <v>1737537</v>
      </c>
      <c r="L76" s="203">
        <v>1737537</v>
      </c>
      <c r="M76" s="78">
        <v>0.17314708693973133</v>
      </c>
      <c r="N76" s="231"/>
      <c r="O76" s="153"/>
      <c r="P76" s="58"/>
      <c r="Q76" s="58"/>
      <c r="R76" s="58"/>
      <c r="S76" s="58"/>
      <c r="T76" s="58"/>
      <c r="U76" s="58"/>
      <c r="V76" s="58"/>
      <c r="W76" s="58"/>
      <c r="X76" s="58"/>
      <c r="Y76" s="58"/>
      <c r="Z76" s="58"/>
    </row>
    <row r="77" spans="1:26" ht="14.4" x14ac:dyDescent="0.3">
      <c r="A77" s="284"/>
      <c r="B77" s="327" t="s">
        <v>67</v>
      </c>
      <c r="C77" s="285">
        <v>13</v>
      </c>
      <c r="D77" s="188">
        <v>226</v>
      </c>
      <c r="E77" s="188">
        <v>226</v>
      </c>
      <c r="F77" s="188">
        <v>226</v>
      </c>
      <c r="G77" s="77">
        <v>5.7522123893805309E-2</v>
      </c>
      <c r="H77" s="303">
        <v>14033.08</v>
      </c>
      <c r="I77" s="203">
        <v>9121.5020000000004</v>
      </c>
      <c r="J77" s="203">
        <v>4911.5779999999995</v>
      </c>
      <c r="K77" s="203">
        <v>185700</v>
      </c>
      <c r="L77" s="203">
        <v>185700</v>
      </c>
      <c r="M77" s="78">
        <v>7.5568551427032851E-2</v>
      </c>
      <c r="N77" s="231"/>
      <c r="O77" s="154"/>
      <c r="P77" s="58"/>
      <c r="Q77" s="58"/>
      <c r="R77" s="58"/>
      <c r="S77" s="58"/>
      <c r="T77" s="58"/>
      <c r="U77" s="58"/>
      <c r="V77" s="58"/>
      <c r="W77" s="58"/>
      <c r="X77" s="58"/>
      <c r="Y77" s="58"/>
      <c r="Z77" s="58"/>
    </row>
    <row r="78" spans="1:26" ht="27" x14ac:dyDescent="0.3">
      <c r="A78" s="284"/>
      <c r="B78" s="327" t="s">
        <v>68</v>
      </c>
      <c r="C78" s="285">
        <v>8932</v>
      </c>
      <c r="D78" s="188">
        <v>18516</v>
      </c>
      <c r="E78" s="188">
        <v>18516</v>
      </c>
      <c r="F78" s="188">
        <v>18515</v>
      </c>
      <c r="G78" s="77">
        <v>0.48241965973534973</v>
      </c>
      <c r="H78" s="303">
        <v>1489318.1099999999</v>
      </c>
      <c r="I78" s="203">
        <v>968056.77149999992</v>
      </c>
      <c r="J78" s="203">
        <v>521261.33849999995</v>
      </c>
      <c r="K78" s="203">
        <v>3349555</v>
      </c>
      <c r="L78" s="203">
        <v>3349555</v>
      </c>
      <c r="M78" s="78">
        <v>0.44463163315724025</v>
      </c>
      <c r="N78" s="231"/>
      <c r="O78" s="219"/>
      <c r="P78" s="183"/>
      <c r="Q78" s="183"/>
      <c r="R78" s="58"/>
      <c r="S78" s="58"/>
      <c r="T78" s="58"/>
      <c r="U78" s="58"/>
      <c r="V78" s="58"/>
      <c r="W78" s="58"/>
      <c r="X78" s="58"/>
      <c r="Y78" s="58"/>
      <c r="Z78" s="58"/>
    </row>
    <row r="79" spans="1:26" ht="14.4" x14ac:dyDescent="0.3">
      <c r="A79" s="284"/>
      <c r="B79" s="327" t="s">
        <v>27</v>
      </c>
      <c r="C79" s="285">
        <v>14551.84607</v>
      </c>
      <c r="D79" s="285">
        <v>47573.199970000001</v>
      </c>
      <c r="E79" s="285">
        <v>47573.199970000001</v>
      </c>
      <c r="F79" s="285">
        <v>47504</v>
      </c>
      <c r="G79" s="77">
        <v>0.30632885799090603</v>
      </c>
      <c r="H79" s="303">
        <v>3809051.73</v>
      </c>
      <c r="I79" s="203">
        <v>2475883.6244999999</v>
      </c>
      <c r="J79" s="203">
        <v>1333168.1054999998</v>
      </c>
      <c r="K79" s="203">
        <v>19587433</v>
      </c>
      <c r="L79" s="203">
        <v>19587434</v>
      </c>
      <c r="M79" s="78">
        <v>0.1944640492470836</v>
      </c>
      <c r="N79" s="231"/>
      <c r="O79" s="153"/>
      <c r="P79" s="58"/>
      <c r="Q79" s="58"/>
      <c r="R79" s="58"/>
      <c r="S79" s="58"/>
      <c r="T79" s="58"/>
      <c r="U79" s="58"/>
      <c r="V79" s="58"/>
      <c r="W79" s="58"/>
      <c r="X79" s="58"/>
      <c r="Y79" s="58"/>
      <c r="Z79" s="58"/>
    </row>
    <row r="80" spans="1:26" ht="14.4" x14ac:dyDescent="0.3">
      <c r="A80" s="284"/>
      <c r="B80" s="327" t="s">
        <v>69</v>
      </c>
      <c r="C80" s="285" t="s">
        <v>28</v>
      </c>
      <c r="D80" s="188" t="s">
        <v>28</v>
      </c>
      <c r="E80" s="188" t="s">
        <v>28</v>
      </c>
      <c r="F80" s="188" t="s">
        <v>28</v>
      </c>
      <c r="G80" s="77" t="s">
        <v>28</v>
      </c>
      <c r="H80" s="303">
        <v>56132.7</v>
      </c>
      <c r="I80" s="203">
        <v>6393586.2119999994</v>
      </c>
      <c r="J80" s="203">
        <v>3442700.2679999997</v>
      </c>
      <c r="K80" s="203">
        <v>1898759</v>
      </c>
      <c r="L80" s="203">
        <v>1898759</v>
      </c>
      <c r="M80" s="78">
        <v>2.956283551519703E-2</v>
      </c>
      <c r="N80" s="231"/>
      <c r="O80" s="154"/>
      <c r="P80" s="58"/>
      <c r="Q80" s="58"/>
      <c r="R80" s="58"/>
      <c r="S80" s="58"/>
      <c r="T80" s="58"/>
      <c r="U80" s="58"/>
      <c r="V80" s="58"/>
      <c r="W80" s="58"/>
      <c r="X80" s="58"/>
      <c r="Y80" s="58"/>
      <c r="Z80" s="58"/>
    </row>
    <row r="81" spans="1:26" ht="20.100000000000001" customHeight="1" x14ac:dyDescent="0.3">
      <c r="A81" s="284"/>
      <c r="B81" s="325" t="s">
        <v>292</v>
      </c>
      <c r="C81" s="287">
        <v>201373.36607000002</v>
      </c>
      <c r="D81" s="190">
        <v>674656.58999320003</v>
      </c>
      <c r="E81" s="190">
        <v>674656.58999320003</v>
      </c>
      <c r="F81" s="190">
        <v>674588</v>
      </c>
      <c r="G81" s="76">
        <v>0.29851311625762689</v>
      </c>
      <c r="H81" s="304">
        <v>30454529.929999992</v>
      </c>
      <c r="I81" s="204">
        <v>26152544.411499999</v>
      </c>
      <c r="J81" s="204">
        <v>14082139.2985</v>
      </c>
      <c r="K81" s="204">
        <v>151949360</v>
      </c>
      <c r="L81" s="204">
        <v>151949362</v>
      </c>
      <c r="M81" s="181">
        <v>0.20042552024667265</v>
      </c>
      <c r="N81" s="231"/>
      <c r="O81" s="219"/>
      <c r="P81" s="183"/>
      <c r="Q81" s="183"/>
      <c r="R81" s="58"/>
      <c r="S81" s="58"/>
      <c r="T81" s="58"/>
      <c r="U81" s="58"/>
      <c r="V81" s="58"/>
      <c r="W81" s="58"/>
      <c r="X81" s="58"/>
      <c r="Y81" s="58"/>
      <c r="Z81" s="58"/>
    </row>
    <row r="82" spans="1:26" ht="20.100000000000001" customHeight="1" x14ac:dyDescent="0.3">
      <c r="A82" s="284"/>
      <c r="B82" s="321" t="s">
        <v>295</v>
      </c>
      <c r="C82" s="195"/>
      <c r="D82" s="195"/>
      <c r="E82" s="195"/>
      <c r="F82" s="195"/>
      <c r="G82" s="195"/>
      <c r="H82" s="195"/>
      <c r="I82" s="186"/>
      <c r="J82" s="186"/>
      <c r="K82" s="186"/>
      <c r="L82" s="186"/>
      <c r="M82" s="187"/>
      <c r="N82" s="231"/>
      <c r="O82" s="219"/>
      <c r="P82" s="183"/>
      <c r="Q82" s="183"/>
      <c r="R82" s="58"/>
      <c r="S82" s="58"/>
      <c r="T82" s="58"/>
      <c r="U82" s="58"/>
      <c r="V82" s="58"/>
      <c r="W82" s="58"/>
      <c r="X82" s="58"/>
      <c r="Y82" s="58"/>
      <c r="Z82" s="58"/>
    </row>
    <row r="83" spans="1:26" ht="14.4" x14ac:dyDescent="0.3">
      <c r="A83" s="176"/>
      <c r="B83" s="327" t="s">
        <v>70</v>
      </c>
      <c r="C83" s="290">
        <v>23863</v>
      </c>
      <c r="D83" s="192">
        <v>93451</v>
      </c>
      <c r="E83" s="191">
        <v>93451</v>
      </c>
      <c r="F83" s="293">
        <v>93451</v>
      </c>
      <c r="G83" s="78">
        <v>0.2553530727333041</v>
      </c>
      <c r="H83" s="305">
        <v>1547670</v>
      </c>
      <c r="I83" s="203">
        <v>1005985.5</v>
      </c>
      <c r="J83" s="203">
        <v>541684.5</v>
      </c>
      <c r="K83" s="288">
        <v>6259880</v>
      </c>
      <c r="L83" s="288">
        <v>6259880</v>
      </c>
      <c r="M83" s="78">
        <v>0.24723636874828273</v>
      </c>
      <c r="N83" s="231"/>
      <c r="O83" s="153"/>
      <c r="P83" s="58"/>
      <c r="Q83" s="58"/>
      <c r="R83" s="58"/>
      <c r="S83" s="58"/>
      <c r="T83" s="58"/>
      <c r="U83" s="58"/>
      <c r="V83" s="58"/>
      <c r="W83" s="58"/>
      <c r="X83" s="58"/>
      <c r="Y83" s="58"/>
      <c r="Z83" s="58"/>
    </row>
    <row r="84" spans="1:26" ht="27" x14ac:dyDescent="0.3">
      <c r="A84" s="176"/>
      <c r="B84" s="327" t="s">
        <v>421</v>
      </c>
      <c r="C84" s="290">
        <v>207</v>
      </c>
      <c r="D84" s="192">
        <v>1706</v>
      </c>
      <c r="E84" s="191">
        <v>1706</v>
      </c>
      <c r="F84" s="293">
        <v>1706</v>
      </c>
      <c r="G84" s="78">
        <v>0.12133645955451348</v>
      </c>
      <c r="H84" s="305">
        <v>91331.74</v>
      </c>
      <c r="I84" s="203">
        <v>59365.631000000008</v>
      </c>
      <c r="J84" s="203">
        <v>31966.108999999997</v>
      </c>
      <c r="K84" s="288">
        <v>574086</v>
      </c>
      <c r="L84" s="288">
        <v>574086</v>
      </c>
      <c r="M84" s="78">
        <v>0.15909069372881415</v>
      </c>
      <c r="N84" s="231"/>
      <c r="O84" s="154"/>
      <c r="P84" s="58"/>
      <c r="Q84" s="58"/>
      <c r="R84" s="58"/>
      <c r="S84" s="58"/>
      <c r="T84" s="58"/>
      <c r="U84" s="58"/>
      <c r="V84" s="58"/>
      <c r="W84" s="58"/>
      <c r="X84" s="58"/>
      <c r="Y84" s="58"/>
      <c r="Z84" s="58"/>
    </row>
    <row r="85" spans="1:26" ht="14.4" x14ac:dyDescent="0.3">
      <c r="A85" s="176"/>
      <c r="B85" s="327" t="s">
        <v>422</v>
      </c>
      <c r="C85" s="290">
        <v>109</v>
      </c>
      <c r="D85" s="192">
        <v>8200</v>
      </c>
      <c r="E85" s="191">
        <v>8200</v>
      </c>
      <c r="F85" s="293">
        <v>8200</v>
      </c>
      <c r="G85" s="78">
        <v>1.3292682926829268E-2</v>
      </c>
      <c r="H85" s="305">
        <v>214502.5</v>
      </c>
      <c r="I85" s="203">
        <v>139426.625</v>
      </c>
      <c r="J85" s="203">
        <v>75075.875</v>
      </c>
      <c r="K85" s="288">
        <v>4107265</v>
      </c>
      <c r="L85" s="288">
        <v>4107265</v>
      </c>
      <c r="M85" s="78">
        <v>5.2225142521848483E-2</v>
      </c>
      <c r="N85" s="231"/>
      <c r="O85" s="219"/>
      <c r="P85" s="183"/>
      <c r="Q85" s="183"/>
      <c r="R85" s="58"/>
      <c r="S85" s="58"/>
      <c r="T85" s="58"/>
      <c r="U85" s="58"/>
      <c r="V85" s="58"/>
      <c r="W85" s="58"/>
      <c r="X85" s="58"/>
      <c r="Y85" s="58"/>
      <c r="Z85" s="58"/>
    </row>
    <row r="86" spans="1:26" ht="40.200000000000003" x14ac:dyDescent="0.3">
      <c r="A86" s="176"/>
      <c r="B86" s="327" t="s">
        <v>306</v>
      </c>
      <c r="C86" s="290">
        <v>41069</v>
      </c>
      <c r="D86" s="192">
        <v>65483</v>
      </c>
      <c r="E86" s="191">
        <v>65483</v>
      </c>
      <c r="F86" s="293">
        <v>65483</v>
      </c>
      <c r="G86" s="78">
        <v>0.62717041064092971</v>
      </c>
      <c r="H86" s="305">
        <v>3277607.12</v>
      </c>
      <c r="I86" s="203">
        <v>2130444.628</v>
      </c>
      <c r="J86" s="203">
        <v>1147162.4920000001</v>
      </c>
      <c r="K86" s="288">
        <v>12959483</v>
      </c>
      <c r="L86" s="288">
        <v>12959483</v>
      </c>
      <c r="M86" s="78">
        <v>0.25291187310481444</v>
      </c>
      <c r="N86" s="231"/>
      <c r="O86" s="172"/>
      <c r="P86" s="58"/>
      <c r="Q86" s="58"/>
      <c r="R86" s="58"/>
      <c r="S86" s="58"/>
      <c r="T86" s="58"/>
      <c r="U86" s="58"/>
      <c r="V86" s="58"/>
      <c r="W86" s="58"/>
      <c r="X86" s="58"/>
      <c r="Y86" s="58"/>
      <c r="Z86" s="58"/>
    </row>
    <row r="87" spans="1:26" ht="14.4" x14ac:dyDescent="0.3">
      <c r="A87" s="176"/>
      <c r="B87" s="327" t="s">
        <v>71</v>
      </c>
      <c r="C87" s="290">
        <v>1610</v>
      </c>
      <c r="D87" s="192">
        <v>4974</v>
      </c>
      <c r="E87" s="191">
        <v>4974</v>
      </c>
      <c r="F87" s="293">
        <v>4974</v>
      </c>
      <c r="G87" s="78">
        <v>0.32368315239244067</v>
      </c>
      <c r="H87" s="305">
        <v>392489.25</v>
      </c>
      <c r="I87" s="203">
        <v>255118.01250000001</v>
      </c>
      <c r="J87" s="203">
        <v>137371.23749999999</v>
      </c>
      <c r="K87" s="288">
        <v>924958</v>
      </c>
      <c r="L87" s="288">
        <v>924958</v>
      </c>
      <c r="M87" s="78">
        <v>0.42433196966781195</v>
      </c>
      <c r="N87" s="231"/>
      <c r="O87" s="182"/>
      <c r="P87" s="183"/>
      <c r="Q87" s="183"/>
      <c r="R87" s="58"/>
      <c r="S87" s="58"/>
      <c r="T87" s="58"/>
      <c r="U87" s="58"/>
      <c r="V87" s="58"/>
      <c r="W87" s="58"/>
      <c r="X87" s="58"/>
      <c r="Y87" s="58"/>
      <c r="Z87" s="58"/>
    </row>
    <row r="88" spans="1:26" ht="14.4" x14ac:dyDescent="0.3">
      <c r="A88" s="176"/>
      <c r="B88" s="327" t="s">
        <v>287</v>
      </c>
      <c r="C88" s="290">
        <v>13</v>
      </c>
      <c r="D88" s="192">
        <v>226</v>
      </c>
      <c r="E88" s="191">
        <v>226</v>
      </c>
      <c r="F88" s="293">
        <v>226</v>
      </c>
      <c r="G88" s="78">
        <v>5.7522123893805309E-2</v>
      </c>
      <c r="H88" s="305">
        <v>14033.08</v>
      </c>
      <c r="I88" s="203">
        <v>9121.5020000000004</v>
      </c>
      <c r="J88" s="203">
        <v>4911.5779999999995</v>
      </c>
      <c r="K88" s="288">
        <v>185700</v>
      </c>
      <c r="L88" s="288">
        <v>185700</v>
      </c>
      <c r="M88" s="78">
        <v>7.5568551427032851E-2</v>
      </c>
      <c r="N88" s="231"/>
      <c r="O88" s="172"/>
      <c r="P88" s="58"/>
      <c r="Q88" s="58"/>
      <c r="R88" s="58"/>
      <c r="S88" s="58"/>
      <c r="T88" s="58"/>
      <c r="U88" s="58"/>
      <c r="V88" s="58"/>
      <c r="W88" s="58"/>
      <c r="X88" s="58"/>
      <c r="Y88" s="58"/>
      <c r="Z88" s="58"/>
    </row>
    <row r="89" spans="1:26" ht="27" x14ac:dyDescent="0.3">
      <c r="A89" s="176"/>
      <c r="B89" s="327" t="s">
        <v>68</v>
      </c>
      <c r="C89" s="290">
        <v>8932</v>
      </c>
      <c r="D89" s="192">
        <v>18516</v>
      </c>
      <c r="E89" s="191">
        <v>18516</v>
      </c>
      <c r="F89" s="293">
        <v>18515</v>
      </c>
      <c r="G89" s="78">
        <v>0.48241965973534973</v>
      </c>
      <c r="H89" s="305">
        <v>1489318.1099999999</v>
      </c>
      <c r="I89" s="203">
        <v>968056.77149999992</v>
      </c>
      <c r="J89" s="203">
        <v>521261.33849999995</v>
      </c>
      <c r="K89" s="288">
        <v>3349555</v>
      </c>
      <c r="L89" s="288">
        <v>3349555</v>
      </c>
      <c r="M89" s="78">
        <v>0.44463163315724025</v>
      </c>
      <c r="N89" s="231"/>
      <c r="O89" s="154"/>
      <c r="P89" s="58"/>
      <c r="Q89" s="58"/>
      <c r="R89" s="104"/>
      <c r="S89" s="58"/>
      <c r="T89" s="58"/>
      <c r="U89" s="58"/>
      <c r="V89" s="58"/>
      <c r="W89" s="58"/>
      <c r="X89" s="58"/>
      <c r="Y89" s="58"/>
      <c r="Z89" s="58"/>
    </row>
    <row r="90" spans="1:26" ht="14.4" x14ac:dyDescent="0.3">
      <c r="A90" s="176"/>
      <c r="B90" s="327" t="s">
        <v>72</v>
      </c>
      <c r="C90" s="290" t="s">
        <v>28</v>
      </c>
      <c r="D90" s="234" t="s">
        <v>28</v>
      </c>
      <c r="E90" s="191" t="s">
        <v>28</v>
      </c>
      <c r="F90" s="293" t="s">
        <v>28</v>
      </c>
      <c r="G90" s="78" t="s">
        <v>28</v>
      </c>
      <c r="H90" s="305">
        <v>26585.67</v>
      </c>
      <c r="I90" s="203">
        <v>17280.6855</v>
      </c>
      <c r="J90" s="203">
        <v>9304.9844999999987</v>
      </c>
      <c r="K90" s="288">
        <v>457500</v>
      </c>
      <c r="L90" s="288">
        <v>457500</v>
      </c>
      <c r="M90" s="78">
        <v>5.8110754098360654E-2</v>
      </c>
      <c r="N90" s="231"/>
      <c r="O90" s="154"/>
      <c r="P90" s="58"/>
      <c r="Q90" s="58"/>
      <c r="R90" s="104"/>
      <c r="S90" s="58"/>
      <c r="T90" s="58"/>
      <c r="U90" s="58"/>
      <c r="V90" s="58"/>
      <c r="W90" s="58"/>
      <c r="X90" s="58"/>
      <c r="Y90" s="58"/>
      <c r="Z90" s="58"/>
    </row>
    <row r="91" spans="1:26" ht="14.4" x14ac:dyDescent="0.3">
      <c r="A91" s="176"/>
      <c r="B91" s="327" t="s">
        <v>307</v>
      </c>
      <c r="C91" s="290">
        <v>0</v>
      </c>
      <c r="D91" s="234">
        <v>152</v>
      </c>
      <c r="E91" s="191">
        <v>152</v>
      </c>
      <c r="F91" s="293">
        <v>152</v>
      </c>
      <c r="G91" s="78">
        <v>0</v>
      </c>
      <c r="H91" s="289" t="s">
        <v>28</v>
      </c>
      <c r="I91" s="81" t="s">
        <v>28</v>
      </c>
      <c r="J91" s="81" t="s">
        <v>28</v>
      </c>
      <c r="K91" s="289" t="s">
        <v>28</v>
      </c>
      <c r="L91" s="289" t="s">
        <v>28</v>
      </c>
      <c r="M91" s="179" t="s">
        <v>28</v>
      </c>
      <c r="N91" s="231"/>
      <c r="O91" s="154"/>
      <c r="P91" s="58"/>
      <c r="Q91" s="58"/>
      <c r="R91" s="104"/>
      <c r="S91" s="58"/>
      <c r="T91" s="58"/>
      <c r="U91" s="58"/>
      <c r="V91" s="58"/>
      <c r="W91" s="58"/>
      <c r="X91" s="58"/>
      <c r="Y91" s="58"/>
      <c r="Z91" s="58"/>
    </row>
    <row r="92" spans="1:26" ht="14.4" x14ac:dyDescent="0.3">
      <c r="A92" s="176"/>
      <c r="B92" s="327" t="s">
        <v>285</v>
      </c>
      <c r="C92" s="290">
        <v>60</v>
      </c>
      <c r="D92" s="234">
        <v>1067</v>
      </c>
      <c r="E92" s="191">
        <v>1067</v>
      </c>
      <c r="F92" s="293">
        <v>1262</v>
      </c>
      <c r="G92" s="78">
        <v>4.7543581616481777E-2</v>
      </c>
      <c r="H92" s="305">
        <v>66218.789999999994</v>
      </c>
      <c r="I92" s="203">
        <v>43042.213499999998</v>
      </c>
      <c r="J92" s="203">
        <v>23176.576499999996</v>
      </c>
      <c r="K92" s="288">
        <v>742800</v>
      </c>
      <c r="L92" s="288">
        <v>742800</v>
      </c>
      <c r="M92" s="78">
        <v>8.914753634894991E-2</v>
      </c>
      <c r="N92" s="231"/>
      <c r="O92" s="154"/>
      <c r="P92" s="58"/>
      <c r="Q92" s="58"/>
      <c r="R92" s="104"/>
      <c r="S92" s="58"/>
      <c r="T92" s="58"/>
      <c r="U92" s="58"/>
      <c r="V92" s="58"/>
      <c r="W92" s="58"/>
      <c r="X92" s="58"/>
      <c r="Y92" s="58"/>
      <c r="Z92" s="58"/>
    </row>
    <row r="93" spans="1:26" ht="27" x14ac:dyDescent="0.3">
      <c r="A93" s="176"/>
      <c r="B93" s="327" t="s">
        <v>290</v>
      </c>
      <c r="C93" s="290">
        <v>13614</v>
      </c>
      <c r="D93" s="234">
        <v>32799</v>
      </c>
      <c r="E93" s="191">
        <v>32799</v>
      </c>
      <c r="F93" s="293">
        <v>32799</v>
      </c>
      <c r="G93" s="78">
        <v>0.4150736302936065</v>
      </c>
      <c r="H93" s="305">
        <v>2686983.19</v>
      </c>
      <c r="I93" s="203">
        <v>1746539.0734999999</v>
      </c>
      <c r="J93" s="203">
        <v>940444.1165</v>
      </c>
      <c r="K93" s="288">
        <v>6643062</v>
      </c>
      <c r="L93" s="288">
        <v>6643062</v>
      </c>
      <c r="M93" s="78">
        <v>0.40447961948872374</v>
      </c>
      <c r="N93" s="231"/>
      <c r="O93" s="154"/>
      <c r="P93" s="58"/>
      <c r="Q93" s="58"/>
      <c r="R93" s="104"/>
      <c r="S93" s="58"/>
      <c r="T93" s="58"/>
      <c r="U93" s="58"/>
      <c r="V93" s="58"/>
      <c r="W93" s="58"/>
      <c r="X93" s="58"/>
      <c r="Y93" s="58"/>
      <c r="Z93" s="58"/>
    </row>
    <row r="94" spans="1:26" ht="20.100000000000001" customHeight="1" x14ac:dyDescent="0.3">
      <c r="A94" s="284"/>
      <c r="B94" s="322" t="s">
        <v>73</v>
      </c>
      <c r="C94" s="194">
        <v>89477</v>
      </c>
      <c r="D94" s="190">
        <v>226574</v>
      </c>
      <c r="E94" s="190">
        <v>226574</v>
      </c>
      <c r="F94" s="190">
        <v>226768</v>
      </c>
      <c r="G94" s="76">
        <v>0.39457507232060962</v>
      </c>
      <c r="H94" s="304">
        <v>9806739.4500000011</v>
      </c>
      <c r="I94" s="204">
        <v>6374380.6424999991</v>
      </c>
      <c r="J94" s="204">
        <v>3432358.8074999996</v>
      </c>
      <c r="K94" s="204">
        <v>36204289</v>
      </c>
      <c r="L94" s="204">
        <v>36204289</v>
      </c>
      <c r="M94" s="181">
        <v>0.27087231156507452</v>
      </c>
      <c r="N94" s="231"/>
      <c r="O94" s="156"/>
      <c r="P94" s="58"/>
      <c r="Q94" s="58"/>
      <c r="R94" s="58"/>
      <c r="S94" s="58"/>
      <c r="T94" s="58"/>
      <c r="U94" s="58"/>
      <c r="V94" s="58"/>
      <c r="W94" s="58"/>
      <c r="X94" s="58"/>
      <c r="Y94" s="58"/>
      <c r="Z94" s="58"/>
    </row>
    <row r="95" spans="1:26" ht="20.100000000000001" customHeight="1" x14ac:dyDescent="0.3">
      <c r="A95" s="284"/>
      <c r="B95" s="324" t="s">
        <v>74</v>
      </c>
      <c r="C95" s="195"/>
      <c r="D95" s="195"/>
      <c r="E95" s="195"/>
      <c r="F95" s="195"/>
      <c r="G95" s="195"/>
      <c r="H95" s="195"/>
      <c r="I95" s="186"/>
      <c r="J95" s="186"/>
      <c r="K95" s="186"/>
      <c r="L95" s="186"/>
      <c r="M95" s="187"/>
      <c r="N95" s="231"/>
      <c r="O95" s="58"/>
      <c r="P95" s="58"/>
      <c r="Q95" s="58"/>
      <c r="R95" s="58"/>
      <c r="S95" s="58"/>
      <c r="T95" s="58"/>
      <c r="U95" s="58"/>
      <c r="V95" s="58"/>
      <c r="W95" s="58"/>
      <c r="X95" s="58"/>
      <c r="Y95" s="58"/>
      <c r="Z95" s="58"/>
    </row>
    <row r="96" spans="1:26" ht="27" x14ac:dyDescent="0.3">
      <c r="A96" s="176"/>
      <c r="B96" s="327" t="s">
        <v>419</v>
      </c>
      <c r="C96" s="290">
        <v>905</v>
      </c>
      <c r="D96" s="290">
        <v>5095</v>
      </c>
      <c r="E96" s="197">
        <v>5095</v>
      </c>
      <c r="F96" s="293">
        <v>5095</v>
      </c>
      <c r="G96" s="80">
        <v>0.17762512266928362</v>
      </c>
      <c r="H96" s="305">
        <v>3039902.0999999996</v>
      </c>
      <c r="I96" s="205">
        <v>1975936.3649999998</v>
      </c>
      <c r="J96" s="205">
        <v>1063965.7349999999</v>
      </c>
      <c r="K96" s="288">
        <v>27200000</v>
      </c>
      <c r="L96" s="288">
        <v>27200000</v>
      </c>
      <c r="M96" s="80">
        <v>0.11176110661764704</v>
      </c>
      <c r="N96" s="231"/>
      <c r="O96" s="155"/>
      <c r="P96" s="58"/>
      <c r="Q96" s="58"/>
      <c r="R96" s="58"/>
      <c r="S96" s="58"/>
      <c r="T96" s="58"/>
      <c r="U96" s="58"/>
      <c r="V96" s="58"/>
      <c r="W96" s="58"/>
      <c r="X96" s="58"/>
      <c r="Y96" s="58"/>
      <c r="Z96" s="58"/>
    </row>
    <row r="97" spans="1:26" ht="27" x14ac:dyDescent="0.3">
      <c r="A97" s="176"/>
      <c r="B97" s="327" t="s">
        <v>420</v>
      </c>
      <c r="C97" s="290">
        <v>2443</v>
      </c>
      <c r="D97" s="196">
        <v>7508</v>
      </c>
      <c r="E97" s="197">
        <v>7508</v>
      </c>
      <c r="F97" s="293">
        <v>7508</v>
      </c>
      <c r="G97" s="80">
        <v>0.32538625466169419</v>
      </c>
      <c r="H97" s="305">
        <v>1299327.6600000001</v>
      </c>
      <c r="I97" s="205">
        <v>844562.97900000017</v>
      </c>
      <c r="J97" s="205">
        <v>454764.68099999998</v>
      </c>
      <c r="K97" s="288">
        <v>4544926</v>
      </c>
      <c r="L97" s="288">
        <v>4544926</v>
      </c>
      <c r="M97" s="80">
        <v>0.28588532794593358</v>
      </c>
      <c r="N97" s="231"/>
      <c r="O97" s="154"/>
      <c r="P97" s="58"/>
      <c r="Q97" s="58"/>
      <c r="R97" s="58"/>
      <c r="S97" s="58"/>
      <c r="T97" s="58"/>
      <c r="U97" s="58"/>
      <c r="V97" s="58"/>
      <c r="W97" s="58"/>
      <c r="X97" s="58"/>
      <c r="Y97" s="58"/>
      <c r="Z97" s="58"/>
    </row>
    <row r="98" spans="1:26" ht="14.4" x14ac:dyDescent="0.3">
      <c r="A98" s="176"/>
      <c r="B98" s="327" t="s">
        <v>423</v>
      </c>
      <c r="C98" s="290">
        <v>4140</v>
      </c>
      <c r="D98" s="196">
        <v>23277</v>
      </c>
      <c r="E98" s="197">
        <v>23277</v>
      </c>
      <c r="F98" s="293">
        <v>23277</v>
      </c>
      <c r="G98" s="80">
        <v>0.17785797138806547</v>
      </c>
      <c r="H98" s="305">
        <v>5648466.4100000001</v>
      </c>
      <c r="I98" s="205">
        <v>3671503.1665000003</v>
      </c>
      <c r="J98" s="205">
        <v>1976963.2434999999</v>
      </c>
      <c r="K98" s="288">
        <v>29349880</v>
      </c>
      <c r="L98" s="288">
        <v>29349880</v>
      </c>
      <c r="M98" s="80">
        <v>0.19245279401483073</v>
      </c>
      <c r="N98" s="231"/>
      <c r="O98" s="154"/>
      <c r="P98" s="58"/>
      <c r="Q98" s="58"/>
      <c r="R98" s="58"/>
      <c r="S98" s="58"/>
      <c r="T98" s="58"/>
      <c r="U98" s="58"/>
      <c r="V98" s="58"/>
      <c r="W98" s="58"/>
      <c r="X98" s="58"/>
      <c r="Y98" s="58"/>
      <c r="Z98" s="58"/>
    </row>
    <row r="99" spans="1:26" ht="14.4" x14ac:dyDescent="0.3">
      <c r="A99" s="176"/>
      <c r="B99" s="327" t="s">
        <v>424</v>
      </c>
      <c r="C99" s="290">
        <v>291</v>
      </c>
      <c r="D99" s="196">
        <v>2383</v>
      </c>
      <c r="E99" s="197">
        <v>2383</v>
      </c>
      <c r="F99" s="293">
        <v>2385</v>
      </c>
      <c r="G99" s="80">
        <v>0.1220125786163522</v>
      </c>
      <c r="H99" s="305">
        <v>479863.29000000004</v>
      </c>
      <c r="I99" s="205">
        <v>311911.13850000006</v>
      </c>
      <c r="J99" s="205">
        <v>167952.15149999998</v>
      </c>
      <c r="K99" s="288">
        <v>1872189</v>
      </c>
      <c r="L99" s="288">
        <v>1872189</v>
      </c>
      <c r="M99" s="80">
        <v>0.25631134997588384</v>
      </c>
      <c r="N99" s="231"/>
      <c r="O99" s="154"/>
      <c r="P99" s="58"/>
      <c r="Q99" s="58"/>
      <c r="R99" s="58"/>
      <c r="S99" s="58"/>
      <c r="T99" s="58"/>
      <c r="U99" s="58"/>
      <c r="V99" s="58"/>
      <c r="W99" s="58"/>
      <c r="X99" s="58"/>
      <c r="Y99" s="58"/>
      <c r="Z99" s="58"/>
    </row>
    <row r="100" spans="1:26" ht="14.4" x14ac:dyDescent="0.3">
      <c r="A100" s="176"/>
      <c r="B100" s="319" t="s">
        <v>308</v>
      </c>
      <c r="C100" s="290">
        <v>47106</v>
      </c>
      <c r="D100" s="196">
        <v>137983.21002319999</v>
      </c>
      <c r="E100" s="197">
        <v>137983.21002319999</v>
      </c>
      <c r="F100" s="293">
        <v>137983</v>
      </c>
      <c r="G100" s="80">
        <v>0.34138988136219678</v>
      </c>
      <c r="H100" s="305">
        <v>5222811.6399999987</v>
      </c>
      <c r="I100" s="205">
        <v>3394827.5659999992</v>
      </c>
      <c r="J100" s="205">
        <v>1827984.0739999996</v>
      </c>
      <c r="K100" s="288">
        <v>22394227</v>
      </c>
      <c r="L100" s="288">
        <v>22394228</v>
      </c>
      <c r="M100" s="80">
        <v>0.23322133006772991</v>
      </c>
      <c r="N100" s="231"/>
      <c r="O100" s="154"/>
      <c r="P100" s="58"/>
      <c r="Q100" s="58"/>
      <c r="R100" s="58"/>
      <c r="S100" s="58"/>
      <c r="T100" s="58"/>
      <c r="U100" s="58"/>
      <c r="V100" s="58"/>
      <c r="W100" s="58"/>
      <c r="X100" s="58"/>
      <c r="Y100" s="58"/>
      <c r="Z100" s="58"/>
    </row>
    <row r="101" spans="1:26" ht="14.4" x14ac:dyDescent="0.3">
      <c r="A101" s="176"/>
      <c r="B101" s="327" t="s">
        <v>75</v>
      </c>
      <c r="C101" s="290">
        <v>55857.520000000004</v>
      </c>
      <c r="D101" s="196">
        <v>255386.18</v>
      </c>
      <c r="E101" s="197">
        <v>255386.18</v>
      </c>
      <c r="F101" s="293">
        <v>255386</v>
      </c>
      <c r="G101" s="80">
        <v>0.2187180189986922</v>
      </c>
      <c r="H101" s="305">
        <v>3571173.13</v>
      </c>
      <c r="I101" s="205">
        <v>2321262.5345000001</v>
      </c>
      <c r="J101" s="205">
        <v>1249910.5954999998</v>
      </c>
      <c r="K101" s="288">
        <v>15003482</v>
      </c>
      <c r="L101" s="288">
        <v>15003482</v>
      </c>
      <c r="M101" s="80">
        <v>0.23802295560457232</v>
      </c>
      <c r="N101" s="231"/>
      <c r="O101" s="154"/>
      <c r="P101" s="58"/>
      <c r="Q101" s="58"/>
      <c r="R101" s="58"/>
      <c r="S101" s="58"/>
      <c r="T101" s="58"/>
      <c r="U101" s="58"/>
      <c r="V101" s="58"/>
      <c r="W101" s="58"/>
      <c r="X101" s="58"/>
      <c r="Y101" s="58"/>
      <c r="Z101" s="58"/>
    </row>
    <row r="102" spans="1:26" ht="14.4" x14ac:dyDescent="0.3">
      <c r="A102" s="176"/>
      <c r="B102" s="327" t="s">
        <v>76</v>
      </c>
      <c r="C102" s="290">
        <v>276</v>
      </c>
      <c r="D102" s="196">
        <v>2895</v>
      </c>
      <c r="E102" s="197">
        <v>2895</v>
      </c>
      <c r="F102" s="293">
        <v>2895</v>
      </c>
      <c r="G102" s="80">
        <v>9.5336787564766837E-2</v>
      </c>
      <c r="H102" s="305">
        <v>300849.46999999997</v>
      </c>
      <c r="I102" s="205">
        <v>195552.15549999999</v>
      </c>
      <c r="J102" s="205">
        <v>105297.31449999998</v>
      </c>
      <c r="K102" s="288">
        <v>1737537</v>
      </c>
      <c r="L102" s="288">
        <v>1737537</v>
      </c>
      <c r="M102" s="80">
        <v>0.17314708693973133</v>
      </c>
      <c r="N102" s="231"/>
      <c r="O102" s="154"/>
      <c r="P102" s="58"/>
      <c r="Q102" s="58"/>
      <c r="R102" s="58"/>
      <c r="S102" s="58"/>
      <c r="T102" s="58"/>
      <c r="U102" s="58"/>
      <c r="V102" s="58"/>
      <c r="W102" s="58"/>
      <c r="X102" s="58"/>
      <c r="Y102" s="58"/>
      <c r="Z102" s="58"/>
    </row>
    <row r="103" spans="1:26" ht="27" x14ac:dyDescent="0.3">
      <c r="A103" s="176"/>
      <c r="B103" s="327" t="s">
        <v>299</v>
      </c>
      <c r="C103" s="290">
        <v>139.80022000000002</v>
      </c>
      <c r="D103" s="290">
        <v>8545.1999699999997</v>
      </c>
      <c r="E103" s="197">
        <v>8545.1999699999997</v>
      </c>
      <c r="F103" s="293">
        <v>8545</v>
      </c>
      <c r="G103" s="80">
        <v>1.6360470450555883E-2</v>
      </c>
      <c r="H103" s="305">
        <v>688504.37000000011</v>
      </c>
      <c r="I103" s="205">
        <v>447527.84050000011</v>
      </c>
      <c r="J103" s="205">
        <v>240976.5295</v>
      </c>
      <c r="K103" s="288">
        <v>9483013</v>
      </c>
      <c r="L103" s="288">
        <v>9483014</v>
      </c>
      <c r="M103" s="80">
        <v>7.2603960091169345E-2</v>
      </c>
      <c r="N103" s="231"/>
      <c r="O103" s="154"/>
      <c r="P103" s="58"/>
      <c r="Q103" s="58"/>
      <c r="R103" s="58"/>
      <c r="S103" s="58"/>
      <c r="T103" s="58"/>
      <c r="U103" s="58"/>
      <c r="V103" s="58"/>
      <c r="W103" s="58"/>
      <c r="X103" s="58"/>
      <c r="Y103" s="58"/>
      <c r="Z103" s="58"/>
    </row>
    <row r="104" spans="1:26" ht="27" x14ac:dyDescent="0.3">
      <c r="A104" s="176"/>
      <c r="B104" s="327" t="s">
        <v>77</v>
      </c>
      <c r="C104" s="290">
        <v>738.04584999999997</v>
      </c>
      <c r="D104" s="196">
        <v>5010</v>
      </c>
      <c r="E104" s="197">
        <v>5010</v>
      </c>
      <c r="F104" s="293">
        <v>4746</v>
      </c>
      <c r="G104" s="80">
        <v>0.15550902865571006</v>
      </c>
      <c r="H104" s="305">
        <v>367345.38</v>
      </c>
      <c r="I104" s="205">
        <v>238774.497</v>
      </c>
      <c r="J104" s="205">
        <v>128570.883</v>
      </c>
      <c r="K104" s="288">
        <v>2718558</v>
      </c>
      <c r="L104" s="288">
        <v>2718558</v>
      </c>
      <c r="M104" s="80">
        <v>0.13512508469563644</v>
      </c>
      <c r="N104" s="231"/>
      <c r="O104" s="154"/>
      <c r="P104" s="58"/>
      <c r="Q104" s="58"/>
      <c r="R104" s="58"/>
      <c r="S104" s="58"/>
      <c r="T104" s="58"/>
      <c r="U104" s="58"/>
      <c r="V104" s="58"/>
      <c r="W104" s="58"/>
      <c r="X104" s="58"/>
      <c r="Y104" s="58"/>
      <c r="Z104" s="58"/>
    </row>
    <row r="105" spans="1:26" ht="14.4" x14ac:dyDescent="0.3">
      <c r="A105" s="335"/>
      <c r="B105" s="327" t="s">
        <v>78</v>
      </c>
      <c r="C105" s="290" t="s">
        <v>28</v>
      </c>
      <c r="D105" s="290" t="s">
        <v>28</v>
      </c>
      <c r="E105" s="197" t="s">
        <v>28</v>
      </c>
      <c r="F105" s="293" t="s">
        <v>28</v>
      </c>
      <c r="G105" s="80" t="s">
        <v>28</v>
      </c>
      <c r="H105" s="305">
        <v>29547.03</v>
      </c>
      <c r="I105" s="205">
        <v>19205.569500000001</v>
      </c>
      <c r="J105" s="205">
        <v>10341.460499999997</v>
      </c>
      <c r="K105" s="288">
        <v>1441259</v>
      </c>
      <c r="L105" s="288">
        <v>1441259</v>
      </c>
      <c r="M105" s="80">
        <v>2.0500846829057093E-2</v>
      </c>
      <c r="N105" s="231"/>
      <c r="O105" s="154"/>
      <c r="P105" s="58"/>
      <c r="Q105" s="58"/>
      <c r="R105" s="58"/>
      <c r="S105" s="58"/>
      <c r="T105" s="58"/>
      <c r="U105" s="58"/>
      <c r="V105" s="58"/>
      <c r="W105" s="58"/>
      <c r="X105" s="58"/>
      <c r="Y105" s="58"/>
      <c r="Z105" s="58"/>
    </row>
    <row r="106" spans="1:26" ht="20.100000000000001" customHeight="1" x14ac:dyDescent="0.3">
      <c r="A106" s="284"/>
      <c r="B106" s="322" t="s">
        <v>79</v>
      </c>
      <c r="C106" s="198">
        <v>111896.36607</v>
      </c>
      <c r="D106" s="199">
        <v>448082.58999319997</v>
      </c>
      <c r="E106" s="199">
        <v>448082.58999319997</v>
      </c>
      <c r="F106" s="199">
        <v>447820</v>
      </c>
      <c r="G106" s="238">
        <v>0.24986906808539147</v>
      </c>
      <c r="H106" s="304">
        <v>20647790.48</v>
      </c>
      <c r="I106" s="206">
        <v>13421063.811999999</v>
      </c>
      <c r="J106" s="206">
        <v>7226726.6680000005</v>
      </c>
      <c r="K106" s="206">
        <v>115745071</v>
      </c>
      <c r="L106" s="206">
        <v>115745073</v>
      </c>
      <c r="M106" s="180">
        <v>0.17839023247235761</v>
      </c>
      <c r="N106" s="231"/>
      <c r="O106" s="157"/>
      <c r="P106" s="58"/>
      <c r="Q106" s="58"/>
      <c r="R106" s="58"/>
      <c r="S106" s="58"/>
      <c r="T106" s="58"/>
      <c r="U106" s="58"/>
      <c r="V106" s="58"/>
      <c r="W106" s="58"/>
      <c r="X106" s="58"/>
      <c r="Y106" s="58"/>
      <c r="Z106" s="58"/>
    </row>
    <row r="107" spans="1:26" ht="26.4" customHeight="1" x14ac:dyDescent="0.3">
      <c r="A107" s="284"/>
      <c r="B107" s="328" t="s">
        <v>80</v>
      </c>
      <c r="C107" s="200"/>
      <c r="D107" s="200"/>
      <c r="E107" s="200"/>
      <c r="F107" s="200"/>
      <c r="G107" s="200"/>
      <c r="H107" s="200"/>
      <c r="I107" s="14"/>
      <c r="J107" s="14"/>
      <c r="K107" s="14"/>
      <c r="L107" s="14"/>
      <c r="M107" s="211"/>
      <c r="N107" s="231"/>
      <c r="O107" s="58"/>
      <c r="P107" s="58"/>
      <c r="Q107" s="58"/>
      <c r="R107" s="58"/>
      <c r="S107" s="58"/>
      <c r="T107" s="58"/>
      <c r="U107" s="58"/>
      <c r="V107" s="58"/>
      <c r="W107" s="58"/>
      <c r="X107" s="58"/>
      <c r="Y107" s="58"/>
      <c r="Z107" s="58"/>
    </row>
    <row r="108" spans="1:26" ht="26.4" x14ac:dyDescent="0.3">
      <c r="A108" s="335"/>
      <c r="B108" s="318" t="s">
        <v>426</v>
      </c>
      <c r="C108" s="291">
        <v>0</v>
      </c>
      <c r="D108" s="338">
        <v>5000</v>
      </c>
      <c r="E108" s="201">
        <v>5000</v>
      </c>
      <c r="F108" s="338">
        <v>5000</v>
      </c>
      <c r="G108" s="80">
        <v>0</v>
      </c>
      <c r="H108" s="305">
        <v>1326939</v>
      </c>
      <c r="I108" s="207">
        <v>0</v>
      </c>
      <c r="J108" s="205">
        <v>1326939</v>
      </c>
      <c r="K108" s="288">
        <v>10316736</v>
      </c>
      <c r="L108" s="288">
        <v>10316736</v>
      </c>
      <c r="M108" s="80">
        <v>0.12862004029181323</v>
      </c>
      <c r="N108" s="231"/>
      <c r="O108" s="58"/>
      <c r="P108" s="58"/>
      <c r="Q108" s="58"/>
      <c r="R108" s="58"/>
      <c r="S108" s="58"/>
      <c r="T108" s="58"/>
      <c r="U108" s="58"/>
      <c r="V108" s="58"/>
      <c r="W108" s="58"/>
      <c r="X108" s="58"/>
      <c r="Y108" s="58"/>
      <c r="Z108" s="58"/>
    </row>
    <row r="109" spans="1:26" ht="14.4" x14ac:dyDescent="0.3">
      <c r="A109" s="284"/>
      <c r="B109" s="318" t="s">
        <v>81</v>
      </c>
      <c r="C109" s="291">
        <v>5709</v>
      </c>
      <c r="D109" s="240">
        <v>119063</v>
      </c>
      <c r="E109" s="201">
        <v>119063</v>
      </c>
      <c r="F109" s="291">
        <v>119063</v>
      </c>
      <c r="G109" s="80">
        <v>4.7949404936882156E-2</v>
      </c>
      <c r="H109" s="289" t="s">
        <v>28</v>
      </c>
      <c r="I109" s="81" t="s">
        <v>28</v>
      </c>
      <c r="J109" s="81" t="s">
        <v>28</v>
      </c>
      <c r="K109" s="289" t="s">
        <v>28</v>
      </c>
      <c r="L109" s="289" t="s">
        <v>28</v>
      </c>
      <c r="M109" s="179" t="s">
        <v>28</v>
      </c>
      <c r="N109" s="231"/>
      <c r="O109" s="58"/>
      <c r="P109" s="58"/>
      <c r="Q109" s="58"/>
      <c r="R109" s="58"/>
      <c r="S109" s="58"/>
      <c r="T109" s="58"/>
      <c r="U109" s="58"/>
      <c r="V109" s="58"/>
      <c r="W109" s="58"/>
      <c r="X109" s="58"/>
      <c r="Y109" s="58"/>
      <c r="Z109" s="58"/>
    </row>
    <row r="110" spans="1:26" ht="14.4" x14ac:dyDescent="0.3">
      <c r="A110" s="335"/>
      <c r="B110" s="318" t="s">
        <v>82</v>
      </c>
      <c r="C110" s="291" t="s">
        <v>28</v>
      </c>
      <c r="D110" s="291" t="s">
        <v>28</v>
      </c>
      <c r="E110" s="81" t="s">
        <v>28</v>
      </c>
      <c r="F110" s="291" t="s">
        <v>28</v>
      </c>
      <c r="G110" s="81" t="s">
        <v>28</v>
      </c>
      <c r="H110" s="305">
        <v>0</v>
      </c>
      <c r="I110" s="207">
        <v>0</v>
      </c>
      <c r="J110" s="207">
        <v>0</v>
      </c>
      <c r="K110" s="288">
        <v>102689</v>
      </c>
      <c r="L110" s="288">
        <v>102689</v>
      </c>
      <c r="M110" s="80">
        <v>0</v>
      </c>
      <c r="N110" s="231"/>
      <c r="O110" s="58"/>
      <c r="P110" s="58"/>
      <c r="Q110" s="58"/>
      <c r="R110" s="58"/>
      <c r="S110" s="58"/>
      <c r="T110" s="58"/>
      <c r="U110" s="58"/>
      <c r="V110" s="58"/>
      <c r="W110" s="58"/>
      <c r="X110" s="58"/>
      <c r="Y110" s="58"/>
      <c r="Z110" s="58"/>
    </row>
    <row r="111" spans="1:26" ht="25.2" x14ac:dyDescent="0.3">
      <c r="A111" s="284"/>
      <c r="B111" s="317" t="s">
        <v>83</v>
      </c>
      <c r="C111" s="339">
        <v>5709</v>
      </c>
      <c r="D111" s="199">
        <v>124063</v>
      </c>
      <c r="E111" s="199">
        <v>124063</v>
      </c>
      <c r="F111" s="199">
        <v>124063</v>
      </c>
      <c r="G111" s="82">
        <v>4.6016943004763708E-2</v>
      </c>
      <c r="H111" s="213">
        <v>1326939</v>
      </c>
      <c r="I111" s="213">
        <v>0</v>
      </c>
      <c r="J111" s="213">
        <v>1326939</v>
      </c>
      <c r="K111" s="213">
        <v>10419425</v>
      </c>
      <c r="L111" s="213">
        <v>10419425</v>
      </c>
      <c r="M111" s="180">
        <v>0.1273524210788983</v>
      </c>
      <c r="N111" s="231"/>
      <c r="O111" s="58"/>
      <c r="P111" s="58"/>
      <c r="Q111" s="58"/>
      <c r="R111" s="58"/>
      <c r="S111" s="58"/>
      <c r="T111" s="58"/>
      <c r="U111" s="58"/>
      <c r="V111" s="58"/>
      <c r="W111" s="58"/>
      <c r="X111" s="58"/>
      <c r="Y111" s="58"/>
      <c r="Z111" s="58"/>
    </row>
    <row r="112" spans="1:26" ht="20.100000000000001" customHeight="1" x14ac:dyDescent="0.3">
      <c r="A112" s="284"/>
      <c r="B112" s="317" t="s">
        <v>84</v>
      </c>
      <c r="C112" s="198">
        <v>182872</v>
      </c>
      <c r="D112" s="199">
        <v>182872</v>
      </c>
      <c r="E112" s="199">
        <v>182872</v>
      </c>
      <c r="F112" s="199">
        <v>182872</v>
      </c>
      <c r="G112" s="82">
        <v>1</v>
      </c>
      <c r="H112" s="213" t="s">
        <v>28</v>
      </c>
      <c r="I112" s="213" t="s">
        <v>28</v>
      </c>
      <c r="J112" s="213" t="s">
        <v>28</v>
      </c>
      <c r="K112" s="213" t="s">
        <v>28</v>
      </c>
      <c r="L112" s="213" t="s">
        <v>28</v>
      </c>
      <c r="M112" s="180" t="s">
        <v>28</v>
      </c>
      <c r="N112" s="231"/>
      <c r="O112" s="58"/>
      <c r="P112" s="58"/>
      <c r="Q112" s="58"/>
      <c r="R112" s="58"/>
      <c r="S112" s="58"/>
      <c r="T112" s="58"/>
      <c r="U112" s="58"/>
      <c r="V112" s="58"/>
      <c r="W112" s="58"/>
      <c r="X112" s="58"/>
      <c r="Y112" s="58"/>
      <c r="Z112" s="58"/>
    </row>
    <row r="113" spans="1:26" ht="20.100000000000001" customHeight="1" x14ac:dyDescent="0.3">
      <c r="A113" s="284"/>
      <c r="B113" s="317" t="s">
        <v>296</v>
      </c>
      <c r="C113" s="198">
        <v>0</v>
      </c>
      <c r="D113" s="337">
        <v>1035</v>
      </c>
      <c r="E113" s="199">
        <v>1035</v>
      </c>
      <c r="F113" s="337">
        <v>1035</v>
      </c>
      <c r="G113" s="82">
        <v>0</v>
      </c>
      <c r="H113" s="213" t="s">
        <v>28</v>
      </c>
      <c r="I113" s="213" t="s">
        <v>28</v>
      </c>
      <c r="J113" s="213" t="s">
        <v>28</v>
      </c>
      <c r="K113" s="213" t="s">
        <v>28</v>
      </c>
      <c r="L113" s="213" t="s">
        <v>28</v>
      </c>
      <c r="M113" s="180" t="s">
        <v>28</v>
      </c>
      <c r="N113" s="231"/>
      <c r="O113" s="58"/>
      <c r="P113" s="58"/>
      <c r="Q113" s="58"/>
      <c r="R113" s="58"/>
      <c r="S113" s="58"/>
      <c r="T113" s="58"/>
      <c r="U113" s="58"/>
      <c r="V113" s="58"/>
      <c r="W113" s="58"/>
      <c r="X113" s="58"/>
      <c r="Y113" s="58"/>
      <c r="Z113" s="58"/>
    </row>
    <row r="114" spans="1:26" ht="20.100000000000001" customHeight="1" x14ac:dyDescent="0.3">
      <c r="A114" s="284"/>
      <c r="B114" s="317" t="s">
        <v>85</v>
      </c>
      <c r="C114" s="198">
        <v>0</v>
      </c>
      <c r="D114" s="337">
        <v>37770</v>
      </c>
      <c r="E114" s="199">
        <v>37770</v>
      </c>
      <c r="F114" s="337">
        <v>37770</v>
      </c>
      <c r="G114" s="82">
        <v>0</v>
      </c>
      <c r="H114" s="213" t="s">
        <v>28</v>
      </c>
      <c r="I114" s="213" t="s">
        <v>28</v>
      </c>
      <c r="J114" s="213" t="s">
        <v>28</v>
      </c>
      <c r="K114" s="213" t="s">
        <v>28</v>
      </c>
      <c r="L114" s="213" t="s">
        <v>28</v>
      </c>
      <c r="M114" s="180" t="s">
        <v>28</v>
      </c>
      <c r="N114" s="231"/>
      <c r="O114" s="104"/>
      <c r="P114" s="58"/>
      <c r="Q114" s="58"/>
      <c r="R114" s="58"/>
      <c r="S114" s="58"/>
      <c r="T114" s="58"/>
      <c r="U114" s="58"/>
      <c r="V114" s="58"/>
      <c r="W114" s="58"/>
      <c r="X114" s="58"/>
      <c r="Y114" s="58"/>
      <c r="Z114" s="58"/>
    </row>
    <row r="115" spans="1:26" s="178" customFormat="1" ht="25.35" customHeight="1" x14ac:dyDescent="0.3">
      <c r="A115" s="284"/>
      <c r="B115" s="316" t="s">
        <v>86</v>
      </c>
      <c r="C115" s="212">
        <v>512921.97606999998</v>
      </c>
      <c r="D115" s="212">
        <v>1777272.2980352</v>
      </c>
      <c r="E115" s="212">
        <v>1777272.2980352</v>
      </c>
      <c r="F115" s="212">
        <v>1774991</v>
      </c>
      <c r="G115" s="175">
        <v>0.28897159257145527</v>
      </c>
      <c r="H115" s="214">
        <v>69283353.929999992</v>
      </c>
      <c r="I115" s="214">
        <v>41173292.504500002</v>
      </c>
      <c r="J115" s="214">
        <v>28110061.425500002</v>
      </c>
      <c r="K115" s="214">
        <v>397289270</v>
      </c>
      <c r="L115" s="214">
        <v>397289275</v>
      </c>
      <c r="M115" s="175">
        <v>0.1743901944747942</v>
      </c>
      <c r="N115" s="232"/>
      <c r="O115" s="177"/>
      <c r="P115" s="176"/>
      <c r="Q115" s="176"/>
      <c r="R115" s="176"/>
      <c r="S115" s="176"/>
      <c r="T115" s="176"/>
      <c r="U115" s="176"/>
      <c r="V115" s="176"/>
      <c r="W115" s="176"/>
      <c r="X115" s="176"/>
      <c r="Y115" s="176"/>
      <c r="Z115" s="176"/>
    </row>
    <row r="116" spans="1:26" ht="22.5" customHeight="1" x14ac:dyDescent="0.3">
      <c r="A116" s="310"/>
      <c r="B116" s="315"/>
      <c r="C116" s="298"/>
      <c r="D116" s="185"/>
      <c r="E116" s="139"/>
      <c r="F116" s="342"/>
      <c r="G116" s="140"/>
      <c r="H116" s="307"/>
      <c r="I116" s="142"/>
      <c r="J116" s="142"/>
      <c r="K116" s="141"/>
      <c r="L116" s="141"/>
      <c r="M116" s="143"/>
      <c r="N116" s="230"/>
      <c r="O116" s="144"/>
      <c r="P116" s="58"/>
      <c r="Q116" s="58"/>
      <c r="R116" s="58"/>
      <c r="S116" s="58"/>
      <c r="T116" s="58"/>
      <c r="U116" s="58"/>
      <c r="V116" s="58"/>
      <c r="W116" s="58"/>
      <c r="X116" s="58"/>
      <c r="Y116" s="58"/>
      <c r="Z116" s="58"/>
    </row>
    <row r="117" spans="1:26" ht="22.5" customHeight="1" x14ac:dyDescent="0.3">
      <c r="A117" s="310"/>
      <c r="B117" s="314"/>
      <c r="C117" s="145">
        <v>514583</v>
      </c>
      <c r="D117" s="160"/>
      <c r="E117" s="139"/>
      <c r="F117" s="146"/>
      <c r="G117" s="147"/>
      <c r="H117" s="308"/>
      <c r="I117" s="142"/>
      <c r="J117" s="142"/>
      <c r="K117" s="142"/>
      <c r="L117" s="142"/>
      <c r="M117" s="143"/>
      <c r="N117" s="230"/>
      <c r="O117" s="148"/>
      <c r="P117" s="58"/>
      <c r="Q117" s="58"/>
      <c r="R117" s="58"/>
      <c r="S117" s="58"/>
      <c r="T117" s="58"/>
      <c r="U117" s="58"/>
      <c r="V117" s="58"/>
      <c r="W117" s="58"/>
      <c r="X117" s="58"/>
      <c r="Y117" s="58"/>
      <c r="Z117" s="58"/>
    </row>
    <row r="118" spans="1:26" ht="22.5" customHeight="1" x14ac:dyDescent="0.3">
      <c r="A118" s="310"/>
      <c r="B118" s="313" t="s">
        <v>87</v>
      </c>
      <c r="C118" s="138"/>
      <c r="D118" s="184"/>
      <c r="E118" s="184"/>
      <c r="F118" s="58"/>
      <c r="G118" s="149"/>
      <c r="H118" s="96"/>
      <c r="I118" s="58"/>
      <c r="J118" s="58"/>
      <c r="K118" s="58"/>
      <c r="L118" s="96"/>
      <c r="M118" s="58"/>
      <c r="N118" s="230"/>
      <c r="O118" s="58"/>
      <c r="P118" s="58"/>
      <c r="Q118" s="58"/>
      <c r="R118" s="58"/>
      <c r="S118" s="58"/>
      <c r="T118" s="58"/>
      <c r="U118" s="58"/>
      <c r="V118" s="58"/>
      <c r="W118" s="58"/>
      <c r="X118" s="58"/>
      <c r="Y118" s="58"/>
      <c r="Z118" s="58"/>
    </row>
    <row r="119" spans="1:26" ht="27.6" customHeight="1" x14ac:dyDescent="0.3">
      <c r="A119" s="310"/>
      <c r="B119" s="346" t="s">
        <v>88</v>
      </c>
      <c r="C119" s="346"/>
      <c r="D119" s="346"/>
      <c r="E119" s="346"/>
      <c r="F119" s="346"/>
      <c r="G119" s="346"/>
      <c r="H119" s="346"/>
      <c r="I119" s="346"/>
      <c r="J119" s="346"/>
      <c r="K119" s="346"/>
      <c r="L119" s="346"/>
      <c r="M119" s="346"/>
      <c r="N119" s="230"/>
      <c r="O119" s="58"/>
      <c r="P119" s="58"/>
      <c r="Q119" s="58"/>
      <c r="R119" s="58"/>
      <c r="S119" s="58"/>
      <c r="T119" s="58"/>
      <c r="U119" s="58"/>
      <c r="V119" s="58"/>
      <c r="W119" s="58"/>
      <c r="X119" s="58"/>
      <c r="Y119" s="58"/>
      <c r="Z119" s="58"/>
    </row>
    <row r="120" spans="1:26" ht="30.75" customHeight="1" x14ac:dyDescent="0.3">
      <c r="A120" s="310"/>
      <c r="B120" s="346" t="s">
        <v>89</v>
      </c>
      <c r="C120" s="346"/>
      <c r="D120" s="346"/>
      <c r="E120" s="346"/>
      <c r="F120" s="346"/>
      <c r="G120" s="346"/>
      <c r="H120" s="346"/>
      <c r="I120" s="346"/>
      <c r="J120" s="346"/>
      <c r="K120" s="346"/>
      <c r="L120" s="346"/>
      <c r="M120" s="346"/>
      <c r="N120" s="230"/>
      <c r="O120" s="58"/>
      <c r="P120" s="58"/>
      <c r="Q120" s="58"/>
      <c r="R120" s="58"/>
      <c r="S120" s="58"/>
      <c r="T120" s="58"/>
      <c r="U120" s="58"/>
      <c r="V120" s="58"/>
      <c r="W120" s="58"/>
      <c r="X120" s="58"/>
      <c r="Y120" s="58"/>
      <c r="Z120" s="58"/>
    </row>
    <row r="121" spans="1:26" ht="34.5" customHeight="1" x14ac:dyDescent="0.3">
      <c r="A121" s="310"/>
      <c r="B121" s="346" t="s">
        <v>90</v>
      </c>
      <c r="C121" s="346"/>
      <c r="D121" s="346"/>
      <c r="E121" s="346"/>
      <c r="F121" s="346"/>
      <c r="G121" s="346"/>
      <c r="H121" s="346"/>
      <c r="I121" s="346"/>
      <c r="J121" s="346"/>
      <c r="K121" s="346"/>
      <c r="L121" s="346"/>
      <c r="M121" s="346"/>
      <c r="N121" s="230"/>
      <c r="O121" s="58"/>
      <c r="P121" s="58"/>
      <c r="Q121" s="58"/>
      <c r="R121" s="58"/>
      <c r="S121" s="58"/>
      <c r="T121" s="58"/>
      <c r="U121" s="58"/>
      <c r="V121" s="58"/>
      <c r="W121" s="58"/>
      <c r="X121" s="58"/>
      <c r="Y121" s="58"/>
      <c r="Z121" s="58"/>
    </row>
    <row r="122" spans="1:26" ht="22.5" customHeight="1" x14ac:dyDescent="0.3">
      <c r="A122" s="310"/>
      <c r="B122" s="354" t="s">
        <v>91</v>
      </c>
      <c r="C122" s="355"/>
      <c r="D122" s="355"/>
      <c r="E122" s="355"/>
      <c r="F122" s="355"/>
      <c r="G122" s="355"/>
      <c r="H122" s="355"/>
      <c r="I122" s="355"/>
      <c r="J122" s="355"/>
      <c r="K122" s="355"/>
      <c r="L122" s="355"/>
      <c r="M122" s="356"/>
      <c r="N122" s="230"/>
      <c r="O122" s="58"/>
      <c r="P122" s="58"/>
      <c r="Q122" s="58"/>
      <c r="R122" s="58"/>
      <c r="S122" s="58"/>
      <c r="T122" s="58"/>
      <c r="U122" s="58"/>
      <c r="V122" s="58"/>
      <c r="W122" s="58"/>
      <c r="X122" s="58"/>
      <c r="Y122" s="58"/>
      <c r="Z122" s="58"/>
    </row>
    <row r="123" spans="1:26" ht="22.5" customHeight="1" x14ac:dyDescent="0.3">
      <c r="A123" s="310"/>
      <c r="B123" s="343" t="s">
        <v>92</v>
      </c>
      <c r="C123" s="344"/>
      <c r="D123" s="344"/>
      <c r="E123" s="344"/>
      <c r="F123" s="344"/>
      <c r="G123" s="344"/>
      <c r="H123" s="344"/>
      <c r="I123" s="344"/>
      <c r="J123" s="344"/>
      <c r="K123" s="344"/>
      <c r="L123" s="344"/>
      <c r="M123" s="345"/>
      <c r="N123" s="230"/>
      <c r="O123" s="58"/>
      <c r="P123" s="58"/>
      <c r="Q123" s="58"/>
      <c r="R123" s="58"/>
      <c r="S123" s="58"/>
      <c r="T123" s="58"/>
      <c r="U123" s="58"/>
      <c r="V123" s="58"/>
      <c r="W123" s="58"/>
      <c r="X123" s="58"/>
      <c r="Y123" s="58"/>
      <c r="Z123" s="58"/>
    </row>
    <row r="124" spans="1:26" ht="45" customHeight="1" x14ac:dyDescent="0.3">
      <c r="A124" s="310"/>
      <c r="B124" s="343" t="s">
        <v>297</v>
      </c>
      <c r="C124" s="344"/>
      <c r="D124" s="344"/>
      <c r="E124" s="344"/>
      <c r="F124" s="344"/>
      <c r="G124" s="344"/>
      <c r="H124" s="344"/>
      <c r="I124" s="344"/>
      <c r="J124" s="344"/>
      <c r="K124" s="344"/>
      <c r="L124" s="344"/>
      <c r="M124" s="345"/>
      <c r="N124" s="230"/>
      <c r="O124" s="58"/>
      <c r="P124" s="58"/>
      <c r="Q124" s="58"/>
      <c r="R124" s="58"/>
      <c r="S124" s="58"/>
      <c r="T124" s="58"/>
      <c r="U124" s="58"/>
      <c r="V124" s="58"/>
      <c r="W124" s="58"/>
      <c r="X124" s="58"/>
      <c r="Y124" s="58"/>
      <c r="Z124" s="58"/>
    </row>
    <row r="125" spans="1:26" ht="43.5" customHeight="1" x14ac:dyDescent="0.3">
      <c r="A125" s="310"/>
      <c r="B125" s="58"/>
      <c r="C125" s="58"/>
      <c r="D125" s="58"/>
      <c r="E125" s="58"/>
      <c r="F125" s="58"/>
      <c r="G125" s="96"/>
      <c r="H125" s="96"/>
      <c r="I125" s="58"/>
      <c r="J125" s="58"/>
      <c r="K125" s="58"/>
      <c r="L125" s="58"/>
      <c r="M125" s="58"/>
      <c r="N125" s="230"/>
      <c r="O125" s="58"/>
      <c r="P125" s="58"/>
      <c r="Q125" s="58"/>
      <c r="R125" s="58"/>
      <c r="S125" s="58"/>
      <c r="T125" s="58"/>
      <c r="U125" s="58"/>
      <c r="V125" s="58"/>
      <c r="W125" s="58"/>
      <c r="X125" s="58"/>
      <c r="Y125" s="58"/>
      <c r="Z125" s="58"/>
    </row>
    <row r="126" spans="1:26" ht="22.5" customHeight="1" x14ac:dyDescent="0.3">
      <c r="A126" s="310"/>
      <c r="B126" s="58"/>
      <c r="C126" s="58"/>
      <c r="D126" s="58"/>
      <c r="E126" s="58"/>
      <c r="F126" s="58"/>
      <c r="G126" s="96"/>
      <c r="H126" s="96"/>
      <c r="I126" s="58"/>
      <c r="J126" s="58"/>
      <c r="K126" s="58"/>
      <c r="L126" s="58"/>
      <c r="M126" s="58"/>
      <c r="N126" s="230"/>
      <c r="O126" s="58"/>
      <c r="P126" s="58"/>
      <c r="Q126" s="58"/>
      <c r="R126" s="58"/>
      <c r="S126" s="58"/>
      <c r="T126" s="58"/>
      <c r="U126" s="58"/>
      <c r="V126" s="58"/>
      <c r="W126" s="58"/>
      <c r="X126" s="58"/>
      <c r="Y126" s="58"/>
      <c r="Z126" s="58"/>
    </row>
    <row r="127" spans="1:26" ht="22.5" customHeight="1" x14ac:dyDescent="0.3">
      <c r="A127" s="310"/>
      <c r="B127" s="58"/>
      <c r="C127" s="58"/>
      <c r="D127" s="58"/>
      <c r="E127" s="58"/>
      <c r="F127" s="58"/>
      <c r="G127" s="96"/>
      <c r="H127" s="96"/>
      <c r="I127" s="58"/>
      <c r="J127" s="58"/>
      <c r="K127" s="58"/>
      <c r="L127" s="58"/>
      <c r="M127" s="58"/>
      <c r="N127" s="230"/>
      <c r="O127" s="58"/>
      <c r="P127" s="58"/>
      <c r="Q127" s="58"/>
      <c r="R127" s="58"/>
      <c r="S127" s="58"/>
      <c r="T127" s="58"/>
      <c r="U127" s="58"/>
      <c r="V127" s="58"/>
      <c r="W127" s="58"/>
      <c r="X127" s="58"/>
      <c r="Y127" s="58"/>
      <c r="Z127" s="58"/>
    </row>
    <row r="128" spans="1:26" ht="22.5" customHeight="1" x14ac:dyDescent="0.3">
      <c r="A128" s="310"/>
      <c r="B128" s="58"/>
      <c r="C128" s="58"/>
      <c r="D128" s="58"/>
      <c r="E128" s="58"/>
      <c r="F128" s="58"/>
      <c r="G128" s="96"/>
      <c r="H128" s="96"/>
      <c r="I128" s="58"/>
      <c r="J128" s="58"/>
      <c r="K128" s="58"/>
      <c r="L128" s="58"/>
      <c r="M128" s="58"/>
      <c r="N128" s="230"/>
      <c r="O128" s="58"/>
      <c r="P128" s="58"/>
      <c r="Q128" s="58"/>
      <c r="R128" s="58"/>
      <c r="S128" s="58"/>
      <c r="T128" s="58"/>
      <c r="U128" s="58"/>
      <c r="V128" s="58"/>
      <c r="W128" s="58"/>
      <c r="X128" s="58"/>
      <c r="Y128" s="58"/>
      <c r="Z128" s="58"/>
    </row>
    <row r="129" spans="1:26" ht="22.5" customHeight="1" x14ac:dyDescent="0.3">
      <c r="A129" s="310"/>
      <c r="B129" s="58"/>
      <c r="C129" s="58"/>
      <c r="D129" s="58"/>
      <c r="E129" s="58"/>
      <c r="F129" s="58"/>
      <c r="G129" s="96"/>
      <c r="H129" s="96"/>
      <c r="I129" s="58"/>
      <c r="J129" s="58"/>
      <c r="K129" s="58"/>
      <c r="L129" s="58"/>
      <c r="M129" s="58"/>
      <c r="N129" s="230"/>
      <c r="O129" s="58"/>
      <c r="P129" s="58"/>
      <c r="Q129" s="58"/>
      <c r="R129" s="58"/>
      <c r="S129" s="58"/>
      <c r="T129" s="58"/>
      <c r="U129" s="58"/>
      <c r="V129" s="58"/>
      <c r="W129" s="58"/>
      <c r="X129" s="58"/>
      <c r="Y129" s="58"/>
      <c r="Z129" s="58"/>
    </row>
    <row r="130" spans="1:26" ht="22.5" customHeight="1" x14ac:dyDescent="0.3">
      <c r="A130" s="310"/>
      <c r="B130" s="58"/>
      <c r="C130" s="58"/>
      <c r="D130" s="58"/>
      <c r="E130" s="58"/>
      <c r="F130" s="58"/>
      <c r="G130" s="96"/>
      <c r="H130" s="96"/>
      <c r="I130" s="58"/>
      <c r="J130" s="58"/>
      <c r="K130" s="58"/>
      <c r="L130" s="58"/>
      <c r="M130" s="58"/>
      <c r="N130" s="230"/>
      <c r="O130" s="58"/>
      <c r="P130" s="58"/>
      <c r="Q130" s="58"/>
      <c r="R130" s="58"/>
      <c r="S130" s="58"/>
      <c r="T130" s="58"/>
      <c r="U130" s="58"/>
      <c r="V130" s="58"/>
      <c r="W130" s="58"/>
      <c r="X130" s="58"/>
      <c r="Y130" s="58"/>
      <c r="Z130" s="58"/>
    </row>
    <row r="131" spans="1:26" ht="22.5" customHeight="1" x14ac:dyDescent="0.3">
      <c r="A131" s="310"/>
      <c r="B131" s="58"/>
      <c r="C131" s="58"/>
      <c r="D131" s="58"/>
      <c r="E131" s="58"/>
      <c r="F131" s="58"/>
      <c r="G131" s="96"/>
      <c r="H131" s="96"/>
      <c r="I131" s="58"/>
      <c r="J131" s="58"/>
      <c r="K131" s="58"/>
      <c r="L131" s="58"/>
      <c r="M131" s="58"/>
      <c r="N131" s="230"/>
      <c r="O131" s="58"/>
      <c r="P131" s="58"/>
      <c r="Q131" s="58"/>
      <c r="R131" s="58"/>
      <c r="S131" s="58"/>
      <c r="T131" s="58"/>
      <c r="U131" s="58"/>
      <c r="V131" s="58"/>
      <c r="W131" s="58"/>
      <c r="X131" s="58"/>
      <c r="Y131" s="58"/>
      <c r="Z131" s="58"/>
    </row>
    <row r="132" spans="1:26" ht="22.5" customHeight="1" x14ac:dyDescent="0.3">
      <c r="A132" s="310"/>
      <c r="B132" s="58"/>
      <c r="C132" s="58"/>
      <c r="D132" s="58"/>
      <c r="E132" s="58"/>
      <c r="F132" s="58"/>
      <c r="G132" s="96"/>
      <c r="H132" s="96"/>
      <c r="I132" s="58"/>
      <c r="J132" s="58"/>
      <c r="K132" s="58"/>
      <c r="L132" s="58"/>
      <c r="M132" s="58"/>
      <c r="N132" s="230"/>
      <c r="O132" s="58"/>
      <c r="P132" s="58"/>
      <c r="Q132" s="58"/>
      <c r="R132" s="58"/>
      <c r="S132" s="58"/>
      <c r="T132" s="58"/>
      <c r="U132" s="58"/>
      <c r="V132" s="58"/>
      <c r="W132" s="58"/>
      <c r="X132" s="58"/>
      <c r="Y132" s="58"/>
      <c r="Z132" s="58"/>
    </row>
    <row r="133" spans="1:26" ht="22.5" customHeight="1" x14ac:dyDescent="0.3">
      <c r="A133" s="310"/>
      <c r="B133" s="58"/>
      <c r="C133" s="58"/>
      <c r="D133" s="58"/>
      <c r="E133" s="58"/>
      <c r="F133" s="58"/>
      <c r="G133" s="96"/>
      <c r="H133" s="96"/>
      <c r="I133" s="58"/>
      <c r="J133" s="58"/>
      <c r="K133" s="58"/>
      <c r="L133" s="58"/>
      <c r="M133" s="58"/>
      <c r="N133" s="230"/>
      <c r="O133" s="58"/>
      <c r="P133" s="58"/>
      <c r="Q133" s="58"/>
      <c r="R133" s="58"/>
      <c r="S133" s="58"/>
      <c r="T133" s="58"/>
      <c r="U133" s="58"/>
      <c r="V133" s="58"/>
      <c r="W133" s="58"/>
      <c r="X133" s="58"/>
      <c r="Y133" s="58"/>
      <c r="Z133" s="58"/>
    </row>
    <row r="134" spans="1:26" ht="22.5" customHeight="1" x14ac:dyDescent="0.3">
      <c r="A134" s="310"/>
      <c r="B134" s="58"/>
      <c r="C134" s="58"/>
      <c r="D134" s="58"/>
      <c r="E134" s="58"/>
      <c r="F134" s="58"/>
      <c r="G134" s="96"/>
      <c r="H134" s="96"/>
      <c r="I134" s="58"/>
      <c r="J134" s="58"/>
      <c r="K134" s="58"/>
      <c r="L134" s="58"/>
      <c r="M134" s="58"/>
      <c r="N134" s="230"/>
      <c r="O134" s="58"/>
      <c r="P134" s="58"/>
      <c r="Q134" s="58"/>
      <c r="R134" s="58"/>
      <c r="S134" s="58"/>
      <c r="T134" s="58"/>
      <c r="U134" s="58"/>
      <c r="V134" s="58"/>
      <c r="W134" s="58"/>
      <c r="X134" s="58"/>
      <c r="Y134" s="58"/>
      <c r="Z134" s="58"/>
    </row>
    <row r="135" spans="1:26" ht="22.5" customHeight="1" x14ac:dyDescent="0.3">
      <c r="B135" s="58"/>
      <c r="C135" s="58"/>
      <c r="D135" s="58"/>
      <c r="E135" s="58"/>
      <c r="F135" s="58"/>
      <c r="G135" s="96"/>
      <c r="H135" s="96"/>
      <c r="I135" s="58"/>
      <c r="J135" s="58"/>
      <c r="K135" s="58"/>
      <c r="L135" s="58"/>
      <c r="M135" s="58"/>
      <c r="N135" s="230"/>
      <c r="O135" s="58"/>
      <c r="P135" s="58"/>
      <c r="Q135" s="58"/>
      <c r="R135" s="58"/>
      <c r="S135" s="58"/>
      <c r="T135" s="58"/>
      <c r="U135" s="58"/>
      <c r="V135" s="58"/>
      <c r="W135" s="58"/>
      <c r="X135" s="58"/>
      <c r="Y135" s="58"/>
      <c r="Z135" s="58"/>
    </row>
  </sheetData>
  <mergeCells count="8">
    <mergeCell ref="B124:M124"/>
    <mergeCell ref="B123:M123"/>
    <mergeCell ref="B119:M119"/>
    <mergeCell ref="B121:M121"/>
    <mergeCell ref="B5:M6"/>
    <mergeCell ref="B8:M16"/>
    <mergeCell ref="B122:M122"/>
    <mergeCell ref="B120:M120"/>
  </mergeCells>
  <printOptions horizontalCentered="1" headings="1"/>
  <pageMargins left="1" right="1" top="1.25" bottom="0.5" header="0.5" footer="0.5"/>
  <pageSetup paperSize="17" scale="22" orientation="portrait" r:id="rId1"/>
  <headerFooter scaleWithDoc="0">
    <oddHeader>&amp;R&amp;"Arial,Bold"ICC Docket No. 17-0312
Statewide Quarterly Report ComEd 2019 Q4 
Tab: &amp;A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FA699-43E8-4C9A-A926-92E887AF983B}">
  <dimension ref="A1:AH128"/>
  <sheetViews>
    <sheetView topLeftCell="Q6" workbookViewId="0">
      <selection activeCell="AH63" sqref="AH63"/>
    </sheetView>
  </sheetViews>
  <sheetFormatPr defaultRowHeight="14.4" x14ac:dyDescent="0.3"/>
  <cols>
    <col min="1" max="1" width="37" bestFit="1" customWidth="1"/>
    <col min="2" max="6" width="12" bestFit="1" customWidth="1"/>
    <col min="7" max="13" width="11.109375" bestFit="1" customWidth="1"/>
    <col min="14" max="14" width="12.44140625" bestFit="1" customWidth="1"/>
    <col min="16" max="27" width="11.109375" bestFit="1" customWidth="1"/>
    <col min="28" max="28" width="12.44140625" bestFit="1" customWidth="1"/>
    <col min="29" max="29" width="10.109375" bestFit="1" customWidth="1"/>
    <col min="30" max="30" width="10.109375" customWidth="1"/>
    <col min="31" max="31" width="58" bestFit="1" customWidth="1"/>
    <col min="32" max="34" width="15.109375" bestFit="1" customWidth="1"/>
  </cols>
  <sheetData>
    <row r="1" spans="1:34" ht="15" thickBot="1" x14ac:dyDescent="0.35">
      <c r="A1" s="241" t="s">
        <v>309</v>
      </c>
      <c r="B1" s="257">
        <v>45315</v>
      </c>
      <c r="C1" s="257">
        <v>45346</v>
      </c>
      <c r="D1" s="257">
        <v>45375</v>
      </c>
      <c r="E1" s="257">
        <v>45406</v>
      </c>
      <c r="F1" s="257">
        <v>45436</v>
      </c>
      <c r="G1" s="257">
        <v>45467</v>
      </c>
      <c r="H1" s="257">
        <v>45497</v>
      </c>
      <c r="I1" s="257">
        <v>45528</v>
      </c>
      <c r="J1" s="257">
        <v>45559</v>
      </c>
      <c r="K1" s="257">
        <v>45589</v>
      </c>
      <c r="L1" s="257">
        <v>45620</v>
      </c>
      <c r="M1" s="257">
        <v>45650</v>
      </c>
      <c r="N1" s="258">
        <v>2024</v>
      </c>
      <c r="P1" s="279">
        <v>45315</v>
      </c>
      <c r="Q1" s="279">
        <v>45346</v>
      </c>
      <c r="R1" s="279">
        <v>45375</v>
      </c>
      <c r="S1" s="279">
        <v>45406</v>
      </c>
      <c r="T1" s="279">
        <v>45436</v>
      </c>
      <c r="U1" s="279">
        <v>45467</v>
      </c>
      <c r="V1" s="279">
        <v>45497</v>
      </c>
      <c r="W1" s="279">
        <v>45528</v>
      </c>
      <c r="X1" s="279">
        <v>45559</v>
      </c>
      <c r="Y1" s="279">
        <v>45589</v>
      </c>
      <c r="Z1" s="279">
        <v>45620</v>
      </c>
      <c r="AA1" s="279">
        <v>45650</v>
      </c>
      <c r="AB1" s="280">
        <v>2024</v>
      </c>
      <c r="AC1" t="s">
        <v>407</v>
      </c>
    </row>
    <row r="2" spans="1:34" x14ac:dyDescent="0.3">
      <c r="A2" s="242" t="s">
        <v>310</v>
      </c>
      <c r="B2" s="260">
        <v>24324</v>
      </c>
      <c r="C2" s="260">
        <v>24468</v>
      </c>
      <c r="D2" s="260">
        <v>25320</v>
      </c>
      <c r="E2" s="260">
        <v>50799</v>
      </c>
      <c r="F2" s="260">
        <v>55541</v>
      </c>
      <c r="G2" s="260">
        <v>51805</v>
      </c>
      <c r="H2" s="260">
        <v>55465</v>
      </c>
      <c r="I2" s="260">
        <v>59527</v>
      </c>
      <c r="J2" s="260">
        <v>62380</v>
      </c>
      <c r="K2" s="260">
        <v>57829</v>
      </c>
      <c r="L2" s="260">
        <v>53603</v>
      </c>
      <c r="M2" s="260">
        <v>53025</v>
      </c>
      <c r="N2" s="261">
        <v>574086</v>
      </c>
      <c r="P2" s="260">
        <v>15683</v>
      </c>
      <c r="Q2" s="260">
        <v>57144</v>
      </c>
      <c r="R2" s="260">
        <v>18504</v>
      </c>
      <c r="S2" s="260">
        <v>53683</v>
      </c>
      <c r="T2" s="260">
        <v>54495</v>
      </c>
      <c r="U2" s="260">
        <v>51005</v>
      </c>
      <c r="V2" s="260">
        <v>143063</v>
      </c>
      <c r="W2" s="260">
        <v>73127</v>
      </c>
      <c r="X2" s="260">
        <v>93682</v>
      </c>
      <c r="Y2" s="260">
        <v>10019</v>
      </c>
      <c r="Z2" s="262" t="s">
        <v>397</v>
      </c>
      <c r="AA2" s="260">
        <v>3680</v>
      </c>
      <c r="AB2" s="261">
        <v>574086</v>
      </c>
      <c r="AC2" s="259">
        <f>SUM(P2:R2)</f>
        <v>91331</v>
      </c>
      <c r="AD2" s="259"/>
    </row>
    <row r="3" spans="1:34" x14ac:dyDescent="0.3">
      <c r="A3" s="242" t="s">
        <v>311</v>
      </c>
      <c r="B3" s="260">
        <v>84945</v>
      </c>
      <c r="C3" s="260">
        <v>186490</v>
      </c>
      <c r="D3" s="260">
        <v>322702</v>
      </c>
      <c r="E3" s="260">
        <v>490572</v>
      </c>
      <c r="F3" s="260">
        <v>473647</v>
      </c>
      <c r="G3" s="260">
        <v>473647</v>
      </c>
      <c r="H3" s="260">
        <v>473647</v>
      </c>
      <c r="I3" s="260">
        <v>384934</v>
      </c>
      <c r="J3" s="260">
        <v>413318</v>
      </c>
      <c r="K3" s="260">
        <v>435706</v>
      </c>
      <c r="L3" s="260">
        <v>254187</v>
      </c>
      <c r="M3" s="260">
        <v>113469</v>
      </c>
      <c r="N3" s="261">
        <v>4107265</v>
      </c>
      <c r="P3" s="260">
        <v>46624</v>
      </c>
      <c r="Q3" s="260">
        <v>59472</v>
      </c>
      <c r="R3" s="260">
        <v>108407</v>
      </c>
      <c r="S3" s="260">
        <v>96731</v>
      </c>
      <c r="T3" s="260">
        <v>228331</v>
      </c>
      <c r="U3" s="260">
        <v>226361</v>
      </c>
      <c r="V3" s="260">
        <v>597745</v>
      </c>
      <c r="W3" s="260">
        <v>785664</v>
      </c>
      <c r="X3" s="260">
        <v>803856</v>
      </c>
      <c r="Y3" s="260">
        <v>759305</v>
      </c>
      <c r="Z3" s="260">
        <v>304178</v>
      </c>
      <c r="AA3" s="260">
        <v>90591</v>
      </c>
      <c r="AB3" s="261">
        <v>4107265</v>
      </c>
      <c r="AC3" s="259">
        <f t="shared" ref="AC3:AC66" si="0">SUM(P3:R3)</f>
        <v>214503</v>
      </c>
      <c r="AD3" s="259"/>
    </row>
    <row r="4" spans="1:34" x14ac:dyDescent="0.3">
      <c r="A4" s="242" t="s">
        <v>312</v>
      </c>
      <c r="B4" s="260">
        <v>40819</v>
      </c>
      <c r="C4" s="260">
        <v>63641</v>
      </c>
      <c r="D4" s="260">
        <v>57824</v>
      </c>
      <c r="E4" s="260">
        <v>97652</v>
      </c>
      <c r="F4" s="260">
        <v>97652</v>
      </c>
      <c r="G4" s="260">
        <v>134620</v>
      </c>
      <c r="H4" s="260">
        <v>651007</v>
      </c>
      <c r="I4" s="260">
        <v>137578</v>
      </c>
      <c r="J4" s="260">
        <v>143297</v>
      </c>
      <c r="K4" s="260">
        <v>183125</v>
      </c>
      <c r="L4" s="260">
        <v>137578</v>
      </c>
      <c r="M4" s="260">
        <v>127396</v>
      </c>
      <c r="N4" s="261">
        <v>1872189</v>
      </c>
      <c r="P4" s="260">
        <v>63281</v>
      </c>
      <c r="Q4" s="260">
        <v>235174</v>
      </c>
      <c r="R4" s="260">
        <v>181408</v>
      </c>
      <c r="S4" s="260">
        <v>29724</v>
      </c>
      <c r="T4" s="260">
        <v>53176</v>
      </c>
      <c r="U4" s="260">
        <v>131885</v>
      </c>
      <c r="V4" s="260">
        <v>685600</v>
      </c>
      <c r="W4" s="260">
        <v>53547</v>
      </c>
      <c r="X4" s="260">
        <v>140786</v>
      </c>
      <c r="Y4" s="260">
        <v>85920</v>
      </c>
      <c r="Z4" s="260">
        <v>148502</v>
      </c>
      <c r="AA4" s="260">
        <v>63186</v>
      </c>
      <c r="AB4" s="261">
        <v>1872189</v>
      </c>
      <c r="AC4" s="259">
        <f t="shared" si="0"/>
        <v>479863</v>
      </c>
      <c r="AD4" s="259"/>
    </row>
    <row r="5" spans="1:34" x14ac:dyDescent="0.3">
      <c r="A5" s="242" t="s">
        <v>313</v>
      </c>
      <c r="B5" s="260">
        <v>565109</v>
      </c>
      <c r="C5" s="260">
        <v>905773</v>
      </c>
      <c r="D5" s="260">
        <v>1540552</v>
      </c>
      <c r="E5" s="260">
        <v>1663271</v>
      </c>
      <c r="F5" s="260">
        <v>2030696</v>
      </c>
      <c r="G5" s="260">
        <v>2295287</v>
      </c>
      <c r="H5" s="260">
        <v>1823864</v>
      </c>
      <c r="I5" s="260">
        <v>1738565</v>
      </c>
      <c r="J5" s="260">
        <v>2520796</v>
      </c>
      <c r="K5" s="260">
        <v>2879919</v>
      </c>
      <c r="L5" s="260">
        <v>2882055</v>
      </c>
      <c r="M5" s="260">
        <v>2392993</v>
      </c>
      <c r="N5" s="261">
        <v>23238880</v>
      </c>
      <c r="P5" s="260">
        <v>1973325</v>
      </c>
      <c r="Q5" s="260">
        <v>817429</v>
      </c>
      <c r="R5" s="260">
        <v>2537312</v>
      </c>
      <c r="S5" s="260">
        <v>2115170</v>
      </c>
      <c r="T5" s="260">
        <v>2036163</v>
      </c>
      <c r="U5" s="260">
        <v>2105724</v>
      </c>
      <c r="V5" s="260">
        <v>1792358</v>
      </c>
      <c r="W5" s="260">
        <v>1632889</v>
      </c>
      <c r="X5" s="260">
        <v>2410613</v>
      </c>
      <c r="Y5" s="260">
        <v>2750690</v>
      </c>
      <c r="Z5" s="260">
        <v>1731827</v>
      </c>
      <c r="AA5" s="260">
        <v>1335378</v>
      </c>
      <c r="AB5" s="261">
        <v>23238880</v>
      </c>
      <c r="AC5" s="259">
        <f t="shared" si="0"/>
        <v>5328066</v>
      </c>
      <c r="AD5" s="259"/>
    </row>
    <row r="6" spans="1:34" x14ac:dyDescent="0.3">
      <c r="A6" s="242" t="s">
        <v>314</v>
      </c>
      <c r="B6" s="262" t="s">
        <v>397</v>
      </c>
      <c r="C6" s="260">
        <v>94500</v>
      </c>
      <c r="D6" s="260">
        <v>157500</v>
      </c>
      <c r="E6" s="260">
        <v>441000</v>
      </c>
      <c r="F6" s="260">
        <v>730800</v>
      </c>
      <c r="G6" s="260">
        <v>793800</v>
      </c>
      <c r="H6" s="260">
        <v>762300</v>
      </c>
      <c r="I6" s="260">
        <v>699300</v>
      </c>
      <c r="J6" s="260">
        <v>699300</v>
      </c>
      <c r="K6" s="260">
        <v>730800</v>
      </c>
      <c r="L6" s="260">
        <v>579600</v>
      </c>
      <c r="M6" s="260">
        <v>422100</v>
      </c>
      <c r="N6" s="261">
        <v>6111000</v>
      </c>
      <c r="P6" s="260">
        <v>18000</v>
      </c>
      <c r="Q6" s="260">
        <v>151200</v>
      </c>
      <c r="R6" s="260">
        <v>151200</v>
      </c>
      <c r="S6" s="260">
        <v>378000</v>
      </c>
      <c r="T6" s="260">
        <v>787500</v>
      </c>
      <c r="U6" s="260">
        <v>724500</v>
      </c>
      <c r="V6" s="260">
        <v>693000</v>
      </c>
      <c r="W6" s="260">
        <v>724500</v>
      </c>
      <c r="X6" s="260">
        <v>724500</v>
      </c>
      <c r="Y6" s="260">
        <v>756000</v>
      </c>
      <c r="Z6" s="260">
        <v>579600</v>
      </c>
      <c r="AA6" s="260">
        <v>423000</v>
      </c>
      <c r="AB6" s="261">
        <v>6111000</v>
      </c>
      <c r="AC6" s="259">
        <f t="shared" si="0"/>
        <v>320400</v>
      </c>
      <c r="AD6" s="259"/>
    </row>
    <row r="7" spans="1:34" x14ac:dyDescent="0.3">
      <c r="A7" s="242" t="s">
        <v>315</v>
      </c>
      <c r="B7" s="260">
        <v>1050512</v>
      </c>
      <c r="C7" s="260">
        <v>1141624</v>
      </c>
      <c r="D7" s="260">
        <v>1183342</v>
      </c>
      <c r="E7" s="260">
        <v>1345307</v>
      </c>
      <c r="F7" s="260">
        <v>1626251</v>
      </c>
      <c r="G7" s="260">
        <v>2509677</v>
      </c>
      <c r="H7" s="260">
        <v>2796944</v>
      </c>
      <c r="I7" s="260">
        <v>2926775</v>
      </c>
      <c r="J7" s="260">
        <v>3031389</v>
      </c>
      <c r="K7" s="260">
        <v>3060537</v>
      </c>
      <c r="L7" s="260">
        <v>3217621</v>
      </c>
      <c r="M7" s="260">
        <v>3310021</v>
      </c>
      <c r="N7" s="261">
        <v>27200000</v>
      </c>
      <c r="P7" s="260">
        <v>1056950</v>
      </c>
      <c r="Q7" s="260">
        <v>821502</v>
      </c>
      <c r="R7" s="260">
        <v>1161450</v>
      </c>
      <c r="S7" s="260">
        <v>1282894</v>
      </c>
      <c r="T7" s="260">
        <v>2118551</v>
      </c>
      <c r="U7" s="260">
        <v>2640810</v>
      </c>
      <c r="V7" s="260">
        <v>3014510</v>
      </c>
      <c r="W7" s="260">
        <v>2973271</v>
      </c>
      <c r="X7" s="260">
        <v>3072986</v>
      </c>
      <c r="Y7" s="260">
        <v>3073419</v>
      </c>
      <c r="Z7" s="260">
        <v>2853780</v>
      </c>
      <c r="AA7" s="260">
        <v>3129879</v>
      </c>
      <c r="AB7" s="261">
        <v>27200000</v>
      </c>
      <c r="AC7" s="259">
        <f t="shared" si="0"/>
        <v>3039902</v>
      </c>
      <c r="AD7" s="259"/>
    </row>
    <row r="8" spans="1:34" ht="26.4" x14ac:dyDescent="0.3">
      <c r="A8" s="243" t="s">
        <v>316</v>
      </c>
      <c r="B8" s="260">
        <v>397313</v>
      </c>
      <c r="C8" s="260">
        <v>445904</v>
      </c>
      <c r="D8" s="260">
        <v>416505</v>
      </c>
      <c r="E8" s="260">
        <v>416290</v>
      </c>
      <c r="F8" s="260">
        <v>226931</v>
      </c>
      <c r="G8" s="260">
        <v>266104</v>
      </c>
      <c r="H8" s="260">
        <v>265030</v>
      </c>
      <c r="I8" s="260">
        <v>273022</v>
      </c>
      <c r="J8" s="260">
        <v>418529</v>
      </c>
      <c r="K8" s="260">
        <v>504012</v>
      </c>
      <c r="L8" s="260">
        <v>473900</v>
      </c>
      <c r="M8" s="260">
        <v>441387</v>
      </c>
      <c r="N8" s="261">
        <v>4544926</v>
      </c>
      <c r="P8" s="260">
        <v>416974</v>
      </c>
      <c r="Q8" s="260">
        <v>412654</v>
      </c>
      <c r="R8" s="260">
        <v>469700</v>
      </c>
      <c r="S8" s="260">
        <v>444258</v>
      </c>
      <c r="T8" s="260">
        <v>335157</v>
      </c>
      <c r="U8" s="260">
        <v>319434</v>
      </c>
      <c r="V8" s="260">
        <v>232064</v>
      </c>
      <c r="W8" s="260">
        <v>367303</v>
      </c>
      <c r="X8" s="260">
        <v>437559</v>
      </c>
      <c r="Y8" s="260">
        <v>440662</v>
      </c>
      <c r="Z8" s="260">
        <v>461182</v>
      </c>
      <c r="AA8" s="260">
        <v>207979</v>
      </c>
      <c r="AB8" s="261">
        <v>4544926</v>
      </c>
      <c r="AC8" s="259">
        <f t="shared" si="0"/>
        <v>1299328</v>
      </c>
      <c r="AD8" s="259"/>
      <c r="AE8" t="s">
        <v>408</v>
      </c>
      <c r="AF8" s="281" t="s">
        <v>300</v>
      </c>
      <c r="AG8" s="281" t="s">
        <v>406</v>
      </c>
      <c r="AH8" s="281" t="s">
        <v>407</v>
      </c>
    </row>
    <row r="9" spans="1:34" x14ac:dyDescent="0.3">
      <c r="A9" s="242" t="s">
        <v>317</v>
      </c>
      <c r="B9" s="260">
        <v>517323</v>
      </c>
      <c r="C9" s="260">
        <v>517323</v>
      </c>
      <c r="D9" s="260">
        <v>517323</v>
      </c>
      <c r="E9" s="260">
        <v>517323</v>
      </c>
      <c r="F9" s="260">
        <v>517323</v>
      </c>
      <c r="G9" s="260">
        <v>518323</v>
      </c>
      <c r="H9" s="260">
        <v>517323</v>
      </c>
      <c r="I9" s="260">
        <v>527323</v>
      </c>
      <c r="J9" s="260">
        <v>528323</v>
      </c>
      <c r="K9" s="260">
        <v>527323</v>
      </c>
      <c r="L9" s="260">
        <v>527323</v>
      </c>
      <c r="M9" s="260">
        <v>527323</v>
      </c>
      <c r="N9" s="261">
        <v>6259880</v>
      </c>
      <c r="P9" s="262" t="s">
        <v>397</v>
      </c>
      <c r="Q9" s="262" t="s">
        <v>397</v>
      </c>
      <c r="R9" s="262" t="s">
        <v>397</v>
      </c>
      <c r="S9" s="262" t="s">
        <v>397</v>
      </c>
      <c r="T9" s="262" t="s">
        <v>397</v>
      </c>
      <c r="U9" s="262" t="s">
        <v>397</v>
      </c>
      <c r="V9" s="262" t="s">
        <v>397</v>
      </c>
      <c r="W9" s="262" t="s">
        <v>397</v>
      </c>
      <c r="X9" s="262" t="s">
        <v>397</v>
      </c>
      <c r="Y9" s="262" t="s">
        <v>397</v>
      </c>
      <c r="Z9" s="262" t="s">
        <v>397</v>
      </c>
      <c r="AA9" s="262" t="s">
        <v>397</v>
      </c>
      <c r="AB9" s="269" t="s">
        <v>397</v>
      </c>
      <c r="AC9" s="259">
        <f t="shared" si="0"/>
        <v>0</v>
      </c>
      <c r="AD9" s="259"/>
      <c r="AE9" s="276" t="s">
        <v>337</v>
      </c>
      <c r="AF9" s="282">
        <v>51248795</v>
      </c>
      <c r="AG9" s="281">
        <v>51248795</v>
      </c>
      <c r="AH9" s="281">
        <v>12286946</v>
      </c>
    </row>
    <row r="10" spans="1:34" x14ac:dyDescent="0.3">
      <c r="A10" s="243" t="s">
        <v>318</v>
      </c>
      <c r="B10" s="260">
        <v>56009</v>
      </c>
      <c r="C10" s="260">
        <v>67191</v>
      </c>
      <c r="D10" s="260">
        <v>67191</v>
      </c>
      <c r="E10" s="260">
        <v>258627</v>
      </c>
      <c r="F10" s="260">
        <v>434886</v>
      </c>
      <c r="G10" s="260">
        <v>434886</v>
      </c>
      <c r="H10" s="260">
        <v>430892</v>
      </c>
      <c r="I10" s="260">
        <v>430892</v>
      </c>
      <c r="J10" s="260">
        <v>622328</v>
      </c>
      <c r="K10" s="260">
        <v>607152</v>
      </c>
      <c r="L10" s="260">
        <v>607152</v>
      </c>
      <c r="M10" s="260">
        <v>430915</v>
      </c>
      <c r="N10" s="261">
        <v>4448118</v>
      </c>
      <c r="P10" s="260">
        <v>44657</v>
      </c>
      <c r="Q10" s="260">
        <v>50158</v>
      </c>
      <c r="R10" s="260">
        <v>56601</v>
      </c>
      <c r="S10" s="260">
        <v>50710</v>
      </c>
      <c r="T10" s="260">
        <v>162542</v>
      </c>
      <c r="U10" s="260">
        <v>513735</v>
      </c>
      <c r="V10" s="260">
        <v>585465</v>
      </c>
      <c r="W10" s="260">
        <v>333260</v>
      </c>
      <c r="X10" s="260">
        <v>649563</v>
      </c>
      <c r="Y10" s="260">
        <v>799825</v>
      </c>
      <c r="Z10" s="260">
        <v>396326</v>
      </c>
      <c r="AA10" s="260">
        <v>805276</v>
      </c>
      <c r="AB10" s="261">
        <v>4448119</v>
      </c>
      <c r="AC10" s="259">
        <f t="shared" si="0"/>
        <v>151416</v>
      </c>
      <c r="AD10" s="259"/>
      <c r="AE10" s="276" t="s">
        <v>350</v>
      </c>
      <c r="AF10" s="282">
        <v>8275328</v>
      </c>
      <c r="AG10" s="281">
        <v>8275328</v>
      </c>
      <c r="AH10" s="281">
        <v>799502</v>
      </c>
    </row>
    <row r="11" spans="1:34" x14ac:dyDescent="0.3">
      <c r="A11" s="243" t="s">
        <v>319</v>
      </c>
      <c r="B11" s="260">
        <v>67912</v>
      </c>
      <c r="C11" s="260">
        <v>255164</v>
      </c>
      <c r="D11" s="260">
        <v>255164</v>
      </c>
      <c r="E11" s="260">
        <v>471534</v>
      </c>
      <c r="F11" s="260">
        <v>493236</v>
      </c>
      <c r="G11" s="260">
        <v>493236</v>
      </c>
      <c r="H11" s="260">
        <v>485819</v>
      </c>
      <c r="I11" s="260">
        <v>485819</v>
      </c>
      <c r="J11" s="260">
        <v>702191</v>
      </c>
      <c r="K11" s="260">
        <v>507521</v>
      </c>
      <c r="L11" s="260">
        <v>507521</v>
      </c>
      <c r="M11" s="260">
        <v>309775</v>
      </c>
      <c r="N11" s="261">
        <v>5034895</v>
      </c>
      <c r="P11" s="260">
        <v>50434</v>
      </c>
      <c r="Q11" s="260">
        <v>208400</v>
      </c>
      <c r="R11" s="260">
        <v>278253</v>
      </c>
      <c r="S11" s="260">
        <v>100645</v>
      </c>
      <c r="T11" s="260">
        <v>466177</v>
      </c>
      <c r="U11" s="260">
        <v>551952</v>
      </c>
      <c r="V11" s="260">
        <v>588880</v>
      </c>
      <c r="W11" s="260">
        <v>521206</v>
      </c>
      <c r="X11" s="260">
        <v>797786</v>
      </c>
      <c r="Y11" s="260">
        <v>574474</v>
      </c>
      <c r="Z11" s="260">
        <v>548168</v>
      </c>
      <c r="AA11" s="260">
        <v>348519</v>
      </c>
      <c r="AB11" s="261">
        <v>5034895</v>
      </c>
      <c r="AC11" s="259">
        <f t="shared" si="0"/>
        <v>537087</v>
      </c>
      <c r="AD11" s="259"/>
      <c r="AE11" s="276"/>
      <c r="AF11" s="282"/>
      <c r="AG11" s="281"/>
      <c r="AH11" s="281"/>
    </row>
    <row r="12" spans="1:34" x14ac:dyDescent="0.3">
      <c r="A12" s="244"/>
      <c r="B12" s="263">
        <v>2804265</v>
      </c>
      <c r="C12" s="263">
        <v>3702080</v>
      </c>
      <c r="D12" s="263">
        <v>4543423</v>
      </c>
      <c r="E12" s="263">
        <v>5752375</v>
      </c>
      <c r="F12" s="263">
        <v>6686963</v>
      </c>
      <c r="G12" s="263">
        <v>7971386</v>
      </c>
      <c r="H12" s="263">
        <v>8262291</v>
      </c>
      <c r="I12" s="263">
        <v>7663735</v>
      </c>
      <c r="J12" s="263">
        <v>9141852</v>
      </c>
      <c r="K12" s="263">
        <v>9493925</v>
      </c>
      <c r="L12" s="263">
        <v>9240540</v>
      </c>
      <c r="M12" s="263">
        <v>8128404</v>
      </c>
      <c r="N12" s="263">
        <v>83391240</v>
      </c>
      <c r="P12" s="263">
        <v>3685929</v>
      </c>
      <c r="Q12" s="263">
        <v>2813134</v>
      </c>
      <c r="R12" s="263">
        <v>4962835</v>
      </c>
      <c r="S12" s="263">
        <v>4551815</v>
      </c>
      <c r="T12" s="263">
        <v>6242092</v>
      </c>
      <c r="U12" s="263">
        <v>7265406</v>
      </c>
      <c r="V12" s="263">
        <v>8332685</v>
      </c>
      <c r="W12" s="263">
        <v>7464767</v>
      </c>
      <c r="X12" s="263">
        <v>9131331</v>
      </c>
      <c r="Y12" s="263">
        <v>9250314</v>
      </c>
      <c r="Z12" s="263">
        <v>7023563</v>
      </c>
      <c r="AA12" s="263">
        <v>6407488</v>
      </c>
      <c r="AB12" s="263">
        <v>77131359</v>
      </c>
      <c r="AC12" s="259">
        <f t="shared" si="0"/>
        <v>11461898</v>
      </c>
      <c r="AD12" s="259"/>
      <c r="AE12" s="277" t="s">
        <v>399</v>
      </c>
      <c r="AF12" s="282"/>
      <c r="AG12" s="281"/>
      <c r="AH12" s="281"/>
    </row>
    <row r="13" spans="1:34" x14ac:dyDescent="0.3">
      <c r="A13" s="243" t="s">
        <v>320</v>
      </c>
      <c r="B13" s="262" t="s">
        <v>397</v>
      </c>
      <c r="C13" s="260">
        <v>80541</v>
      </c>
      <c r="D13" s="260">
        <v>112320</v>
      </c>
      <c r="E13" s="260">
        <v>118606</v>
      </c>
      <c r="F13" s="260">
        <v>77518</v>
      </c>
      <c r="G13" s="260">
        <v>41847</v>
      </c>
      <c r="H13" s="262" t="s">
        <v>397</v>
      </c>
      <c r="I13" s="260">
        <v>51050</v>
      </c>
      <c r="J13" s="260">
        <v>158820</v>
      </c>
      <c r="K13" s="260">
        <v>179114</v>
      </c>
      <c r="L13" s="260">
        <v>90844</v>
      </c>
      <c r="M13" s="260">
        <v>14298</v>
      </c>
      <c r="N13" s="264">
        <v>924958</v>
      </c>
      <c r="P13" s="262" t="s">
        <v>397</v>
      </c>
      <c r="Q13" s="260">
        <v>178088</v>
      </c>
      <c r="R13" s="260">
        <v>214401</v>
      </c>
      <c r="S13" s="260">
        <v>204176</v>
      </c>
      <c r="T13" s="260">
        <v>57359</v>
      </c>
      <c r="U13" s="260">
        <v>3553</v>
      </c>
      <c r="V13" s="262" t="s">
        <v>397</v>
      </c>
      <c r="W13" s="260">
        <v>37894</v>
      </c>
      <c r="X13" s="260">
        <v>70666</v>
      </c>
      <c r="Y13" s="260">
        <v>72646</v>
      </c>
      <c r="Z13" s="260">
        <v>69243</v>
      </c>
      <c r="AA13" s="260">
        <v>16932</v>
      </c>
      <c r="AB13" s="264">
        <v>924958</v>
      </c>
      <c r="AC13" s="259">
        <f t="shared" si="0"/>
        <v>392489</v>
      </c>
      <c r="AD13" s="259"/>
      <c r="AE13" s="276" t="s">
        <v>19</v>
      </c>
      <c r="AF13" s="282">
        <v>75360609</v>
      </c>
      <c r="AG13" s="281">
        <v>75360609</v>
      </c>
      <c r="AH13" s="281">
        <v>9802157</v>
      </c>
    </row>
    <row r="14" spans="1:34" x14ac:dyDescent="0.3">
      <c r="A14" s="243" t="s">
        <v>321</v>
      </c>
      <c r="B14" s="260">
        <v>501812</v>
      </c>
      <c r="C14" s="260">
        <v>513907</v>
      </c>
      <c r="D14" s="260">
        <v>543796</v>
      </c>
      <c r="E14" s="260">
        <v>798105</v>
      </c>
      <c r="F14" s="260">
        <v>478675</v>
      </c>
      <c r="G14" s="260">
        <v>676099</v>
      </c>
      <c r="H14" s="260">
        <v>545733</v>
      </c>
      <c r="I14" s="260">
        <v>639011</v>
      </c>
      <c r="J14" s="260">
        <v>1129195</v>
      </c>
      <c r="K14" s="260">
        <v>1229768</v>
      </c>
      <c r="L14" s="260">
        <v>1450633</v>
      </c>
      <c r="M14" s="260">
        <v>589866</v>
      </c>
      <c r="N14" s="265">
        <v>9096600</v>
      </c>
      <c r="P14" s="260">
        <v>752008</v>
      </c>
      <c r="Q14" s="260">
        <v>1165001</v>
      </c>
      <c r="R14" s="260">
        <v>1251766</v>
      </c>
      <c r="S14" s="260">
        <v>653553</v>
      </c>
      <c r="T14" s="260">
        <v>460266</v>
      </c>
      <c r="U14" s="260">
        <v>646099</v>
      </c>
      <c r="V14" s="260">
        <v>531971</v>
      </c>
      <c r="W14" s="260">
        <v>597334</v>
      </c>
      <c r="X14" s="260">
        <v>1036153</v>
      </c>
      <c r="Y14" s="260">
        <v>661796</v>
      </c>
      <c r="Z14" s="260">
        <v>1121993</v>
      </c>
      <c r="AA14" s="260">
        <v>218661</v>
      </c>
      <c r="AB14" s="264">
        <v>9096600</v>
      </c>
      <c r="AC14" s="259">
        <f t="shared" si="0"/>
        <v>3168775</v>
      </c>
      <c r="AD14" s="259"/>
      <c r="AE14" s="276" t="s">
        <v>355</v>
      </c>
      <c r="AF14" s="282">
        <v>13402537</v>
      </c>
      <c r="AG14" s="281">
        <v>13402537</v>
      </c>
      <c r="AH14" s="281">
        <v>3899666</v>
      </c>
    </row>
    <row r="15" spans="1:34" x14ac:dyDescent="0.3">
      <c r="A15" s="243" t="s">
        <v>76</v>
      </c>
      <c r="B15" s="260">
        <v>302059</v>
      </c>
      <c r="C15" s="260">
        <v>96827</v>
      </c>
      <c r="D15" s="260">
        <v>135313</v>
      </c>
      <c r="E15" s="260">
        <v>149780</v>
      </c>
      <c r="F15" s="260">
        <v>335823</v>
      </c>
      <c r="G15" s="260">
        <v>269815</v>
      </c>
      <c r="H15" s="260">
        <v>160947</v>
      </c>
      <c r="I15" s="260">
        <v>71660</v>
      </c>
      <c r="J15" s="260">
        <v>83601</v>
      </c>
      <c r="K15" s="260">
        <v>31492</v>
      </c>
      <c r="L15" s="260">
        <v>55869</v>
      </c>
      <c r="M15" s="260">
        <v>44351</v>
      </c>
      <c r="N15" s="264">
        <v>1737537</v>
      </c>
      <c r="P15" s="260">
        <v>75349</v>
      </c>
      <c r="Q15" s="260">
        <v>175889</v>
      </c>
      <c r="R15" s="260">
        <v>49611</v>
      </c>
      <c r="S15" s="260">
        <v>38153</v>
      </c>
      <c r="T15" s="260">
        <v>208007</v>
      </c>
      <c r="U15" s="260">
        <v>220045</v>
      </c>
      <c r="V15" s="260">
        <v>481288</v>
      </c>
      <c r="W15" s="260">
        <v>28433</v>
      </c>
      <c r="X15" s="260">
        <v>200432</v>
      </c>
      <c r="Y15" s="260">
        <v>46554</v>
      </c>
      <c r="Z15" s="260">
        <v>115853</v>
      </c>
      <c r="AA15" s="260">
        <v>97923</v>
      </c>
      <c r="AB15" s="264">
        <v>1737537</v>
      </c>
      <c r="AC15" s="259">
        <f t="shared" si="0"/>
        <v>300849</v>
      </c>
      <c r="AD15" s="259"/>
      <c r="AE15" s="277" t="s">
        <v>37</v>
      </c>
      <c r="AF15" s="282"/>
      <c r="AG15" s="281"/>
      <c r="AH15" s="281"/>
    </row>
    <row r="16" spans="1:34" x14ac:dyDescent="0.3">
      <c r="A16" s="243" t="s">
        <v>322</v>
      </c>
      <c r="B16" s="260">
        <v>487502</v>
      </c>
      <c r="C16" s="260">
        <v>368294</v>
      </c>
      <c r="D16" s="260">
        <v>484311</v>
      </c>
      <c r="E16" s="260">
        <v>145569</v>
      </c>
      <c r="F16" s="260">
        <v>187981</v>
      </c>
      <c r="G16" s="260">
        <v>229506</v>
      </c>
      <c r="H16" s="260">
        <v>271918</v>
      </c>
      <c r="I16" s="260">
        <v>269585</v>
      </c>
      <c r="J16" s="260">
        <v>290347</v>
      </c>
      <c r="K16" s="260">
        <v>265892</v>
      </c>
      <c r="L16" s="260">
        <v>223480</v>
      </c>
      <c r="M16" s="260">
        <v>125168</v>
      </c>
      <c r="N16" s="264">
        <v>3349555</v>
      </c>
      <c r="P16" s="260">
        <v>516875</v>
      </c>
      <c r="Q16" s="260">
        <v>738120</v>
      </c>
      <c r="R16" s="260">
        <v>234324</v>
      </c>
      <c r="S16" s="260">
        <v>156579</v>
      </c>
      <c r="T16" s="260">
        <v>198787</v>
      </c>
      <c r="U16" s="260">
        <v>241310</v>
      </c>
      <c r="V16" s="260">
        <v>235918</v>
      </c>
      <c r="W16" s="260">
        <v>233311</v>
      </c>
      <c r="X16" s="260">
        <v>244572</v>
      </c>
      <c r="Y16" s="260">
        <v>233169</v>
      </c>
      <c r="Z16" s="260">
        <v>112482</v>
      </c>
      <c r="AA16" s="260">
        <v>204111</v>
      </c>
      <c r="AB16" s="264">
        <v>3349555</v>
      </c>
      <c r="AC16" s="259">
        <f t="shared" si="0"/>
        <v>1489319</v>
      </c>
      <c r="AD16" s="259"/>
      <c r="AE16" s="276" t="s">
        <v>347</v>
      </c>
      <c r="AF16" s="282">
        <v>17115684</v>
      </c>
      <c r="AG16" s="281">
        <v>17115684</v>
      </c>
      <c r="AH16" s="281">
        <v>1148448</v>
      </c>
    </row>
    <row r="17" spans="1:34" x14ac:dyDescent="0.3">
      <c r="A17" s="243" t="s">
        <v>75</v>
      </c>
      <c r="B17" s="260">
        <v>647093</v>
      </c>
      <c r="C17" s="260">
        <v>909968</v>
      </c>
      <c r="D17" s="260">
        <v>1208675</v>
      </c>
      <c r="E17" s="260">
        <v>1455094</v>
      </c>
      <c r="F17" s="260">
        <v>1559394</v>
      </c>
      <c r="G17" s="260">
        <v>1190481</v>
      </c>
      <c r="H17" s="260">
        <v>1136244</v>
      </c>
      <c r="I17" s="260">
        <v>1628946</v>
      </c>
      <c r="J17" s="260">
        <v>1824534</v>
      </c>
      <c r="K17" s="260">
        <v>1803685</v>
      </c>
      <c r="L17" s="260">
        <v>1207935</v>
      </c>
      <c r="M17" s="260">
        <v>431433</v>
      </c>
      <c r="N17" s="264">
        <v>15003482</v>
      </c>
      <c r="P17" s="260">
        <v>807778</v>
      </c>
      <c r="Q17" s="260">
        <v>1409136</v>
      </c>
      <c r="R17" s="260">
        <v>1354260</v>
      </c>
      <c r="S17" s="260">
        <v>1477944</v>
      </c>
      <c r="T17" s="260">
        <v>1523366</v>
      </c>
      <c r="U17" s="260">
        <v>1209435</v>
      </c>
      <c r="V17" s="260">
        <v>1135146</v>
      </c>
      <c r="W17" s="260">
        <v>1408387</v>
      </c>
      <c r="X17" s="260">
        <v>1472119</v>
      </c>
      <c r="Y17" s="260">
        <v>1748242</v>
      </c>
      <c r="Z17" s="260">
        <v>1224296</v>
      </c>
      <c r="AA17" s="260">
        <v>233374</v>
      </c>
      <c r="AB17" s="264">
        <v>15003482</v>
      </c>
      <c r="AC17" s="259">
        <f t="shared" si="0"/>
        <v>3571174</v>
      </c>
      <c r="AD17" s="259"/>
      <c r="AE17" s="276" t="s">
        <v>352</v>
      </c>
      <c r="AF17" s="282">
        <v>12669953</v>
      </c>
      <c r="AG17" s="281">
        <v>12669953</v>
      </c>
      <c r="AH17" s="281">
        <v>672290</v>
      </c>
    </row>
    <row r="18" spans="1:34" x14ac:dyDescent="0.3">
      <c r="A18" s="243" t="s">
        <v>323</v>
      </c>
      <c r="B18" s="260">
        <v>6622</v>
      </c>
      <c r="C18" s="260">
        <v>6016</v>
      </c>
      <c r="D18" s="260">
        <v>10563</v>
      </c>
      <c r="E18" s="260">
        <v>13159</v>
      </c>
      <c r="F18" s="260">
        <v>8407</v>
      </c>
      <c r="G18" s="260">
        <v>12986</v>
      </c>
      <c r="H18" s="260">
        <v>12204</v>
      </c>
      <c r="I18" s="260">
        <v>30820</v>
      </c>
      <c r="J18" s="260">
        <v>30107</v>
      </c>
      <c r="K18" s="260">
        <v>18892</v>
      </c>
      <c r="L18" s="260">
        <v>28366</v>
      </c>
      <c r="M18" s="260">
        <v>7558</v>
      </c>
      <c r="N18" s="264">
        <v>185700</v>
      </c>
      <c r="P18" s="260">
        <v>2774</v>
      </c>
      <c r="Q18" s="260">
        <v>5262</v>
      </c>
      <c r="R18" s="260">
        <v>5997</v>
      </c>
      <c r="S18" s="260">
        <v>14689</v>
      </c>
      <c r="T18" s="260">
        <v>14951</v>
      </c>
      <c r="U18" s="260">
        <v>18799</v>
      </c>
      <c r="V18" s="260">
        <v>16486</v>
      </c>
      <c r="W18" s="260">
        <v>28555</v>
      </c>
      <c r="X18" s="260">
        <v>11104</v>
      </c>
      <c r="Y18" s="260">
        <v>17586</v>
      </c>
      <c r="Z18" s="260">
        <v>34273</v>
      </c>
      <c r="AA18" s="260">
        <v>15224</v>
      </c>
      <c r="AB18" s="264">
        <v>185700</v>
      </c>
      <c r="AC18" s="259">
        <f t="shared" si="0"/>
        <v>14033</v>
      </c>
      <c r="AD18" s="259"/>
      <c r="AE18" s="276" t="s">
        <v>348</v>
      </c>
      <c r="AF18" s="282">
        <v>8256814</v>
      </c>
      <c r="AG18" s="281">
        <v>8256814</v>
      </c>
      <c r="AH18" s="281">
        <v>1647006</v>
      </c>
    </row>
    <row r="19" spans="1:34" x14ac:dyDescent="0.3">
      <c r="A19" s="243" t="s">
        <v>324</v>
      </c>
      <c r="B19" s="260">
        <v>196944</v>
      </c>
      <c r="C19" s="260">
        <v>196944</v>
      </c>
      <c r="D19" s="260">
        <v>189429</v>
      </c>
      <c r="E19" s="260">
        <v>308654</v>
      </c>
      <c r="F19" s="260">
        <v>198054</v>
      </c>
      <c r="G19" s="260">
        <v>201054</v>
      </c>
      <c r="H19" s="260">
        <v>201054</v>
      </c>
      <c r="I19" s="260">
        <v>198054</v>
      </c>
      <c r="J19" s="260">
        <v>204054</v>
      </c>
      <c r="K19" s="260">
        <v>237329</v>
      </c>
      <c r="L19" s="260">
        <v>429780</v>
      </c>
      <c r="M19" s="260">
        <v>298133</v>
      </c>
      <c r="N19" s="265">
        <v>2859483</v>
      </c>
      <c r="P19" s="260">
        <v>23111</v>
      </c>
      <c r="Q19" s="260">
        <v>152272</v>
      </c>
      <c r="R19" s="260">
        <v>-66550</v>
      </c>
      <c r="S19" s="260">
        <v>299197</v>
      </c>
      <c r="T19" s="260">
        <v>189547</v>
      </c>
      <c r="U19" s="260">
        <v>191977</v>
      </c>
      <c r="V19" s="260">
        <v>192049</v>
      </c>
      <c r="W19" s="260">
        <v>189547</v>
      </c>
      <c r="X19" s="260">
        <v>191369</v>
      </c>
      <c r="Y19" s="260">
        <v>330639</v>
      </c>
      <c r="Z19" s="260">
        <v>464726</v>
      </c>
      <c r="AA19" s="260">
        <v>701600</v>
      </c>
      <c r="AB19" s="264">
        <v>2859483</v>
      </c>
      <c r="AC19" s="259">
        <f t="shared" si="0"/>
        <v>108833</v>
      </c>
      <c r="AD19" s="259"/>
      <c r="AE19" s="276" t="s">
        <v>357</v>
      </c>
      <c r="AF19" s="282">
        <v>2795623</v>
      </c>
      <c r="AG19" s="281">
        <v>2795623</v>
      </c>
      <c r="AH19" s="281">
        <v>260150</v>
      </c>
    </row>
    <row r="20" spans="1:34" x14ac:dyDescent="0.3">
      <c r="A20" s="243" t="s">
        <v>325</v>
      </c>
      <c r="B20" s="262" t="s">
        <v>397</v>
      </c>
      <c r="C20" s="262" t="s">
        <v>397</v>
      </c>
      <c r="D20" s="262" t="s">
        <v>397</v>
      </c>
      <c r="E20" s="262" t="s">
        <v>397</v>
      </c>
      <c r="F20" s="262" t="s">
        <v>397</v>
      </c>
      <c r="G20" s="262" t="s">
        <v>397</v>
      </c>
      <c r="H20" s="262" t="s">
        <v>397</v>
      </c>
      <c r="I20" s="262" t="s">
        <v>397</v>
      </c>
      <c r="J20" s="262" t="s">
        <v>397</v>
      </c>
      <c r="K20" s="262" t="s">
        <v>397</v>
      </c>
      <c r="L20" s="262" t="s">
        <v>397</v>
      </c>
      <c r="M20" s="262" t="s">
        <v>397</v>
      </c>
      <c r="N20" s="242" t="s">
        <v>397</v>
      </c>
      <c r="P20" s="262" t="s">
        <v>397</v>
      </c>
      <c r="Q20" s="262" t="s">
        <v>397</v>
      </c>
      <c r="R20" s="262" t="s">
        <v>397</v>
      </c>
      <c r="S20" s="262" t="s">
        <v>397</v>
      </c>
      <c r="T20" s="262" t="s">
        <v>397</v>
      </c>
      <c r="U20" s="262" t="s">
        <v>397</v>
      </c>
      <c r="V20" s="262" t="s">
        <v>397</v>
      </c>
      <c r="W20" s="262" t="s">
        <v>397</v>
      </c>
      <c r="X20" s="262" t="s">
        <v>397</v>
      </c>
      <c r="Y20" s="262" t="s">
        <v>397</v>
      </c>
      <c r="Z20" s="262" t="s">
        <v>397</v>
      </c>
      <c r="AA20" s="262" t="s">
        <v>397</v>
      </c>
      <c r="AB20" s="242" t="s">
        <v>397</v>
      </c>
      <c r="AC20" s="259">
        <f t="shared" si="0"/>
        <v>0</v>
      </c>
      <c r="AD20" s="259"/>
      <c r="AE20" s="276" t="s">
        <v>365</v>
      </c>
      <c r="AF20" s="282">
        <v>1131657</v>
      </c>
      <c r="AG20" s="281">
        <v>1131657</v>
      </c>
      <c r="AH20" s="281">
        <v>122807</v>
      </c>
    </row>
    <row r="21" spans="1:34" x14ac:dyDescent="0.3">
      <c r="A21" s="243" t="s">
        <v>326</v>
      </c>
      <c r="B21" s="260">
        <v>869080</v>
      </c>
      <c r="C21" s="260">
        <v>1014160</v>
      </c>
      <c r="D21" s="260">
        <v>1178577</v>
      </c>
      <c r="E21" s="260">
        <v>1776135</v>
      </c>
      <c r="F21" s="260">
        <v>4337587</v>
      </c>
      <c r="G21" s="260">
        <v>974273</v>
      </c>
      <c r="H21" s="260">
        <v>1433161</v>
      </c>
      <c r="I21" s="260">
        <v>1448158</v>
      </c>
      <c r="J21" s="260">
        <v>1333132</v>
      </c>
      <c r="K21" s="260">
        <v>3241309</v>
      </c>
      <c r="L21" s="260">
        <v>2056345</v>
      </c>
      <c r="M21" s="260">
        <v>2732310</v>
      </c>
      <c r="N21" s="264">
        <v>22394227</v>
      </c>
      <c r="P21" s="260">
        <v>1540811</v>
      </c>
      <c r="Q21" s="260">
        <v>1487882</v>
      </c>
      <c r="R21" s="260">
        <v>2194118</v>
      </c>
      <c r="S21" s="260">
        <v>1058499</v>
      </c>
      <c r="T21" s="260">
        <v>4352528</v>
      </c>
      <c r="U21" s="260">
        <v>986888</v>
      </c>
      <c r="V21" s="260">
        <v>1077075</v>
      </c>
      <c r="W21" s="260">
        <v>1474241</v>
      </c>
      <c r="X21" s="260">
        <v>1353134</v>
      </c>
      <c r="Y21" s="260">
        <v>2453502</v>
      </c>
      <c r="Z21" s="260">
        <v>1609488</v>
      </c>
      <c r="AA21" s="260">
        <v>2806061</v>
      </c>
      <c r="AB21" s="264">
        <v>22394228</v>
      </c>
      <c r="AC21" s="259">
        <f t="shared" si="0"/>
        <v>5222811</v>
      </c>
      <c r="AD21" s="259"/>
      <c r="AE21" s="276" t="s">
        <v>359</v>
      </c>
      <c r="AF21" s="282">
        <v>457456</v>
      </c>
      <c r="AG21" s="281">
        <v>457456</v>
      </c>
      <c r="AH21" s="281">
        <v>138962</v>
      </c>
    </row>
    <row r="22" spans="1:34" x14ac:dyDescent="0.3">
      <c r="A22" s="243" t="s">
        <v>327</v>
      </c>
      <c r="B22" s="260">
        <v>919286</v>
      </c>
      <c r="C22" s="260">
        <v>700315</v>
      </c>
      <c r="D22" s="260">
        <v>931267</v>
      </c>
      <c r="E22" s="260">
        <v>306553</v>
      </c>
      <c r="F22" s="260">
        <v>383534</v>
      </c>
      <c r="G22" s="260">
        <v>461040</v>
      </c>
      <c r="H22" s="260">
        <v>538021</v>
      </c>
      <c r="I22" s="260">
        <v>533778</v>
      </c>
      <c r="J22" s="260">
        <v>572530</v>
      </c>
      <c r="K22" s="260">
        <v>533560</v>
      </c>
      <c r="L22" s="260">
        <v>456782</v>
      </c>
      <c r="M22" s="260">
        <v>306399</v>
      </c>
      <c r="N22" s="265">
        <v>6643062</v>
      </c>
      <c r="P22" s="260">
        <v>892251</v>
      </c>
      <c r="Q22" s="260">
        <v>1363690</v>
      </c>
      <c r="R22" s="260">
        <v>431043</v>
      </c>
      <c r="S22" s="260">
        <v>287772</v>
      </c>
      <c r="T22" s="260">
        <v>356605</v>
      </c>
      <c r="U22" s="260">
        <v>432676</v>
      </c>
      <c r="V22" s="260">
        <v>508572</v>
      </c>
      <c r="W22" s="260">
        <v>508203</v>
      </c>
      <c r="X22" s="260">
        <v>546457</v>
      </c>
      <c r="Y22" s="260">
        <v>508005</v>
      </c>
      <c r="Z22" s="260">
        <v>366743</v>
      </c>
      <c r="AA22" s="260">
        <v>441045</v>
      </c>
      <c r="AB22" s="264">
        <v>6643062</v>
      </c>
      <c r="AC22" s="259">
        <f t="shared" si="0"/>
        <v>2686984</v>
      </c>
      <c r="AD22" s="259"/>
      <c r="AE22" s="276" t="s">
        <v>342</v>
      </c>
      <c r="AF22" s="282">
        <v>6173000</v>
      </c>
      <c r="AG22" s="281">
        <v>6173000</v>
      </c>
      <c r="AH22" s="281">
        <v>1652817</v>
      </c>
    </row>
    <row r="23" spans="1:34" x14ac:dyDescent="0.3">
      <c r="A23" s="245" t="s">
        <v>328</v>
      </c>
      <c r="B23" s="262" t="s">
        <v>397</v>
      </c>
      <c r="C23" s="262" t="s">
        <v>397</v>
      </c>
      <c r="D23" s="262" t="s">
        <v>397</v>
      </c>
      <c r="E23" s="262" t="s">
        <v>397</v>
      </c>
      <c r="F23" s="262" t="s">
        <v>397</v>
      </c>
      <c r="G23" s="262" t="s">
        <v>397</v>
      </c>
      <c r="H23" s="262" t="s">
        <v>397</v>
      </c>
      <c r="I23" s="262" t="s">
        <v>397</v>
      </c>
      <c r="J23" s="262" t="s">
        <v>397</v>
      </c>
      <c r="K23" s="262" t="s">
        <v>397</v>
      </c>
      <c r="L23" s="262" t="s">
        <v>397</v>
      </c>
      <c r="M23" s="262" t="s">
        <v>397</v>
      </c>
      <c r="N23" s="242" t="s">
        <v>397</v>
      </c>
      <c r="P23" s="262" t="s">
        <v>397</v>
      </c>
      <c r="Q23" s="262" t="s">
        <v>397</v>
      </c>
      <c r="R23" s="262" t="s">
        <v>397</v>
      </c>
      <c r="S23" s="262" t="s">
        <v>397</v>
      </c>
      <c r="T23" s="262" t="s">
        <v>397</v>
      </c>
      <c r="U23" s="262" t="s">
        <v>397</v>
      </c>
      <c r="V23" s="262" t="s">
        <v>397</v>
      </c>
      <c r="W23" s="262" t="s">
        <v>397</v>
      </c>
      <c r="X23" s="262" t="s">
        <v>397</v>
      </c>
      <c r="Y23" s="262" t="s">
        <v>397</v>
      </c>
      <c r="Z23" s="262" t="s">
        <v>397</v>
      </c>
      <c r="AA23" s="262" t="s">
        <v>397</v>
      </c>
      <c r="AB23" s="242" t="s">
        <v>397</v>
      </c>
      <c r="AC23" s="259">
        <f t="shared" si="0"/>
        <v>0</v>
      </c>
      <c r="AD23" s="259"/>
      <c r="AE23" s="276" t="s">
        <v>30</v>
      </c>
      <c r="AF23" s="282">
        <v>50000</v>
      </c>
      <c r="AG23" s="281">
        <v>50000</v>
      </c>
      <c r="AH23" s="281">
        <v>8308</v>
      </c>
    </row>
    <row r="24" spans="1:34" x14ac:dyDescent="0.3">
      <c r="A24" s="243" t="s">
        <v>329</v>
      </c>
      <c r="B24" s="260">
        <v>26490</v>
      </c>
      <c r="C24" s="260">
        <v>24063</v>
      </c>
      <c r="D24" s="260">
        <v>42250</v>
      </c>
      <c r="E24" s="260">
        <v>52632</v>
      </c>
      <c r="F24" s="260">
        <v>33628</v>
      </c>
      <c r="G24" s="260">
        <v>51942</v>
      </c>
      <c r="H24" s="260">
        <v>48818</v>
      </c>
      <c r="I24" s="260">
        <v>123280</v>
      </c>
      <c r="J24" s="260">
        <v>120426</v>
      </c>
      <c r="K24" s="260">
        <v>75566</v>
      </c>
      <c r="L24" s="260">
        <v>113464</v>
      </c>
      <c r="M24" s="260">
        <v>30241</v>
      </c>
      <c r="N24" s="264">
        <v>742800</v>
      </c>
      <c r="P24" s="260">
        <v>12631</v>
      </c>
      <c r="Q24" s="260">
        <v>24730</v>
      </c>
      <c r="R24" s="260">
        <v>28857</v>
      </c>
      <c r="S24" s="260">
        <v>64518</v>
      </c>
      <c r="T24" s="260">
        <v>65798</v>
      </c>
      <c r="U24" s="260">
        <v>82306</v>
      </c>
      <c r="V24" s="260">
        <v>72354</v>
      </c>
      <c r="W24" s="260">
        <v>124113</v>
      </c>
      <c r="X24" s="260">
        <v>49413</v>
      </c>
      <c r="Y24" s="260">
        <v>77181</v>
      </c>
      <c r="Z24" s="260">
        <v>88101</v>
      </c>
      <c r="AA24" s="260">
        <v>52797</v>
      </c>
      <c r="AB24" s="264">
        <v>742800</v>
      </c>
      <c r="AC24" s="259">
        <f t="shared" si="0"/>
        <v>66218</v>
      </c>
      <c r="AD24" s="259"/>
      <c r="AE24" s="276"/>
      <c r="AF24" s="282"/>
      <c r="AG24" s="281"/>
      <c r="AH24" s="281"/>
    </row>
    <row r="25" spans="1:34" x14ac:dyDescent="0.3">
      <c r="A25" s="245" t="s">
        <v>330</v>
      </c>
      <c r="B25" s="262" t="s">
        <v>397</v>
      </c>
      <c r="C25" s="262" t="s">
        <v>397</v>
      </c>
      <c r="D25" s="262" t="s">
        <v>397</v>
      </c>
      <c r="E25" s="262" t="s">
        <v>397</v>
      </c>
      <c r="F25" s="262" t="s">
        <v>397</v>
      </c>
      <c r="G25" s="262" t="s">
        <v>397</v>
      </c>
      <c r="H25" s="262" t="s">
        <v>397</v>
      </c>
      <c r="I25" s="262" t="s">
        <v>397</v>
      </c>
      <c r="J25" s="262" t="s">
        <v>397</v>
      </c>
      <c r="K25" s="262" t="s">
        <v>397</v>
      </c>
      <c r="L25" s="262" t="s">
        <v>397</v>
      </c>
      <c r="M25" s="262" t="s">
        <v>397</v>
      </c>
      <c r="N25" s="242" t="s">
        <v>397</v>
      </c>
      <c r="P25" s="262" t="s">
        <v>397</v>
      </c>
      <c r="Q25" s="262" t="s">
        <v>397</v>
      </c>
      <c r="R25" s="262" t="s">
        <v>397</v>
      </c>
      <c r="S25" s="262" t="s">
        <v>397</v>
      </c>
      <c r="T25" s="262" t="s">
        <v>397</v>
      </c>
      <c r="U25" s="262" t="s">
        <v>397</v>
      </c>
      <c r="V25" s="262" t="s">
        <v>397</v>
      </c>
      <c r="W25" s="262" t="s">
        <v>397</v>
      </c>
      <c r="X25" s="262" t="s">
        <v>397</v>
      </c>
      <c r="Y25" s="262" t="s">
        <v>397</v>
      </c>
      <c r="Z25" s="262" t="s">
        <v>397</v>
      </c>
      <c r="AA25" s="262" t="s">
        <v>397</v>
      </c>
      <c r="AB25" s="242" t="s">
        <v>397</v>
      </c>
      <c r="AC25" s="259">
        <f t="shared" si="0"/>
        <v>0</v>
      </c>
      <c r="AD25" s="259"/>
      <c r="AE25" s="276" t="s">
        <v>338</v>
      </c>
      <c r="AF25" s="282">
        <v>12528425</v>
      </c>
      <c r="AG25" s="281">
        <v>12528425</v>
      </c>
      <c r="AH25" s="281">
        <v>2072270</v>
      </c>
    </row>
    <row r="26" spans="1:34" x14ac:dyDescent="0.3">
      <c r="A26" s="243" t="s">
        <v>331</v>
      </c>
      <c r="B26" s="260">
        <v>482682</v>
      </c>
      <c r="C26" s="260">
        <v>140408</v>
      </c>
      <c r="D26" s="260">
        <v>211726</v>
      </c>
      <c r="E26" s="260">
        <v>227602</v>
      </c>
      <c r="F26" s="260">
        <v>537738</v>
      </c>
      <c r="G26" s="260">
        <v>438577</v>
      </c>
      <c r="H26" s="260">
        <v>249210</v>
      </c>
      <c r="I26" s="260">
        <v>103228</v>
      </c>
      <c r="J26" s="260">
        <v>124870</v>
      </c>
      <c r="K26" s="260">
        <v>38490</v>
      </c>
      <c r="L26" s="260">
        <v>107605</v>
      </c>
      <c r="M26" s="260">
        <v>56422</v>
      </c>
      <c r="N26" s="265">
        <v>2718558</v>
      </c>
      <c r="P26" s="260">
        <v>180855</v>
      </c>
      <c r="Q26" s="260">
        <v>110737</v>
      </c>
      <c r="R26" s="260">
        <v>75753</v>
      </c>
      <c r="S26" s="260">
        <v>67828</v>
      </c>
      <c r="T26" s="260">
        <v>167273</v>
      </c>
      <c r="U26" s="260">
        <v>620519</v>
      </c>
      <c r="V26" s="260">
        <v>272605</v>
      </c>
      <c r="W26" s="260">
        <v>50548</v>
      </c>
      <c r="X26" s="260">
        <v>516624</v>
      </c>
      <c r="Y26" s="260">
        <v>46851</v>
      </c>
      <c r="Z26" s="260">
        <v>29656</v>
      </c>
      <c r="AA26" s="260">
        <v>579306</v>
      </c>
      <c r="AB26" s="264">
        <v>2718558</v>
      </c>
      <c r="AC26" s="259">
        <f t="shared" si="0"/>
        <v>367345</v>
      </c>
      <c r="AD26" s="259"/>
      <c r="AE26" s="276" t="s">
        <v>351</v>
      </c>
      <c r="AF26" s="282">
        <v>1332196</v>
      </c>
      <c r="AG26" s="281">
        <v>1332196</v>
      </c>
      <c r="AH26" s="281">
        <v>87135</v>
      </c>
    </row>
    <row r="27" spans="1:34" x14ac:dyDescent="0.3">
      <c r="A27" s="245" t="s">
        <v>332</v>
      </c>
      <c r="B27" s="262" t="s">
        <v>397</v>
      </c>
      <c r="C27" s="262" t="s">
        <v>397</v>
      </c>
      <c r="D27" s="262" t="s">
        <v>397</v>
      </c>
      <c r="E27" s="262" t="s">
        <v>397</v>
      </c>
      <c r="F27" s="262" t="s">
        <v>397</v>
      </c>
      <c r="G27" s="262" t="s">
        <v>397</v>
      </c>
      <c r="H27" s="262" t="s">
        <v>397</v>
      </c>
      <c r="I27" s="262" t="s">
        <v>397</v>
      </c>
      <c r="J27" s="262" t="s">
        <v>397</v>
      </c>
      <c r="K27" s="262" t="s">
        <v>397</v>
      </c>
      <c r="L27" s="262" t="s">
        <v>397</v>
      </c>
      <c r="M27" s="262" t="s">
        <v>397</v>
      </c>
      <c r="N27" s="242" t="s">
        <v>397</v>
      </c>
      <c r="P27" s="262" t="s">
        <v>397</v>
      </c>
      <c r="Q27" s="262" t="s">
        <v>397</v>
      </c>
      <c r="R27" s="262" t="s">
        <v>397</v>
      </c>
      <c r="S27" s="262" t="s">
        <v>397</v>
      </c>
      <c r="T27" s="262" t="s">
        <v>397</v>
      </c>
      <c r="U27" s="262" t="s">
        <v>397</v>
      </c>
      <c r="V27" s="262" t="s">
        <v>397</v>
      </c>
      <c r="W27" s="262" t="s">
        <v>397</v>
      </c>
      <c r="X27" s="262" t="s">
        <v>397</v>
      </c>
      <c r="Y27" s="262" t="s">
        <v>397</v>
      </c>
      <c r="Z27" s="262" t="s">
        <v>397</v>
      </c>
      <c r="AA27" s="262" t="s">
        <v>397</v>
      </c>
      <c r="AB27" s="242" t="s">
        <v>397</v>
      </c>
      <c r="AC27" s="259">
        <f t="shared" si="0"/>
        <v>0</v>
      </c>
      <c r="AD27" s="259"/>
      <c r="AE27" s="276" t="s">
        <v>339</v>
      </c>
      <c r="AF27" s="282">
        <v>13069425</v>
      </c>
      <c r="AG27" s="281">
        <v>13069426</v>
      </c>
      <c r="AH27" s="281">
        <v>723620</v>
      </c>
    </row>
    <row r="28" spans="1:34" x14ac:dyDescent="0.3">
      <c r="A28" s="243" t="s">
        <v>333</v>
      </c>
      <c r="B28" s="260">
        <v>111537</v>
      </c>
      <c r="C28" s="260">
        <v>100298</v>
      </c>
      <c r="D28" s="260">
        <v>100866</v>
      </c>
      <c r="E28" s="260">
        <v>100245</v>
      </c>
      <c r="F28" s="260">
        <v>101178</v>
      </c>
      <c r="G28" s="260">
        <v>104867</v>
      </c>
      <c r="H28" s="260">
        <v>65349</v>
      </c>
      <c r="I28" s="260">
        <v>67712</v>
      </c>
      <c r="J28" s="260">
        <v>61234</v>
      </c>
      <c r="K28" s="260">
        <v>58762</v>
      </c>
      <c r="L28" s="260">
        <v>63784</v>
      </c>
      <c r="M28" s="260">
        <v>67568</v>
      </c>
      <c r="N28" s="265">
        <v>1003400</v>
      </c>
      <c r="P28" s="262" t="s">
        <v>397</v>
      </c>
      <c r="Q28" s="262" t="s">
        <v>397</v>
      </c>
      <c r="R28" s="262" t="s">
        <v>397</v>
      </c>
      <c r="S28" s="260">
        <v>102544</v>
      </c>
      <c r="T28" s="260">
        <v>125907</v>
      </c>
      <c r="U28" s="260">
        <v>117493</v>
      </c>
      <c r="V28" s="260">
        <v>120093</v>
      </c>
      <c r="W28" s="260">
        <v>75060</v>
      </c>
      <c r="X28" s="260">
        <v>68740</v>
      </c>
      <c r="Y28" s="260">
        <v>66327</v>
      </c>
      <c r="Z28" s="260">
        <v>102798</v>
      </c>
      <c r="AA28" s="260">
        <v>224438</v>
      </c>
      <c r="AB28" s="264">
        <v>1003400</v>
      </c>
      <c r="AC28" s="259">
        <f t="shared" si="0"/>
        <v>0</v>
      </c>
      <c r="AD28" s="259"/>
      <c r="AE28" s="276" t="s">
        <v>356</v>
      </c>
      <c r="AF28" s="282">
        <v>1905330</v>
      </c>
      <c r="AG28" s="281">
        <v>1905331</v>
      </c>
      <c r="AH28" s="281">
        <v>527449</v>
      </c>
    </row>
    <row r="29" spans="1:34" x14ac:dyDescent="0.3">
      <c r="A29" s="243" t="s">
        <v>334</v>
      </c>
      <c r="B29" s="262" t="s">
        <v>397</v>
      </c>
      <c r="C29" s="262" t="s">
        <v>397</v>
      </c>
      <c r="D29" s="262" t="s">
        <v>397</v>
      </c>
      <c r="E29" s="262" t="s">
        <v>397</v>
      </c>
      <c r="F29" s="262" t="s">
        <v>397</v>
      </c>
      <c r="G29" s="262" t="s">
        <v>397</v>
      </c>
      <c r="H29" s="262" t="s">
        <v>397</v>
      </c>
      <c r="I29" s="262" t="s">
        <v>397</v>
      </c>
      <c r="J29" s="262" t="s">
        <v>397</v>
      </c>
      <c r="K29" s="262" t="s">
        <v>397</v>
      </c>
      <c r="L29" s="262" t="s">
        <v>397</v>
      </c>
      <c r="M29" s="262" t="s">
        <v>397</v>
      </c>
      <c r="N29" s="242" t="s">
        <v>397</v>
      </c>
      <c r="P29" s="262" t="s">
        <v>397</v>
      </c>
      <c r="Q29" s="262" t="s">
        <v>397</v>
      </c>
      <c r="R29" s="262" t="s">
        <v>397</v>
      </c>
      <c r="S29" s="262" t="s">
        <v>397</v>
      </c>
      <c r="T29" s="262" t="s">
        <v>397</v>
      </c>
      <c r="U29" s="262" t="s">
        <v>397</v>
      </c>
      <c r="V29" s="262" t="s">
        <v>397</v>
      </c>
      <c r="W29" s="262" t="s">
        <v>397</v>
      </c>
      <c r="X29" s="262" t="s">
        <v>397</v>
      </c>
      <c r="Y29" s="262" t="s">
        <v>397</v>
      </c>
      <c r="Z29" s="262" t="s">
        <v>397</v>
      </c>
      <c r="AA29" s="262" t="s">
        <v>397</v>
      </c>
      <c r="AB29" s="242" t="s">
        <v>397</v>
      </c>
      <c r="AC29" s="259">
        <f t="shared" si="0"/>
        <v>0</v>
      </c>
      <c r="AD29" s="259"/>
      <c r="AE29" s="277" t="s">
        <v>52</v>
      </c>
      <c r="AF29" s="282"/>
      <c r="AG29" s="281"/>
      <c r="AH29" s="281"/>
    </row>
    <row r="30" spans="1:34" x14ac:dyDescent="0.3">
      <c r="A30" s="246"/>
      <c r="B30" s="263">
        <v>4551107</v>
      </c>
      <c r="C30" s="263">
        <v>4151741</v>
      </c>
      <c r="D30" s="263">
        <v>5149093</v>
      </c>
      <c r="E30" s="263">
        <v>5452134</v>
      </c>
      <c r="F30" s="263">
        <v>8239516</v>
      </c>
      <c r="G30" s="263">
        <v>4652487</v>
      </c>
      <c r="H30" s="263">
        <v>4662659</v>
      </c>
      <c r="I30" s="263">
        <v>5165282</v>
      </c>
      <c r="J30" s="263">
        <v>5932850</v>
      </c>
      <c r="K30" s="263">
        <v>7713859</v>
      </c>
      <c r="L30" s="263">
        <v>6284887</v>
      </c>
      <c r="M30" s="263">
        <v>4703748</v>
      </c>
      <c r="N30" s="263">
        <v>66659363</v>
      </c>
      <c r="P30" s="263">
        <v>4804443</v>
      </c>
      <c r="Q30" s="263">
        <v>6810807</v>
      </c>
      <c r="R30" s="263">
        <v>5773580</v>
      </c>
      <c r="S30" s="263">
        <v>4425453</v>
      </c>
      <c r="T30" s="263">
        <v>7720395</v>
      </c>
      <c r="U30" s="263">
        <v>4771100</v>
      </c>
      <c r="V30" s="263">
        <v>4643556</v>
      </c>
      <c r="W30" s="263">
        <v>4755625</v>
      </c>
      <c r="X30" s="263">
        <v>5760783</v>
      </c>
      <c r="Y30" s="263">
        <v>6262499</v>
      </c>
      <c r="Z30" s="263">
        <v>5339653</v>
      </c>
      <c r="AA30" s="263">
        <v>5591471</v>
      </c>
      <c r="AB30" s="263">
        <v>66659364</v>
      </c>
      <c r="AC30" s="259">
        <f t="shared" si="0"/>
        <v>17388830</v>
      </c>
      <c r="AD30" s="259"/>
      <c r="AE30" s="276" t="s">
        <v>353</v>
      </c>
      <c r="AF30" s="282">
        <v>4686146</v>
      </c>
      <c r="AG30" s="281">
        <v>4686146</v>
      </c>
      <c r="AH30" s="281">
        <v>390887</v>
      </c>
    </row>
    <row r="31" spans="1:34" x14ac:dyDescent="0.3">
      <c r="A31" s="243" t="s">
        <v>335</v>
      </c>
      <c r="B31" s="260">
        <v>6400</v>
      </c>
      <c r="C31" s="260">
        <v>18600</v>
      </c>
      <c r="D31" s="260">
        <v>20100</v>
      </c>
      <c r="E31" s="260">
        <v>37100</v>
      </c>
      <c r="F31" s="260">
        <v>41800</v>
      </c>
      <c r="G31" s="260">
        <v>284800</v>
      </c>
      <c r="H31" s="260">
        <v>39000</v>
      </c>
      <c r="I31" s="260">
        <v>35100</v>
      </c>
      <c r="J31" s="260">
        <v>289100</v>
      </c>
      <c r="K31" s="260">
        <v>26000</v>
      </c>
      <c r="L31" s="260">
        <v>25600</v>
      </c>
      <c r="M31" s="260">
        <v>617659</v>
      </c>
      <c r="N31" s="264">
        <v>1441259</v>
      </c>
      <c r="P31" s="260">
        <v>11098</v>
      </c>
      <c r="Q31" s="260">
        <v>8646</v>
      </c>
      <c r="R31" s="260">
        <v>9803</v>
      </c>
      <c r="S31" s="260">
        <v>27100</v>
      </c>
      <c r="T31" s="260">
        <v>41800</v>
      </c>
      <c r="U31" s="260">
        <v>284800</v>
      </c>
      <c r="V31" s="260">
        <v>39000</v>
      </c>
      <c r="W31" s="260">
        <v>45100</v>
      </c>
      <c r="X31" s="260">
        <v>289100</v>
      </c>
      <c r="Y31" s="260">
        <v>26000</v>
      </c>
      <c r="Z31" s="260">
        <v>28712</v>
      </c>
      <c r="AA31" s="260">
        <v>630100</v>
      </c>
      <c r="AB31" s="264">
        <v>1441259</v>
      </c>
      <c r="AC31" s="259">
        <f t="shared" si="0"/>
        <v>29547</v>
      </c>
      <c r="AD31" s="259"/>
      <c r="AE31" s="276" t="s">
        <v>349</v>
      </c>
      <c r="AF31" s="282">
        <v>1570569</v>
      </c>
      <c r="AG31" s="281">
        <v>1570569</v>
      </c>
      <c r="AH31" s="281">
        <v>257863</v>
      </c>
    </row>
    <row r="32" spans="1:34" x14ac:dyDescent="0.3">
      <c r="A32" s="243" t="s">
        <v>72</v>
      </c>
      <c r="B32" s="260">
        <v>9400</v>
      </c>
      <c r="C32" s="260">
        <v>17300</v>
      </c>
      <c r="D32" s="260">
        <v>26800</v>
      </c>
      <c r="E32" s="260">
        <v>42600</v>
      </c>
      <c r="F32" s="260">
        <v>37500</v>
      </c>
      <c r="G32" s="260">
        <v>41500</v>
      </c>
      <c r="H32" s="260">
        <v>78700</v>
      </c>
      <c r="I32" s="260">
        <v>27800</v>
      </c>
      <c r="J32" s="260">
        <v>30800</v>
      </c>
      <c r="K32" s="260">
        <v>39700</v>
      </c>
      <c r="L32" s="260">
        <v>46000</v>
      </c>
      <c r="M32" s="260">
        <v>59400</v>
      </c>
      <c r="N32" s="264">
        <v>457500</v>
      </c>
      <c r="P32" s="260">
        <v>11166</v>
      </c>
      <c r="Q32" s="260">
        <v>8616</v>
      </c>
      <c r="R32" s="260">
        <v>6803</v>
      </c>
      <c r="S32" s="260">
        <v>28600</v>
      </c>
      <c r="T32" s="260">
        <v>32500</v>
      </c>
      <c r="U32" s="260">
        <v>46500</v>
      </c>
      <c r="V32" s="260">
        <v>75700</v>
      </c>
      <c r="W32" s="260">
        <v>37800</v>
      </c>
      <c r="X32" s="260">
        <v>32800</v>
      </c>
      <c r="Y32" s="260">
        <v>46700</v>
      </c>
      <c r="Z32" s="260">
        <v>52200</v>
      </c>
      <c r="AA32" s="260">
        <v>78114</v>
      </c>
      <c r="AB32" s="264">
        <v>457500</v>
      </c>
      <c r="AC32" s="259">
        <f t="shared" si="0"/>
        <v>26585</v>
      </c>
      <c r="AD32" s="259"/>
      <c r="AE32" s="276" t="s">
        <v>358</v>
      </c>
      <c r="AF32" s="282">
        <v>435778</v>
      </c>
      <c r="AG32" s="281">
        <v>435779</v>
      </c>
      <c r="AH32" s="281">
        <v>32915</v>
      </c>
    </row>
    <row r="33" spans="1:34" ht="26.4" x14ac:dyDescent="0.3">
      <c r="A33" s="243" t="s">
        <v>336</v>
      </c>
      <c r="B33" s="260">
        <v>740000</v>
      </c>
      <c r="C33" s="262" t="s">
        <v>397</v>
      </c>
      <c r="D33" s="260">
        <v>1000000</v>
      </c>
      <c r="E33" s="260">
        <v>600000</v>
      </c>
      <c r="F33" s="262" t="s">
        <v>397</v>
      </c>
      <c r="G33" s="262" t="s">
        <v>397</v>
      </c>
      <c r="H33" s="262" t="s">
        <v>397</v>
      </c>
      <c r="I33" s="260">
        <v>100000</v>
      </c>
      <c r="J33" s="262" t="s">
        <v>397</v>
      </c>
      <c r="K33" s="262" t="s">
        <v>397</v>
      </c>
      <c r="L33" s="262" t="s">
        <v>397</v>
      </c>
      <c r="M33" s="262" t="s">
        <v>397</v>
      </c>
      <c r="N33" s="264">
        <v>2440000</v>
      </c>
      <c r="P33" s="260">
        <v>232568</v>
      </c>
      <c r="Q33" s="260">
        <v>1061000</v>
      </c>
      <c r="R33" s="260">
        <v>1124100</v>
      </c>
      <c r="S33" s="262" t="s">
        <v>397</v>
      </c>
      <c r="T33" s="262" t="s">
        <v>397</v>
      </c>
      <c r="U33" s="262" t="s">
        <v>397</v>
      </c>
      <c r="V33" s="262" t="s">
        <v>397</v>
      </c>
      <c r="W33" s="262" t="s">
        <v>397</v>
      </c>
      <c r="X33" s="262" t="s">
        <v>397</v>
      </c>
      <c r="Y33" s="260">
        <v>17400</v>
      </c>
      <c r="Z33" s="262" t="s">
        <v>397</v>
      </c>
      <c r="AA33" s="260">
        <v>4932</v>
      </c>
      <c r="AB33" s="264">
        <v>2440000</v>
      </c>
      <c r="AC33" s="259">
        <f t="shared" si="0"/>
        <v>2417668</v>
      </c>
      <c r="AD33" s="259"/>
      <c r="AE33" s="276" t="s">
        <v>366</v>
      </c>
      <c r="AF33" s="282">
        <v>568343</v>
      </c>
      <c r="AG33" s="281">
        <v>568343</v>
      </c>
      <c r="AH33" s="281">
        <v>62755</v>
      </c>
    </row>
    <row r="34" spans="1:34" x14ac:dyDescent="0.3">
      <c r="A34" s="243" t="s">
        <v>317</v>
      </c>
      <c r="B34" s="262" t="s">
        <v>397</v>
      </c>
      <c r="C34" s="262" t="s">
        <v>397</v>
      </c>
      <c r="D34" s="262" t="s">
        <v>397</v>
      </c>
      <c r="E34" s="262" t="s">
        <v>397</v>
      </c>
      <c r="F34" s="262" t="s">
        <v>397</v>
      </c>
      <c r="G34" s="262" t="s">
        <v>397</v>
      </c>
      <c r="H34" s="262" t="s">
        <v>397</v>
      </c>
      <c r="I34" s="262" t="s">
        <v>397</v>
      </c>
      <c r="J34" s="262" t="s">
        <v>397</v>
      </c>
      <c r="K34" s="262" t="s">
        <v>397</v>
      </c>
      <c r="L34" s="262" t="s">
        <v>397</v>
      </c>
      <c r="M34" s="262" t="s">
        <v>397</v>
      </c>
      <c r="N34" s="242" t="s">
        <v>397</v>
      </c>
      <c r="P34" s="260">
        <v>515823</v>
      </c>
      <c r="Q34" s="260">
        <v>515823</v>
      </c>
      <c r="R34" s="260">
        <v>516023</v>
      </c>
      <c r="S34" s="260">
        <v>518823</v>
      </c>
      <c r="T34" s="260">
        <v>517323</v>
      </c>
      <c r="U34" s="260">
        <v>518323</v>
      </c>
      <c r="V34" s="260">
        <v>517323</v>
      </c>
      <c r="W34" s="260">
        <v>527823</v>
      </c>
      <c r="X34" s="260">
        <v>528823</v>
      </c>
      <c r="Y34" s="260">
        <v>527923</v>
      </c>
      <c r="Z34" s="260">
        <v>527923</v>
      </c>
      <c r="AA34" s="260">
        <v>527926</v>
      </c>
      <c r="AB34" s="264">
        <v>6259880</v>
      </c>
      <c r="AC34" s="259">
        <f t="shared" si="0"/>
        <v>1547669</v>
      </c>
      <c r="AD34" s="259"/>
      <c r="AE34" s="276" t="s">
        <v>360</v>
      </c>
      <c r="AF34" s="282">
        <v>23576</v>
      </c>
      <c r="AG34" s="281">
        <v>23576</v>
      </c>
      <c r="AH34" s="281">
        <v>6155</v>
      </c>
    </row>
    <row r="35" spans="1:34" x14ac:dyDescent="0.3">
      <c r="A35" s="246"/>
      <c r="B35" s="263">
        <v>755800</v>
      </c>
      <c r="C35" s="263">
        <v>35900</v>
      </c>
      <c r="D35" s="263">
        <v>1046900</v>
      </c>
      <c r="E35" s="263">
        <v>679700</v>
      </c>
      <c r="F35" s="263">
        <v>79300</v>
      </c>
      <c r="G35" s="263">
        <v>326300</v>
      </c>
      <c r="H35" s="263">
        <v>117700</v>
      </c>
      <c r="I35" s="263">
        <v>162900</v>
      </c>
      <c r="J35" s="263">
        <v>319900</v>
      </c>
      <c r="K35" s="263">
        <v>65700</v>
      </c>
      <c r="L35" s="263">
        <v>71600</v>
      </c>
      <c r="M35" s="263">
        <v>677059</v>
      </c>
      <c r="N35" s="263">
        <v>4338759</v>
      </c>
      <c r="P35" s="263">
        <v>770655</v>
      </c>
      <c r="Q35" s="263">
        <v>1594086</v>
      </c>
      <c r="R35" s="263">
        <v>1656730</v>
      </c>
      <c r="S35" s="263">
        <v>574523</v>
      </c>
      <c r="T35" s="263">
        <v>591623</v>
      </c>
      <c r="U35" s="263">
        <v>849623</v>
      </c>
      <c r="V35" s="263">
        <v>632023</v>
      </c>
      <c r="W35" s="263">
        <v>610723</v>
      </c>
      <c r="X35" s="263">
        <v>850723</v>
      </c>
      <c r="Y35" s="263">
        <v>618023</v>
      </c>
      <c r="Z35" s="263">
        <v>608835</v>
      </c>
      <c r="AA35" s="263">
        <v>1241072</v>
      </c>
      <c r="AB35" s="263">
        <v>10598639</v>
      </c>
      <c r="AC35" s="259">
        <f t="shared" si="0"/>
        <v>4021471</v>
      </c>
      <c r="AD35" s="259"/>
      <c r="AE35" s="276" t="s">
        <v>343</v>
      </c>
      <c r="AF35" s="282">
        <v>1863241</v>
      </c>
      <c r="AG35" s="281">
        <v>1863241</v>
      </c>
      <c r="AH35" s="281">
        <v>901777</v>
      </c>
    </row>
    <row r="36" spans="1:34" x14ac:dyDescent="0.3">
      <c r="A36" s="247"/>
      <c r="B36" s="266"/>
      <c r="C36" s="266"/>
      <c r="D36" s="266"/>
      <c r="E36" s="266"/>
      <c r="F36" s="266"/>
      <c r="G36" s="266"/>
      <c r="H36" s="266"/>
      <c r="I36" s="266"/>
      <c r="J36" s="266"/>
      <c r="K36" s="266"/>
      <c r="L36" s="266"/>
      <c r="M36" s="266"/>
      <c r="N36" s="266" t="s">
        <v>397</v>
      </c>
      <c r="P36" s="266" t="s">
        <v>397</v>
      </c>
      <c r="Q36" s="266" t="s">
        <v>397</v>
      </c>
      <c r="R36" s="266" t="s">
        <v>397</v>
      </c>
      <c r="S36" s="266" t="s">
        <v>397</v>
      </c>
      <c r="T36" s="266" t="s">
        <v>397</v>
      </c>
      <c r="U36" s="266" t="s">
        <v>397</v>
      </c>
      <c r="V36" s="266" t="s">
        <v>397</v>
      </c>
      <c r="W36" s="266" t="s">
        <v>397</v>
      </c>
      <c r="X36" s="266" t="s">
        <v>397</v>
      </c>
      <c r="Y36" s="266" t="s">
        <v>397</v>
      </c>
      <c r="Z36" s="266" t="s">
        <v>397</v>
      </c>
      <c r="AA36" s="266" t="s">
        <v>397</v>
      </c>
      <c r="AB36" s="266" t="s">
        <v>397</v>
      </c>
      <c r="AC36" s="259">
        <f t="shared" si="0"/>
        <v>0</v>
      </c>
      <c r="AD36" s="259"/>
      <c r="AE36" s="243" t="s">
        <v>331</v>
      </c>
      <c r="AF36" s="282">
        <v>2718558</v>
      </c>
      <c r="AG36" s="281">
        <v>2718558</v>
      </c>
      <c r="AH36" s="281">
        <v>367345</v>
      </c>
    </row>
    <row r="37" spans="1:34" x14ac:dyDescent="0.3">
      <c r="A37" s="248"/>
      <c r="B37" s="267">
        <v>238761</v>
      </c>
      <c r="C37" s="267">
        <v>239795</v>
      </c>
      <c r="D37" s="267">
        <v>247468</v>
      </c>
      <c r="E37" s="267">
        <v>257598</v>
      </c>
      <c r="F37" s="267">
        <v>258172</v>
      </c>
      <c r="G37" s="267">
        <v>224288</v>
      </c>
      <c r="H37" s="267">
        <v>241125</v>
      </c>
      <c r="I37" s="267">
        <v>249675</v>
      </c>
      <c r="J37" s="267">
        <v>231831</v>
      </c>
      <c r="K37" s="267">
        <v>266636</v>
      </c>
      <c r="L37" s="267">
        <v>215965</v>
      </c>
      <c r="M37" s="267">
        <v>203110</v>
      </c>
      <c r="N37" s="267">
        <v>2874425</v>
      </c>
      <c r="P37" s="267">
        <v>310106</v>
      </c>
      <c r="Q37" s="267">
        <v>291885</v>
      </c>
      <c r="R37" s="267">
        <v>299198</v>
      </c>
      <c r="S37" s="267">
        <v>217885</v>
      </c>
      <c r="T37" s="267">
        <v>232475</v>
      </c>
      <c r="U37" s="267">
        <v>201964</v>
      </c>
      <c r="V37" s="267">
        <v>241131</v>
      </c>
      <c r="W37" s="267">
        <v>249682</v>
      </c>
      <c r="X37" s="267">
        <v>231838</v>
      </c>
      <c r="Y37" s="267">
        <v>266643</v>
      </c>
      <c r="Z37" s="267">
        <v>215971</v>
      </c>
      <c r="AA37" s="267">
        <v>203116</v>
      </c>
      <c r="AB37" s="267">
        <v>2961893</v>
      </c>
      <c r="AC37" s="259">
        <f t="shared" si="0"/>
        <v>901189</v>
      </c>
      <c r="AD37" s="259"/>
      <c r="AE37" s="276" t="s">
        <v>317</v>
      </c>
      <c r="AF37" s="282">
        <v>6259880</v>
      </c>
      <c r="AG37" s="281" t="s">
        <v>397</v>
      </c>
      <c r="AH37" s="281">
        <v>0</v>
      </c>
    </row>
    <row r="38" spans="1:34" x14ac:dyDescent="0.3">
      <c r="A38" s="249"/>
      <c r="B38" s="268">
        <v>8349933</v>
      </c>
      <c r="C38" s="268">
        <v>8129516</v>
      </c>
      <c r="D38" s="268">
        <v>10986884</v>
      </c>
      <c r="E38" s="268">
        <v>12141807</v>
      </c>
      <c r="F38" s="268">
        <v>15263951</v>
      </c>
      <c r="G38" s="268">
        <v>13174462</v>
      </c>
      <c r="H38" s="268">
        <v>13283775</v>
      </c>
      <c r="I38" s="268">
        <v>13241592</v>
      </c>
      <c r="J38" s="268">
        <v>15626434</v>
      </c>
      <c r="K38" s="268">
        <v>17540120</v>
      </c>
      <c r="L38" s="268">
        <v>15812992</v>
      </c>
      <c r="M38" s="268">
        <v>13712321</v>
      </c>
      <c r="N38" s="268">
        <v>157263786</v>
      </c>
      <c r="P38" s="268">
        <v>9571134</v>
      </c>
      <c r="Q38" s="268">
        <v>11509911</v>
      </c>
      <c r="R38" s="268">
        <v>12692343</v>
      </c>
      <c r="S38" s="268">
        <v>9769676</v>
      </c>
      <c r="T38" s="268">
        <v>14786585</v>
      </c>
      <c r="U38" s="268">
        <v>13088093</v>
      </c>
      <c r="V38" s="268">
        <v>13849396</v>
      </c>
      <c r="W38" s="268">
        <v>13080797</v>
      </c>
      <c r="X38" s="268">
        <v>15974674</v>
      </c>
      <c r="Y38" s="268">
        <v>16397479</v>
      </c>
      <c r="Z38" s="268">
        <v>13188021</v>
      </c>
      <c r="AA38" s="268">
        <v>13443146</v>
      </c>
      <c r="AB38" s="268">
        <v>157351254</v>
      </c>
      <c r="AC38" s="259">
        <f t="shared" si="0"/>
        <v>33773388</v>
      </c>
      <c r="AD38" s="259"/>
      <c r="AE38" s="276" t="s">
        <v>310</v>
      </c>
      <c r="AF38" s="282">
        <v>574086</v>
      </c>
      <c r="AG38" s="281">
        <v>574086</v>
      </c>
      <c r="AH38" s="281">
        <v>91331</v>
      </c>
    </row>
    <row r="39" spans="1:34" x14ac:dyDescent="0.3">
      <c r="A39" s="243" t="s">
        <v>30</v>
      </c>
      <c r="B39" s="260">
        <v>19543</v>
      </c>
      <c r="C39" s="260">
        <v>2793</v>
      </c>
      <c r="D39" s="260">
        <v>2793</v>
      </c>
      <c r="E39" s="260">
        <v>2926</v>
      </c>
      <c r="F39" s="260">
        <v>2926</v>
      </c>
      <c r="G39" s="260">
        <v>2660</v>
      </c>
      <c r="H39" s="260">
        <v>2660</v>
      </c>
      <c r="I39" s="260">
        <v>2926</v>
      </c>
      <c r="J39" s="260">
        <v>2660</v>
      </c>
      <c r="K39" s="260">
        <v>3059</v>
      </c>
      <c r="L39" s="260">
        <v>2527</v>
      </c>
      <c r="M39" s="260">
        <v>2527</v>
      </c>
      <c r="N39" s="261">
        <v>50000</v>
      </c>
      <c r="P39" s="260">
        <v>2884</v>
      </c>
      <c r="Q39" s="260">
        <v>2667</v>
      </c>
      <c r="R39" s="260">
        <v>2757</v>
      </c>
      <c r="S39" s="260">
        <v>2926</v>
      </c>
      <c r="T39" s="260">
        <v>2926</v>
      </c>
      <c r="U39" s="260">
        <v>2660</v>
      </c>
      <c r="V39" s="260">
        <v>2660</v>
      </c>
      <c r="W39" s="260">
        <v>2926</v>
      </c>
      <c r="X39" s="260">
        <v>2660</v>
      </c>
      <c r="Y39" s="260">
        <v>3059</v>
      </c>
      <c r="Z39" s="260">
        <v>2527</v>
      </c>
      <c r="AA39" s="260">
        <v>19348</v>
      </c>
      <c r="AB39" s="261">
        <v>50000</v>
      </c>
      <c r="AC39" s="259">
        <f t="shared" si="0"/>
        <v>8308</v>
      </c>
      <c r="AD39" s="259"/>
      <c r="AE39" s="276" t="s">
        <v>311</v>
      </c>
      <c r="AF39" s="282">
        <v>4107265</v>
      </c>
      <c r="AG39" s="281">
        <v>4107265</v>
      </c>
      <c r="AH39" s="281">
        <v>214503</v>
      </c>
    </row>
    <row r="40" spans="1:34" x14ac:dyDescent="0.3">
      <c r="A40" s="243" t="s">
        <v>337</v>
      </c>
      <c r="B40" s="260">
        <v>1863905</v>
      </c>
      <c r="C40" s="260">
        <v>2502375</v>
      </c>
      <c r="D40" s="260">
        <v>2968459</v>
      </c>
      <c r="E40" s="260">
        <v>3557047</v>
      </c>
      <c r="F40" s="260">
        <v>3772291</v>
      </c>
      <c r="G40" s="260">
        <v>4002798</v>
      </c>
      <c r="H40" s="260">
        <v>4597356</v>
      </c>
      <c r="I40" s="260">
        <v>4895254</v>
      </c>
      <c r="J40" s="260">
        <v>5347295</v>
      </c>
      <c r="K40" s="260">
        <v>5610171</v>
      </c>
      <c r="L40" s="260">
        <v>6239942</v>
      </c>
      <c r="M40" s="260">
        <v>5891902</v>
      </c>
      <c r="N40" s="261">
        <v>51248795</v>
      </c>
      <c r="P40" s="260">
        <v>2097088</v>
      </c>
      <c r="Q40" s="260">
        <v>6442321</v>
      </c>
      <c r="R40" s="260">
        <v>3747537</v>
      </c>
      <c r="S40" s="260">
        <v>2939478</v>
      </c>
      <c r="T40" s="260">
        <v>4666082</v>
      </c>
      <c r="U40" s="260">
        <v>3995673</v>
      </c>
      <c r="V40" s="260">
        <v>4597791</v>
      </c>
      <c r="W40" s="260">
        <v>3833133</v>
      </c>
      <c r="X40" s="260">
        <v>4285173</v>
      </c>
      <c r="Y40" s="260">
        <v>4575455</v>
      </c>
      <c r="Z40" s="260">
        <v>5204191</v>
      </c>
      <c r="AA40" s="260">
        <v>4864873</v>
      </c>
      <c r="AB40" s="261">
        <v>51248795</v>
      </c>
      <c r="AC40" s="259">
        <f t="shared" si="0"/>
        <v>12286946</v>
      </c>
      <c r="AD40" s="259"/>
      <c r="AE40" s="276" t="s">
        <v>321</v>
      </c>
      <c r="AF40" s="282">
        <v>9096600</v>
      </c>
      <c r="AG40" s="281">
        <v>9096600</v>
      </c>
      <c r="AH40" s="281">
        <v>3168775</v>
      </c>
    </row>
    <row r="41" spans="1:34" x14ac:dyDescent="0.3">
      <c r="A41" s="243" t="s">
        <v>338</v>
      </c>
      <c r="B41" s="260">
        <v>450305</v>
      </c>
      <c r="C41" s="260">
        <v>589993</v>
      </c>
      <c r="D41" s="260">
        <v>607480</v>
      </c>
      <c r="E41" s="260">
        <v>751865</v>
      </c>
      <c r="F41" s="260">
        <v>958252</v>
      </c>
      <c r="G41" s="260">
        <v>1033437</v>
      </c>
      <c r="H41" s="260">
        <v>1073559</v>
      </c>
      <c r="I41" s="260">
        <v>1200853</v>
      </c>
      <c r="J41" s="260">
        <v>1275959</v>
      </c>
      <c r="K41" s="260">
        <v>1390835</v>
      </c>
      <c r="L41" s="260">
        <v>1624435</v>
      </c>
      <c r="M41" s="260">
        <v>1571452</v>
      </c>
      <c r="N41" s="261">
        <v>12528425</v>
      </c>
      <c r="P41" s="260">
        <v>809836</v>
      </c>
      <c r="Q41" s="260">
        <v>894005</v>
      </c>
      <c r="R41" s="260">
        <v>368429</v>
      </c>
      <c r="S41" s="260">
        <v>376361</v>
      </c>
      <c r="T41" s="260">
        <v>979799</v>
      </c>
      <c r="U41" s="260">
        <v>1032645</v>
      </c>
      <c r="V41" s="260">
        <v>1072882</v>
      </c>
      <c r="W41" s="260">
        <v>1183900</v>
      </c>
      <c r="X41" s="260">
        <v>1259006</v>
      </c>
      <c r="Y41" s="260">
        <v>1376927</v>
      </c>
      <c r="Z41" s="260">
        <v>1610413</v>
      </c>
      <c r="AA41" s="260">
        <v>1564221</v>
      </c>
      <c r="AB41" s="261">
        <v>12528425</v>
      </c>
      <c r="AC41" s="259">
        <f t="shared" si="0"/>
        <v>2072270</v>
      </c>
      <c r="AD41" s="259"/>
      <c r="AE41" s="276" t="s">
        <v>324</v>
      </c>
      <c r="AF41" s="282">
        <v>2859483</v>
      </c>
      <c r="AG41" s="281">
        <v>2859483</v>
      </c>
      <c r="AH41" s="281">
        <v>108833</v>
      </c>
    </row>
    <row r="42" spans="1:34" x14ac:dyDescent="0.3">
      <c r="A42" s="243" t="s">
        <v>19</v>
      </c>
      <c r="B42" s="260">
        <v>4196051</v>
      </c>
      <c r="C42" s="260">
        <v>4203960</v>
      </c>
      <c r="D42" s="260">
        <v>5293614</v>
      </c>
      <c r="E42" s="260">
        <v>6045326</v>
      </c>
      <c r="F42" s="260">
        <v>7420753</v>
      </c>
      <c r="G42" s="260">
        <v>7488749</v>
      </c>
      <c r="H42" s="260">
        <v>9281928</v>
      </c>
      <c r="I42" s="260">
        <v>8885933</v>
      </c>
      <c r="J42" s="260">
        <v>7988349</v>
      </c>
      <c r="K42" s="260">
        <v>6632720</v>
      </c>
      <c r="L42" s="260">
        <v>4361024</v>
      </c>
      <c r="M42" s="260">
        <v>3562199</v>
      </c>
      <c r="N42" s="261">
        <v>75360609</v>
      </c>
      <c r="P42" s="260">
        <v>3338120</v>
      </c>
      <c r="Q42" s="260">
        <v>2721665</v>
      </c>
      <c r="R42" s="260">
        <v>3742372</v>
      </c>
      <c r="S42" s="260">
        <v>3835288</v>
      </c>
      <c r="T42" s="260">
        <v>4812762</v>
      </c>
      <c r="U42" s="260">
        <v>7455395</v>
      </c>
      <c r="V42" s="260">
        <v>9277053</v>
      </c>
      <c r="W42" s="260">
        <v>8881058</v>
      </c>
      <c r="X42" s="260">
        <v>7998099</v>
      </c>
      <c r="Y42" s="260">
        <v>8765020</v>
      </c>
      <c r="Z42" s="260">
        <v>7890761</v>
      </c>
      <c r="AA42" s="260">
        <v>6643016</v>
      </c>
      <c r="AB42" s="261">
        <v>75360609</v>
      </c>
      <c r="AC42" s="259">
        <f t="shared" si="0"/>
        <v>9802157</v>
      </c>
      <c r="AD42" s="259"/>
      <c r="AE42" s="243" t="s">
        <v>329</v>
      </c>
      <c r="AF42" s="264">
        <v>742800</v>
      </c>
      <c r="AG42" s="264">
        <v>742800</v>
      </c>
      <c r="AH42" s="259">
        <v>66218</v>
      </c>
    </row>
    <row r="43" spans="1:34" x14ac:dyDescent="0.3">
      <c r="A43" s="243" t="s">
        <v>339</v>
      </c>
      <c r="B43" s="260">
        <v>359365</v>
      </c>
      <c r="C43" s="260">
        <v>431498</v>
      </c>
      <c r="D43" s="260">
        <v>674436</v>
      </c>
      <c r="E43" s="260">
        <v>791024</v>
      </c>
      <c r="F43" s="260">
        <v>796749</v>
      </c>
      <c r="G43" s="260">
        <v>1290437</v>
      </c>
      <c r="H43" s="260">
        <v>1571904</v>
      </c>
      <c r="I43" s="260">
        <v>1909676</v>
      </c>
      <c r="J43" s="260">
        <v>1629154</v>
      </c>
      <c r="K43" s="260">
        <v>1307412</v>
      </c>
      <c r="L43" s="260">
        <v>1279933</v>
      </c>
      <c r="M43" s="260">
        <v>1027837</v>
      </c>
      <c r="N43" s="261">
        <v>13069425</v>
      </c>
      <c r="P43" s="260">
        <v>191535</v>
      </c>
      <c r="Q43" s="260">
        <v>203312</v>
      </c>
      <c r="R43" s="260">
        <v>328773</v>
      </c>
      <c r="S43" s="260">
        <v>864091</v>
      </c>
      <c r="T43" s="260">
        <v>1001255</v>
      </c>
      <c r="U43" s="260">
        <v>2049224</v>
      </c>
      <c r="V43" s="260">
        <v>1571363</v>
      </c>
      <c r="W43" s="260">
        <v>1519964</v>
      </c>
      <c r="X43" s="260">
        <v>1241068</v>
      </c>
      <c r="Y43" s="260">
        <v>1484316</v>
      </c>
      <c r="Z43" s="260">
        <v>1182282</v>
      </c>
      <c r="AA43" s="260">
        <v>1432244</v>
      </c>
      <c r="AB43" s="261">
        <v>13069426</v>
      </c>
      <c r="AC43" s="259">
        <f t="shared" si="0"/>
        <v>723620</v>
      </c>
      <c r="AD43" s="259"/>
      <c r="AE43" s="276" t="s">
        <v>400</v>
      </c>
      <c r="AF43" s="282">
        <f t="shared" ref="AF43:AG43" si="1">SUM(AF40:AF41)</f>
        <v>11956083</v>
      </c>
      <c r="AG43" s="282">
        <f t="shared" si="1"/>
        <v>11956083</v>
      </c>
      <c r="AH43" s="282">
        <f>SUM(AH40:AH41)</f>
        <v>3277608</v>
      </c>
    </row>
    <row r="44" spans="1:34" x14ac:dyDescent="0.3">
      <c r="A44" s="250" t="s">
        <v>340</v>
      </c>
      <c r="B44" s="262" t="s">
        <v>397</v>
      </c>
      <c r="C44" s="262" t="s">
        <v>397</v>
      </c>
      <c r="D44" s="262" t="s">
        <v>397</v>
      </c>
      <c r="E44" s="262" t="s">
        <v>397</v>
      </c>
      <c r="F44" s="262" t="s">
        <v>397</v>
      </c>
      <c r="G44" s="262" t="s">
        <v>397</v>
      </c>
      <c r="H44" s="262" t="s">
        <v>397</v>
      </c>
      <c r="I44" s="262" t="s">
        <v>397</v>
      </c>
      <c r="J44" s="262" t="s">
        <v>397</v>
      </c>
      <c r="K44" s="262" t="s">
        <v>397</v>
      </c>
      <c r="L44" s="262" t="s">
        <v>397</v>
      </c>
      <c r="M44" s="262" t="s">
        <v>397</v>
      </c>
      <c r="N44" s="269" t="s">
        <v>397</v>
      </c>
      <c r="P44" s="262" t="s">
        <v>397</v>
      </c>
      <c r="Q44" s="262" t="s">
        <v>397</v>
      </c>
      <c r="R44" s="262" t="s">
        <v>397</v>
      </c>
      <c r="S44" s="262" t="s">
        <v>397</v>
      </c>
      <c r="T44" s="262" t="s">
        <v>397</v>
      </c>
      <c r="U44" s="262" t="s">
        <v>397</v>
      </c>
      <c r="V44" s="262" t="s">
        <v>397</v>
      </c>
      <c r="W44" s="262" t="s">
        <v>397</v>
      </c>
      <c r="X44" s="262" t="s">
        <v>397</v>
      </c>
      <c r="Y44" s="262" t="s">
        <v>397</v>
      </c>
      <c r="Z44" s="262" t="s">
        <v>397</v>
      </c>
      <c r="AA44" s="262" t="s">
        <v>397</v>
      </c>
      <c r="AB44" s="269" t="s">
        <v>397</v>
      </c>
      <c r="AC44" s="259">
        <f t="shared" si="0"/>
        <v>0</v>
      </c>
      <c r="AD44" s="259"/>
      <c r="AE44" s="276" t="s">
        <v>320</v>
      </c>
      <c r="AF44" s="282">
        <v>924958</v>
      </c>
      <c r="AG44" s="281">
        <v>924958</v>
      </c>
      <c r="AH44" s="281">
        <v>392489</v>
      </c>
    </row>
    <row r="45" spans="1:34" x14ac:dyDescent="0.3">
      <c r="A45" s="250" t="s">
        <v>341</v>
      </c>
      <c r="B45" s="262" t="s">
        <v>397</v>
      </c>
      <c r="C45" s="262" t="s">
        <v>397</v>
      </c>
      <c r="D45" s="262" t="s">
        <v>397</v>
      </c>
      <c r="E45" s="262" t="s">
        <v>397</v>
      </c>
      <c r="F45" s="262" t="s">
        <v>397</v>
      </c>
      <c r="G45" s="262" t="s">
        <v>397</v>
      </c>
      <c r="H45" s="262" t="s">
        <v>397</v>
      </c>
      <c r="I45" s="262" t="s">
        <v>397</v>
      </c>
      <c r="J45" s="262" t="s">
        <v>397</v>
      </c>
      <c r="K45" s="262" t="s">
        <v>397</v>
      </c>
      <c r="L45" s="262" t="s">
        <v>397</v>
      </c>
      <c r="M45" s="262" t="s">
        <v>397</v>
      </c>
      <c r="N45" s="269" t="s">
        <v>397</v>
      </c>
      <c r="P45" s="262" t="s">
        <v>397</v>
      </c>
      <c r="Q45" s="262" t="s">
        <v>397</v>
      </c>
      <c r="R45" s="262" t="s">
        <v>397</v>
      </c>
      <c r="S45" s="262" t="s">
        <v>397</v>
      </c>
      <c r="T45" s="262" t="s">
        <v>397</v>
      </c>
      <c r="U45" s="262" t="s">
        <v>397</v>
      </c>
      <c r="V45" s="262" t="s">
        <v>397</v>
      </c>
      <c r="W45" s="262" t="s">
        <v>397</v>
      </c>
      <c r="X45" s="262" t="s">
        <v>397</v>
      </c>
      <c r="Y45" s="262" t="s">
        <v>397</v>
      </c>
      <c r="Z45" s="262" t="s">
        <v>397</v>
      </c>
      <c r="AA45" s="262" t="s">
        <v>397</v>
      </c>
      <c r="AB45" s="269" t="s">
        <v>397</v>
      </c>
      <c r="AC45" s="259">
        <f t="shared" si="0"/>
        <v>0</v>
      </c>
      <c r="AD45" s="259"/>
      <c r="AE45" s="276" t="s">
        <v>323</v>
      </c>
      <c r="AF45" s="282">
        <v>185700</v>
      </c>
      <c r="AG45" s="281">
        <v>185700</v>
      </c>
      <c r="AH45" s="281">
        <v>14033</v>
      </c>
    </row>
    <row r="46" spans="1:34" x14ac:dyDescent="0.3">
      <c r="A46" s="246"/>
      <c r="B46" s="263">
        <v>6889169</v>
      </c>
      <c r="C46" s="263">
        <v>7730619</v>
      </c>
      <c r="D46" s="263">
        <v>9546783</v>
      </c>
      <c r="E46" s="263">
        <v>11148188</v>
      </c>
      <c r="F46" s="263">
        <v>12950971</v>
      </c>
      <c r="G46" s="263">
        <v>13818082</v>
      </c>
      <c r="H46" s="263">
        <v>16527408</v>
      </c>
      <c r="I46" s="263">
        <v>16894642</v>
      </c>
      <c r="J46" s="263">
        <v>16243417</v>
      </c>
      <c r="K46" s="263">
        <v>14944198</v>
      </c>
      <c r="L46" s="263">
        <v>13507862</v>
      </c>
      <c r="M46" s="263">
        <v>12055917</v>
      </c>
      <c r="N46" s="263">
        <v>152257254</v>
      </c>
      <c r="P46" s="263">
        <v>6439463</v>
      </c>
      <c r="Q46" s="263">
        <v>10263970</v>
      </c>
      <c r="R46" s="263">
        <v>8189868</v>
      </c>
      <c r="S46" s="263">
        <v>8018143</v>
      </c>
      <c r="T46" s="263">
        <v>11462825</v>
      </c>
      <c r="U46" s="263">
        <v>14535597</v>
      </c>
      <c r="V46" s="263">
        <v>16521749</v>
      </c>
      <c r="W46" s="263">
        <v>15420981</v>
      </c>
      <c r="X46" s="263">
        <v>14786007</v>
      </c>
      <c r="Y46" s="263">
        <v>16204777</v>
      </c>
      <c r="Z46" s="263">
        <v>15890174</v>
      </c>
      <c r="AA46" s="263">
        <v>14523701</v>
      </c>
      <c r="AB46" s="263">
        <v>152257255</v>
      </c>
      <c r="AC46" s="259">
        <f t="shared" si="0"/>
        <v>24893301</v>
      </c>
      <c r="AD46" s="259"/>
      <c r="AE46" s="276" t="s">
        <v>322</v>
      </c>
      <c r="AF46" s="282">
        <v>3349555</v>
      </c>
      <c r="AG46" s="281">
        <v>3349555</v>
      </c>
      <c r="AH46" s="281">
        <v>1489319</v>
      </c>
    </row>
    <row r="47" spans="1:34" x14ac:dyDescent="0.3">
      <c r="A47" s="243" t="s">
        <v>342</v>
      </c>
      <c r="B47" s="260">
        <v>467434</v>
      </c>
      <c r="C47" s="260">
        <v>198438</v>
      </c>
      <c r="D47" s="260">
        <v>648303</v>
      </c>
      <c r="E47" s="260">
        <v>1191525</v>
      </c>
      <c r="F47" s="260">
        <v>220993</v>
      </c>
      <c r="G47" s="260">
        <v>178993</v>
      </c>
      <c r="H47" s="260">
        <v>635400</v>
      </c>
      <c r="I47" s="260">
        <v>188743</v>
      </c>
      <c r="J47" s="260">
        <v>218318</v>
      </c>
      <c r="K47" s="260">
        <v>790197</v>
      </c>
      <c r="L47" s="260">
        <v>257910</v>
      </c>
      <c r="M47" s="260">
        <v>1176747</v>
      </c>
      <c r="N47" s="261">
        <v>6173000</v>
      </c>
      <c r="P47" s="260">
        <v>221673</v>
      </c>
      <c r="Q47" s="260">
        <v>711431</v>
      </c>
      <c r="R47" s="260">
        <v>719713</v>
      </c>
      <c r="S47" s="260">
        <v>768950</v>
      </c>
      <c r="T47" s="260">
        <v>229043</v>
      </c>
      <c r="U47" s="260">
        <v>199043</v>
      </c>
      <c r="V47" s="260">
        <v>634701</v>
      </c>
      <c r="W47" s="260">
        <v>188043</v>
      </c>
      <c r="X47" s="260">
        <v>217618</v>
      </c>
      <c r="Y47" s="260">
        <v>797897</v>
      </c>
      <c r="Z47" s="260">
        <v>230113</v>
      </c>
      <c r="AA47" s="260">
        <v>1254774</v>
      </c>
      <c r="AB47" s="261">
        <v>6173000</v>
      </c>
      <c r="AC47" s="259">
        <f t="shared" si="0"/>
        <v>1652817</v>
      </c>
      <c r="AD47" s="259"/>
      <c r="AE47" s="276" t="s">
        <v>72</v>
      </c>
      <c r="AF47" s="282">
        <v>457500</v>
      </c>
      <c r="AG47" s="281">
        <v>457500</v>
      </c>
      <c r="AH47" s="281">
        <v>26585</v>
      </c>
    </row>
    <row r="48" spans="1:34" x14ac:dyDescent="0.3">
      <c r="A48" s="243" t="s">
        <v>343</v>
      </c>
      <c r="B48" s="260">
        <v>251952</v>
      </c>
      <c r="C48" s="260">
        <v>53269</v>
      </c>
      <c r="D48" s="260">
        <v>372394</v>
      </c>
      <c r="E48" s="260">
        <v>452820</v>
      </c>
      <c r="F48" s="260">
        <v>65519</v>
      </c>
      <c r="G48" s="260">
        <v>35794</v>
      </c>
      <c r="H48" s="260">
        <v>188292</v>
      </c>
      <c r="I48" s="260">
        <v>62769</v>
      </c>
      <c r="J48" s="260">
        <v>42591</v>
      </c>
      <c r="K48" s="260">
        <v>120059</v>
      </c>
      <c r="L48" s="260">
        <v>46202</v>
      </c>
      <c r="M48" s="260">
        <v>171582</v>
      </c>
      <c r="N48" s="261">
        <v>1863241</v>
      </c>
      <c r="P48" s="260">
        <v>-35383</v>
      </c>
      <c r="Q48" s="260">
        <v>474574</v>
      </c>
      <c r="R48" s="260">
        <v>462586</v>
      </c>
      <c r="S48" s="260">
        <v>124373</v>
      </c>
      <c r="T48" s="260">
        <v>67697</v>
      </c>
      <c r="U48" s="260">
        <v>45472</v>
      </c>
      <c r="V48" s="260">
        <v>187970</v>
      </c>
      <c r="W48" s="260">
        <v>64947</v>
      </c>
      <c r="X48" s="260">
        <v>42269</v>
      </c>
      <c r="Y48" s="260">
        <v>123637</v>
      </c>
      <c r="Z48" s="260">
        <v>45880</v>
      </c>
      <c r="AA48" s="260">
        <v>259218</v>
      </c>
      <c r="AB48" s="261">
        <v>1863241</v>
      </c>
      <c r="AC48" s="259">
        <f t="shared" si="0"/>
        <v>901777</v>
      </c>
      <c r="AD48" s="259"/>
      <c r="AE48" s="277" t="s">
        <v>285</v>
      </c>
      <c r="AF48" s="282"/>
      <c r="AG48" s="281"/>
      <c r="AH48" s="281"/>
    </row>
    <row r="49" spans="1:34" x14ac:dyDescent="0.3">
      <c r="A49" s="243" t="s">
        <v>344</v>
      </c>
      <c r="B49" s="260">
        <v>125000</v>
      </c>
      <c r="C49" s="262" t="s">
        <v>397</v>
      </c>
      <c r="D49" s="260">
        <v>187500</v>
      </c>
      <c r="E49" s="260">
        <v>187500</v>
      </c>
      <c r="F49" s="262" t="s">
        <v>397</v>
      </c>
      <c r="G49" s="262" t="s">
        <v>397</v>
      </c>
      <c r="H49" s="262" t="s">
        <v>397</v>
      </c>
      <c r="I49" s="262" t="s">
        <v>397</v>
      </c>
      <c r="J49" s="262" t="s">
        <v>397</v>
      </c>
      <c r="K49" s="262" t="s">
        <v>397</v>
      </c>
      <c r="L49" s="262" t="s">
        <v>397</v>
      </c>
      <c r="M49" s="262" t="s">
        <v>397</v>
      </c>
      <c r="N49" s="261">
        <v>500000</v>
      </c>
      <c r="P49" s="262" t="s">
        <v>397</v>
      </c>
      <c r="Q49" s="260">
        <v>248000</v>
      </c>
      <c r="R49" s="260">
        <v>252000</v>
      </c>
      <c r="S49" s="262" t="s">
        <v>397</v>
      </c>
      <c r="T49" s="262" t="s">
        <v>397</v>
      </c>
      <c r="U49" s="262" t="s">
        <v>397</v>
      </c>
      <c r="V49" s="262" t="s">
        <v>397</v>
      </c>
      <c r="W49" s="262" t="s">
        <v>397</v>
      </c>
      <c r="X49" s="262" t="s">
        <v>397</v>
      </c>
      <c r="Y49" s="262" t="s">
        <v>397</v>
      </c>
      <c r="Z49" s="262" t="s">
        <v>397</v>
      </c>
      <c r="AA49" s="262" t="s">
        <v>397</v>
      </c>
      <c r="AB49" s="261">
        <v>500000</v>
      </c>
      <c r="AC49" s="259">
        <f t="shared" si="0"/>
        <v>500000</v>
      </c>
      <c r="AD49" s="259"/>
      <c r="AE49" s="276" t="s">
        <v>327</v>
      </c>
      <c r="AF49" s="282">
        <v>6643062</v>
      </c>
      <c r="AG49" s="281">
        <v>6643062</v>
      </c>
      <c r="AH49" s="281">
        <v>2686984</v>
      </c>
    </row>
    <row r="50" spans="1:34" x14ac:dyDescent="0.3">
      <c r="A50" s="243" t="s">
        <v>345</v>
      </c>
      <c r="B50" s="262" t="s">
        <v>397</v>
      </c>
      <c r="C50" s="262" t="s">
        <v>397</v>
      </c>
      <c r="D50" s="262" t="s">
        <v>397</v>
      </c>
      <c r="E50" s="262" t="s">
        <v>397</v>
      </c>
      <c r="F50" s="262" t="s">
        <v>397</v>
      </c>
      <c r="G50" s="260">
        <v>75000</v>
      </c>
      <c r="H50" s="262" t="s">
        <v>397</v>
      </c>
      <c r="I50" s="262" t="s">
        <v>397</v>
      </c>
      <c r="J50" s="260">
        <v>75000</v>
      </c>
      <c r="K50" s="262" t="s">
        <v>397</v>
      </c>
      <c r="L50" s="262" t="s">
        <v>397</v>
      </c>
      <c r="M50" s="262" t="s">
        <v>397</v>
      </c>
      <c r="N50" s="261">
        <v>150000</v>
      </c>
      <c r="P50" s="262" t="s">
        <v>397</v>
      </c>
      <c r="Q50" s="262" t="s">
        <v>397</v>
      </c>
      <c r="R50" s="262" t="s">
        <v>397</v>
      </c>
      <c r="S50" s="262" t="s">
        <v>397</v>
      </c>
      <c r="T50" s="262" t="s">
        <v>397</v>
      </c>
      <c r="U50" s="260">
        <v>75000</v>
      </c>
      <c r="V50" s="262" t="s">
        <v>397</v>
      </c>
      <c r="W50" s="262" t="s">
        <v>397</v>
      </c>
      <c r="X50" s="260">
        <v>75000</v>
      </c>
      <c r="Y50" s="262" t="s">
        <v>397</v>
      </c>
      <c r="Z50" s="262" t="s">
        <v>397</v>
      </c>
      <c r="AA50" s="262" t="s">
        <v>397</v>
      </c>
      <c r="AB50" s="261">
        <v>150000</v>
      </c>
      <c r="AC50" s="259">
        <f t="shared" si="0"/>
        <v>0</v>
      </c>
      <c r="AD50" s="259"/>
      <c r="AE50" s="276" t="s">
        <v>315</v>
      </c>
      <c r="AF50" s="282">
        <v>27200000</v>
      </c>
      <c r="AG50" s="281">
        <v>27200000</v>
      </c>
      <c r="AH50" s="281">
        <v>3039902</v>
      </c>
    </row>
    <row r="51" spans="1:34" x14ac:dyDescent="0.3">
      <c r="A51" s="243" t="s">
        <v>346</v>
      </c>
      <c r="B51" s="262" t="s">
        <v>397</v>
      </c>
      <c r="C51" s="262" t="s">
        <v>397</v>
      </c>
      <c r="D51" s="262" t="s">
        <v>397</v>
      </c>
      <c r="E51" s="262" t="s">
        <v>397</v>
      </c>
      <c r="F51" s="262" t="s">
        <v>397</v>
      </c>
      <c r="G51" s="260">
        <v>50000</v>
      </c>
      <c r="H51" s="260">
        <v>2689</v>
      </c>
      <c r="I51" s="262" t="s">
        <v>397</v>
      </c>
      <c r="J51" s="260">
        <v>50000</v>
      </c>
      <c r="K51" s="262" t="s">
        <v>397</v>
      </c>
      <c r="L51" s="262" t="s">
        <v>397</v>
      </c>
      <c r="M51" s="262" t="s">
        <v>397</v>
      </c>
      <c r="N51" s="260">
        <v>102689</v>
      </c>
      <c r="P51" s="262" t="s">
        <v>397</v>
      </c>
      <c r="Q51" s="262" t="s">
        <v>397</v>
      </c>
      <c r="R51" s="262" t="s">
        <v>397</v>
      </c>
      <c r="S51" s="262" t="s">
        <v>397</v>
      </c>
      <c r="T51" s="262" t="s">
        <v>397</v>
      </c>
      <c r="U51" s="260">
        <v>50000</v>
      </c>
      <c r="V51" s="260">
        <v>2689</v>
      </c>
      <c r="W51" s="262" t="s">
        <v>397</v>
      </c>
      <c r="X51" s="260">
        <v>50000</v>
      </c>
      <c r="Y51" s="262" t="s">
        <v>397</v>
      </c>
      <c r="Z51" s="262" t="s">
        <v>397</v>
      </c>
      <c r="AA51" s="262" t="s">
        <v>397</v>
      </c>
      <c r="AB51" s="260">
        <v>102689</v>
      </c>
      <c r="AC51" s="259">
        <f t="shared" si="0"/>
        <v>0</v>
      </c>
      <c r="AD51" s="259"/>
      <c r="AE51" s="276" t="s">
        <v>316</v>
      </c>
      <c r="AF51" s="282">
        <v>4544926</v>
      </c>
      <c r="AG51" s="281">
        <v>4544926</v>
      </c>
      <c r="AH51" s="281">
        <v>1299328</v>
      </c>
    </row>
    <row r="52" spans="1:34" x14ac:dyDescent="0.3">
      <c r="A52" s="243"/>
      <c r="B52" s="262" t="s">
        <v>397</v>
      </c>
      <c r="C52" s="262" t="s">
        <v>397</v>
      </c>
      <c r="D52" s="262" t="s">
        <v>397</v>
      </c>
      <c r="E52" s="262" t="s">
        <v>397</v>
      </c>
      <c r="F52" s="262" t="s">
        <v>397</v>
      </c>
      <c r="G52" s="262" t="s">
        <v>397</v>
      </c>
      <c r="H52" s="262" t="s">
        <v>397</v>
      </c>
      <c r="I52" s="262" t="s">
        <v>397</v>
      </c>
      <c r="J52" s="262" t="s">
        <v>397</v>
      </c>
      <c r="K52" s="262" t="s">
        <v>397</v>
      </c>
      <c r="L52" s="262" t="s">
        <v>397</v>
      </c>
      <c r="M52" s="262" t="s">
        <v>397</v>
      </c>
      <c r="N52" s="262" t="s">
        <v>397</v>
      </c>
      <c r="P52" s="262" t="s">
        <v>397</v>
      </c>
      <c r="Q52" s="262" t="s">
        <v>397</v>
      </c>
      <c r="R52" s="262" t="s">
        <v>397</v>
      </c>
      <c r="S52" s="262" t="s">
        <v>397</v>
      </c>
      <c r="T52" s="262" t="s">
        <v>397</v>
      </c>
      <c r="U52" s="262" t="s">
        <v>397</v>
      </c>
      <c r="V52" s="262" t="s">
        <v>397</v>
      </c>
      <c r="W52" s="262" t="s">
        <v>397</v>
      </c>
      <c r="X52" s="262" t="s">
        <v>397</v>
      </c>
      <c r="Y52" s="262" t="s">
        <v>397</v>
      </c>
      <c r="Z52" s="262" t="s">
        <v>397</v>
      </c>
      <c r="AA52" s="262" t="s">
        <v>397</v>
      </c>
      <c r="AB52" s="262" t="s">
        <v>397</v>
      </c>
      <c r="AC52" s="259">
        <f t="shared" si="0"/>
        <v>0</v>
      </c>
      <c r="AD52" s="259"/>
      <c r="AE52" s="278" t="s">
        <v>313</v>
      </c>
      <c r="AF52" s="283">
        <v>23238880</v>
      </c>
      <c r="AG52" s="281">
        <v>23238880</v>
      </c>
      <c r="AH52" s="281">
        <v>5328066</v>
      </c>
    </row>
    <row r="53" spans="1:34" x14ac:dyDescent="0.3">
      <c r="A53" s="243"/>
      <c r="B53" s="262" t="s">
        <v>397</v>
      </c>
      <c r="C53" s="262" t="s">
        <v>397</v>
      </c>
      <c r="D53" s="262" t="s">
        <v>397</v>
      </c>
      <c r="E53" s="262" t="s">
        <v>397</v>
      </c>
      <c r="F53" s="262" t="s">
        <v>397</v>
      </c>
      <c r="G53" s="262" t="s">
        <v>397</v>
      </c>
      <c r="H53" s="262" t="s">
        <v>397</v>
      </c>
      <c r="I53" s="262" t="s">
        <v>397</v>
      </c>
      <c r="J53" s="262" t="s">
        <v>397</v>
      </c>
      <c r="K53" s="262" t="s">
        <v>397</v>
      </c>
      <c r="L53" s="262" t="s">
        <v>397</v>
      </c>
      <c r="M53" s="262" t="s">
        <v>397</v>
      </c>
      <c r="N53" s="262" t="s">
        <v>397</v>
      </c>
      <c r="P53" s="262" t="s">
        <v>397</v>
      </c>
      <c r="Q53" s="262" t="s">
        <v>397</v>
      </c>
      <c r="R53" s="262" t="s">
        <v>397</v>
      </c>
      <c r="S53" s="262" t="s">
        <v>397</v>
      </c>
      <c r="T53" s="262" t="s">
        <v>397</v>
      </c>
      <c r="U53" s="262" t="s">
        <v>397</v>
      </c>
      <c r="V53" s="262" t="s">
        <v>397</v>
      </c>
      <c r="W53" s="262" t="s">
        <v>397</v>
      </c>
      <c r="X53" s="262" t="s">
        <v>397</v>
      </c>
      <c r="Y53" s="262" t="s">
        <v>397</v>
      </c>
      <c r="Z53" s="262" t="s">
        <v>397</v>
      </c>
      <c r="AA53" s="262" t="s">
        <v>397</v>
      </c>
      <c r="AB53" s="262" t="s">
        <v>397</v>
      </c>
      <c r="AC53" s="259">
        <f t="shared" si="0"/>
        <v>0</v>
      </c>
      <c r="AD53" s="259"/>
      <c r="AE53" s="278" t="s">
        <v>314</v>
      </c>
      <c r="AF53" s="283">
        <v>6111000</v>
      </c>
      <c r="AG53" s="281">
        <v>6111000</v>
      </c>
      <c r="AH53" s="281">
        <v>320400</v>
      </c>
    </row>
    <row r="54" spans="1:34" x14ac:dyDescent="0.3">
      <c r="A54" s="246"/>
      <c r="B54" s="263">
        <v>844386</v>
      </c>
      <c r="C54" s="263">
        <v>251707</v>
      </c>
      <c r="D54" s="263">
        <v>1208197</v>
      </c>
      <c r="E54" s="263">
        <v>1831845</v>
      </c>
      <c r="F54" s="263">
        <v>286512</v>
      </c>
      <c r="G54" s="263">
        <v>339787</v>
      </c>
      <c r="H54" s="263">
        <v>826381</v>
      </c>
      <c r="I54" s="263">
        <v>251512</v>
      </c>
      <c r="J54" s="263">
        <v>385909</v>
      </c>
      <c r="K54" s="263">
        <v>910256</v>
      </c>
      <c r="L54" s="263">
        <v>304112</v>
      </c>
      <c r="M54" s="263">
        <v>1348329</v>
      </c>
      <c r="N54" s="263">
        <v>8788930</v>
      </c>
      <c r="P54" s="263">
        <v>186291</v>
      </c>
      <c r="Q54" s="263">
        <v>1434005</v>
      </c>
      <c r="R54" s="263">
        <v>1434299</v>
      </c>
      <c r="S54" s="263">
        <v>893323</v>
      </c>
      <c r="T54" s="263">
        <v>296740</v>
      </c>
      <c r="U54" s="263">
        <v>369515</v>
      </c>
      <c r="V54" s="263">
        <v>825360</v>
      </c>
      <c r="W54" s="263">
        <v>252990</v>
      </c>
      <c r="X54" s="263">
        <v>384887</v>
      </c>
      <c r="Y54" s="263">
        <v>921534</v>
      </c>
      <c r="Z54" s="263">
        <v>275993</v>
      </c>
      <c r="AA54" s="263">
        <v>1513992</v>
      </c>
      <c r="AB54" s="263">
        <v>8788930</v>
      </c>
      <c r="AC54" s="259">
        <f t="shared" si="0"/>
        <v>3054595</v>
      </c>
      <c r="AD54" s="259"/>
      <c r="AE54" s="276" t="s">
        <v>401</v>
      </c>
      <c r="AF54" s="282">
        <f>SUM(AF52:AF53)</f>
        <v>29349880</v>
      </c>
      <c r="AG54" s="282">
        <f>SUM(AG52:AG53)</f>
        <v>29349880</v>
      </c>
      <c r="AH54" s="282">
        <f>SUM(AH52:AH53)</f>
        <v>5648466</v>
      </c>
    </row>
    <row r="55" spans="1:34" x14ac:dyDescent="0.3">
      <c r="A55" s="243" t="s">
        <v>347</v>
      </c>
      <c r="B55" s="260">
        <v>441385</v>
      </c>
      <c r="C55" s="260">
        <v>581797</v>
      </c>
      <c r="D55" s="260">
        <v>699557</v>
      </c>
      <c r="E55" s="260">
        <v>767019</v>
      </c>
      <c r="F55" s="260">
        <v>1039880</v>
      </c>
      <c r="G55" s="260">
        <v>1045344</v>
      </c>
      <c r="H55" s="260">
        <v>1147386</v>
      </c>
      <c r="I55" s="260">
        <v>1809821</v>
      </c>
      <c r="J55" s="260">
        <v>1633403</v>
      </c>
      <c r="K55" s="260">
        <v>2239446</v>
      </c>
      <c r="L55" s="260">
        <v>3351459</v>
      </c>
      <c r="M55" s="260">
        <v>2359187</v>
      </c>
      <c r="N55" s="264">
        <v>17115684</v>
      </c>
      <c r="P55" s="260">
        <v>148478</v>
      </c>
      <c r="Q55" s="260">
        <v>548352</v>
      </c>
      <c r="R55" s="260">
        <v>451618</v>
      </c>
      <c r="S55" s="260">
        <v>459947</v>
      </c>
      <c r="T55" s="260">
        <v>1148775</v>
      </c>
      <c r="U55" s="260">
        <v>1420225</v>
      </c>
      <c r="V55" s="260">
        <v>1609407</v>
      </c>
      <c r="W55" s="260">
        <v>1239576</v>
      </c>
      <c r="X55" s="260">
        <v>974908</v>
      </c>
      <c r="Y55" s="260">
        <v>1735820</v>
      </c>
      <c r="Z55" s="260">
        <v>2399767</v>
      </c>
      <c r="AA55" s="260">
        <v>4978811</v>
      </c>
      <c r="AB55" s="264">
        <v>17115684</v>
      </c>
      <c r="AC55" s="259">
        <f t="shared" si="0"/>
        <v>1148448</v>
      </c>
      <c r="AD55" s="259"/>
      <c r="AE55" s="276" t="s">
        <v>312</v>
      </c>
      <c r="AF55" s="282">
        <v>1872189</v>
      </c>
      <c r="AG55" s="281">
        <v>1872189</v>
      </c>
      <c r="AH55" s="281">
        <v>479863</v>
      </c>
    </row>
    <row r="56" spans="1:34" x14ac:dyDescent="0.3">
      <c r="A56" s="243" t="s">
        <v>348</v>
      </c>
      <c r="B56" s="260">
        <v>294792</v>
      </c>
      <c r="C56" s="260">
        <v>377473</v>
      </c>
      <c r="D56" s="260">
        <v>751351</v>
      </c>
      <c r="E56" s="260">
        <v>626500</v>
      </c>
      <c r="F56" s="260">
        <v>432061</v>
      </c>
      <c r="G56" s="260">
        <v>729087</v>
      </c>
      <c r="H56" s="260">
        <v>720157</v>
      </c>
      <c r="I56" s="260">
        <v>612465</v>
      </c>
      <c r="J56" s="260">
        <v>1363858</v>
      </c>
      <c r="K56" s="260">
        <v>624553</v>
      </c>
      <c r="L56" s="260">
        <v>432060</v>
      </c>
      <c r="M56" s="260">
        <v>1292459</v>
      </c>
      <c r="N56" s="264">
        <v>8256814</v>
      </c>
      <c r="P56" s="260">
        <v>311941</v>
      </c>
      <c r="Q56" s="260">
        <v>456748</v>
      </c>
      <c r="R56" s="260">
        <v>878317</v>
      </c>
      <c r="S56" s="260">
        <v>539624</v>
      </c>
      <c r="T56" s="260">
        <v>434473</v>
      </c>
      <c r="U56" s="260">
        <v>744775</v>
      </c>
      <c r="V56" s="260">
        <v>721978</v>
      </c>
      <c r="W56" s="260">
        <v>612931</v>
      </c>
      <c r="X56" s="260">
        <v>1359074</v>
      </c>
      <c r="Y56" s="260">
        <v>653908</v>
      </c>
      <c r="Z56" s="260">
        <v>432526</v>
      </c>
      <c r="AA56" s="260">
        <v>1110521</v>
      </c>
      <c r="AB56" s="264">
        <v>8256814</v>
      </c>
      <c r="AC56" s="259">
        <f t="shared" si="0"/>
        <v>1647006</v>
      </c>
      <c r="AD56" s="259"/>
      <c r="AE56" s="276" t="s">
        <v>326</v>
      </c>
      <c r="AF56" s="282">
        <v>22394227</v>
      </c>
      <c r="AG56" s="281">
        <v>22394228</v>
      </c>
      <c r="AH56" s="281">
        <v>5222811</v>
      </c>
    </row>
    <row r="57" spans="1:34" ht="26.4" x14ac:dyDescent="0.3">
      <c r="A57" s="243" t="s">
        <v>349</v>
      </c>
      <c r="B57" s="260">
        <v>51322</v>
      </c>
      <c r="C57" s="260">
        <v>66604</v>
      </c>
      <c r="D57" s="260">
        <v>102653</v>
      </c>
      <c r="E57" s="260">
        <v>146329</v>
      </c>
      <c r="F57" s="260">
        <v>81149</v>
      </c>
      <c r="G57" s="260">
        <v>102095</v>
      </c>
      <c r="H57" s="260">
        <v>256569</v>
      </c>
      <c r="I57" s="260">
        <v>96822</v>
      </c>
      <c r="J57" s="260">
        <v>216706</v>
      </c>
      <c r="K57" s="260">
        <v>155300</v>
      </c>
      <c r="L57" s="260">
        <v>76702</v>
      </c>
      <c r="M57" s="260">
        <v>218317</v>
      </c>
      <c r="N57" s="264">
        <v>1570569</v>
      </c>
      <c r="P57" s="260">
        <v>62808</v>
      </c>
      <c r="Q57" s="260">
        <v>65963</v>
      </c>
      <c r="R57" s="260">
        <v>129092</v>
      </c>
      <c r="S57" s="260">
        <v>128323</v>
      </c>
      <c r="T57" s="260">
        <v>81497</v>
      </c>
      <c r="U57" s="260">
        <v>102411</v>
      </c>
      <c r="V57" s="260">
        <v>270822</v>
      </c>
      <c r="W57" s="260">
        <v>96822</v>
      </c>
      <c r="X57" s="260">
        <v>216706</v>
      </c>
      <c r="Y57" s="260">
        <v>160843</v>
      </c>
      <c r="Z57" s="260">
        <v>76704</v>
      </c>
      <c r="AA57" s="260">
        <v>178578</v>
      </c>
      <c r="AB57" s="264">
        <v>1570569</v>
      </c>
      <c r="AC57" s="259">
        <f t="shared" si="0"/>
        <v>257863</v>
      </c>
      <c r="AD57" s="259"/>
      <c r="AE57" t="s">
        <v>333</v>
      </c>
      <c r="AF57" s="281">
        <v>1003400</v>
      </c>
      <c r="AG57" s="281">
        <v>1003400</v>
      </c>
      <c r="AH57" s="281">
        <v>0</v>
      </c>
    </row>
    <row r="58" spans="1:34" x14ac:dyDescent="0.3">
      <c r="A58" s="243" t="s">
        <v>350</v>
      </c>
      <c r="B58" s="260">
        <v>232434</v>
      </c>
      <c r="C58" s="260">
        <v>304522</v>
      </c>
      <c r="D58" s="260">
        <v>799570</v>
      </c>
      <c r="E58" s="260">
        <v>364966</v>
      </c>
      <c r="F58" s="260">
        <v>381219</v>
      </c>
      <c r="G58" s="260">
        <v>532513</v>
      </c>
      <c r="H58" s="260">
        <v>830852</v>
      </c>
      <c r="I58" s="260">
        <v>1201826</v>
      </c>
      <c r="J58" s="260">
        <v>980676</v>
      </c>
      <c r="K58" s="260">
        <v>773958</v>
      </c>
      <c r="L58" s="260">
        <v>773958</v>
      </c>
      <c r="M58" s="260">
        <v>1098834</v>
      </c>
      <c r="N58" s="264">
        <v>8275328</v>
      </c>
      <c r="P58" s="260">
        <v>246087</v>
      </c>
      <c r="Q58" s="260">
        <v>363034</v>
      </c>
      <c r="R58" s="260">
        <v>190381</v>
      </c>
      <c r="S58" s="260">
        <v>177432</v>
      </c>
      <c r="T58" s="260">
        <v>250169</v>
      </c>
      <c r="U58" s="260">
        <v>354109</v>
      </c>
      <c r="V58" s="260">
        <v>479266</v>
      </c>
      <c r="W58" s="260">
        <v>1127111</v>
      </c>
      <c r="X58" s="260">
        <v>858013</v>
      </c>
      <c r="Y58" s="260">
        <v>1457375</v>
      </c>
      <c r="Z58" s="260">
        <v>1352169</v>
      </c>
      <c r="AA58" s="260">
        <v>1420183</v>
      </c>
      <c r="AB58" s="264">
        <v>8275328</v>
      </c>
      <c r="AC58" s="259">
        <f t="shared" si="0"/>
        <v>799502</v>
      </c>
      <c r="AD58" s="259"/>
      <c r="AE58" s="276" t="s">
        <v>75</v>
      </c>
      <c r="AF58" s="282">
        <v>15003482</v>
      </c>
      <c r="AG58" s="281">
        <v>15003482</v>
      </c>
      <c r="AH58" s="281">
        <v>3571174</v>
      </c>
    </row>
    <row r="59" spans="1:34" x14ac:dyDescent="0.3">
      <c r="A59" s="243" t="s">
        <v>351</v>
      </c>
      <c r="B59" s="260">
        <v>21272</v>
      </c>
      <c r="C59" s="260">
        <v>240127</v>
      </c>
      <c r="D59" s="260">
        <v>21272</v>
      </c>
      <c r="E59" s="260">
        <v>252182</v>
      </c>
      <c r="F59" s="260">
        <v>67309</v>
      </c>
      <c r="G59" s="260">
        <v>148470</v>
      </c>
      <c r="H59" s="260">
        <v>88157</v>
      </c>
      <c r="I59" s="260">
        <v>140781</v>
      </c>
      <c r="J59" s="260">
        <v>88157</v>
      </c>
      <c r="K59" s="260">
        <v>88157</v>
      </c>
      <c r="L59" s="260">
        <v>88157</v>
      </c>
      <c r="M59" s="260">
        <v>88157</v>
      </c>
      <c r="N59" s="264">
        <v>1332196</v>
      </c>
      <c r="P59" s="260">
        <v>10191</v>
      </c>
      <c r="Q59" s="260">
        <v>35806</v>
      </c>
      <c r="R59" s="260">
        <v>41138</v>
      </c>
      <c r="S59" s="260">
        <v>145526</v>
      </c>
      <c r="T59" s="260">
        <v>48674</v>
      </c>
      <c r="U59" s="260">
        <v>228114</v>
      </c>
      <c r="V59" s="260">
        <v>46692</v>
      </c>
      <c r="W59" s="260">
        <v>142993</v>
      </c>
      <c r="X59" s="260">
        <v>110209</v>
      </c>
      <c r="Y59" s="260">
        <v>100618</v>
      </c>
      <c r="Z59" s="260">
        <v>190040</v>
      </c>
      <c r="AA59" s="260">
        <v>232195</v>
      </c>
      <c r="AB59" s="264">
        <v>1332196</v>
      </c>
      <c r="AC59" s="259">
        <f t="shared" si="0"/>
        <v>87135</v>
      </c>
      <c r="AD59" s="259"/>
      <c r="AE59" s="276" t="s">
        <v>76</v>
      </c>
      <c r="AF59" s="282">
        <v>1737537</v>
      </c>
      <c r="AG59" s="281">
        <v>1737537</v>
      </c>
      <c r="AH59" s="281">
        <v>300849</v>
      </c>
    </row>
    <row r="60" spans="1:34" x14ac:dyDescent="0.3">
      <c r="A60" s="243" t="s">
        <v>352</v>
      </c>
      <c r="B60" s="260">
        <v>186356</v>
      </c>
      <c r="C60" s="260">
        <v>465889</v>
      </c>
      <c r="D60" s="260">
        <v>465889</v>
      </c>
      <c r="E60" s="260">
        <v>621186</v>
      </c>
      <c r="F60" s="260">
        <v>745423</v>
      </c>
      <c r="G60" s="260">
        <v>745423</v>
      </c>
      <c r="H60" s="260">
        <v>1118135</v>
      </c>
      <c r="I60" s="260">
        <v>1118135</v>
      </c>
      <c r="J60" s="260">
        <v>1304490</v>
      </c>
      <c r="K60" s="260">
        <v>1521906</v>
      </c>
      <c r="L60" s="260">
        <v>1894617</v>
      </c>
      <c r="M60" s="260">
        <v>2482504</v>
      </c>
      <c r="N60" s="264">
        <v>12669953</v>
      </c>
      <c r="P60" s="260">
        <v>94081</v>
      </c>
      <c r="Q60" s="260">
        <v>286301</v>
      </c>
      <c r="R60" s="260">
        <v>291908</v>
      </c>
      <c r="S60" s="260">
        <v>261150</v>
      </c>
      <c r="T60" s="260">
        <v>590185</v>
      </c>
      <c r="U60" s="260">
        <v>1107380</v>
      </c>
      <c r="V60" s="260">
        <v>1447551</v>
      </c>
      <c r="W60" s="260">
        <v>1252812</v>
      </c>
      <c r="X60" s="260">
        <v>1511587</v>
      </c>
      <c r="Y60" s="260">
        <v>1467699</v>
      </c>
      <c r="Z60" s="260">
        <v>1626982</v>
      </c>
      <c r="AA60" s="260">
        <v>2732317</v>
      </c>
      <c r="AB60" s="264">
        <v>12669953</v>
      </c>
      <c r="AC60" s="259">
        <f t="shared" si="0"/>
        <v>672290</v>
      </c>
      <c r="AD60" s="259"/>
      <c r="AE60" s="278" t="s">
        <v>318</v>
      </c>
      <c r="AF60" s="283">
        <v>4448118</v>
      </c>
      <c r="AG60" s="281">
        <v>4448119</v>
      </c>
      <c r="AH60" s="281">
        <v>151416</v>
      </c>
    </row>
    <row r="61" spans="1:34" x14ac:dyDescent="0.3">
      <c r="A61" s="243" t="s">
        <v>353</v>
      </c>
      <c r="B61" s="260">
        <v>68926</v>
      </c>
      <c r="C61" s="260">
        <v>172315</v>
      </c>
      <c r="D61" s="260">
        <v>172315</v>
      </c>
      <c r="E61" s="260">
        <v>229754</v>
      </c>
      <c r="F61" s="260">
        <v>275704</v>
      </c>
      <c r="G61" s="260">
        <v>275704</v>
      </c>
      <c r="H61" s="260">
        <v>413557</v>
      </c>
      <c r="I61" s="260">
        <v>413557</v>
      </c>
      <c r="J61" s="260">
        <v>482483</v>
      </c>
      <c r="K61" s="260">
        <v>562897</v>
      </c>
      <c r="L61" s="260">
        <v>700749</v>
      </c>
      <c r="M61" s="260">
        <v>918185</v>
      </c>
      <c r="N61" s="264">
        <v>4686146</v>
      </c>
      <c r="P61" s="260">
        <v>78387</v>
      </c>
      <c r="Q61" s="260">
        <v>259487</v>
      </c>
      <c r="R61" s="260">
        <v>53013</v>
      </c>
      <c r="S61" s="260">
        <v>378882</v>
      </c>
      <c r="T61" s="260">
        <v>279300</v>
      </c>
      <c r="U61" s="260">
        <v>607879</v>
      </c>
      <c r="V61" s="260">
        <v>609686</v>
      </c>
      <c r="W61" s="260">
        <v>727869</v>
      </c>
      <c r="X61" s="260">
        <v>476161</v>
      </c>
      <c r="Y61" s="260">
        <v>393601</v>
      </c>
      <c r="Z61" s="260">
        <v>421745</v>
      </c>
      <c r="AA61" s="260">
        <v>400137</v>
      </c>
      <c r="AB61" s="264">
        <v>4686146</v>
      </c>
      <c r="AC61" s="259">
        <f t="shared" si="0"/>
        <v>390887</v>
      </c>
      <c r="AD61" s="259"/>
      <c r="AE61" s="278" t="s">
        <v>319</v>
      </c>
      <c r="AF61" s="283">
        <v>5034895</v>
      </c>
      <c r="AG61" s="281">
        <v>5034895</v>
      </c>
      <c r="AH61" s="281">
        <v>537087</v>
      </c>
    </row>
    <row r="62" spans="1:34" x14ac:dyDescent="0.3">
      <c r="A62" s="243" t="s">
        <v>354</v>
      </c>
      <c r="B62" s="260">
        <v>2793</v>
      </c>
      <c r="C62" s="260">
        <v>2793</v>
      </c>
      <c r="D62" s="260">
        <v>6981</v>
      </c>
      <c r="E62" s="260">
        <v>2926</v>
      </c>
      <c r="F62" s="260">
        <v>2926</v>
      </c>
      <c r="G62" s="260">
        <v>6848</v>
      </c>
      <c r="H62" s="260">
        <v>2660</v>
      </c>
      <c r="I62" s="260">
        <v>2926</v>
      </c>
      <c r="J62" s="260">
        <v>6848</v>
      </c>
      <c r="K62" s="260">
        <v>3059</v>
      </c>
      <c r="L62" s="260">
        <v>2527</v>
      </c>
      <c r="M62" s="260">
        <v>6713</v>
      </c>
      <c r="N62" s="264">
        <v>50000</v>
      </c>
      <c r="P62" s="260">
        <v>2884</v>
      </c>
      <c r="Q62" s="260">
        <v>2667</v>
      </c>
      <c r="R62" s="260">
        <v>2757</v>
      </c>
      <c r="S62" s="260">
        <v>2926</v>
      </c>
      <c r="T62" s="260">
        <v>2926</v>
      </c>
      <c r="U62" s="260">
        <v>6848</v>
      </c>
      <c r="V62" s="260">
        <v>2660</v>
      </c>
      <c r="W62" s="260">
        <v>2926</v>
      </c>
      <c r="X62" s="260">
        <v>6848</v>
      </c>
      <c r="Y62" s="260">
        <v>3059</v>
      </c>
      <c r="Z62" s="260">
        <v>6715</v>
      </c>
      <c r="AA62" s="260">
        <v>6784</v>
      </c>
      <c r="AB62" s="264">
        <v>50000</v>
      </c>
      <c r="AC62" s="259">
        <f t="shared" si="0"/>
        <v>8308</v>
      </c>
      <c r="AD62" s="259"/>
      <c r="AE62" s="276" t="s">
        <v>402</v>
      </c>
      <c r="AF62" s="282">
        <f>SUM(AF60:AF61)</f>
        <v>9483013</v>
      </c>
      <c r="AG62" s="282">
        <f>SUM(AG60:AG61)</f>
        <v>9483014</v>
      </c>
      <c r="AH62" s="282">
        <f>SUM(AH60:AH61)</f>
        <v>688503</v>
      </c>
    </row>
    <row r="63" spans="1:34" x14ac:dyDescent="0.3">
      <c r="A63" s="243" t="s">
        <v>355</v>
      </c>
      <c r="B63" s="260">
        <v>1393570</v>
      </c>
      <c r="C63" s="260">
        <v>1068090</v>
      </c>
      <c r="D63" s="260">
        <v>1226312</v>
      </c>
      <c r="E63" s="260">
        <v>979508</v>
      </c>
      <c r="F63" s="260">
        <v>1200054</v>
      </c>
      <c r="G63" s="260">
        <v>1160404</v>
      </c>
      <c r="H63" s="260">
        <v>1310498</v>
      </c>
      <c r="I63" s="260">
        <v>1531570</v>
      </c>
      <c r="J63" s="260">
        <v>1295080</v>
      </c>
      <c r="K63" s="260">
        <v>706077</v>
      </c>
      <c r="L63" s="260">
        <v>879883</v>
      </c>
      <c r="M63" s="260">
        <v>651491</v>
      </c>
      <c r="N63" s="264">
        <v>13402537</v>
      </c>
      <c r="P63" s="260">
        <v>1322926</v>
      </c>
      <c r="Q63" s="260">
        <v>1344834</v>
      </c>
      <c r="R63" s="260">
        <v>1231906</v>
      </c>
      <c r="S63" s="260">
        <v>1499746</v>
      </c>
      <c r="T63" s="260">
        <v>1671338</v>
      </c>
      <c r="U63" s="260">
        <v>1485487</v>
      </c>
      <c r="V63" s="260">
        <v>1343448</v>
      </c>
      <c r="W63" s="260">
        <v>1650163</v>
      </c>
      <c r="X63" s="260">
        <v>929108</v>
      </c>
      <c r="Y63" s="260">
        <v>190018</v>
      </c>
      <c r="Z63" s="260">
        <v>421939</v>
      </c>
      <c r="AA63" s="260">
        <v>311626</v>
      </c>
      <c r="AB63" s="264">
        <v>13402537</v>
      </c>
      <c r="AC63" s="259">
        <f t="shared" si="0"/>
        <v>3899666</v>
      </c>
      <c r="AD63" s="259"/>
      <c r="AE63" s="277" t="s">
        <v>403</v>
      </c>
      <c r="AF63" s="282"/>
      <c r="AG63" s="281"/>
      <c r="AH63" s="281"/>
    </row>
    <row r="64" spans="1:34" x14ac:dyDescent="0.3">
      <c r="A64" s="243" t="s">
        <v>356</v>
      </c>
      <c r="B64" s="260">
        <v>82842</v>
      </c>
      <c r="C64" s="260">
        <v>139343</v>
      </c>
      <c r="D64" s="260">
        <v>166931</v>
      </c>
      <c r="E64" s="260">
        <v>154621</v>
      </c>
      <c r="F64" s="260">
        <v>193541</v>
      </c>
      <c r="G64" s="260">
        <v>186544</v>
      </c>
      <c r="H64" s="260">
        <v>202800</v>
      </c>
      <c r="I64" s="260">
        <v>241813</v>
      </c>
      <c r="J64" s="260">
        <v>186980</v>
      </c>
      <c r="K64" s="260">
        <v>110762</v>
      </c>
      <c r="L64" s="260">
        <v>141435</v>
      </c>
      <c r="M64" s="260">
        <v>97719</v>
      </c>
      <c r="N64" s="264">
        <v>1905330</v>
      </c>
      <c r="P64" s="260">
        <v>119494</v>
      </c>
      <c r="Q64" s="260">
        <v>240789</v>
      </c>
      <c r="R64" s="260">
        <v>167166</v>
      </c>
      <c r="S64" s="260">
        <v>246343</v>
      </c>
      <c r="T64" s="260">
        <v>273198</v>
      </c>
      <c r="U64" s="260">
        <v>236863</v>
      </c>
      <c r="V64" s="260">
        <v>208371</v>
      </c>
      <c r="W64" s="260">
        <v>262496</v>
      </c>
      <c r="X64" s="260">
        <v>122288</v>
      </c>
      <c r="Y64" s="260">
        <v>19716</v>
      </c>
      <c r="Z64" s="260">
        <v>60429</v>
      </c>
      <c r="AA64" s="260">
        <v>-51822</v>
      </c>
      <c r="AB64" s="264">
        <v>1905331</v>
      </c>
      <c r="AC64" s="259">
        <f t="shared" si="0"/>
        <v>527449</v>
      </c>
      <c r="AD64" s="259"/>
      <c r="AE64" s="276" t="s">
        <v>335</v>
      </c>
      <c r="AF64" s="282">
        <v>1441259</v>
      </c>
      <c r="AG64" s="281">
        <v>1441259</v>
      </c>
      <c r="AH64" s="281">
        <v>29547</v>
      </c>
    </row>
    <row r="65" spans="1:34" x14ac:dyDescent="0.3">
      <c r="A65" s="243" t="s">
        <v>357</v>
      </c>
      <c r="B65" s="260">
        <v>235051</v>
      </c>
      <c r="C65" s="260">
        <v>280751</v>
      </c>
      <c r="D65" s="260">
        <v>463646</v>
      </c>
      <c r="E65" s="260">
        <v>97462</v>
      </c>
      <c r="F65" s="260">
        <v>459279</v>
      </c>
      <c r="G65" s="260">
        <v>121777</v>
      </c>
      <c r="H65" s="260">
        <v>402339</v>
      </c>
      <c r="I65" s="260">
        <v>79305</v>
      </c>
      <c r="J65" s="260">
        <v>211063</v>
      </c>
      <c r="K65" s="260">
        <v>209680</v>
      </c>
      <c r="L65" s="260">
        <v>114591</v>
      </c>
      <c r="M65" s="260">
        <v>120680</v>
      </c>
      <c r="N65" s="264">
        <v>2795623</v>
      </c>
      <c r="P65" s="260">
        <v>10395</v>
      </c>
      <c r="Q65" s="260">
        <v>184303</v>
      </c>
      <c r="R65" s="260">
        <v>65452</v>
      </c>
      <c r="S65" s="260">
        <v>68550</v>
      </c>
      <c r="T65" s="260">
        <v>765050</v>
      </c>
      <c r="U65" s="260">
        <v>701054</v>
      </c>
      <c r="V65" s="260">
        <v>373774</v>
      </c>
      <c r="W65" s="260">
        <v>168602</v>
      </c>
      <c r="X65" s="260">
        <v>137989</v>
      </c>
      <c r="Y65" s="260">
        <v>129560</v>
      </c>
      <c r="Z65" s="260">
        <v>123628</v>
      </c>
      <c r="AA65" s="260">
        <v>67266</v>
      </c>
      <c r="AB65" s="264">
        <v>2795623</v>
      </c>
      <c r="AC65" s="259">
        <f t="shared" si="0"/>
        <v>260150</v>
      </c>
      <c r="AD65" s="259"/>
      <c r="AE65" s="276"/>
      <c r="AF65" s="282"/>
      <c r="AG65" s="281"/>
      <c r="AH65" s="281"/>
    </row>
    <row r="66" spans="1:34" x14ac:dyDescent="0.3">
      <c r="A66" s="243" t="s">
        <v>358</v>
      </c>
      <c r="B66" s="260">
        <v>11038</v>
      </c>
      <c r="C66" s="260">
        <v>11832</v>
      </c>
      <c r="D66" s="260">
        <v>11950</v>
      </c>
      <c r="E66" s="260">
        <v>97497</v>
      </c>
      <c r="F66" s="260">
        <v>11950</v>
      </c>
      <c r="G66" s="260">
        <v>11480</v>
      </c>
      <c r="H66" s="260">
        <v>59321</v>
      </c>
      <c r="I66" s="260">
        <v>36213</v>
      </c>
      <c r="J66" s="260">
        <v>43812</v>
      </c>
      <c r="K66" s="260">
        <v>82239</v>
      </c>
      <c r="L66" s="260">
        <v>16048</v>
      </c>
      <c r="M66" s="260">
        <v>42398</v>
      </c>
      <c r="N66" s="264">
        <v>435778</v>
      </c>
      <c r="P66" s="260">
        <v>10970</v>
      </c>
      <c r="Q66" s="260">
        <v>10999</v>
      </c>
      <c r="R66" s="260">
        <v>10946</v>
      </c>
      <c r="S66" s="260">
        <v>12150</v>
      </c>
      <c r="T66" s="260">
        <v>191907</v>
      </c>
      <c r="U66" s="260">
        <v>28286</v>
      </c>
      <c r="V66" s="260">
        <v>58435</v>
      </c>
      <c r="W66" s="260">
        <v>31078</v>
      </c>
      <c r="X66" s="260">
        <v>42155</v>
      </c>
      <c r="Y66" s="260">
        <v>58248</v>
      </c>
      <c r="Z66" s="260">
        <v>18473</v>
      </c>
      <c r="AA66" s="260">
        <v>-37868</v>
      </c>
      <c r="AB66" s="264">
        <v>435779</v>
      </c>
      <c r="AC66" s="259">
        <f t="shared" si="0"/>
        <v>32915</v>
      </c>
      <c r="AD66" s="259"/>
      <c r="AE66" s="276" t="s">
        <v>378</v>
      </c>
      <c r="AF66" s="282">
        <v>10316736</v>
      </c>
      <c r="AG66" s="281">
        <v>10316736</v>
      </c>
      <c r="AH66" s="281">
        <v>1326939</v>
      </c>
    </row>
    <row r="67" spans="1:34" x14ac:dyDescent="0.3">
      <c r="A67" s="243" t="s">
        <v>359</v>
      </c>
      <c r="B67" s="260">
        <v>43408</v>
      </c>
      <c r="C67" s="260">
        <v>41000</v>
      </c>
      <c r="D67" s="260">
        <v>35647</v>
      </c>
      <c r="E67" s="260">
        <v>30274</v>
      </c>
      <c r="F67" s="260">
        <v>32061</v>
      </c>
      <c r="G67" s="260">
        <v>33849</v>
      </c>
      <c r="H67" s="260">
        <v>37425</v>
      </c>
      <c r="I67" s="260">
        <v>44576</v>
      </c>
      <c r="J67" s="260">
        <v>48152</v>
      </c>
      <c r="K67" s="260">
        <v>41673</v>
      </c>
      <c r="L67" s="260">
        <v>34952</v>
      </c>
      <c r="M67" s="260">
        <v>34439</v>
      </c>
      <c r="N67" s="264">
        <v>457456</v>
      </c>
      <c r="P67" s="260">
        <v>19607</v>
      </c>
      <c r="Q67" s="260">
        <v>28056</v>
      </c>
      <c r="R67" s="260">
        <v>91299</v>
      </c>
      <c r="S67" s="260">
        <v>28884</v>
      </c>
      <c r="T67" s="260">
        <v>30101</v>
      </c>
      <c r="U67" s="260">
        <v>31701</v>
      </c>
      <c r="V67" s="260">
        <v>34998</v>
      </c>
      <c r="W67" s="260">
        <v>41495</v>
      </c>
      <c r="X67" s="260">
        <v>44791</v>
      </c>
      <c r="Y67" s="260">
        <v>49687</v>
      </c>
      <c r="Z67" s="260">
        <v>45654</v>
      </c>
      <c r="AA67" s="260">
        <v>11180</v>
      </c>
      <c r="AB67" s="264">
        <v>457456</v>
      </c>
      <c r="AC67" s="259">
        <f t="shared" ref="AC67:AC128" si="2">SUM(P67:R67)</f>
        <v>138962</v>
      </c>
      <c r="AD67" s="259"/>
      <c r="AE67" s="276"/>
      <c r="AF67" s="282"/>
      <c r="AG67" s="281"/>
      <c r="AH67" s="281"/>
    </row>
    <row r="68" spans="1:34" x14ac:dyDescent="0.3">
      <c r="A68" s="243" t="s">
        <v>360</v>
      </c>
      <c r="B68" s="260">
        <v>2609</v>
      </c>
      <c r="C68" s="260">
        <v>2213</v>
      </c>
      <c r="D68" s="260">
        <v>2014</v>
      </c>
      <c r="E68" s="260">
        <v>1815</v>
      </c>
      <c r="F68" s="260">
        <v>1815</v>
      </c>
      <c r="G68" s="260">
        <v>1915</v>
      </c>
      <c r="H68" s="260">
        <v>2014</v>
      </c>
      <c r="I68" s="260">
        <v>2395</v>
      </c>
      <c r="J68" s="260">
        <v>1607</v>
      </c>
      <c r="K68" s="260">
        <v>1710</v>
      </c>
      <c r="L68" s="260">
        <v>1761</v>
      </c>
      <c r="M68" s="260">
        <v>1711</v>
      </c>
      <c r="N68" s="264">
        <v>23576</v>
      </c>
      <c r="P68" s="260">
        <v>4197</v>
      </c>
      <c r="Q68" s="262">
        <v>813</v>
      </c>
      <c r="R68" s="260">
        <v>1145</v>
      </c>
      <c r="S68" s="260">
        <v>1825</v>
      </c>
      <c r="T68" s="260">
        <v>1903</v>
      </c>
      <c r="U68" s="260">
        <v>2006</v>
      </c>
      <c r="V68" s="260">
        <v>2211</v>
      </c>
      <c r="W68" s="260">
        <v>2417</v>
      </c>
      <c r="X68" s="260">
        <v>2712</v>
      </c>
      <c r="Y68" s="260">
        <v>2854</v>
      </c>
      <c r="Z68" s="260">
        <v>3008</v>
      </c>
      <c r="AA68" s="260">
        <v>-1517</v>
      </c>
      <c r="AB68" s="264">
        <v>23576</v>
      </c>
      <c r="AC68" s="259">
        <f t="shared" si="2"/>
        <v>6155</v>
      </c>
      <c r="AD68" s="259"/>
      <c r="AE68" s="276" t="s">
        <v>346</v>
      </c>
      <c r="AF68" s="282">
        <v>102689</v>
      </c>
      <c r="AG68" s="281">
        <v>102689</v>
      </c>
      <c r="AH68" s="281">
        <v>0</v>
      </c>
    </row>
    <row r="69" spans="1:34" x14ac:dyDescent="0.3">
      <c r="A69" s="250" t="s">
        <v>361</v>
      </c>
      <c r="B69" s="262" t="s">
        <v>397</v>
      </c>
      <c r="C69" s="262" t="s">
        <v>397</v>
      </c>
      <c r="D69" s="262" t="s">
        <v>397</v>
      </c>
      <c r="E69" s="262" t="s">
        <v>397</v>
      </c>
      <c r="F69" s="262" t="s">
        <v>397</v>
      </c>
      <c r="G69" s="262" t="s">
        <v>397</v>
      </c>
      <c r="H69" s="262" t="s">
        <v>397</v>
      </c>
      <c r="I69" s="262" t="s">
        <v>397</v>
      </c>
      <c r="J69" s="262" t="s">
        <v>397</v>
      </c>
      <c r="K69" s="262" t="s">
        <v>397</v>
      </c>
      <c r="L69" s="262" t="s">
        <v>397</v>
      </c>
      <c r="M69" s="262" t="s">
        <v>397</v>
      </c>
      <c r="N69" s="242" t="s">
        <v>397</v>
      </c>
      <c r="P69" s="262" t="s">
        <v>397</v>
      </c>
      <c r="Q69" s="262" t="s">
        <v>397</v>
      </c>
      <c r="R69" s="262" t="s">
        <v>397</v>
      </c>
      <c r="S69" s="262" t="s">
        <v>397</v>
      </c>
      <c r="T69" s="262" t="s">
        <v>397</v>
      </c>
      <c r="U69" s="262" t="s">
        <v>397</v>
      </c>
      <c r="V69" s="262" t="s">
        <v>397</v>
      </c>
      <c r="W69" s="262" t="s">
        <v>397</v>
      </c>
      <c r="X69" s="262" t="s">
        <v>397</v>
      </c>
      <c r="Y69" s="262" t="s">
        <v>397</v>
      </c>
      <c r="Z69" s="262" t="s">
        <v>397</v>
      </c>
      <c r="AA69" s="262" t="s">
        <v>397</v>
      </c>
      <c r="AB69" s="242" t="s">
        <v>397</v>
      </c>
      <c r="AC69" s="259">
        <f t="shared" si="2"/>
        <v>0</v>
      </c>
      <c r="AD69" s="259"/>
      <c r="AE69" t="s">
        <v>412</v>
      </c>
      <c r="AF69" s="295">
        <f>AF57+AF43</f>
        <v>12959483</v>
      </c>
      <c r="AG69" s="295">
        <f t="shared" ref="AG69:AH69" si="3">AG57+AG43</f>
        <v>12959483</v>
      </c>
      <c r="AH69" s="295">
        <f t="shared" si="3"/>
        <v>3277608</v>
      </c>
    </row>
    <row r="70" spans="1:34" x14ac:dyDescent="0.3">
      <c r="A70" s="250" t="s">
        <v>362</v>
      </c>
      <c r="B70" s="262" t="s">
        <v>397</v>
      </c>
      <c r="C70" s="262" t="s">
        <v>397</v>
      </c>
      <c r="D70" s="262" t="s">
        <v>397</v>
      </c>
      <c r="E70" s="262" t="s">
        <v>397</v>
      </c>
      <c r="F70" s="262" t="s">
        <v>397</v>
      </c>
      <c r="G70" s="262" t="s">
        <v>397</v>
      </c>
      <c r="H70" s="262" t="s">
        <v>397</v>
      </c>
      <c r="I70" s="262" t="s">
        <v>397</v>
      </c>
      <c r="J70" s="262" t="s">
        <v>397</v>
      </c>
      <c r="K70" s="262" t="s">
        <v>397</v>
      </c>
      <c r="L70" s="262" t="s">
        <v>397</v>
      </c>
      <c r="M70" s="262" t="s">
        <v>397</v>
      </c>
      <c r="N70" s="242" t="s">
        <v>397</v>
      </c>
      <c r="P70" s="262" t="s">
        <v>397</v>
      </c>
      <c r="Q70" s="262" t="s">
        <v>397</v>
      </c>
      <c r="R70" s="262" t="s">
        <v>397</v>
      </c>
      <c r="S70" s="262" t="s">
        <v>397</v>
      </c>
      <c r="T70" s="262" t="s">
        <v>397</v>
      </c>
      <c r="U70" s="262" t="s">
        <v>397</v>
      </c>
      <c r="V70" s="262" t="s">
        <v>397</v>
      </c>
      <c r="W70" s="262" t="s">
        <v>397</v>
      </c>
      <c r="X70" s="262" t="s">
        <v>397</v>
      </c>
      <c r="Y70" s="262" t="s">
        <v>397</v>
      </c>
      <c r="Z70" s="262" t="s">
        <v>397</v>
      </c>
      <c r="AA70" s="262" t="s">
        <v>397</v>
      </c>
      <c r="AB70" s="242" t="s">
        <v>397</v>
      </c>
      <c r="AC70" s="259">
        <f t="shared" si="2"/>
        <v>0</v>
      </c>
      <c r="AD70" s="259"/>
    </row>
    <row r="71" spans="1:34" x14ac:dyDescent="0.3">
      <c r="A71" s="250" t="s">
        <v>363</v>
      </c>
      <c r="B71" s="262" t="s">
        <v>397</v>
      </c>
      <c r="C71" s="262" t="s">
        <v>397</v>
      </c>
      <c r="D71" s="262" t="s">
        <v>397</v>
      </c>
      <c r="E71" s="262" t="s">
        <v>397</v>
      </c>
      <c r="F71" s="262" t="s">
        <v>397</v>
      </c>
      <c r="G71" s="262" t="s">
        <v>397</v>
      </c>
      <c r="H71" s="262" t="s">
        <v>397</v>
      </c>
      <c r="I71" s="262" t="s">
        <v>397</v>
      </c>
      <c r="J71" s="262" t="s">
        <v>397</v>
      </c>
      <c r="K71" s="262" t="s">
        <v>397</v>
      </c>
      <c r="L71" s="262" t="s">
        <v>397</v>
      </c>
      <c r="M71" s="262" t="s">
        <v>397</v>
      </c>
      <c r="N71" s="242" t="s">
        <v>397</v>
      </c>
      <c r="P71" s="262" t="s">
        <v>397</v>
      </c>
      <c r="Q71" s="262" t="s">
        <v>397</v>
      </c>
      <c r="R71" s="262" t="s">
        <v>397</v>
      </c>
      <c r="S71" s="262" t="s">
        <v>397</v>
      </c>
      <c r="T71" s="262" t="s">
        <v>397</v>
      </c>
      <c r="U71" s="262" t="s">
        <v>397</v>
      </c>
      <c r="V71" s="262" t="s">
        <v>397</v>
      </c>
      <c r="W71" s="262" t="s">
        <v>397</v>
      </c>
      <c r="X71" s="262" t="s">
        <v>397</v>
      </c>
      <c r="Y71" s="262" t="s">
        <v>397</v>
      </c>
      <c r="Z71" s="262" t="s">
        <v>397</v>
      </c>
      <c r="AA71" s="262" t="s">
        <v>397</v>
      </c>
      <c r="AB71" s="242" t="s">
        <v>397</v>
      </c>
      <c r="AC71" s="259">
        <f t="shared" si="2"/>
        <v>0</v>
      </c>
      <c r="AD71" s="259"/>
    </row>
    <row r="72" spans="1:34" x14ac:dyDescent="0.3">
      <c r="A72" s="250" t="s">
        <v>364</v>
      </c>
      <c r="B72" s="262" t="s">
        <v>397</v>
      </c>
      <c r="C72" s="262" t="s">
        <v>397</v>
      </c>
      <c r="D72" s="262" t="s">
        <v>397</v>
      </c>
      <c r="E72" s="262" t="s">
        <v>397</v>
      </c>
      <c r="F72" s="262" t="s">
        <v>397</v>
      </c>
      <c r="G72" s="262" t="s">
        <v>397</v>
      </c>
      <c r="H72" s="262" t="s">
        <v>397</v>
      </c>
      <c r="I72" s="262" t="s">
        <v>397</v>
      </c>
      <c r="J72" s="262" t="s">
        <v>397</v>
      </c>
      <c r="K72" s="262" t="s">
        <v>397</v>
      </c>
      <c r="L72" s="262" t="s">
        <v>397</v>
      </c>
      <c r="M72" s="262" t="s">
        <v>397</v>
      </c>
      <c r="N72" s="242" t="s">
        <v>397</v>
      </c>
      <c r="P72" s="262" t="s">
        <v>397</v>
      </c>
      <c r="Q72" s="262" t="s">
        <v>397</v>
      </c>
      <c r="R72" s="262" t="s">
        <v>397</v>
      </c>
      <c r="S72" s="262" t="s">
        <v>397</v>
      </c>
      <c r="T72" s="262" t="s">
        <v>397</v>
      </c>
      <c r="U72" s="262" t="s">
        <v>397</v>
      </c>
      <c r="V72" s="262" t="s">
        <v>397</v>
      </c>
      <c r="W72" s="262" t="s">
        <v>397</v>
      </c>
      <c r="X72" s="262" t="s">
        <v>397</v>
      </c>
      <c r="Y72" s="262" t="s">
        <v>397</v>
      </c>
      <c r="Z72" s="262" t="s">
        <v>397</v>
      </c>
      <c r="AA72" s="262" t="s">
        <v>397</v>
      </c>
      <c r="AB72" s="242" t="s">
        <v>397</v>
      </c>
      <c r="AC72" s="259">
        <f t="shared" si="2"/>
        <v>0</v>
      </c>
      <c r="AD72" s="259"/>
    </row>
    <row r="73" spans="1:34" x14ac:dyDescent="0.3">
      <c r="A73" s="246"/>
      <c r="B73" s="263">
        <v>3067798</v>
      </c>
      <c r="C73" s="263">
        <v>3754748</v>
      </c>
      <c r="D73" s="263">
        <v>4926087</v>
      </c>
      <c r="E73" s="263">
        <v>4372040</v>
      </c>
      <c r="F73" s="263">
        <v>4924372</v>
      </c>
      <c r="G73" s="263">
        <v>5101453</v>
      </c>
      <c r="H73" s="263">
        <v>6591869</v>
      </c>
      <c r="I73" s="263">
        <v>7332204</v>
      </c>
      <c r="J73" s="263">
        <v>7863314</v>
      </c>
      <c r="K73" s="263">
        <v>7121415</v>
      </c>
      <c r="L73" s="263">
        <v>8508897</v>
      </c>
      <c r="M73" s="263">
        <v>9412794</v>
      </c>
      <c r="N73" s="263">
        <v>72976991</v>
      </c>
      <c r="P73" s="263">
        <v>2442446</v>
      </c>
      <c r="Q73" s="263">
        <v>3828151</v>
      </c>
      <c r="R73" s="263">
        <v>3606137</v>
      </c>
      <c r="S73" s="263">
        <v>3951309</v>
      </c>
      <c r="T73" s="263">
        <v>5769497</v>
      </c>
      <c r="U73" s="263">
        <v>7057138</v>
      </c>
      <c r="V73" s="263">
        <v>7209299</v>
      </c>
      <c r="W73" s="263">
        <v>7359290</v>
      </c>
      <c r="X73" s="263">
        <v>6792549</v>
      </c>
      <c r="Y73" s="263">
        <v>6423006</v>
      </c>
      <c r="Z73" s="263">
        <v>7179779</v>
      </c>
      <c r="AA73" s="263">
        <v>11358391</v>
      </c>
      <c r="AB73" s="263">
        <v>72976992</v>
      </c>
      <c r="AC73" s="259">
        <f t="shared" si="2"/>
        <v>9876734</v>
      </c>
      <c r="AD73" s="259"/>
    </row>
    <row r="74" spans="1:34" x14ac:dyDescent="0.3">
      <c r="A74" s="243" t="s">
        <v>365</v>
      </c>
      <c r="B74" s="260">
        <v>82250</v>
      </c>
      <c r="C74" s="260">
        <v>82250</v>
      </c>
      <c r="D74" s="260">
        <v>144874</v>
      </c>
      <c r="E74" s="260">
        <v>76095</v>
      </c>
      <c r="F74" s="260">
        <v>67836</v>
      </c>
      <c r="G74" s="260">
        <v>132367</v>
      </c>
      <c r="H74" s="260">
        <v>53853</v>
      </c>
      <c r="I74" s="260">
        <v>69068</v>
      </c>
      <c r="J74" s="260">
        <v>137077</v>
      </c>
      <c r="K74" s="260">
        <v>69068</v>
      </c>
      <c r="L74" s="260">
        <v>73684</v>
      </c>
      <c r="M74" s="260">
        <v>143234</v>
      </c>
      <c r="N74" s="264">
        <v>1131657</v>
      </c>
      <c r="P74" s="260">
        <v>-4150</v>
      </c>
      <c r="Q74" s="260">
        <v>69044</v>
      </c>
      <c r="R74" s="260">
        <v>57913</v>
      </c>
      <c r="S74" s="260">
        <v>103725</v>
      </c>
      <c r="T74" s="260">
        <v>89250</v>
      </c>
      <c r="U74" s="260">
        <v>74217</v>
      </c>
      <c r="V74" s="260">
        <v>68302</v>
      </c>
      <c r="W74" s="260">
        <v>61058</v>
      </c>
      <c r="X74" s="260">
        <v>65283</v>
      </c>
      <c r="Y74" s="260">
        <v>140417</v>
      </c>
      <c r="Z74" s="260">
        <v>140522</v>
      </c>
      <c r="AA74" s="260">
        <v>266076</v>
      </c>
      <c r="AB74" s="264">
        <v>1131657</v>
      </c>
      <c r="AC74" s="259">
        <f t="shared" si="2"/>
        <v>122807</v>
      </c>
      <c r="AD74" s="259"/>
    </row>
    <row r="75" spans="1:34" x14ac:dyDescent="0.3">
      <c r="A75" s="243" t="s">
        <v>366</v>
      </c>
      <c r="B75" s="260">
        <v>40357</v>
      </c>
      <c r="C75" s="260">
        <v>40357</v>
      </c>
      <c r="D75" s="260">
        <v>73185</v>
      </c>
      <c r="E75" s="260">
        <v>37836</v>
      </c>
      <c r="F75" s="260">
        <v>33580</v>
      </c>
      <c r="G75" s="260">
        <v>66822</v>
      </c>
      <c r="H75" s="260">
        <v>26939</v>
      </c>
      <c r="I75" s="260">
        <v>34957</v>
      </c>
      <c r="J75" s="260">
        <v>69991</v>
      </c>
      <c r="K75" s="260">
        <v>34957</v>
      </c>
      <c r="L75" s="260">
        <v>36848</v>
      </c>
      <c r="M75" s="260">
        <v>72513</v>
      </c>
      <c r="N75" s="264">
        <v>568343</v>
      </c>
      <c r="P75" s="260">
        <v>-2315</v>
      </c>
      <c r="Q75" s="260">
        <v>35402</v>
      </c>
      <c r="R75" s="260">
        <v>29668</v>
      </c>
      <c r="S75" s="260">
        <v>52069</v>
      </c>
      <c r="T75" s="260">
        <v>44612</v>
      </c>
      <c r="U75" s="260">
        <v>36868</v>
      </c>
      <c r="V75" s="260">
        <v>34562</v>
      </c>
      <c r="W75" s="260">
        <v>30830</v>
      </c>
      <c r="X75" s="260">
        <v>33007</v>
      </c>
      <c r="Y75" s="260">
        <v>71712</v>
      </c>
      <c r="Z75" s="260">
        <v>71279</v>
      </c>
      <c r="AA75" s="260">
        <v>130649</v>
      </c>
      <c r="AB75" s="264">
        <v>568343</v>
      </c>
      <c r="AC75" s="259">
        <f t="shared" si="2"/>
        <v>62755</v>
      </c>
      <c r="AD75" s="259"/>
    </row>
    <row r="76" spans="1:34" x14ac:dyDescent="0.3">
      <c r="A76" s="243" t="s">
        <v>367</v>
      </c>
      <c r="B76" s="260">
        <v>1377</v>
      </c>
      <c r="C76" s="260">
        <v>1377</v>
      </c>
      <c r="D76" s="260">
        <v>1377</v>
      </c>
      <c r="E76" s="260">
        <v>7072</v>
      </c>
      <c r="F76" s="260">
        <v>1377</v>
      </c>
      <c r="G76" s="260">
        <v>1377</v>
      </c>
      <c r="H76" s="260">
        <v>6072</v>
      </c>
      <c r="I76" s="260">
        <v>1377</v>
      </c>
      <c r="J76" s="260">
        <v>1377</v>
      </c>
      <c r="K76" s="260">
        <v>6072</v>
      </c>
      <c r="L76" s="260">
        <v>1377</v>
      </c>
      <c r="M76" s="260">
        <v>9770</v>
      </c>
      <c r="N76" s="264">
        <v>40000</v>
      </c>
      <c r="P76" s="260">
        <v>6422</v>
      </c>
      <c r="Q76" s="260">
        <v>1128</v>
      </c>
      <c r="R76" s="260">
        <v>2586</v>
      </c>
      <c r="S76" s="260">
        <v>7072</v>
      </c>
      <c r="T76" s="260">
        <v>1377</v>
      </c>
      <c r="U76" s="260">
        <v>1377</v>
      </c>
      <c r="V76" s="260">
        <v>6072</v>
      </c>
      <c r="W76" s="260">
        <v>1377</v>
      </c>
      <c r="X76" s="260">
        <v>1377</v>
      </c>
      <c r="Y76" s="260">
        <v>6072</v>
      </c>
      <c r="Z76" s="260">
        <v>1377</v>
      </c>
      <c r="AA76" s="260">
        <v>3766</v>
      </c>
      <c r="AB76" s="264">
        <v>40000</v>
      </c>
      <c r="AC76" s="259">
        <f t="shared" si="2"/>
        <v>10136</v>
      </c>
      <c r="AD76" s="259"/>
    </row>
    <row r="77" spans="1:34" x14ac:dyDescent="0.3">
      <c r="A77" s="243" t="s">
        <v>368</v>
      </c>
      <c r="B77" s="260">
        <v>12396</v>
      </c>
      <c r="C77" s="260">
        <v>12396</v>
      </c>
      <c r="D77" s="260">
        <v>12396</v>
      </c>
      <c r="E77" s="260">
        <v>56439</v>
      </c>
      <c r="F77" s="260">
        <v>12396</v>
      </c>
      <c r="G77" s="260">
        <v>12396</v>
      </c>
      <c r="H77" s="260">
        <v>56439</v>
      </c>
      <c r="I77" s="260">
        <v>12396</v>
      </c>
      <c r="J77" s="260">
        <v>12396</v>
      </c>
      <c r="K77" s="260">
        <v>56439</v>
      </c>
      <c r="L77" s="260">
        <v>12396</v>
      </c>
      <c r="M77" s="260">
        <v>101514</v>
      </c>
      <c r="N77" s="260">
        <v>370000</v>
      </c>
      <c r="P77" s="260">
        <v>-121901</v>
      </c>
      <c r="Q77" s="260">
        <v>10148</v>
      </c>
      <c r="R77" s="260">
        <v>23272</v>
      </c>
      <c r="S77" s="260">
        <v>56439</v>
      </c>
      <c r="T77" s="260">
        <v>12396</v>
      </c>
      <c r="U77" s="260">
        <v>12396</v>
      </c>
      <c r="V77" s="260">
        <v>56439</v>
      </c>
      <c r="W77" s="260">
        <v>12396</v>
      </c>
      <c r="X77" s="260">
        <v>12396</v>
      </c>
      <c r="Y77" s="260">
        <v>56439</v>
      </c>
      <c r="Z77" s="260">
        <v>12396</v>
      </c>
      <c r="AA77" s="260">
        <v>227183</v>
      </c>
      <c r="AB77" s="264">
        <v>370000</v>
      </c>
      <c r="AC77" s="259">
        <f t="shared" si="2"/>
        <v>-88481</v>
      </c>
      <c r="AD77" s="259"/>
    </row>
    <row r="78" spans="1:34" x14ac:dyDescent="0.3">
      <c r="A78" s="243" t="s">
        <v>369</v>
      </c>
      <c r="B78" s="262" t="s">
        <v>397</v>
      </c>
      <c r="C78" s="262" t="s">
        <v>397</v>
      </c>
      <c r="D78" s="262" t="s">
        <v>397</v>
      </c>
      <c r="E78" s="262" t="s">
        <v>397</v>
      </c>
      <c r="F78" s="262" t="s">
        <v>397</v>
      </c>
      <c r="G78" s="262" t="s">
        <v>397</v>
      </c>
      <c r="H78" s="262" t="s">
        <v>397</v>
      </c>
      <c r="I78" s="262" t="s">
        <v>397</v>
      </c>
      <c r="J78" s="262" t="s">
        <v>397</v>
      </c>
      <c r="K78" s="262" t="s">
        <v>397</v>
      </c>
      <c r="L78" s="262" t="s">
        <v>397</v>
      </c>
      <c r="M78" s="262" t="s">
        <v>397</v>
      </c>
      <c r="N78" s="262" t="s">
        <v>397</v>
      </c>
      <c r="P78" s="262"/>
      <c r="Q78" s="262"/>
      <c r="R78" s="262"/>
      <c r="S78" s="262"/>
      <c r="T78" s="262"/>
      <c r="U78" s="262"/>
      <c r="V78" s="262"/>
      <c r="W78" s="262"/>
      <c r="X78" s="262"/>
      <c r="Y78" s="262"/>
      <c r="Z78" s="262"/>
      <c r="AA78" s="262"/>
      <c r="AB78" s="242"/>
      <c r="AC78" s="259">
        <f t="shared" si="2"/>
        <v>0</v>
      </c>
    </row>
    <row r="79" spans="1:34" x14ac:dyDescent="0.3">
      <c r="A79" s="243" t="s">
        <v>370</v>
      </c>
      <c r="B79" s="262" t="s">
        <v>397</v>
      </c>
      <c r="C79" s="262" t="s">
        <v>397</v>
      </c>
      <c r="D79" s="262" t="s">
        <v>397</v>
      </c>
      <c r="E79" s="262" t="s">
        <v>397</v>
      </c>
      <c r="F79" s="262" t="s">
        <v>397</v>
      </c>
      <c r="G79" s="262" t="s">
        <v>397</v>
      </c>
      <c r="H79" s="262" t="s">
        <v>397</v>
      </c>
      <c r="I79" s="262" t="s">
        <v>397</v>
      </c>
      <c r="J79" s="262" t="s">
        <v>397</v>
      </c>
      <c r="K79" s="262" t="s">
        <v>397</v>
      </c>
      <c r="L79" s="262" t="s">
        <v>397</v>
      </c>
      <c r="M79" s="262" t="s">
        <v>397</v>
      </c>
      <c r="N79" s="262" t="s">
        <v>397</v>
      </c>
      <c r="P79" s="260">
        <v>-3762</v>
      </c>
      <c r="Q79" s="262" t="s">
        <v>404</v>
      </c>
      <c r="R79" s="262" t="s">
        <v>397</v>
      </c>
      <c r="S79" s="262" t="s">
        <v>397</v>
      </c>
      <c r="T79" s="262" t="s">
        <v>397</v>
      </c>
      <c r="U79" s="262" t="s">
        <v>397</v>
      </c>
      <c r="V79" s="262" t="s">
        <v>397</v>
      </c>
      <c r="W79" s="262" t="s">
        <v>397</v>
      </c>
      <c r="X79" s="262" t="s">
        <v>397</v>
      </c>
      <c r="Y79" s="262" t="s">
        <v>397</v>
      </c>
      <c r="Z79" s="262" t="s">
        <v>397</v>
      </c>
      <c r="AA79" s="260">
        <v>3762</v>
      </c>
      <c r="AB79" s="262" t="s">
        <v>397</v>
      </c>
      <c r="AC79" s="259">
        <f t="shared" si="2"/>
        <v>-3762</v>
      </c>
    </row>
    <row r="80" spans="1:34" x14ac:dyDescent="0.3">
      <c r="A80" s="246"/>
      <c r="B80" s="263">
        <v>136380</v>
      </c>
      <c r="C80" s="263">
        <v>136380</v>
      </c>
      <c r="D80" s="263">
        <v>231831</v>
      </c>
      <c r="E80" s="263">
        <v>177442</v>
      </c>
      <c r="F80" s="263">
        <v>115190</v>
      </c>
      <c r="G80" s="263">
        <v>212963</v>
      </c>
      <c r="H80" s="263">
        <v>143303</v>
      </c>
      <c r="I80" s="263">
        <v>117798</v>
      </c>
      <c r="J80" s="263">
        <v>220841</v>
      </c>
      <c r="K80" s="263">
        <v>166536</v>
      </c>
      <c r="L80" s="263">
        <v>124305</v>
      </c>
      <c r="M80" s="263">
        <v>327031</v>
      </c>
      <c r="N80" s="263">
        <v>2110000</v>
      </c>
      <c r="P80" s="263">
        <v>-125705</v>
      </c>
      <c r="Q80" s="263">
        <v>115721</v>
      </c>
      <c r="R80" s="263">
        <v>113439</v>
      </c>
      <c r="S80" s="263">
        <v>219305</v>
      </c>
      <c r="T80" s="263">
        <v>147635</v>
      </c>
      <c r="U80" s="263">
        <v>124858</v>
      </c>
      <c r="V80" s="263">
        <v>165375</v>
      </c>
      <c r="W80" s="263">
        <v>105661</v>
      </c>
      <c r="X80" s="263">
        <v>112063</v>
      </c>
      <c r="Y80" s="263">
        <v>274640</v>
      </c>
      <c r="Z80" s="263">
        <v>225574</v>
      </c>
      <c r="AA80" s="263">
        <v>631435</v>
      </c>
      <c r="AB80" s="263">
        <v>2110000</v>
      </c>
      <c r="AC80" s="259">
        <f t="shared" si="2"/>
        <v>103455</v>
      </c>
    </row>
    <row r="81" spans="1:29" x14ac:dyDescent="0.3">
      <c r="A81" s="247"/>
      <c r="B81" s="266"/>
      <c r="C81" s="266"/>
      <c r="D81" s="266"/>
      <c r="E81" s="266"/>
      <c r="F81" s="266"/>
      <c r="G81" s="266"/>
      <c r="H81" s="266"/>
      <c r="I81" s="266"/>
      <c r="J81" s="266"/>
      <c r="K81" s="266"/>
      <c r="L81" s="266"/>
      <c r="M81" s="266"/>
      <c r="N81" s="266" t="s">
        <v>397</v>
      </c>
      <c r="P81" s="266" t="s">
        <v>397</v>
      </c>
      <c r="Q81" s="266" t="s">
        <v>397</v>
      </c>
      <c r="R81" s="266" t="s">
        <v>397</v>
      </c>
      <c r="S81" s="266" t="s">
        <v>397</v>
      </c>
      <c r="T81" s="266" t="s">
        <v>397</v>
      </c>
      <c r="U81" s="266" t="s">
        <v>397</v>
      </c>
      <c r="V81" s="266" t="s">
        <v>397</v>
      </c>
      <c r="W81" s="266" t="s">
        <v>397</v>
      </c>
      <c r="X81" s="266" t="s">
        <v>397</v>
      </c>
      <c r="Y81" s="266" t="s">
        <v>397</v>
      </c>
      <c r="Z81" s="266" t="s">
        <v>397</v>
      </c>
      <c r="AA81" s="266" t="s">
        <v>397</v>
      </c>
      <c r="AB81" s="266" t="s">
        <v>397</v>
      </c>
      <c r="AC81" s="259">
        <f t="shared" si="2"/>
        <v>0</v>
      </c>
    </row>
    <row r="82" spans="1:29" x14ac:dyDescent="0.3">
      <c r="A82" s="248"/>
      <c r="B82" s="267">
        <v>482932</v>
      </c>
      <c r="C82" s="267">
        <v>484925</v>
      </c>
      <c r="D82" s="267">
        <v>500835</v>
      </c>
      <c r="E82" s="267">
        <v>520828</v>
      </c>
      <c r="F82" s="267">
        <v>521976</v>
      </c>
      <c r="G82" s="267">
        <v>453882</v>
      </c>
      <c r="H82" s="267">
        <v>487667</v>
      </c>
      <c r="I82" s="267">
        <v>504866</v>
      </c>
      <c r="J82" s="267">
        <v>469116</v>
      </c>
      <c r="K82" s="267">
        <v>539131</v>
      </c>
      <c r="L82" s="267">
        <v>437294</v>
      </c>
      <c r="M82" s="267">
        <v>411589</v>
      </c>
      <c r="N82" s="267">
        <v>5815043</v>
      </c>
      <c r="P82" s="267">
        <v>380997</v>
      </c>
      <c r="Q82" s="267">
        <v>392656</v>
      </c>
      <c r="R82" s="267">
        <v>416190</v>
      </c>
      <c r="S82" s="267">
        <v>465332</v>
      </c>
      <c r="T82" s="267">
        <v>455630</v>
      </c>
      <c r="U82" s="267">
        <v>406924</v>
      </c>
      <c r="V82" s="267">
        <v>455312</v>
      </c>
      <c r="W82" s="267">
        <v>483523</v>
      </c>
      <c r="X82" s="267">
        <v>474030</v>
      </c>
      <c r="Y82" s="267">
        <v>544414</v>
      </c>
      <c r="Z82" s="267">
        <v>442198</v>
      </c>
      <c r="AA82" s="267">
        <v>415572</v>
      </c>
      <c r="AB82" s="267">
        <v>5332778</v>
      </c>
      <c r="AC82" s="259">
        <f t="shared" si="2"/>
        <v>1189843</v>
      </c>
    </row>
    <row r="83" spans="1:29" x14ac:dyDescent="0.3">
      <c r="A83" s="249"/>
      <c r="B83" s="268">
        <v>11420666</v>
      </c>
      <c r="C83" s="268">
        <v>12358379</v>
      </c>
      <c r="D83" s="268">
        <v>16413733</v>
      </c>
      <c r="E83" s="268">
        <v>18050343</v>
      </c>
      <c r="F83" s="268">
        <v>18799020</v>
      </c>
      <c r="G83" s="268">
        <v>19926166</v>
      </c>
      <c r="H83" s="268">
        <v>24576627</v>
      </c>
      <c r="I83" s="268">
        <v>25101021</v>
      </c>
      <c r="J83" s="268">
        <v>25182597</v>
      </c>
      <c r="K83" s="268">
        <v>23681535</v>
      </c>
      <c r="L83" s="268">
        <v>22882470</v>
      </c>
      <c r="M83" s="268">
        <v>23555660</v>
      </c>
      <c r="N83" s="268">
        <v>241948217</v>
      </c>
      <c r="P83" s="268">
        <v>9323491</v>
      </c>
      <c r="Q83" s="268">
        <v>16034503</v>
      </c>
      <c r="R83" s="268">
        <v>13759933</v>
      </c>
      <c r="S83" s="268">
        <v>13547413</v>
      </c>
      <c r="T83" s="268">
        <v>18132326</v>
      </c>
      <c r="U83" s="268">
        <v>22494032</v>
      </c>
      <c r="V83" s="268">
        <v>25177095</v>
      </c>
      <c r="W83" s="268">
        <v>23622446</v>
      </c>
      <c r="X83" s="268">
        <v>22549535</v>
      </c>
      <c r="Y83" s="268">
        <v>24368372</v>
      </c>
      <c r="Z83" s="268">
        <v>24013719</v>
      </c>
      <c r="AA83" s="268">
        <v>28443091</v>
      </c>
      <c r="AB83" s="268">
        <v>241465955</v>
      </c>
      <c r="AC83" s="259">
        <f t="shared" si="2"/>
        <v>39117927</v>
      </c>
    </row>
    <row r="84" spans="1:29" ht="15.6" x14ac:dyDescent="0.3">
      <c r="A84" s="251"/>
      <c r="B84" s="270">
        <v>19770599</v>
      </c>
      <c r="C84" s="270">
        <v>20487894</v>
      </c>
      <c r="D84" s="270">
        <v>27400617</v>
      </c>
      <c r="E84" s="270">
        <v>30192150</v>
      </c>
      <c r="F84" s="270">
        <v>34062971</v>
      </c>
      <c r="G84" s="270">
        <v>33100628</v>
      </c>
      <c r="H84" s="270">
        <v>37860402</v>
      </c>
      <c r="I84" s="270">
        <v>38342613</v>
      </c>
      <c r="J84" s="270">
        <v>40809031</v>
      </c>
      <c r="K84" s="270">
        <v>41221656</v>
      </c>
      <c r="L84" s="270">
        <v>38695462</v>
      </c>
      <c r="M84" s="270">
        <v>37267981</v>
      </c>
      <c r="N84" s="270">
        <v>399212004</v>
      </c>
      <c r="P84" s="270">
        <v>18894624</v>
      </c>
      <c r="Q84" s="270">
        <v>27544414</v>
      </c>
      <c r="R84" s="270">
        <v>26452275</v>
      </c>
      <c r="S84" s="270">
        <v>23317089</v>
      </c>
      <c r="T84" s="270">
        <v>32918911</v>
      </c>
      <c r="U84" s="270">
        <v>35582125</v>
      </c>
      <c r="V84" s="270">
        <v>39026491</v>
      </c>
      <c r="W84" s="270">
        <v>36703242</v>
      </c>
      <c r="X84" s="270">
        <v>38524209</v>
      </c>
      <c r="Y84" s="270">
        <v>40765851</v>
      </c>
      <c r="Z84" s="270">
        <v>37201740</v>
      </c>
      <c r="AA84" s="270">
        <v>41886237</v>
      </c>
      <c r="AB84" s="270">
        <v>398817209</v>
      </c>
      <c r="AC84" s="259">
        <f t="shared" si="2"/>
        <v>72891313</v>
      </c>
    </row>
    <row r="85" spans="1:29" x14ac:dyDescent="0.3">
      <c r="A85" s="243" t="s">
        <v>371</v>
      </c>
      <c r="B85" s="260">
        <v>407936</v>
      </c>
      <c r="C85" s="260">
        <v>572936</v>
      </c>
      <c r="D85" s="260">
        <v>572936</v>
      </c>
      <c r="E85" s="260">
        <v>572936</v>
      </c>
      <c r="F85" s="260">
        <v>572936</v>
      </c>
      <c r="G85" s="260">
        <v>55000</v>
      </c>
      <c r="H85" s="260">
        <v>55000</v>
      </c>
      <c r="I85" s="260">
        <v>55000</v>
      </c>
      <c r="J85" s="260">
        <v>55000</v>
      </c>
      <c r="K85" s="262" t="s">
        <v>397</v>
      </c>
      <c r="L85" s="262" t="s">
        <v>397</v>
      </c>
      <c r="M85" s="262" t="s">
        <v>397</v>
      </c>
      <c r="N85" s="260">
        <v>2919680</v>
      </c>
      <c r="P85" s="260">
        <v>407936</v>
      </c>
      <c r="Q85" s="260">
        <v>572936</v>
      </c>
      <c r="R85" s="260">
        <v>572936</v>
      </c>
      <c r="S85" s="260">
        <v>572936</v>
      </c>
      <c r="T85" s="260">
        <v>572936</v>
      </c>
      <c r="U85" s="260">
        <v>55000</v>
      </c>
      <c r="V85" s="260">
        <v>55000</v>
      </c>
      <c r="W85" s="260">
        <v>55000</v>
      </c>
      <c r="X85" s="260">
        <v>55000</v>
      </c>
      <c r="Y85" s="262" t="s">
        <v>397</v>
      </c>
      <c r="Z85" s="262" t="s">
        <v>397</v>
      </c>
      <c r="AA85" s="262" t="s">
        <v>397</v>
      </c>
      <c r="AB85" s="260">
        <v>2919679</v>
      </c>
      <c r="AC85" s="259">
        <f t="shared" si="2"/>
        <v>1553808</v>
      </c>
    </row>
    <row r="86" spans="1:29" x14ac:dyDescent="0.3">
      <c r="A86" s="243" t="s">
        <v>372</v>
      </c>
      <c r="B86" s="260">
        <v>200000</v>
      </c>
      <c r="C86" s="260">
        <v>200000</v>
      </c>
      <c r="D86" s="260">
        <v>200000</v>
      </c>
      <c r="E86" s="260">
        <v>400000</v>
      </c>
      <c r="F86" s="260">
        <v>500000</v>
      </c>
      <c r="G86" s="260">
        <v>500000</v>
      </c>
      <c r="H86" s="260">
        <v>600000</v>
      </c>
      <c r="I86" s="260">
        <v>600000</v>
      </c>
      <c r="J86" s="260">
        <v>600000</v>
      </c>
      <c r="K86" s="260">
        <v>400000</v>
      </c>
      <c r="L86" s="260">
        <v>400000</v>
      </c>
      <c r="M86" s="260">
        <v>400000</v>
      </c>
      <c r="N86" s="260">
        <v>5000000</v>
      </c>
      <c r="P86" s="260">
        <v>200000</v>
      </c>
      <c r="Q86" s="260">
        <v>200000</v>
      </c>
      <c r="R86" s="260">
        <v>200000</v>
      </c>
      <c r="S86" s="260">
        <v>400000</v>
      </c>
      <c r="T86" s="260">
        <v>500000</v>
      </c>
      <c r="U86" s="260">
        <v>484936</v>
      </c>
      <c r="V86" s="260">
        <v>584936</v>
      </c>
      <c r="W86" s="260">
        <v>584936</v>
      </c>
      <c r="X86" s="260">
        <v>584936</v>
      </c>
      <c r="Y86" s="260">
        <v>384936</v>
      </c>
      <c r="Z86" s="260">
        <v>384936</v>
      </c>
      <c r="AA86" s="260">
        <v>490385</v>
      </c>
      <c r="AB86" s="260">
        <v>5000000</v>
      </c>
      <c r="AC86" s="259">
        <f t="shared" si="2"/>
        <v>600000</v>
      </c>
    </row>
    <row r="87" spans="1:29" x14ac:dyDescent="0.3">
      <c r="A87" s="243" t="s">
        <v>373</v>
      </c>
      <c r="B87" s="262" t="s">
        <v>397</v>
      </c>
      <c r="C87" s="262" t="s">
        <v>397</v>
      </c>
      <c r="D87" s="262" t="s">
        <v>397</v>
      </c>
      <c r="E87" s="262" t="s">
        <v>397</v>
      </c>
      <c r="F87" s="262" t="s">
        <v>397</v>
      </c>
      <c r="G87" s="262" t="s">
        <v>397</v>
      </c>
      <c r="H87" s="262" t="s">
        <v>397</v>
      </c>
      <c r="I87" s="262" t="s">
        <v>397</v>
      </c>
      <c r="J87" s="262" t="s">
        <v>397</v>
      </c>
      <c r="K87" s="260">
        <v>175278</v>
      </c>
      <c r="L87" s="260">
        <v>175278</v>
      </c>
      <c r="M87" s="260">
        <v>175278</v>
      </c>
      <c r="N87" s="260">
        <v>525834</v>
      </c>
      <c r="P87" s="262" t="s">
        <v>397</v>
      </c>
      <c r="Q87" s="262" t="s">
        <v>397</v>
      </c>
      <c r="R87" s="262" t="s">
        <v>397</v>
      </c>
      <c r="S87" s="262" t="s">
        <v>397</v>
      </c>
      <c r="T87" s="262" t="s">
        <v>397</v>
      </c>
      <c r="U87" s="262" t="s">
        <v>397</v>
      </c>
      <c r="V87" s="262" t="s">
        <v>397</v>
      </c>
      <c r="W87" s="262" t="s">
        <v>397</v>
      </c>
      <c r="X87" s="262" t="s">
        <v>397</v>
      </c>
      <c r="Y87" s="260">
        <v>175278</v>
      </c>
      <c r="Z87" s="260">
        <v>175278</v>
      </c>
      <c r="AA87" s="260">
        <v>175278</v>
      </c>
      <c r="AB87" s="260">
        <v>525834</v>
      </c>
      <c r="AC87" s="259">
        <f t="shared" si="2"/>
        <v>0</v>
      </c>
    </row>
    <row r="88" spans="1:29" x14ac:dyDescent="0.3">
      <c r="A88" s="246"/>
      <c r="B88" s="263">
        <v>607936</v>
      </c>
      <c r="C88" s="263">
        <v>772936</v>
      </c>
      <c r="D88" s="263">
        <v>772936</v>
      </c>
      <c r="E88" s="263">
        <v>972936</v>
      </c>
      <c r="F88" s="263">
        <v>1072936</v>
      </c>
      <c r="G88" s="263">
        <v>555000</v>
      </c>
      <c r="H88" s="263">
        <v>655000</v>
      </c>
      <c r="I88" s="263">
        <v>655000</v>
      </c>
      <c r="J88" s="263">
        <v>655000</v>
      </c>
      <c r="K88" s="263">
        <v>575278</v>
      </c>
      <c r="L88" s="263">
        <v>575278</v>
      </c>
      <c r="M88" s="263">
        <v>575278</v>
      </c>
      <c r="N88" s="263">
        <v>8445514</v>
      </c>
      <c r="P88" s="263">
        <v>607936</v>
      </c>
      <c r="Q88" s="263">
        <v>772936</v>
      </c>
      <c r="R88" s="263">
        <v>772936</v>
      </c>
      <c r="S88" s="263">
        <v>972936</v>
      </c>
      <c r="T88" s="263">
        <v>1072936</v>
      </c>
      <c r="U88" s="263">
        <v>539936</v>
      </c>
      <c r="V88" s="263">
        <v>639936</v>
      </c>
      <c r="W88" s="263">
        <v>639936</v>
      </c>
      <c r="X88" s="263">
        <v>639936</v>
      </c>
      <c r="Y88" s="263">
        <v>560214</v>
      </c>
      <c r="Z88" s="263">
        <v>560214</v>
      </c>
      <c r="AA88" s="263">
        <v>665663</v>
      </c>
      <c r="AB88" s="263">
        <v>8445513</v>
      </c>
      <c r="AC88" s="259">
        <f t="shared" si="2"/>
        <v>2153808</v>
      </c>
    </row>
    <row r="89" spans="1:29" x14ac:dyDescent="0.3">
      <c r="A89" s="252" t="s">
        <v>374</v>
      </c>
      <c r="B89" s="263">
        <v>260000</v>
      </c>
      <c r="C89" s="263">
        <v>330000</v>
      </c>
      <c r="D89" s="263">
        <v>320000</v>
      </c>
      <c r="E89" s="263">
        <v>320500</v>
      </c>
      <c r="F89" s="263">
        <v>240750</v>
      </c>
      <c r="G89" s="263">
        <v>213250</v>
      </c>
      <c r="H89" s="263">
        <v>186583</v>
      </c>
      <c r="I89" s="263">
        <v>107154</v>
      </c>
      <c r="J89" s="263">
        <v>68333</v>
      </c>
      <c r="K89" s="263">
        <v>83333</v>
      </c>
      <c r="L89" s="263">
        <v>73333</v>
      </c>
      <c r="M89" s="263">
        <v>298333</v>
      </c>
      <c r="N89" s="263">
        <v>2501571</v>
      </c>
      <c r="P89" s="263">
        <v>121467</v>
      </c>
      <c r="Q89" s="263">
        <v>97415</v>
      </c>
      <c r="R89" s="263">
        <v>179565</v>
      </c>
      <c r="S89" s="263">
        <v>206058</v>
      </c>
      <c r="T89" s="263">
        <v>226143</v>
      </c>
      <c r="U89" s="263">
        <v>191643</v>
      </c>
      <c r="V89" s="263">
        <v>197641</v>
      </c>
      <c r="W89" s="263">
        <v>104212</v>
      </c>
      <c r="X89" s="263">
        <v>64391</v>
      </c>
      <c r="Y89" s="263">
        <v>64391</v>
      </c>
      <c r="Z89" s="263">
        <v>64391</v>
      </c>
      <c r="AA89" s="263">
        <v>984253</v>
      </c>
      <c r="AB89" s="263">
        <v>2501571</v>
      </c>
      <c r="AC89" s="259">
        <f t="shared" si="2"/>
        <v>398447</v>
      </c>
    </row>
    <row r="90" spans="1:29" x14ac:dyDescent="0.3">
      <c r="A90" s="252" t="s">
        <v>375</v>
      </c>
      <c r="B90" s="263">
        <v>14583</v>
      </c>
      <c r="C90" s="263">
        <v>17583</v>
      </c>
      <c r="D90" s="263">
        <v>21083</v>
      </c>
      <c r="E90" s="263">
        <v>27083</v>
      </c>
      <c r="F90" s="263">
        <v>34583</v>
      </c>
      <c r="G90" s="263">
        <v>30583</v>
      </c>
      <c r="H90" s="263">
        <v>27083</v>
      </c>
      <c r="I90" s="263">
        <v>31083</v>
      </c>
      <c r="J90" s="263">
        <v>20583</v>
      </c>
      <c r="K90" s="263">
        <v>18583</v>
      </c>
      <c r="L90" s="263">
        <v>17583</v>
      </c>
      <c r="M90" s="263">
        <v>14583</v>
      </c>
      <c r="N90" s="263">
        <v>275000</v>
      </c>
      <c r="P90" s="263">
        <v>15726</v>
      </c>
      <c r="Q90" s="263">
        <v>15909</v>
      </c>
      <c r="R90" s="263">
        <v>11529</v>
      </c>
      <c r="S90" s="263">
        <v>29796</v>
      </c>
      <c r="T90" s="263">
        <v>34796</v>
      </c>
      <c r="U90" s="263">
        <v>30796</v>
      </c>
      <c r="V90" s="263">
        <v>29796</v>
      </c>
      <c r="W90" s="263">
        <v>31296</v>
      </c>
      <c r="X90" s="263">
        <v>22296</v>
      </c>
      <c r="Y90" s="263">
        <v>18796</v>
      </c>
      <c r="Z90" s="263">
        <v>17796</v>
      </c>
      <c r="AA90" s="263">
        <v>16464</v>
      </c>
      <c r="AB90" s="263">
        <v>275000</v>
      </c>
      <c r="AC90" s="259">
        <f t="shared" si="2"/>
        <v>43164</v>
      </c>
    </row>
    <row r="91" spans="1:29" x14ac:dyDescent="0.3">
      <c r="A91" s="243" t="s">
        <v>376</v>
      </c>
      <c r="B91" s="260">
        <v>656446</v>
      </c>
      <c r="C91" s="260">
        <v>665509</v>
      </c>
      <c r="D91" s="260">
        <v>604346</v>
      </c>
      <c r="E91" s="260">
        <v>993644</v>
      </c>
      <c r="F91" s="260">
        <v>801478</v>
      </c>
      <c r="G91" s="260">
        <v>691419</v>
      </c>
      <c r="H91" s="260">
        <v>750693</v>
      </c>
      <c r="I91" s="260">
        <v>677693</v>
      </c>
      <c r="J91" s="260">
        <v>835263</v>
      </c>
      <c r="K91" s="260">
        <v>560447</v>
      </c>
      <c r="L91" s="260">
        <v>513151</v>
      </c>
      <c r="M91" s="260">
        <v>593585</v>
      </c>
      <c r="N91" s="260">
        <v>8343676</v>
      </c>
      <c r="P91" s="260">
        <v>334533</v>
      </c>
      <c r="Q91" s="260">
        <v>517569</v>
      </c>
      <c r="R91" s="260">
        <v>403501</v>
      </c>
      <c r="S91" s="260">
        <v>662311</v>
      </c>
      <c r="T91" s="260">
        <v>875076</v>
      </c>
      <c r="U91" s="260">
        <v>692689</v>
      </c>
      <c r="V91" s="260">
        <v>641098</v>
      </c>
      <c r="W91" s="260">
        <v>750094</v>
      </c>
      <c r="X91" s="260">
        <v>851048</v>
      </c>
      <c r="Y91" s="260">
        <v>675041</v>
      </c>
      <c r="Z91" s="260">
        <v>668468</v>
      </c>
      <c r="AA91" s="260">
        <v>1272249</v>
      </c>
      <c r="AB91" s="260">
        <v>8343676</v>
      </c>
      <c r="AC91" s="259">
        <f t="shared" si="2"/>
        <v>1255603</v>
      </c>
    </row>
    <row r="92" spans="1:29" x14ac:dyDescent="0.3">
      <c r="A92" s="243" t="s">
        <v>377</v>
      </c>
      <c r="B92" s="260">
        <v>64250</v>
      </c>
      <c r="C92" s="260">
        <v>89250</v>
      </c>
      <c r="D92" s="260">
        <v>112372</v>
      </c>
      <c r="E92" s="260">
        <v>96684</v>
      </c>
      <c r="F92" s="260">
        <v>197924</v>
      </c>
      <c r="G92" s="260">
        <v>165008</v>
      </c>
      <c r="H92" s="260">
        <v>160728</v>
      </c>
      <c r="I92" s="260">
        <v>198008</v>
      </c>
      <c r="J92" s="260">
        <v>180008</v>
      </c>
      <c r="K92" s="260">
        <v>278008</v>
      </c>
      <c r="L92" s="260">
        <v>217508</v>
      </c>
      <c r="M92" s="260">
        <v>213308</v>
      </c>
      <c r="N92" s="260">
        <v>1973060</v>
      </c>
      <c r="P92" s="260">
        <v>25472</v>
      </c>
      <c r="Q92" s="260">
        <v>16226</v>
      </c>
      <c r="R92" s="260">
        <v>29638</v>
      </c>
      <c r="S92" s="260">
        <v>47515</v>
      </c>
      <c r="T92" s="260">
        <v>102401</v>
      </c>
      <c r="U92" s="260">
        <v>143893</v>
      </c>
      <c r="V92" s="260">
        <v>95045</v>
      </c>
      <c r="W92" s="260">
        <v>123209</v>
      </c>
      <c r="X92" s="260">
        <v>113397</v>
      </c>
      <c r="Y92" s="260">
        <v>129197</v>
      </c>
      <c r="Z92" s="260">
        <v>86197</v>
      </c>
      <c r="AA92" s="260">
        <v>1060870</v>
      </c>
      <c r="AB92" s="260">
        <v>1973060</v>
      </c>
      <c r="AC92" s="259">
        <f t="shared" si="2"/>
        <v>71336</v>
      </c>
    </row>
    <row r="93" spans="1:29" x14ac:dyDescent="0.3">
      <c r="A93" s="243" t="s">
        <v>377</v>
      </c>
      <c r="B93" s="262" t="s">
        <v>397</v>
      </c>
      <c r="C93" s="262" t="s">
        <v>397</v>
      </c>
      <c r="D93" s="262" t="s">
        <v>397</v>
      </c>
      <c r="E93" s="262" t="s">
        <v>397</v>
      </c>
      <c r="F93" s="262" t="s">
        <v>397</v>
      </c>
      <c r="G93" s="262" t="s">
        <v>397</v>
      </c>
      <c r="H93" s="262" t="s">
        <v>397</v>
      </c>
      <c r="I93" s="262" t="s">
        <v>397</v>
      </c>
      <c r="J93" s="262" t="s">
        <v>397</v>
      </c>
      <c r="K93" s="262" t="s">
        <v>397</v>
      </c>
      <c r="L93" s="262" t="s">
        <v>397</v>
      </c>
      <c r="M93" s="262" t="s">
        <v>397</v>
      </c>
      <c r="N93" s="262" t="s">
        <v>397</v>
      </c>
      <c r="P93" s="262" t="s">
        <v>397</v>
      </c>
      <c r="Q93" s="262" t="s">
        <v>397</v>
      </c>
      <c r="R93" s="262" t="s">
        <v>397</v>
      </c>
      <c r="S93" s="262" t="s">
        <v>397</v>
      </c>
      <c r="T93" s="262" t="s">
        <v>397</v>
      </c>
      <c r="U93" s="262" t="s">
        <v>397</v>
      </c>
      <c r="V93" s="262" t="s">
        <v>397</v>
      </c>
      <c r="W93" s="262" t="s">
        <v>397</v>
      </c>
      <c r="X93" s="262" t="s">
        <v>397</v>
      </c>
      <c r="Y93" s="262" t="s">
        <v>397</v>
      </c>
      <c r="Z93" s="262" t="s">
        <v>397</v>
      </c>
      <c r="AA93" s="262" t="s">
        <v>397</v>
      </c>
      <c r="AB93" s="262" t="s">
        <v>397</v>
      </c>
      <c r="AC93" s="259">
        <f t="shared" si="2"/>
        <v>0</v>
      </c>
    </row>
    <row r="94" spans="1:29" ht="26.4" x14ac:dyDescent="0.3">
      <c r="A94" s="253" t="s">
        <v>378</v>
      </c>
      <c r="B94" s="263">
        <v>720696</v>
      </c>
      <c r="C94" s="263">
        <v>754759</v>
      </c>
      <c r="D94" s="263">
        <v>716718</v>
      </c>
      <c r="E94" s="263">
        <v>1090328</v>
      </c>
      <c r="F94" s="263">
        <v>999403</v>
      </c>
      <c r="G94" s="263">
        <v>856428</v>
      </c>
      <c r="H94" s="263">
        <v>911422</v>
      </c>
      <c r="I94" s="263">
        <v>875702</v>
      </c>
      <c r="J94" s="263">
        <v>1015272</v>
      </c>
      <c r="K94" s="263">
        <v>838456</v>
      </c>
      <c r="L94" s="263">
        <v>730660</v>
      </c>
      <c r="M94" s="263">
        <v>806894</v>
      </c>
      <c r="N94" s="263">
        <v>10316736</v>
      </c>
      <c r="P94" s="263">
        <v>360005</v>
      </c>
      <c r="Q94" s="263">
        <v>533795</v>
      </c>
      <c r="R94" s="263">
        <v>433139</v>
      </c>
      <c r="S94" s="263">
        <v>709826</v>
      </c>
      <c r="T94" s="263">
        <v>977477</v>
      </c>
      <c r="U94" s="263">
        <v>836582</v>
      </c>
      <c r="V94" s="263">
        <v>736143</v>
      </c>
      <c r="W94" s="263">
        <v>873303</v>
      </c>
      <c r="X94" s="263">
        <v>964445</v>
      </c>
      <c r="Y94" s="263">
        <v>804238</v>
      </c>
      <c r="Z94" s="263">
        <v>754665</v>
      </c>
      <c r="AA94" s="263">
        <v>2333120</v>
      </c>
      <c r="AB94" s="263">
        <v>10316736</v>
      </c>
      <c r="AC94" s="259">
        <f t="shared" si="2"/>
        <v>1326939</v>
      </c>
    </row>
    <row r="95" spans="1:29" x14ac:dyDescent="0.3">
      <c r="A95" s="243" t="s">
        <v>379</v>
      </c>
      <c r="B95" s="260">
        <v>5000</v>
      </c>
      <c r="C95" s="260">
        <v>5000</v>
      </c>
      <c r="D95" s="260">
        <v>5000</v>
      </c>
      <c r="E95" s="260">
        <v>5000</v>
      </c>
      <c r="F95" s="260">
        <v>5000</v>
      </c>
      <c r="G95" s="260">
        <v>5000</v>
      </c>
      <c r="H95" s="260">
        <v>5000</v>
      </c>
      <c r="I95" s="260">
        <v>5000</v>
      </c>
      <c r="J95" s="260">
        <v>5000</v>
      </c>
      <c r="K95" s="260">
        <v>5000</v>
      </c>
      <c r="L95" s="260">
        <v>5000</v>
      </c>
      <c r="M95" s="260">
        <v>5000</v>
      </c>
      <c r="N95" s="260">
        <v>60000</v>
      </c>
      <c r="P95" s="262">
        <v>578</v>
      </c>
      <c r="Q95" s="262">
        <v>64</v>
      </c>
      <c r="R95" s="260">
        <v>1225</v>
      </c>
      <c r="S95" s="260">
        <v>5000</v>
      </c>
      <c r="T95" s="260">
        <v>5000</v>
      </c>
      <c r="U95" s="260">
        <v>5000</v>
      </c>
      <c r="V95" s="260">
        <v>5000</v>
      </c>
      <c r="W95" s="260">
        <v>5000</v>
      </c>
      <c r="X95" s="260">
        <v>5000</v>
      </c>
      <c r="Y95" s="260">
        <v>5000</v>
      </c>
      <c r="Z95" s="260">
        <v>5000</v>
      </c>
      <c r="AA95" s="260">
        <v>18133</v>
      </c>
      <c r="AB95" s="260">
        <v>60000</v>
      </c>
      <c r="AC95" s="259">
        <f t="shared" si="2"/>
        <v>1867</v>
      </c>
    </row>
    <row r="96" spans="1:29" ht="26.4" x14ac:dyDescent="0.3">
      <c r="A96" s="243" t="s">
        <v>380</v>
      </c>
      <c r="B96" s="260">
        <v>5000</v>
      </c>
      <c r="C96" s="260">
        <v>5000</v>
      </c>
      <c r="D96" s="260">
        <v>5000</v>
      </c>
      <c r="E96" s="260">
        <v>5000</v>
      </c>
      <c r="F96" s="260">
        <v>5000</v>
      </c>
      <c r="G96" s="260">
        <v>5000</v>
      </c>
      <c r="H96" s="260">
        <v>5000</v>
      </c>
      <c r="I96" s="260">
        <v>5000</v>
      </c>
      <c r="J96" s="260">
        <v>5000</v>
      </c>
      <c r="K96" s="260">
        <v>5000</v>
      </c>
      <c r="L96" s="260">
        <v>5000</v>
      </c>
      <c r="M96" s="260">
        <v>5000</v>
      </c>
      <c r="N96" s="260">
        <v>60000</v>
      </c>
      <c r="P96" s="262" t="s">
        <v>397</v>
      </c>
      <c r="Q96" s="262">
        <v>837</v>
      </c>
      <c r="R96" s="260">
        <v>2421</v>
      </c>
      <c r="S96" s="260">
        <v>5000</v>
      </c>
      <c r="T96" s="260">
        <v>5000</v>
      </c>
      <c r="U96" s="260">
        <v>5000</v>
      </c>
      <c r="V96" s="260">
        <v>5000</v>
      </c>
      <c r="W96" s="260">
        <v>5000</v>
      </c>
      <c r="X96" s="260">
        <v>5000</v>
      </c>
      <c r="Y96" s="260">
        <v>5000</v>
      </c>
      <c r="Z96" s="260">
        <v>5000</v>
      </c>
      <c r="AA96" s="260">
        <v>16741</v>
      </c>
      <c r="AB96" s="260">
        <v>60000</v>
      </c>
      <c r="AC96" s="259">
        <f t="shared" si="2"/>
        <v>3258</v>
      </c>
    </row>
    <row r="97" spans="1:29" x14ac:dyDescent="0.3">
      <c r="A97" s="243" t="s">
        <v>381</v>
      </c>
      <c r="B97" s="260">
        <v>20000</v>
      </c>
      <c r="C97" s="260">
        <v>20000</v>
      </c>
      <c r="D97" s="260">
        <v>20000</v>
      </c>
      <c r="E97" s="260">
        <v>20000</v>
      </c>
      <c r="F97" s="260">
        <v>20000</v>
      </c>
      <c r="G97" s="260">
        <v>20000</v>
      </c>
      <c r="H97" s="260">
        <v>20000</v>
      </c>
      <c r="I97" s="260">
        <v>20000</v>
      </c>
      <c r="J97" s="260">
        <v>20000</v>
      </c>
      <c r="K97" s="260">
        <v>20000</v>
      </c>
      <c r="L97" s="260">
        <v>20000</v>
      </c>
      <c r="M97" s="260">
        <v>20000</v>
      </c>
      <c r="N97" s="260">
        <v>240000</v>
      </c>
      <c r="P97" s="260">
        <v>55976</v>
      </c>
      <c r="Q97" s="260">
        <v>-10919</v>
      </c>
      <c r="R97" s="260">
        <v>25928</v>
      </c>
      <c r="S97" s="260">
        <v>19763</v>
      </c>
      <c r="T97" s="260">
        <v>20000</v>
      </c>
      <c r="U97" s="260">
        <v>20000</v>
      </c>
      <c r="V97" s="260">
        <v>20000</v>
      </c>
      <c r="W97" s="260">
        <v>20000</v>
      </c>
      <c r="X97" s="260">
        <v>20000</v>
      </c>
      <c r="Y97" s="260">
        <v>20000</v>
      </c>
      <c r="Z97" s="260">
        <v>20000</v>
      </c>
      <c r="AA97" s="260">
        <v>9253</v>
      </c>
      <c r="AB97" s="260">
        <v>240000</v>
      </c>
      <c r="AC97" s="259">
        <f t="shared" si="2"/>
        <v>70985</v>
      </c>
    </row>
    <row r="98" spans="1:29" x14ac:dyDescent="0.3">
      <c r="A98" s="243" t="s">
        <v>382</v>
      </c>
      <c r="B98" s="262" t="s">
        <v>397</v>
      </c>
      <c r="C98" s="262" t="s">
        <v>397</v>
      </c>
      <c r="D98" s="262" t="s">
        <v>397</v>
      </c>
      <c r="E98" s="262" t="s">
        <v>397</v>
      </c>
      <c r="F98" s="262" t="s">
        <v>397</v>
      </c>
      <c r="G98" s="262" t="s">
        <v>397</v>
      </c>
      <c r="H98" s="262" t="s">
        <v>397</v>
      </c>
      <c r="I98" s="262" t="s">
        <v>397</v>
      </c>
      <c r="J98" s="262" t="s">
        <v>397</v>
      </c>
      <c r="K98" s="262" t="s">
        <v>397</v>
      </c>
      <c r="L98" s="262" t="s">
        <v>397</v>
      </c>
      <c r="M98" s="262" t="s">
        <v>397</v>
      </c>
      <c r="N98" s="262" t="s">
        <v>397</v>
      </c>
      <c r="P98" s="262" t="s">
        <v>397</v>
      </c>
      <c r="Q98" s="262" t="s">
        <v>397</v>
      </c>
      <c r="R98" s="262" t="s">
        <v>397</v>
      </c>
      <c r="S98" s="262" t="s">
        <v>397</v>
      </c>
      <c r="T98" s="262" t="s">
        <v>397</v>
      </c>
      <c r="U98" s="262" t="s">
        <v>397</v>
      </c>
      <c r="V98" s="262" t="s">
        <v>397</v>
      </c>
      <c r="W98" s="262" t="s">
        <v>397</v>
      </c>
      <c r="X98" s="262" t="s">
        <v>397</v>
      </c>
      <c r="Y98" s="262" t="s">
        <v>397</v>
      </c>
      <c r="Z98" s="262" t="s">
        <v>397</v>
      </c>
      <c r="AA98" s="262" t="s">
        <v>397</v>
      </c>
      <c r="AB98" s="262" t="s">
        <v>397</v>
      </c>
      <c r="AC98" s="259">
        <f t="shared" si="2"/>
        <v>0</v>
      </c>
    </row>
    <row r="99" spans="1:29" x14ac:dyDescent="0.3">
      <c r="A99" s="253" t="s">
        <v>383</v>
      </c>
      <c r="B99" s="263">
        <v>30000</v>
      </c>
      <c r="C99" s="263">
        <v>30000</v>
      </c>
      <c r="D99" s="263">
        <v>30000</v>
      </c>
      <c r="E99" s="263">
        <v>30000</v>
      </c>
      <c r="F99" s="263">
        <v>30000</v>
      </c>
      <c r="G99" s="263">
        <v>30000</v>
      </c>
      <c r="H99" s="263">
        <v>30000</v>
      </c>
      <c r="I99" s="263">
        <v>30000</v>
      </c>
      <c r="J99" s="263">
        <v>30000</v>
      </c>
      <c r="K99" s="263">
        <v>30000</v>
      </c>
      <c r="L99" s="263">
        <v>30000</v>
      </c>
      <c r="M99" s="263">
        <v>30000</v>
      </c>
      <c r="N99" s="263">
        <v>360000</v>
      </c>
      <c r="P99" s="263">
        <v>56554</v>
      </c>
      <c r="Q99" s="263">
        <v>-10018</v>
      </c>
      <c r="R99" s="263">
        <v>29575</v>
      </c>
      <c r="S99" s="263">
        <v>29763</v>
      </c>
      <c r="T99" s="263">
        <v>30000</v>
      </c>
      <c r="U99" s="263">
        <v>30000</v>
      </c>
      <c r="V99" s="263">
        <v>30000</v>
      </c>
      <c r="W99" s="263">
        <v>30000</v>
      </c>
      <c r="X99" s="263">
        <v>30000</v>
      </c>
      <c r="Y99" s="263">
        <v>30000</v>
      </c>
      <c r="Z99" s="263">
        <v>30000</v>
      </c>
      <c r="AA99" s="263">
        <v>44126</v>
      </c>
      <c r="AB99" s="263">
        <v>360000</v>
      </c>
      <c r="AC99" s="259">
        <f t="shared" si="2"/>
        <v>76111</v>
      </c>
    </row>
    <row r="100" spans="1:29" x14ac:dyDescent="0.3">
      <c r="A100" s="247"/>
      <c r="B100" s="266"/>
      <c r="C100" s="266"/>
      <c r="D100" s="266"/>
      <c r="E100" s="266"/>
      <c r="F100" s="266"/>
      <c r="G100" s="266"/>
      <c r="H100" s="266"/>
      <c r="I100" s="266"/>
      <c r="J100" s="266"/>
      <c r="K100" s="266"/>
      <c r="L100" s="266"/>
      <c r="M100" s="266"/>
      <c r="N100" s="266" t="s">
        <v>397</v>
      </c>
      <c r="P100" s="266" t="s">
        <v>397</v>
      </c>
      <c r="Q100" s="266" t="s">
        <v>397</v>
      </c>
      <c r="R100" s="266" t="s">
        <v>397</v>
      </c>
      <c r="S100" s="266" t="s">
        <v>397</v>
      </c>
      <c r="T100" s="266" t="s">
        <v>397</v>
      </c>
      <c r="U100" s="266" t="s">
        <v>397</v>
      </c>
      <c r="V100" s="266" t="s">
        <v>397</v>
      </c>
      <c r="W100" s="266" t="s">
        <v>397</v>
      </c>
      <c r="X100" s="266" t="s">
        <v>397</v>
      </c>
      <c r="Y100" s="266" t="s">
        <v>397</v>
      </c>
      <c r="Z100" s="266" t="s">
        <v>397</v>
      </c>
      <c r="AA100" s="266" t="s">
        <v>397</v>
      </c>
      <c r="AB100" s="266" t="s">
        <v>397</v>
      </c>
      <c r="AC100" s="259">
        <f t="shared" si="2"/>
        <v>0</v>
      </c>
    </row>
    <row r="101" spans="1:29" x14ac:dyDescent="0.3">
      <c r="A101" s="248"/>
      <c r="B101" s="267">
        <v>172569</v>
      </c>
      <c r="C101" s="267">
        <v>173315</v>
      </c>
      <c r="D101" s="267">
        <v>179085</v>
      </c>
      <c r="E101" s="267">
        <v>186222</v>
      </c>
      <c r="F101" s="267">
        <v>186637</v>
      </c>
      <c r="G101" s="267">
        <v>162141</v>
      </c>
      <c r="H101" s="267">
        <v>174312</v>
      </c>
      <c r="I101" s="267">
        <v>180495</v>
      </c>
      <c r="J101" s="267">
        <v>167594</v>
      </c>
      <c r="K101" s="267">
        <v>192756</v>
      </c>
      <c r="L101" s="267">
        <v>156125</v>
      </c>
      <c r="M101" s="267">
        <v>146832</v>
      </c>
      <c r="N101" s="267">
        <v>2078084</v>
      </c>
      <c r="P101" s="267">
        <v>148310</v>
      </c>
      <c r="Q101" s="267">
        <v>158715</v>
      </c>
      <c r="R101" s="267">
        <v>184663</v>
      </c>
      <c r="S101" s="267">
        <v>186227</v>
      </c>
      <c r="T101" s="267">
        <v>155808</v>
      </c>
      <c r="U101" s="267">
        <v>135359</v>
      </c>
      <c r="V101" s="267">
        <v>174318</v>
      </c>
      <c r="W101" s="267">
        <v>180499</v>
      </c>
      <c r="X101" s="267">
        <v>167599</v>
      </c>
      <c r="Y101" s="267">
        <v>192760</v>
      </c>
      <c r="Z101" s="267">
        <v>156129</v>
      </c>
      <c r="AA101" s="267">
        <v>146835</v>
      </c>
      <c r="AB101" s="267">
        <v>1987223</v>
      </c>
      <c r="AC101" s="259">
        <f t="shared" si="2"/>
        <v>491688</v>
      </c>
    </row>
    <row r="102" spans="1:29" x14ac:dyDescent="0.3">
      <c r="A102" s="249"/>
      <c r="B102" s="268">
        <v>1805784</v>
      </c>
      <c r="C102" s="268">
        <v>2078594</v>
      </c>
      <c r="D102" s="268">
        <v>2039823</v>
      </c>
      <c r="E102" s="268">
        <v>2627070</v>
      </c>
      <c r="F102" s="268">
        <v>2564310</v>
      </c>
      <c r="G102" s="268">
        <v>1847402</v>
      </c>
      <c r="H102" s="268">
        <v>1984401</v>
      </c>
      <c r="I102" s="268">
        <v>1879434</v>
      </c>
      <c r="J102" s="268">
        <v>1956783</v>
      </c>
      <c r="K102" s="268">
        <v>1738406</v>
      </c>
      <c r="L102" s="268">
        <v>1582979</v>
      </c>
      <c r="M102" s="268">
        <v>1871920</v>
      </c>
      <c r="N102" s="268">
        <v>23976905</v>
      </c>
      <c r="P102" s="268">
        <v>1309998</v>
      </c>
      <c r="Q102" s="268">
        <v>1568753</v>
      </c>
      <c r="R102" s="268">
        <v>1611406</v>
      </c>
      <c r="S102" s="268">
        <v>2134605</v>
      </c>
      <c r="T102" s="268">
        <v>2497160</v>
      </c>
      <c r="U102" s="268">
        <v>1764316</v>
      </c>
      <c r="V102" s="268">
        <v>1807835</v>
      </c>
      <c r="W102" s="268">
        <v>1859246</v>
      </c>
      <c r="X102" s="268">
        <v>1888667</v>
      </c>
      <c r="Y102" s="268">
        <v>1670400</v>
      </c>
      <c r="Z102" s="268">
        <v>1583195</v>
      </c>
      <c r="AA102" s="268">
        <v>4190461</v>
      </c>
      <c r="AB102" s="268">
        <v>23886044</v>
      </c>
      <c r="AC102" s="259">
        <f t="shared" si="2"/>
        <v>4490157</v>
      </c>
    </row>
    <row r="103" spans="1:29" x14ac:dyDescent="0.3">
      <c r="A103" s="243" t="s">
        <v>384</v>
      </c>
      <c r="B103" s="260">
        <v>59182</v>
      </c>
      <c r="C103" s="260">
        <v>59182</v>
      </c>
      <c r="D103" s="260">
        <v>59182</v>
      </c>
      <c r="E103" s="260">
        <v>59182</v>
      </c>
      <c r="F103" s="260">
        <v>59182</v>
      </c>
      <c r="G103" s="260">
        <v>59182</v>
      </c>
      <c r="H103" s="260">
        <v>96095</v>
      </c>
      <c r="I103" s="260">
        <v>107485</v>
      </c>
      <c r="J103" s="260">
        <v>107485</v>
      </c>
      <c r="K103" s="260">
        <v>207485</v>
      </c>
      <c r="L103" s="260">
        <v>207485</v>
      </c>
      <c r="M103" s="260">
        <v>207485</v>
      </c>
      <c r="N103" s="260">
        <v>1288610</v>
      </c>
      <c r="P103" s="260">
        <v>59182</v>
      </c>
      <c r="Q103" s="260">
        <v>59182</v>
      </c>
      <c r="R103" s="260">
        <v>59182</v>
      </c>
      <c r="S103" s="260">
        <v>59182</v>
      </c>
      <c r="T103" s="260">
        <v>59182</v>
      </c>
      <c r="U103" s="260">
        <v>59182</v>
      </c>
      <c r="V103" s="260">
        <v>96095</v>
      </c>
      <c r="W103" s="260">
        <v>107485</v>
      </c>
      <c r="X103" s="260">
        <v>107485</v>
      </c>
      <c r="Y103" s="260">
        <v>207485</v>
      </c>
      <c r="Z103" s="260">
        <v>207485</v>
      </c>
      <c r="AA103" s="260">
        <v>207485</v>
      </c>
      <c r="AB103" s="260">
        <v>1288610</v>
      </c>
      <c r="AC103" s="259">
        <f t="shared" si="2"/>
        <v>177546</v>
      </c>
    </row>
    <row r="104" spans="1:29" x14ac:dyDescent="0.3">
      <c r="A104" s="243" t="s">
        <v>385</v>
      </c>
      <c r="B104" s="260">
        <v>92616</v>
      </c>
      <c r="C104" s="260">
        <v>92616</v>
      </c>
      <c r="D104" s="260">
        <v>92616</v>
      </c>
      <c r="E104" s="260">
        <v>92616</v>
      </c>
      <c r="F104" s="260">
        <v>92616</v>
      </c>
      <c r="G104" s="260">
        <v>92616</v>
      </c>
      <c r="H104" s="260">
        <v>92616</v>
      </c>
      <c r="I104" s="260">
        <v>92616</v>
      </c>
      <c r="J104" s="260">
        <v>92616</v>
      </c>
      <c r="K104" s="260">
        <v>92616</v>
      </c>
      <c r="L104" s="260">
        <v>92616</v>
      </c>
      <c r="M104" s="260">
        <v>92616</v>
      </c>
      <c r="N104" s="260">
        <v>1111390</v>
      </c>
      <c r="P104" s="260">
        <v>112389</v>
      </c>
      <c r="Q104" s="260">
        <v>95269</v>
      </c>
      <c r="R104" s="260">
        <v>105139</v>
      </c>
      <c r="S104" s="260">
        <v>111717</v>
      </c>
      <c r="T104" s="260">
        <v>86917</v>
      </c>
      <c r="U104" s="260">
        <v>86917</v>
      </c>
      <c r="V104" s="260">
        <v>86917</v>
      </c>
      <c r="W104" s="260">
        <v>86917</v>
      </c>
      <c r="X104" s="260">
        <v>86917</v>
      </c>
      <c r="Y104" s="260">
        <v>86917</v>
      </c>
      <c r="Z104" s="260">
        <v>86917</v>
      </c>
      <c r="AA104" s="260">
        <v>78458</v>
      </c>
      <c r="AB104" s="260">
        <v>1111390</v>
      </c>
      <c r="AC104" s="259">
        <f t="shared" si="2"/>
        <v>312797</v>
      </c>
    </row>
    <row r="105" spans="1:29" x14ac:dyDescent="0.3">
      <c r="A105" s="243" t="s">
        <v>386</v>
      </c>
      <c r="B105" s="262" t="s">
        <v>397</v>
      </c>
      <c r="C105" s="262" t="s">
        <v>397</v>
      </c>
      <c r="D105" s="262" t="s">
        <v>397</v>
      </c>
      <c r="E105" s="260">
        <v>33333</v>
      </c>
      <c r="F105" s="260">
        <v>33333</v>
      </c>
      <c r="G105" s="260">
        <v>33333</v>
      </c>
      <c r="H105" s="260">
        <v>33333</v>
      </c>
      <c r="I105" s="260">
        <v>33333</v>
      </c>
      <c r="J105" s="260">
        <v>33333</v>
      </c>
      <c r="K105" s="260">
        <v>33333</v>
      </c>
      <c r="L105" s="260">
        <v>33333</v>
      </c>
      <c r="M105" s="260">
        <v>33333</v>
      </c>
      <c r="N105" s="260">
        <v>300000</v>
      </c>
      <c r="P105" s="260">
        <v>36529</v>
      </c>
      <c r="Q105" s="260">
        <v>17904</v>
      </c>
      <c r="R105" s="260">
        <v>14907</v>
      </c>
      <c r="S105" s="260">
        <v>33333</v>
      </c>
      <c r="T105" s="260">
        <v>33333</v>
      </c>
      <c r="U105" s="260">
        <v>33333</v>
      </c>
      <c r="V105" s="260">
        <v>33333</v>
      </c>
      <c r="W105" s="260">
        <v>33333</v>
      </c>
      <c r="X105" s="260">
        <v>33333</v>
      </c>
      <c r="Y105" s="260">
        <v>33333</v>
      </c>
      <c r="Z105" s="260">
        <v>33333</v>
      </c>
      <c r="AA105" s="260">
        <v>-36006</v>
      </c>
      <c r="AB105" s="260">
        <v>300000</v>
      </c>
      <c r="AC105" s="259">
        <f t="shared" si="2"/>
        <v>69340</v>
      </c>
    </row>
    <row r="106" spans="1:29" x14ac:dyDescent="0.3">
      <c r="A106" s="246"/>
      <c r="B106" s="263">
        <v>151798</v>
      </c>
      <c r="C106" s="263">
        <v>151798</v>
      </c>
      <c r="D106" s="263">
        <v>151798</v>
      </c>
      <c r="E106" s="263">
        <v>185131</v>
      </c>
      <c r="F106" s="263">
        <v>185131</v>
      </c>
      <c r="G106" s="263">
        <v>185131</v>
      </c>
      <c r="H106" s="263">
        <v>222044</v>
      </c>
      <c r="I106" s="263">
        <v>233434</v>
      </c>
      <c r="J106" s="263">
        <v>233434</v>
      </c>
      <c r="K106" s="263">
        <v>333434</v>
      </c>
      <c r="L106" s="263">
        <v>333434</v>
      </c>
      <c r="M106" s="263">
        <v>333434</v>
      </c>
      <c r="N106" s="263">
        <v>2700000</v>
      </c>
      <c r="P106" s="263">
        <v>208101</v>
      </c>
      <c r="Q106" s="263">
        <v>172354</v>
      </c>
      <c r="R106" s="263">
        <v>179227</v>
      </c>
      <c r="S106" s="263">
        <v>204232</v>
      </c>
      <c r="T106" s="263">
        <v>179432</v>
      </c>
      <c r="U106" s="263">
        <v>179432</v>
      </c>
      <c r="V106" s="263">
        <v>216345</v>
      </c>
      <c r="W106" s="263">
        <v>227735</v>
      </c>
      <c r="X106" s="263">
        <v>227735</v>
      </c>
      <c r="Y106" s="263">
        <v>327735</v>
      </c>
      <c r="Z106" s="263">
        <v>327735</v>
      </c>
      <c r="AA106" s="263">
        <v>249937</v>
      </c>
      <c r="AB106" s="263">
        <v>2700000</v>
      </c>
      <c r="AC106" s="259">
        <f t="shared" si="2"/>
        <v>559682</v>
      </c>
    </row>
    <row r="107" spans="1:29" x14ac:dyDescent="0.3">
      <c r="A107" s="243" t="s">
        <v>387</v>
      </c>
      <c r="B107" s="260">
        <v>161173</v>
      </c>
      <c r="C107" s="260">
        <v>161173</v>
      </c>
      <c r="D107" s="260">
        <v>176548</v>
      </c>
      <c r="E107" s="260">
        <v>214807</v>
      </c>
      <c r="F107" s="260">
        <v>211557</v>
      </c>
      <c r="G107" s="260">
        <v>222881</v>
      </c>
      <c r="H107" s="260">
        <v>196222</v>
      </c>
      <c r="I107" s="260">
        <v>200722</v>
      </c>
      <c r="J107" s="260">
        <v>228846</v>
      </c>
      <c r="K107" s="260">
        <v>180482</v>
      </c>
      <c r="L107" s="260">
        <v>152972</v>
      </c>
      <c r="M107" s="260">
        <v>168347</v>
      </c>
      <c r="N107" s="260">
        <v>2275730</v>
      </c>
      <c r="P107" s="260">
        <v>140849</v>
      </c>
      <c r="Q107" s="260">
        <v>141866</v>
      </c>
      <c r="R107" s="260">
        <v>170665</v>
      </c>
      <c r="S107" s="260">
        <v>233406</v>
      </c>
      <c r="T107" s="260">
        <v>223838</v>
      </c>
      <c r="U107" s="260">
        <v>221806</v>
      </c>
      <c r="V107" s="260">
        <v>209405</v>
      </c>
      <c r="W107" s="260">
        <v>202582</v>
      </c>
      <c r="X107" s="260">
        <v>224997</v>
      </c>
      <c r="Y107" s="260">
        <v>179668</v>
      </c>
      <c r="Z107" s="260">
        <v>155903</v>
      </c>
      <c r="AA107" s="260">
        <v>170745</v>
      </c>
      <c r="AB107" s="260">
        <v>2275730</v>
      </c>
      <c r="AC107" s="259">
        <f t="shared" si="2"/>
        <v>453380</v>
      </c>
    </row>
    <row r="108" spans="1:29" x14ac:dyDescent="0.3">
      <c r="A108" s="243" t="s">
        <v>388</v>
      </c>
      <c r="B108" s="260">
        <v>228196</v>
      </c>
      <c r="C108" s="260">
        <v>246822</v>
      </c>
      <c r="D108" s="260">
        <v>345550</v>
      </c>
      <c r="E108" s="260">
        <v>394915</v>
      </c>
      <c r="F108" s="260">
        <v>444379</v>
      </c>
      <c r="G108" s="260">
        <v>493644</v>
      </c>
      <c r="H108" s="260">
        <v>493644</v>
      </c>
      <c r="I108" s="260">
        <v>493644</v>
      </c>
      <c r="J108" s="260">
        <v>493644</v>
      </c>
      <c r="K108" s="260">
        <v>493644</v>
      </c>
      <c r="L108" s="260">
        <v>493644</v>
      </c>
      <c r="M108" s="260">
        <v>543008</v>
      </c>
      <c r="N108" s="260">
        <v>5164731</v>
      </c>
      <c r="P108" s="260">
        <v>229524</v>
      </c>
      <c r="Q108" s="260">
        <v>192534</v>
      </c>
      <c r="R108" s="260">
        <v>266945</v>
      </c>
      <c r="S108" s="260">
        <v>358087</v>
      </c>
      <c r="T108" s="260">
        <v>517856</v>
      </c>
      <c r="U108" s="260">
        <v>438217</v>
      </c>
      <c r="V108" s="260">
        <v>391069</v>
      </c>
      <c r="W108" s="260">
        <v>546254</v>
      </c>
      <c r="X108" s="260">
        <v>614473</v>
      </c>
      <c r="Y108" s="260">
        <v>607283</v>
      </c>
      <c r="Z108" s="260">
        <v>501054</v>
      </c>
      <c r="AA108" s="260">
        <v>501435</v>
      </c>
      <c r="AB108" s="260">
        <v>5164731</v>
      </c>
      <c r="AC108" s="259">
        <f t="shared" si="2"/>
        <v>689003</v>
      </c>
    </row>
    <row r="109" spans="1:29" x14ac:dyDescent="0.3">
      <c r="A109" s="243" t="s">
        <v>389</v>
      </c>
      <c r="B109" s="260">
        <v>10937</v>
      </c>
      <c r="C109" s="260">
        <v>10937</v>
      </c>
      <c r="D109" s="260">
        <v>10937</v>
      </c>
      <c r="E109" s="260">
        <v>10937</v>
      </c>
      <c r="F109" s="260">
        <v>10937</v>
      </c>
      <c r="G109" s="260">
        <v>10937</v>
      </c>
      <c r="H109" s="260">
        <v>10937</v>
      </c>
      <c r="I109" s="260">
        <v>10937</v>
      </c>
      <c r="J109" s="260">
        <v>10937</v>
      </c>
      <c r="K109" s="260">
        <v>10937</v>
      </c>
      <c r="L109" s="260">
        <v>10937</v>
      </c>
      <c r="M109" s="260">
        <v>10937</v>
      </c>
      <c r="N109" s="260">
        <v>131244</v>
      </c>
      <c r="P109" s="260">
        <v>9872</v>
      </c>
      <c r="Q109" s="260">
        <v>9710</v>
      </c>
      <c r="R109" s="260">
        <v>8724</v>
      </c>
      <c r="S109" s="260">
        <v>11130</v>
      </c>
      <c r="T109" s="260">
        <v>11130</v>
      </c>
      <c r="U109" s="260">
        <v>11130</v>
      </c>
      <c r="V109" s="260">
        <v>11130</v>
      </c>
      <c r="W109" s="260">
        <v>11130</v>
      </c>
      <c r="X109" s="260">
        <v>11130</v>
      </c>
      <c r="Y109" s="260">
        <v>11130</v>
      </c>
      <c r="Z109" s="260">
        <v>11130</v>
      </c>
      <c r="AA109" s="260">
        <v>13898</v>
      </c>
      <c r="AB109" s="260">
        <v>131244</v>
      </c>
      <c r="AC109" s="259">
        <f t="shared" si="2"/>
        <v>28306</v>
      </c>
    </row>
    <row r="110" spans="1:29" x14ac:dyDescent="0.3">
      <c r="A110" s="252"/>
      <c r="B110" s="263">
        <v>400306</v>
      </c>
      <c r="C110" s="263">
        <v>418932</v>
      </c>
      <c r="D110" s="263">
        <v>533035</v>
      </c>
      <c r="E110" s="263">
        <v>620658</v>
      </c>
      <c r="F110" s="263">
        <v>666873</v>
      </c>
      <c r="G110" s="263">
        <v>727461</v>
      </c>
      <c r="H110" s="263">
        <v>700802</v>
      </c>
      <c r="I110" s="263">
        <v>705302</v>
      </c>
      <c r="J110" s="263">
        <v>733426</v>
      </c>
      <c r="K110" s="263">
        <v>685063</v>
      </c>
      <c r="L110" s="263">
        <v>657553</v>
      </c>
      <c r="M110" s="263">
        <v>722292</v>
      </c>
      <c r="N110" s="263">
        <v>7571704</v>
      </c>
      <c r="P110" s="263">
        <v>380245</v>
      </c>
      <c r="Q110" s="263">
        <v>344110</v>
      </c>
      <c r="R110" s="263">
        <v>446334</v>
      </c>
      <c r="S110" s="263">
        <v>602623</v>
      </c>
      <c r="T110" s="263">
        <v>752824</v>
      </c>
      <c r="U110" s="263">
        <v>671153</v>
      </c>
      <c r="V110" s="263">
        <v>611604</v>
      </c>
      <c r="W110" s="263">
        <v>759966</v>
      </c>
      <c r="X110" s="263">
        <v>850600</v>
      </c>
      <c r="Y110" s="263">
        <v>798081</v>
      </c>
      <c r="Z110" s="263">
        <v>668087</v>
      </c>
      <c r="AA110" s="263">
        <v>686078</v>
      </c>
      <c r="AB110" s="263">
        <v>7571704</v>
      </c>
      <c r="AC110" s="259">
        <f t="shared" si="2"/>
        <v>1170689</v>
      </c>
    </row>
    <row r="111" spans="1:29" x14ac:dyDescent="0.3">
      <c r="A111" s="243" t="s">
        <v>390</v>
      </c>
      <c r="B111" s="262" t="s">
        <v>397</v>
      </c>
      <c r="C111" s="262" t="s">
        <v>397</v>
      </c>
      <c r="D111" s="262" t="s">
        <v>397</v>
      </c>
      <c r="E111" s="262" t="s">
        <v>397</v>
      </c>
      <c r="F111" s="262" t="s">
        <v>397</v>
      </c>
      <c r="G111" s="262" t="s">
        <v>397</v>
      </c>
      <c r="H111" s="262" t="s">
        <v>397</v>
      </c>
      <c r="I111" s="262" t="s">
        <v>397</v>
      </c>
      <c r="J111" s="262" t="s">
        <v>397</v>
      </c>
      <c r="K111" s="262" t="s">
        <v>397</v>
      </c>
      <c r="L111" s="262" t="s">
        <v>397</v>
      </c>
      <c r="M111" s="262" t="s">
        <v>397</v>
      </c>
      <c r="N111" s="262" t="s">
        <v>397</v>
      </c>
      <c r="P111" s="262" t="s">
        <v>397</v>
      </c>
      <c r="Q111" s="262" t="s">
        <v>397</v>
      </c>
      <c r="R111" s="262" t="s">
        <v>397</v>
      </c>
      <c r="S111" s="262" t="s">
        <v>397</v>
      </c>
      <c r="T111" s="262" t="s">
        <v>397</v>
      </c>
      <c r="U111" s="262" t="s">
        <v>397</v>
      </c>
      <c r="V111" s="262" t="s">
        <v>397</v>
      </c>
      <c r="W111" s="262" t="s">
        <v>397</v>
      </c>
      <c r="X111" s="262" t="s">
        <v>397</v>
      </c>
      <c r="Y111" s="262" t="s">
        <v>397</v>
      </c>
      <c r="Z111" s="262" t="s">
        <v>397</v>
      </c>
      <c r="AA111" s="262" t="s">
        <v>397</v>
      </c>
      <c r="AB111" s="262" t="s">
        <v>397</v>
      </c>
      <c r="AC111" s="259">
        <f t="shared" si="2"/>
        <v>0</v>
      </c>
    </row>
    <row r="112" spans="1:29" x14ac:dyDescent="0.3">
      <c r="A112" s="243"/>
      <c r="B112" s="262" t="s">
        <v>397</v>
      </c>
      <c r="C112" s="262" t="s">
        <v>397</v>
      </c>
      <c r="D112" s="262" t="s">
        <v>397</v>
      </c>
      <c r="E112" s="262" t="s">
        <v>397</v>
      </c>
      <c r="F112" s="262" t="s">
        <v>397</v>
      </c>
      <c r="G112" s="262" t="s">
        <v>397</v>
      </c>
      <c r="H112" s="262" t="s">
        <v>397</v>
      </c>
      <c r="I112" s="262" t="s">
        <v>397</v>
      </c>
      <c r="J112" s="262" t="s">
        <v>397</v>
      </c>
      <c r="K112" s="262" t="s">
        <v>397</v>
      </c>
      <c r="L112" s="262" t="s">
        <v>397</v>
      </c>
      <c r="M112" s="262" t="s">
        <v>397</v>
      </c>
      <c r="N112" s="262" t="s">
        <v>397</v>
      </c>
      <c r="P112" s="262" t="s">
        <v>397</v>
      </c>
      <c r="Q112" s="262" t="s">
        <v>397</v>
      </c>
      <c r="R112" s="262" t="s">
        <v>397</v>
      </c>
      <c r="S112" s="262" t="s">
        <v>397</v>
      </c>
      <c r="T112" s="262" t="s">
        <v>397</v>
      </c>
      <c r="U112" s="262" t="s">
        <v>397</v>
      </c>
      <c r="V112" s="262" t="s">
        <v>397</v>
      </c>
      <c r="W112" s="262" t="s">
        <v>397</v>
      </c>
      <c r="X112" s="262" t="s">
        <v>397</v>
      </c>
      <c r="Y112" s="262" t="s">
        <v>397</v>
      </c>
      <c r="Z112" s="262" t="s">
        <v>397</v>
      </c>
      <c r="AA112" s="262" t="s">
        <v>397</v>
      </c>
      <c r="AB112" s="262" t="s">
        <v>397</v>
      </c>
      <c r="AC112" s="259">
        <f t="shared" si="2"/>
        <v>0</v>
      </c>
    </row>
    <row r="113" spans="1:29" x14ac:dyDescent="0.3">
      <c r="A113" s="252"/>
      <c r="B113" s="252" t="s">
        <v>397</v>
      </c>
      <c r="C113" s="252" t="s">
        <v>397</v>
      </c>
      <c r="D113" s="252" t="s">
        <v>397</v>
      </c>
      <c r="E113" s="252" t="s">
        <v>397</v>
      </c>
      <c r="F113" s="252" t="s">
        <v>397</v>
      </c>
      <c r="G113" s="252" t="s">
        <v>397</v>
      </c>
      <c r="H113" s="252" t="s">
        <v>397</v>
      </c>
      <c r="I113" s="252" t="s">
        <v>397</v>
      </c>
      <c r="J113" s="252" t="s">
        <v>397</v>
      </c>
      <c r="K113" s="252" t="s">
        <v>397</v>
      </c>
      <c r="L113" s="252" t="s">
        <v>397</v>
      </c>
      <c r="M113" s="252" t="s">
        <v>397</v>
      </c>
      <c r="N113" s="252" t="s">
        <v>397</v>
      </c>
      <c r="P113" s="252" t="s">
        <v>397</v>
      </c>
      <c r="Q113" s="252" t="s">
        <v>397</v>
      </c>
      <c r="R113" s="252" t="s">
        <v>397</v>
      </c>
      <c r="S113" s="252" t="s">
        <v>397</v>
      </c>
      <c r="T113" s="252" t="s">
        <v>397</v>
      </c>
      <c r="U113" s="252" t="s">
        <v>397</v>
      </c>
      <c r="V113" s="252" t="s">
        <v>397</v>
      </c>
      <c r="W113" s="252" t="s">
        <v>397</v>
      </c>
      <c r="X113" s="252" t="s">
        <v>397</v>
      </c>
      <c r="Y113" s="252" t="s">
        <v>397</v>
      </c>
      <c r="Z113" s="252" t="s">
        <v>397</v>
      </c>
      <c r="AA113" s="252" t="s">
        <v>397</v>
      </c>
      <c r="AB113" s="252" t="s">
        <v>397</v>
      </c>
      <c r="AC113" s="259">
        <f t="shared" si="2"/>
        <v>0</v>
      </c>
    </row>
    <row r="114" spans="1:29" x14ac:dyDescent="0.3">
      <c r="A114" s="243" t="s">
        <v>391</v>
      </c>
      <c r="B114" s="262" t="s">
        <v>397</v>
      </c>
      <c r="C114" s="262" t="s">
        <v>397</v>
      </c>
      <c r="D114" s="262" t="s">
        <v>397</v>
      </c>
      <c r="E114" s="262" t="s">
        <v>397</v>
      </c>
      <c r="F114" s="262" t="s">
        <v>397</v>
      </c>
      <c r="G114" s="262" t="s">
        <v>397</v>
      </c>
      <c r="H114" s="260">
        <v>33333</v>
      </c>
      <c r="I114" s="260">
        <v>33333</v>
      </c>
      <c r="J114" s="260">
        <v>33333</v>
      </c>
      <c r="K114" s="260">
        <v>80000</v>
      </c>
      <c r="L114" s="260">
        <v>80000</v>
      </c>
      <c r="M114" s="260">
        <v>80000</v>
      </c>
      <c r="N114" s="260">
        <v>340000</v>
      </c>
      <c r="P114" s="260">
        <v>50129</v>
      </c>
      <c r="Q114" s="260">
        <v>1094</v>
      </c>
      <c r="R114" s="262">
        <v>814</v>
      </c>
      <c r="S114" s="262" t="s">
        <v>397</v>
      </c>
      <c r="T114" s="262" t="s">
        <v>397</v>
      </c>
      <c r="U114" s="262" t="s">
        <v>397</v>
      </c>
      <c r="V114" s="260">
        <v>33333</v>
      </c>
      <c r="W114" s="260">
        <v>33333</v>
      </c>
      <c r="X114" s="260">
        <v>33333</v>
      </c>
      <c r="Y114" s="260">
        <v>410984</v>
      </c>
      <c r="Z114" s="260">
        <v>847587</v>
      </c>
      <c r="AA114" s="260">
        <v>28777</v>
      </c>
      <c r="AB114" s="260">
        <v>1439385</v>
      </c>
      <c r="AC114" s="259">
        <f t="shared" si="2"/>
        <v>52037</v>
      </c>
    </row>
    <row r="115" spans="1:29" x14ac:dyDescent="0.3">
      <c r="A115" s="243" t="s">
        <v>392</v>
      </c>
      <c r="B115" s="260">
        <v>6000</v>
      </c>
      <c r="C115" s="260">
        <v>6000</v>
      </c>
      <c r="D115" s="260">
        <v>6000</v>
      </c>
      <c r="E115" s="260">
        <v>6000</v>
      </c>
      <c r="F115" s="260">
        <v>6000</v>
      </c>
      <c r="G115" s="260">
        <v>6000</v>
      </c>
      <c r="H115" s="260">
        <v>6000</v>
      </c>
      <c r="I115" s="260">
        <v>6000</v>
      </c>
      <c r="J115" s="260">
        <v>6000</v>
      </c>
      <c r="K115" s="260">
        <v>6000</v>
      </c>
      <c r="L115" s="260">
        <v>6000</v>
      </c>
      <c r="M115" s="260">
        <v>6000</v>
      </c>
      <c r="N115" s="260">
        <v>72000</v>
      </c>
      <c r="P115" s="260">
        <v>2065</v>
      </c>
      <c r="Q115" s="262">
        <v>759</v>
      </c>
      <c r="R115" s="260">
        <v>2325</v>
      </c>
      <c r="S115" s="260">
        <v>6000</v>
      </c>
      <c r="T115" s="260">
        <v>6000</v>
      </c>
      <c r="U115" s="260">
        <v>6000</v>
      </c>
      <c r="V115" s="260">
        <v>6000</v>
      </c>
      <c r="W115" s="260">
        <v>6000</v>
      </c>
      <c r="X115" s="260">
        <v>6000</v>
      </c>
      <c r="Y115" s="260">
        <v>6000</v>
      </c>
      <c r="Z115" s="260">
        <v>6000</v>
      </c>
      <c r="AA115" s="260">
        <v>18037</v>
      </c>
      <c r="AB115" s="260">
        <v>71186</v>
      </c>
      <c r="AC115" s="259">
        <f t="shared" si="2"/>
        <v>5149</v>
      </c>
    </row>
    <row r="116" spans="1:29" x14ac:dyDescent="0.3">
      <c r="A116" s="250" t="s">
        <v>393</v>
      </c>
      <c r="B116" s="262" t="s">
        <v>397</v>
      </c>
      <c r="C116" s="262" t="s">
        <v>397</v>
      </c>
      <c r="D116" s="262" t="s">
        <v>397</v>
      </c>
      <c r="E116" s="262" t="s">
        <v>397</v>
      </c>
      <c r="F116" s="262" t="s">
        <v>397</v>
      </c>
      <c r="G116" s="262" t="s">
        <v>397</v>
      </c>
      <c r="H116" s="262" t="s">
        <v>397</v>
      </c>
      <c r="I116" s="262" t="s">
        <v>397</v>
      </c>
      <c r="J116" s="262" t="s">
        <v>397</v>
      </c>
      <c r="K116" s="262" t="s">
        <v>397</v>
      </c>
      <c r="L116" s="262" t="s">
        <v>397</v>
      </c>
      <c r="M116" s="262" t="s">
        <v>397</v>
      </c>
      <c r="N116" s="262" t="s">
        <v>397</v>
      </c>
      <c r="P116" s="262" t="s">
        <v>397</v>
      </c>
      <c r="Q116" s="262" t="s">
        <v>397</v>
      </c>
      <c r="R116" s="262" t="s">
        <v>397</v>
      </c>
      <c r="S116" s="262" t="s">
        <v>397</v>
      </c>
      <c r="T116" s="262" t="s">
        <v>397</v>
      </c>
      <c r="U116" s="262" t="s">
        <v>397</v>
      </c>
      <c r="V116" s="262" t="s">
        <v>397</v>
      </c>
      <c r="W116" s="262" t="s">
        <v>397</v>
      </c>
      <c r="X116" s="262" t="s">
        <v>397</v>
      </c>
      <c r="Y116" s="262" t="s">
        <v>397</v>
      </c>
      <c r="Z116" s="262" t="s">
        <v>397</v>
      </c>
      <c r="AA116" s="262" t="s">
        <v>397</v>
      </c>
      <c r="AB116" s="262" t="s">
        <v>397</v>
      </c>
      <c r="AC116" s="259">
        <f t="shared" si="2"/>
        <v>0</v>
      </c>
    </row>
    <row r="117" spans="1:29" x14ac:dyDescent="0.3">
      <c r="A117" s="253" t="s">
        <v>394</v>
      </c>
      <c r="B117" s="263">
        <v>6000</v>
      </c>
      <c r="C117" s="263">
        <v>6000</v>
      </c>
      <c r="D117" s="263">
        <v>6000</v>
      </c>
      <c r="E117" s="263">
        <v>6000</v>
      </c>
      <c r="F117" s="263">
        <v>6000</v>
      </c>
      <c r="G117" s="263">
        <v>6000</v>
      </c>
      <c r="H117" s="263">
        <v>39333</v>
      </c>
      <c r="I117" s="263">
        <v>39333</v>
      </c>
      <c r="J117" s="263">
        <v>39333</v>
      </c>
      <c r="K117" s="263">
        <v>86000</v>
      </c>
      <c r="L117" s="263">
        <v>86000</v>
      </c>
      <c r="M117" s="263">
        <v>86000</v>
      </c>
      <c r="N117" s="263">
        <v>412000</v>
      </c>
      <c r="P117" s="263">
        <v>52194</v>
      </c>
      <c r="Q117" s="263">
        <v>1853</v>
      </c>
      <c r="R117" s="263">
        <v>3139</v>
      </c>
      <c r="S117" s="263">
        <v>6000</v>
      </c>
      <c r="T117" s="263">
        <v>6000</v>
      </c>
      <c r="U117" s="263">
        <v>6000</v>
      </c>
      <c r="V117" s="263">
        <v>39333</v>
      </c>
      <c r="W117" s="263">
        <v>39333</v>
      </c>
      <c r="X117" s="263">
        <v>39333</v>
      </c>
      <c r="Y117" s="263">
        <v>416984</v>
      </c>
      <c r="Z117" s="263">
        <v>853587</v>
      </c>
      <c r="AA117" s="263">
        <v>46814</v>
      </c>
      <c r="AB117" s="263">
        <v>1510571</v>
      </c>
      <c r="AC117" s="259">
        <f t="shared" si="2"/>
        <v>57186</v>
      </c>
    </row>
    <row r="118" spans="1:29" x14ac:dyDescent="0.3">
      <c r="A118" s="243" t="s">
        <v>395</v>
      </c>
      <c r="B118" s="260">
        <v>27968</v>
      </c>
      <c r="C118" s="260">
        <v>27968</v>
      </c>
      <c r="D118" s="260">
        <v>27968</v>
      </c>
      <c r="E118" s="260">
        <v>27968</v>
      </c>
      <c r="F118" s="260">
        <v>27968</v>
      </c>
      <c r="G118" s="260">
        <v>27968</v>
      </c>
      <c r="H118" s="260">
        <v>27968</v>
      </c>
      <c r="I118" s="260">
        <v>27968</v>
      </c>
      <c r="J118" s="260">
        <v>27968</v>
      </c>
      <c r="K118" s="260">
        <v>27968</v>
      </c>
      <c r="L118" s="260">
        <v>27968</v>
      </c>
      <c r="M118" s="260">
        <v>27969</v>
      </c>
      <c r="N118" s="260">
        <v>335617</v>
      </c>
      <c r="P118" s="260">
        <v>25532</v>
      </c>
      <c r="Q118" s="260">
        <v>25284</v>
      </c>
      <c r="R118" s="260">
        <v>27318</v>
      </c>
      <c r="S118" s="260">
        <v>27968</v>
      </c>
      <c r="T118" s="260">
        <v>27968</v>
      </c>
      <c r="U118" s="260">
        <v>27968</v>
      </c>
      <c r="V118" s="260">
        <v>27968</v>
      </c>
      <c r="W118" s="260">
        <v>27968</v>
      </c>
      <c r="X118" s="260">
        <v>27968</v>
      </c>
      <c r="Y118" s="260">
        <v>27968</v>
      </c>
      <c r="Z118" s="260">
        <v>27968</v>
      </c>
      <c r="AA118" s="260">
        <v>33739</v>
      </c>
      <c r="AB118" s="260">
        <v>335617</v>
      </c>
      <c r="AC118" s="259">
        <f t="shared" si="2"/>
        <v>78134</v>
      </c>
    </row>
    <row r="119" spans="1:29" x14ac:dyDescent="0.3">
      <c r="A119" s="246"/>
      <c r="B119" s="263">
        <v>27968</v>
      </c>
      <c r="C119" s="263">
        <v>27968</v>
      </c>
      <c r="D119" s="263">
        <v>27968</v>
      </c>
      <c r="E119" s="263">
        <v>27968</v>
      </c>
      <c r="F119" s="263">
        <v>27968</v>
      </c>
      <c r="G119" s="263">
        <v>27968</v>
      </c>
      <c r="H119" s="263">
        <v>27968</v>
      </c>
      <c r="I119" s="263">
        <v>27968</v>
      </c>
      <c r="J119" s="263">
        <v>27968</v>
      </c>
      <c r="K119" s="263">
        <v>27968</v>
      </c>
      <c r="L119" s="263">
        <v>27968</v>
      </c>
      <c r="M119" s="263">
        <v>27969</v>
      </c>
      <c r="N119" s="263">
        <v>335617</v>
      </c>
      <c r="P119" s="263">
        <v>25532</v>
      </c>
      <c r="Q119" s="263">
        <v>25284</v>
      </c>
      <c r="R119" s="263">
        <v>27318</v>
      </c>
      <c r="S119" s="263">
        <v>27968</v>
      </c>
      <c r="T119" s="263">
        <v>27968</v>
      </c>
      <c r="U119" s="263">
        <v>27968</v>
      </c>
      <c r="V119" s="263">
        <v>27968</v>
      </c>
      <c r="W119" s="263">
        <v>27968</v>
      </c>
      <c r="X119" s="263">
        <v>27968</v>
      </c>
      <c r="Y119" s="263">
        <v>27968</v>
      </c>
      <c r="Z119" s="263">
        <v>27968</v>
      </c>
      <c r="AA119" s="263">
        <v>33739</v>
      </c>
      <c r="AB119" s="263">
        <v>335617</v>
      </c>
      <c r="AC119" s="259">
        <f t="shared" si="2"/>
        <v>78134</v>
      </c>
    </row>
    <row r="120" spans="1:29" x14ac:dyDescent="0.3">
      <c r="A120" s="247"/>
      <c r="B120" s="266"/>
      <c r="C120" s="266"/>
      <c r="D120" s="266"/>
      <c r="E120" s="266"/>
      <c r="F120" s="266"/>
      <c r="G120" s="266"/>
      <c r="H120" s="266"/>
      <c r="I120" s="266"/>
      <c r="J120" s="266"/>
      <c r="K120" s="266"/>
      <c r="L120" s="266"/>
      <c r="M120" s="266"/>
      <c r="N120" s="266" t="s">
        <v>397</v>
      </c>
      <c r="P120" s="266" t="s">
        <v>397</v>
      </c>
      <c r="Q120" s="266" t="s">
        <v>397</v>
      </c>
      <c r="R120" s="266" t="s">
        <v>397</v>
      </c>
      <c r="S120" s="266" t="s">
        <v>397</v>
      </c>
      <c r="T120" s="266" t="s">
        <v>397</v>
      </c>
      <c r="U120" s="266" t="s">
        <v>397</v>
      </c>
      <c r="V120" s="266" t="s">
        <v>397</v>
      </c>
      <c r="W120" s="266" t="s">
        <v>397</v>
      </c>
      <c r="X120" s="266" t="s">
        <v>397</v>
      </c>
      <c r="Y120" s="266" t="s">
        <v>397</v>
      </c>
      <c r="Z120" s="266" t="s">
        <v>397</v>
      </c>
      <c r="AA120" s="266" t="s">
        <v>397</v>
      </c>
      <c r="AB120" s="266" t="s">
        <v>397</v>
      </c>
      <c r="AC120" s="259">
        <f t="shared" si="2"/>
        <v>0</v>
      </c>
    </row>
    <row r="121" spans="1:29" x14ac:dyDescent="0.3">
      <c r="A121" s="248"/>
      <c r="B121" s="267">
        <v>259288</v>
      </c>
      <c r="C121" s="267">
        <v>260410</v>
      </c>
      <c r="D121" s="267">
        <v>268886</v>
      </c>
      <c r="E121" s="267">
        <v>279764</v>
      </c>
      <c r="F121" s="267">
        <v>280389</v>
      </c>
      <c r="G121" s="267">
        <v>243589</v>
      </c>
      <c r="H121" s="267">
        <v>261873</v>
      </c>
      <c r="I121" s="267">
        <v>271159</v>
      </c>
      <c r="J121" s="267">
        <v>251780</v>
      </c>
      <c r="K121" s="267">
        <v>289580</v>
      </c>
      <c r="L121" s="267">
        <v>234548</v>
      </c>
      <c r="M121" s="267">
        <v>220588</v>
      </c>
      <c r="N121" s="267">
        <v>3121853</v>
      </c>
      <c r="P121" s="267">
        <v>214181</v>
      </c>
      <c r="Q121" s="267">
        <v>218447</v>
      </c>
      <c r="R121" s="267">
        <v>245139</v>
      </c>
      <c r="S121" s="267">
        <v>254568</v>
      </c>
      <c r="T121" s="267">
        <v>240542</v>
      </c>
      <c r="U121" s="267">
        <v>208972</v>
      </c>
      <c r="V121" s="267">
        <v>234626</v>
      </c>
      <c r="W121" s="267">
        <v>257058</v>
      </c>
      <c r="X121" s="267">
        <v>251792</v>
      </c>
      <c r="Y121" s="267">
        <v>289593</v>
      </c>
      <c r="Z121" s="267">
        <v>234559</v>
      </c>
      <c r="AA121" s="267">
        <v>220598</v>
      </c>
      <c r="AB121" s="267">
        <v>2870073</v>
      </c>
      <c r="AC121" s="259">
        <f t="shared" si="2"/>
        <v>677767</v>
      </c>
    </row>
    <row r="122" spans="1:29" x14ac:dyDescent="0.3">
      <c r="A122" s="249"/>
      <c r="B122" s="260">
        <v>845359</v>
      </c>
      <c r="C122" s="260">
        <v>865107</v>
      </c>
      <c r="D122" s="260">
        <v>987688</v>
      </c>
      <c r="E122" s="260">
        <v>1119522</v>
      </c>
      <c r="F122" s="260">
        <v>1166361</v>
      </c>
      <c r="G122" s="260">
        <v>1190150</v>
      </c>
      <c r="H122" s="260">
        <v>1252021</v>
      </c>
      <c r="I122" s="260">
        <v>1277197</v>
      </c>
      <c r="J122" s="260">
        <v>1285942</v>
      </c>
      <c r="K122" s="260">
        <v>1422045</v>
      </c>
      <c r="L122" s="260">
        <v>1339502</v>
      </c>
      <c r="M122" s="260">
        <v>1390283</v>
      </c>
      <c r="N122" s="260">
        <v>14141174</v>
      </c>
      <c r="P122" s="260">
        <v>880253</v>
      </c>
      <c r="Q122" s="260">
        <v>762048</v>
      </c>
      <c r="R122" s="260">
        <v>901157</v>
      </c>
      <c r="S122" s="260">
        <v>1095391</v>
      </c>
      <c r="T122" s="260">
        <v>1206766</v>
      </c>
      <c r="U122" s="260">
        <v>1093525</v>
      </c>
      <c r="V122" s="260">
        <v>1129876</v>
      </c>
      <c r="W122" s="260">
        <v>1312060</v>
      </c>
      <c r="X122" s="260">
        <v>1397428</v>
      </c>
      <c r="Y122" s="260">
        <v>1860360</v>
      </c>
      <c r="Z122" s="260">
        <v>2111937</v>
      </c>
      <c r="AA122" s="260">
        <v>1237166</v>
      </c>
      <c r="AB122" s="260">
        <v>14987966</v>
      </c>
      <c r="AC122" s="259">
        <f t="shared" si="2"/>
        <v>2543458</v>
      </c>
    </row>
    <row r="123" spans="1:29" x14ac:dyDescent="0.3">
      <c r="A123" s="254"/>
      <c r="B123" s="271">
        <v>36776.378579999997</v>
      </c>
      <c r="C123" s="271">
        <v>36933.566890000002</v>
      </c>
      <c r="D123" s="271">
        <v>38165.326829999998</v>
      </c>
      <c r="E123" s="271">
        <v>39685.282679999997</v>
      </c>
      <c r="F123" s="271">
        <v>39773.501770000003</v>
      </c>
      <c r="G123" s="272">
        <v>34554</v>
      </c>
      <c r="H123" s="272">
        <v>37148</v>
      </c>
      <c r="I123" s="272">
        <v>38465</v>
      </c>
      <c r="J123" s="272">
        <v>35716</v>
      </c>
      <c r="K123" s="272">
        <v>41078</v>
      </c>
      <c r="L123" s="272">
        <v>33271</v>
      </c>
      <c r="M123" s="272">
        <v>31291</v>
      </c>
      <c r="N123" s="272">
        <v>442856</v>
      </c>
      <c r="P123" s="271">
        <v>29778.02</v>
      </c>
      <c r="Q123" s="271">
        <v>19171.37</v>
      </c>
      <c r="R123" s="271">
        <v>32770.800000000003</v>
      </c>
      <c r="S123" s="271">
        <v>0</v>
      </c>
      <c r="T123" s="271">
        <v>0</v>
      </c>
      <c r="U123" s="271" t="s">
        <v>405</v>
      </c>
      <c r="V123" s="271" t="s">
        <v>398</v>
      </c>
      <c r="W123" s="271" t="s">
        <v>398</v>
      </c>
      <c r="X123" s="271" t="s">
        <v>398</v>
      </c>
      <c r="Y123" s="271" t="s">
        <v>398</v>
      </c>
      <c r="Z123" s="271" t="s">
        <v>398</v>
      </c>
      <c r="AA123" s="271" t="s">
        <v>398</v>
      </c>
      <c r="AB123" s="272">
        <v>81720</v>
      </c>
      <c r="AC123" s="259">
        <f t="shared" si="2"/>
        <v>81720.19</v>
      </c>
    </row>
    <row r="124" spans="1:29" ht="15.6" x14ac:dyDescent="0.3">
      <c r="A124" s="251"/>
      <c r="B124" s="270">
        <v>2687920</v>
      </c>
      <c r="C124" s="270">
        <v>2980635</v>
      </c>
      <c r="D124" s="270">
        <v>3065675</v>
      </c>
      <c r="E124" s="270">
        <v>3786277</v>
      </c>
      <c r="F124" s="270">
        <v>3770444</v>
      </c>
      <c r="G124" s="270">
        <v>3072106</v>
      </c>
      <c r="H124" s="270">
        <v>3273569</v>
      </c>
      <c r="I124" s="270">
        <v>3195095</v>
      </c>
      <c r="J124" s="270">
        <v>3278440</v>
      </c>
      <c r="K124" s="270">
        <v>3201529</v>
      </c>
      <c r="L124" s="270">
        <v>2955752</v>
      </c>
      <c r="M124" s="270">
        <v>3293494</v>
      </c>
      <c r="N124" s="270">
        <v>38560936</v>
      </c>
      <c r="P124" s="270">
        <v>2220029</v>
      </c>
      <c r="Q124" s="270">
        <v>2349972</v>
      </c>
      <c r="R124" s="270">
        <v>2545334</v>
      </c>
      <c r="S124" s="270">
        <v>3229996</v>
      </c>
      <c r="T124" s="270">
        <v>3703926</v>
      </c>
      <c r="U124" s="270">
        <v>2857841</v>
      </c>
      <c r="V124" s="270">
        <v>2937710</v>
      </c>
      <c r="W124" s="270">
        <v>3171306</v>
      </c>
      <c r="X124" s="270">
        <v>3286096</v>
      </c>
      <c r="Y124" s="270">
        <v>3530760</v>
      </c>
      <c r="Z124" s="270">
        <v>3695131</v>
      </c>
      <c r="AA124" s="270">
        <v>5427627</v>
      </c>
      <c r="AB124" s="270">
        <v>38955730</v>
      </c>
      <c r="AC124" s="259">
        <f t="shared" si="2"/>
        <v>7115335</v>
      </c>
    </row>
    <row r="125" spans="1:29" ht="15.6" x14ac:dyDescent="0.3">
      <c r="A125" s="251"/>
      <c r="B125" s="273">
        <v>22458518</v>
      </c>
      <c r="C125" s="273">
        <v>23468529</v>
      </c>
      <c r="D125" s="273">
        <v>30466292</v>
      </c>
      <c r="E125" s="273">
        <v>33978427</v>
      </c>
      <c r="F125" s="273">
        <v>37833415</v>
      </c>
      <c r="G125" s="273">
        <v>36172734</v>
      </c>
      <c r="H125" s="273">
        <v>41133971</v>
      </c>
      <c r="I125" s="273">
        <v>41537709</v>
      </c>
      <c r="J125" s="273">
        <v>44087471</v>
      </c>
      <c r="K125" s="273">
        <v>44423184</v>
      </c>
      <c r="L125" s="273">
        <v>41651214</v>
      </c>
      <c r="M125" s="273">
        <v>40561475</v>
      </c>
      <c r="N125" s="273">
        <v>437772939</v>
      </c>
      <c r="P125" s="273">
        <v>21114653</v>
      </c>
      <c r="Q125" s="273">
        <v>29894386</v>
      </c>
      <c r="R125" s="273">
        <v>28997609</v>
      </c>
      <c r="S125" s="273">
        <v>26547085</v>
      </c>
      <c r="T125" s="273">
        <v>36622837</v>
      </c>
      <c r="U125" s="273">
        <v>38439967</v>
      </c>
      <c r="V125" s="273">
        <v>41964202</v>
      </c>
      <c r="W125" s="273">
        <v>39874549</v>
      </c>
      <c r="X125" s="273">
        <v>41810305</v>
      </c>
      <c r="Y125" s="273">
        <v>44296611</v>
      </c>
      <c r="Z125" s="273">
        <v>40896871</v>
      </c>
      <c r="AA125" s="273">
        <v>47313865</v>
      </c>
      <c r="AB125" s="273">
        <v>437772939</v>
      </c>
      <c r="AC125" s="259">
        <f t="shared" si="2"/>
        <v>80006648</v>
      </c>
    </row>
    <row r="126" spans="1:29" x14ac:dyDescent="0.3">
      <c r="A126" s="255"/>
      <c r="B126" s="269" t="s">
        <v>398</v>
      </c>
      <c r="C126" s="269" t="s">
        <v>398</v>
      </c>
      <c r="D126" s="269" t="s">
        <v>398</v>
      </c>
      <c r="E126" s="269" t="s">
        <v>398</v>
      </c>
      <c r="F126" s="269" t="s">
        <v>398</v>
      </c>
      <c r="G126" s="269" t="s">
        <v>398</v>
      </c>
      <c r="H126" s="269" t="s">
        <v>398</v>
      </c>
      <c r="I126" s="269" t="s">
        <v>398</v>
      </c>
      <c r="J126" s="269" t="s">
        <v>398</v>
      </c>
      <c r="K126" s="269" t="s">
        <v>398</v>
      </c>
      <c r="L126" s="269" t="s">
        <v>398</v>
      </c>
      <c r="M126" s="269"/>
      <c r="N126" s="269" t="s">
        <v>397</v>
      </c>
      <c r="P126" s="269" t="s">
        <v>398</v>
      </c>
      <c r="Q126" s="269" t="s">
        <v>398</v>
      </c>
      <c r="R126" s="269" t="s">
        <v>398</v>
      </c>
      <c r="S126" s="269" t="s">
        <v>398</v>
      </c>
      <c r="T126" s="269" t="s">
        <v>398</v>
      </c>
      <c r="U126" s="269" t="s">
        <v>398</v>
      </c>
      <c r="V126" s="269" t="s">
        <v>398</v>
      </c>
      <c r="W126" s="269" t="s">
        <v>398</v>
      </c>
      <c r="X126" s="269" t="s">
        <v>398</v>
      </c>
      <c r="Y126" s="269" t="s">
        <v>398</v>
      </c>
      <c r="Z126" s="269" t="s">
        <v>398</v>
      </c>
      <c r="AA126" s="269" t="s">
        <v>398</v>
      </c>
      <c r="AB126" s="269" t="s">
        <v>397</v>
      </c>
      <c r="AC126" s="259">
        <f t="shared" si="2"/>
        <v>0</v>
      </c>
    </row>
    <row r="127" spans="1:29" ht="26.4" x14ac:dyDescent="0.3">
      <c r="A127" s="256" t="s">
        <v>396</v>
      </c>
      <c r="B127" s="274" t="s">
        <v>397</v>
      </c>
      <c r="C127" s="274" t="s">
        <v>397</v>
      </c>
      <c r="D127" s="274" t="s">
        <v>397</v>
      </c>
      <c r="E127" s="274" t="s">
        <v>397</v>
      </c>
      <c r="F127" s="274" t="s">
        <v>397</v>
      </c>
      <c r="G127" s="274" t="s">
        <v>397</v>
      </c>
      <c r="H127" s="274" t="s">
        <v>397</v>
      </c>
      <c r="I127" s="274" t="s">
        <v>397</v>
      </c>
      <c r="J127" s="274" t="s">
        <v>397</v>
      </c>
      <c r="K127" s="274" t="s">
        <v>397</v>
      </c>
      <c r="L127" s="274" t="s">
        <v>397</v>
      </c>
      <c r="M127" s="274" t="s">
        <v>397</v>
      </c>
      <c r="N127" s="274" t="s">
        <v>397</v>
      </c>
      <c r="P127" s="274" t="s">
        <v>397</v>
      </c>
      <c r="Q127" s="274" t="s">
        <v>397</v>
      </c>
      <c r="R127" s="274" t="s">
        <v>397</v>
      </c>
      <c r="S127" s="274" t="s">
        <v>397</v>
      </c>
      <c r="T127" s="274" t="s">
        <v>397</v>
      </c>
      <c r="U127" s="274" t="s">
        <v>397</v>
      </c>
      <c r="V127" s="274" t="s">
        <v>397</v>
      </c>
      <c r="W127" s="274" t="s">
        <v>397</v>
      </c>
      <c r="X127" s="274" t="s">
        <v>397</v>
      </c>
      <c r="Y127" s="274" t="s">
        <v>397</v>
      </c>
      <c r="Z127" s="274" t="s">
        <v>397</v>
      </c>
      <c r="AA127" s="274" t="s">
        <v>397</v>
      </c>
      <c r="AB127" s="274" t="s">
        <v>397</v>
      </c>
      <c r="AC127" s="259">
        <f t="shared" si="2"/>
        <v>0</v>
      </c>
    </row>
    <row r="128" spans="1:29" ht="15.6" x14ac:dyDescent="0.3">
      <c r="A128" s="251"/>
      <c r="B128" s="275">
        <v>22458518</v>
      </c>
      <c r="C128" s="275">
        <v>23468529</v>
      </c>
      <c r="D128" s="275">
        <v>30466292</v>
      </c>
      <c r="E128" s="275">
        <v>33978427</v>
      </c>
      <c r="F128" s="275">
        <v>37833415</v>
      </c>
      <c r="G128" s="275">
        <v>36172734</v>
      </c>
      <c r="H128" s="275">
        <v>41133971</v>
      </c>
      <c r="I128" s="275">
        <v>41537709</v>
      </c>
      <c r="J128" s="275">
        <v>44087471</v>
      </c>
      <c r="K128" s="275">
        <v>44423184</v>
      </c>
      <c r="L128" s="275">
        <v>41651214</v>
      </c>
      <c r="M128" s="275">
        <v>40561475</v>
      </c>
      <c r="N128" s="275">
        <v>437772939</v>
      </c>
      <c r="P128" s="275">
        <v>21114653</v>
      </c>
      <c r="Q128" s="275">
        <v>29894386</v>
      </c>
      <c r="R128" s="275">
        <v>28997609</v>
      </c>
      <c r="S128" s="275">
        <v>26547085</v>
      </c>
      <c r="T128" s="275">
        <v>36622837</v>
      </c>
      <c r="U128" s="275">
        <v>38439967</v>
      </c>
      <c r="V128" s="275">
        <v>41964202</v>
      </c>
      <c r="W128" s="275">
        <v>39874549</v>
      </c>
      <c r="X128" s="275">
        <v>41810305</v>
      </c>
      <c r="Y128" s="275">
        <v>44296611</v>
      </c>
      <c r="Z128" s="275">
        <v>40896871</v>
      </c>
      <c r="AA128" s="275">
        <v>47313865</v>
      </c>
      <c r="AB128" s="275">
        <v>437772939</v>
      </c>
      <c r="AC128" s="259">
        <f t="shared" si="2"/>
        <v>80006648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5"/>
  <sheetViews>
    <sheetView topLeftCell="A5" workbookViewId="0">
      <selection activeCell="D32" sqref="D32"/>
    </sheetView>
  </sheetViews>
  <sheetFormatPr defaultColWidth="0" defaultRowHeight="14.4" x14ac:dyDescent="0.3"/>
  <cols>
    <col min="1" max="1" width="3.109375" customWidth="1"/>
    <col min="2" max="2" width="62.5546875" style="2" customWidth="1"/>
    <col min="3" max="3" width="21.109375" style="2" customWidth="1"/>
    <col min="4" max="4" width="19.5546875" customWidth="1"/>
    <col min="5" max="5" width="19.109375" customWidth="1"/>
    <col min="6" max="6" width="14.109375" bestFit="1" customWidth="1"/>
    <col min="7" max="7" width="16.88671875" customWidth="1"/>
    <col min="8" max="8" width="9.109375" customWidth="1"/>
    <col min="9" max="9" width="13.5546875" bestFit="1" customWidth="1"/>
    <col min="10" max="13" width="9.109375" customWidth="1"/>
    <col min="14" max="14" width="0" hidden="1" customWidth="1"/>
    <col min="15" max="16384" width="9.109375" hidden="1"/>
  </cols>
  <sheetData>
    <row r="1" spans="1:14" x14ac:dyDescent="0.3">
      <c r="A1" s="58"/>
      <c r="B1" s="65" t="s">
        <v>0</v>
      </c>
      <c r="C1" s="90"/>
      <c r="D1" s="58"/>
      <c r="E1" s="58"/>
      <c r="F1" s="58"/>
      <c r="G1" s="58"/>
      <c r="H1" s="58"/>
      <c r="I1" s="58"/>
      <c r="J1" s="58"/>
      <c r="K1" s="58"/>
      <c r="L1" s="58"/>
      <c r="M1" s="58"/>
    </row>
    <row r="2" spans="1:14" x14ac:dyDescent="0.3">
      <c r="A2" s="58"/>
      <c r="B2" s="65" t="s">
        <v>93</v>
      </c>
      <c r="C2" s="90"/>
      <c r="D2" s="58"/>
      <c r="E2" s="58"/>
      <c r="F2" s="58"/>
      <c r="G2" s="58"/>
      <c r="H2" s="58"/>
      <c r="I2" s="58"/>
      <c r="J2" s="58"/>
      <c r="K2" s="58"/>
      <c r="L2" s="58"/>
      <c r="M2" s="58"/>
    </row>
    <row r="3" spans="1:14" x14ac:dyDescent="0.3">
      <c r="A3" s="58"/>
      <c r="B3" s="65"/>
      <c r="C3" s="90"/>
      <c r="D3" s="58"/>
      <c r="E3" s="58"/>
      <c r="F3" s="58"/>
      <c r="G3" s="58"/>
      <c r="H3" s="58"/>
      <c r="I3" s="58"/>
      <c r="J3" s="58"/>
      <c r="K3" s="58"/>
      <c r="L3" s="58"/>
      <c r="M3" s="58"/>
    </row>
    <row r="4" spans="1:14" x14ac:dyDescent="0.3">
      <c r="A4" s="58"/>
      <c r="B4" s="65"/>
      <c r="C4" s="90"/>
      <c r="D4" s="58"/>
      <c r="E4" s="58"/>
      <c r="F4" s="58"/>
      <c r="G4" s="58"/>
      <c r="H4" s="58"/>
      <c r="I4" s="58"/>
      <c r="J4" s="58"/>
      <c r="K4" s="58"/>
      <c r="L4" s="58"/>
      <c r="M4" s="58"/>
    </row>
    <row r="5" spans="1:14" ht="37.5" customHeight="1" x14ac:dyDescent="0.3">
      <c r="A5" s="58"/>
      <c r="B5" s="361" t="s">
        <v>94</v>
      </c>
      <c r="C5" s="362"/>
      <c r="D5" s="362"/>
      <c r="E5" s="363"/>
      <c r="F5" s="58"/>
      <c r="G5" s="58"/>
      <c r="H5" s="58"/>
      <c r="I5" s="58"/>
      <c r="J5" s="58"/>
      <c r="K5" s="58"/>
      <c r="L5" s="58"/>
      <c r="M5" s="58"/>
    </row>
    <row r="6" spans="1:14" ht="37.5" customHeight="1" x14ac:dyDescent="0.3">
      <c r="A6" s="58"/>
      <c r="B6" s="364"/>
      <c r="C6" s="365"/>
      <c r="D6" s="365"/>
      <c r="E6" s="366"/>
      <c r="F6" s="58"/>
      <c r="G6" s="58"/>
      <c r="H6" s="58"/>
      <c r="I6" s="58"/>
      <c r="J6" s="58"/>
      <c r="K6" s="58"/>
      <c r="L6" s="58"/>
      <c r="M6" s="58"/>
    </row>
    <row r="7" spans="1:14" ht="18.75" customHeight="1" x14ac:dyDescent="0.3">
      <c r="A7" s="58"/>
      <c r="B7" s="367"/>
      <c r="C7" s="368"/>
      <c r="D7" s="368"/>
      <c r="E7" s="369"/>
      <c r="F7" s="58"/>
      <c r="G7" s="58"/>
      <c r="H7" s="58"/>
      <c r="I7" s="58"/>
      <c r="J7" s="58"/>
      <c r="K7" s="58"/>
      <c r="L7" s="58"/>
      <c r="M7" s="58"/>
    </row>
    <row r="8" spans="1:14" x14ac:dyDescent="0.3">
      <c r="A8" s="58"/>
      <c r="B8" s="90"/>
      <c r="C8" s="90"/>
      <c r="D8" s="58"/>
      <c r="E8" s="58"/>
      <c r="F8" s="58"/>
      <c r="G8" s="58"/>
      <c r="H8" s="58"/>
      <c r="I8" s="58"/>
      <c r="J8" s="58"/>
      <c r="K8" s="58"/>
      <c r="L8" s="58"/>
      <c r="M8" s="58"/>
    </row>
    <row r="9" spans="1:14" x14ac:dyDescent="0.3">
      <c r="A9" s="58"/>
      <c r="B9" s="65" t="s">
        <v>95</v>
      </c>
      <c r="C9" s="90"/>
      <c r="D9" s="58"/>
      <c r="E9" s="58"/>
      <c r="F9" s="58"/>
      <c r="G9" s="58"/>
      <c r="H9" s="58"/>
      <c r="I9" s="58"/>
      <c r="J9" s="58"/>
      <c r="K9" s="58"/>
      <c r="L9" s="58"/>
      <c r="M9" s="58"/>
    </row>
    <row r="10" spans="1:14" ht="20.100000000000001" customHeight="1" x14ac:dyDescent="0.3">
      <c r="A10" s="58"/>
      <c r="B10" s="218" t="str">
        <f>'1- Ex Ante Results'!B19</f>
        <v>CY2024 Q1</v>
      </c>
      <c r="C10" s="90"/>
      <c r="D10" s="58"/>
      <c r="E10" s="58"/>
      <c r="F10" s="58"/>
      <c r="G10" s="58"/>
      <c r="H10" s="58"/>
      <c r="I10" s="58"/>
      <c r="J10" s="58"/>
      <c r="K10" s="58"/>
      <c r="L10" s="58"/>
      <c r="M10" s="58"/>
    </row>
    <row r="11" spans="1:14" ht="32.85" customHeight="1" x14ac:dyDescent="0.3">
      <c r="A11" s="58"/>
      <c r="B11" s="21" t="s">
        <v>96</v>
      </c>
      <c r="C11" s="22" t="s">
        <v>409</v>
      </c>
      <c r="D11" s="115"/>
      <c r="E11" s="115"/>
      <c r="F11" s="58"/>
      <c r="G11" s="107"/>
      <c r="H11" s="58"/>
      <c r="I11" s="58"/>
      <c r="J11" s="58"/>
      <c r="K11" s="58"/>
      <c r="L11" s="58"/>
      <c r="M11" s="58"/>
    </row>
    <row r="12" spans="1:14" s="10" customFormat="1" ht="21" customHeight="1" x14ac:dyDescent="0.3">
      <c r="A12" s="63"/>
      <c r="B12" s="357" t="s">
        <v>97</v>
      </c>
      <c r="C12" s="358"/>
      <c r="D12" s="63"/>
      <c r="E12" s="63"/>
      <c r="F12" s="63"/>
      <c r="G12" s="63"/>
      <c r="H12" s="63"/>
      <c r="I12" s="63"/>
      <c r="J12" s="63"/>
      <c r="K12" s="63"/>
      <c r="L12" s="63"/>
      <c r="M12" s="63"/>
      <c r="N12" s="63"/>
    </row>
    <row r="13" spans="1:14" x14ac:dyDescent="0.3">
      <c r="A13" s="58"/>
      <c r="B13" s="4" t="s">
        <v>98</v>
      </c>
      <c r="C13" s="220">
        <f>'1- Ex Ante Results'!H55</f>
        <v>32439059</v>
      </c>
      <c r="D13" s="58"/>
      <c r="E13" s="58"/>
      <c r="F13" s="58"/>
      <c r="G13" s="107"/>
      <c r="H13" s="58"/>
      <c r="I13" s="58"/>
      <c r="J13" s="58"/>
      <c r="K13" s="58"/>
      <c r="L13" s="58"/>
      <c r="M13" s="58"/>
      <c r="N13" s="58"/>
    </row>
    <row r="14" spans="1:14" x14ac:dyDescent="0.3">
      <c r="A14" s="58"/>
      <c r="B14" s="52" t="s">
        <v>99</v>
      </c>
      <c r="C14" s="221">
        <f>'1- Ex Ante Results'!H69</f>
        <v>5062826</v>
      </c>
      <c r="D14" s="58"/>
      <c r="E14" s="58"/>
      <c r="F14" s="58"/>
      <c r="G14" s="107"/>
      <c r="H14" s="58"/>
      <c r="I14" s="58"/>
      <c r="J14" s="58"/>
      <c r="K14" s="58"/>
      <c r="L14" s="58"/>
      <c r="M14" s="58"/>
      <c r="N14" s="58"/>
    </row>
    <row r="15" spans="1:14" x14ac:dyDescent="0.3">
      <c r="A15" s="58"/>
      <c r="B15" s="4" t="s">
        <v>100</v>
      </c>
      <c r="C15" s="222">
        <f>'1- Ex Ante Results'!H94</f>
        <v>9806739.4500000011</v>
      </c>
      <c r="D15" s="58"/>
      <c r="E15" s="58"/>
      <c r="F15" s="58"/>
      <c r="G15" s="107"/>
      <c r="H15" s="58"/>
      <c r="I15" s="58"/>
      <c r="J15" s="58"/>
      <c r="K15" s="58"/>
      <c r="L15" s="58"/>
      <c r="M15" s="58"/>
      <c r="N15" s="58"/>
    </row>
    <row r="16" spans="1:14" x14ac:dyDescent="0.3">
      <c r="A16" s="58"/>
      <c r="B16" s="4" t="s">
        <v>74</v>
      </c>
      <c r="C16" s="223">
        <f>'1- Ex Ante Results'!H106</f>
        <v>20647790.48</v>
      </c>
      <c r="D16" s="58"/>
      <c r="E16" s="58"/>
      <c r="F16" s="58"/>
      <c r="G16" s="58"/>
      <c r="H16" s="58"/>
      <c r="I16" s="58"/>
      <c r="J16" s="58"/>
      <c r="K16" s="58"/>
      <c r="L16" s="58"/>
      <c r="M16" s="58"/>
      <c r="N16" s="58"/>
    </row>
    <row r="17" spans="1:14" hidden="1" x14ac:dyDescent="0.3">
      <c r="A17" s="58"/>
      <c r="B17" s="4" t="s">
        <v>101</v>
      </c>
      <c r="C17" s="223"/>
      <c r="D17" s="58"/>
      <c r="E17" s="58"/>
      <c r="F17" s="58"/>
      <c r="G17" s="58"/>
      <c r="H17" s="58"/>
      <c r="I17" s="58"/>
      <c r="J17" s="58"/>
      <c r="K17" s="58"/>
      <c r="L17" s="58"/>
      <c r="M17" s="58"/>
      <c r="N17" s="58"/>
    </row>
    <row r="18" spans="1:14" s="10" customFormat="1" ht="21" customHeight="1" x14ac:dyDescent="0.3">
      <c r="A18" s="63"/>
      <c r="B18" s="32" t="s">
        <v>102</v>
      </c>
      <c r="C18" s="33">
        <f>SUM(C13:C16)</f>
        <v>67956414.930000007</v>
      </c>
      <c r="D18" s="108"/>
      <c r="E18" s="63"/>
      <c r="F18" s="106"/>
      <c r="G18" s="63"/>
      <c r="H18" s="63"/>
      <c r="I18" s="63"/>
      <c r="J18" s="63"/>
      <c r="K18" s="63"/>
      <c r="L18" s="63"/>
      <c r="M18" s="63"/>
      <c r="N18" s="63"/>
    </row>
    <row r="19" spans="1:14" s="10" customFormat="1" ht="21" customHeight="1" x14ac:dyDescent="0.3">
      <c r="A19" s="63"/>
      <c r="B19" s="359" t="s">
        <v>103</v>
      </c>
      <c r="C19" s="360"/>
      <c r="D19" s="109"/>
      <c r="E19" s="110"/>
      <c r="F19" s="63"/>
      <c r="G19" s="63"/>
      <c r="H19" s="63"/>
      <c r="I19" s="63"/>
      <c r="J19" s="63"/>
      <c r="K19" s="63"/>
      <c r="L19" s="63"/>
      <c r="M19" s="63"/>
      <c r="N19" s="63"/>
    </row>
    <row r="20" spans="1:14" ht="29.85" customHeight="1" x14ac:dyDescent="0.3">
      <c r="A20" s="58"/>
      <c r="B20" s="23" t="s">
        <v>104</v>
      </c>
      <c r="C20" s="224">
        <v>1326939</v>
      </c>
      <c r="D20" s="111"/>
      <c r="E20" s="111"/>
      <c r="F20" s="104"/>
      <c r="G20" s="113"/>
      <c r="H20" s="58"/>
      <c r="I20" s="58"/>
      <c r="J20" s="58"/>
      <c r="K20" s="58"/>
      <c r="L20" s="58"/>
      <c r="M20" s="58"/>
      <c r="N20" s="58"/>
    </row>
    <row r="21" spans="1:14" x14ac:dyDescent="0.3">
      <c r="A21" s="58"/>
      <c r="B21" s="4" t="s">
        <v>105</v>
      </c>
      <c r="C21" s="224">
        <v>2153808</v>
      </c>
      <c r="D21" s="243"/>
      <c r="E21" s="243"/>
      <c r="F21" s="243"/>
      <c r="G21" s="243"/>
      <c r="H21" s="58"/>
      <c r="I21" s="58"/>
      <c r="J21" s="58"/>
      <c r="K21" s="58"/>
      <c r="L21" s="58"/>
      <c r="M21" s="58"/>
      <c r="N21" s="58"/>
    </row>
    <row r="22" spans="1:14" x14ac:dyDescent="0.3">
      <c r="A22" s="58"/>
      <c r="B22" s="24" t="s">
        <v>106</v>
      </c>
      <c r="C22" s="224">
        <v>2839322</v>
      </c>
      <c r="D22" s="111"/>
      <c r="E22" s="112"/>
      <c r="F22" s="58"/>
      <c r="G22" s="113"/>
      <c r="H22" s="58"/>
      <c r="I22" s="58"/>
      <c r="J22" s="58"/>
      <c r="K22" s="58"/>
      <c r="L22" s="58"/>
      <c r="M22" s="58"/>
      <c r="N22" s="58"/>
    </row>
    <row r="23" spans="1:14" x14ac:dyDescent="0.3">
      <c r="A23" s="58"/>
      <c r="B23" s="4" t="s">
        <v>107</v>
      </c>
      <c r="C23" s="224">
        <v>5730164.4199999869</v>
      </c>
      <c r="D23" s="309"/>
      <c r="E23" s="112"/>
      <c r="F23" s="58"/>
      <c r="G23" s="113"/>
      <c r="H23" s="58"/>
      <c r="I23" s="104"/>
      <c r="J23" s="58"/>
      <c r="K23" s="58"/>
      <c r="L23" s="58"/>
      <c r="M23" s="58"/>
      <c r="N23" s="58"/>
    </row>
    <row r="24" spans="1:14" x14ac:dyDescent="0.3">
      <c r="A24" s="58"/>
      <c r="B24" s="4" t="s">
        <v>108</v>
      </c>
      <c r="C24" s="223">
        <v>0</v>
      </c>
      <c r="D24" s="111"/>
      <c r="E24" s="112"/>
      <c r="F24" s="104"/>
      <c r="G24" s="113"/>
      <c r="H24" s="58"/>
      <c r="I24" s="58"/>
      <c r="J24" s="58"/>
      <c r="K24" s="58"/>
      <c r="L24" s="58"/>
      <c r="M24" s="58"/>
      <c r="N24" s="58"/>
    </row>
    <row r="25" spans="1:14" s="10" customFormat="1" ht="21" customHeight="1" x14ac:dyDescent="0.3">
      <c r="A25" s="63"/>
      <c r="B25" s="32" t="s">
        <v>109</v>
      </c>
      <c r="C25" s="42">
        <f>SUM(C20:C24)</f>
        <v>12050233.419999987</v>
      </c>
      <c r="D25" s="173"/>
      <c r="E25" s="112"/>
      <c r="F25" s="106"/>
      <c r="G25" s="106"/>
      <c r="H25" s="63"/>
      <c r="I25" s="106"/>
      <c r="J25" s="63"/>
      <c r="K25" s="63"/>
      <c r="L25" s="63"/>
      <c r="M25" s="63"/>
      <c r="N25" s="63"/>
    </row>
    <row r="26" spans="1:14" s="10" customFormat="1" ht="32.85" customHeight="1" x14ac:dyDescent="0.3">
      <c r="A26" s="63"/>
      <c r="B26" s="35" t="s">
        <v>110</v>
      </c>
      <c r="C26" s="43">
        <f>C18+C25</f>
        <v>80006648.349999994</v>
      </c>
      <c r="D26" s="174"/>
      <c r="E26" s="112"/>
      <c r="F26" s="106"/>
      <c r="G26" s="114"/>
      <c r="H26" s="63"/>
      <c r="I26" s="106"/>
      <c r="J26" s="63"/>
      <c r="K26" s="63"/>
      <c r="L26" s="63"/>
      <c r="M26" s="63"/>
      <c r="N26" s="63"/>
    </row>
    <row r="27" spans="1:14" x14ac:dyDescent="0.3">
      <c r="A27" s="58"/>
      <c r="B27" s="93"/>
      <c r="C27" s="93"/>
      <c r="D27" s="58"/>
      <c r="E27" s="112"/>
      <c r="F27" s="104"/>
      <c r="G27" s="58"/>
      <c r="H27" s="58"/>
      <c r="I27" s="58"/>
      <c r="J27" s="58"/>
      <c r="K27" s="58"/>
      <c r="L27" s="58"/>
      <c r="M27" s="58"/>
      <c r="N27" s="58"/>
    </row>
    <row r="28" spans="1:14" s="10" customFormat="1" ht="17.850000000000001" customHeight="1" x14ac:dyDescent="0.3">
      <c r="A28" s="63"/>
      <c r="B28" s="105"/>
      <c r="C28" s="105"/>
      <c r="D28" s="106"/>
      <c r="E28" s="106"/>
      <c r="F28" s="63"/>
      <c r="G28" s="63"/>
      <c r="H28" s="63"/>
      <c r="I28" s="63"/>
      <c r="J28" s="63"/>
      <c r="K28" s="63"/>
      <c r="L28" s="63"/>
      <c r="M28" s="63"/>
      <c r="N28" s="63"/>
    </row>
    <row r="29" spans="1:14" s="10" customFormat="1" ht="20.25" customHeight="1" x14ac:dyDescent="0.3">
      <c r="A29" s="63"/>
      <c r="B29" s="64" t="str">
        <f>"ComEd Section 8-103B/8-104 (EEPS) Costs as of "&amp;'1- Ex Ante Results'!B19</f>
        <v>ComEd Section 8-103B/8-104 (EEPS) Costs as of CY2024 Q1</v>
      </c>
      <c r="C29" s="105"/>
      <c r="D29" s="63"/>
      <c r="E29" s="63"/>
      <c r="F29" s="63"/>
      <c r="G29" s="63"/>
      <c r="H29" s="63"/>
      <c r="I29" s="63"/>
      <c r="J29" s="63"/>
      <c r="K29" s="63"/>
      <c r="L29" s="63"/>
      <c r="M29" s="63"/>
      <c r="N29" s="63"/>
    </row>
    <row r="30" spans="1:14" ht="36" customHeight="1" x14ac:dyDescent="0.3">
      <c r="A30" s="58"/>
      <c r="B30" s="22" t="s">
        <v>111</v>
      </c>
      <c r="C30" s="22" t="s">
        <v>410</v>
      </c>
      <c r="D30" s="22" t="s">
        <v>411</v>
      </c>
      <c r="E30" s="16" t="s">
        <v>13</v>
      </c>
      <c r="F30" s="58"/>
      <c r="G30" s="58"/>
      <c r="H30" s="58"/>
      <c r="I30" s="58"/>
      <c r="J30" s="58"/>
      <c r="K30" s="58"/>
      <c r="L30" s="58"/>
      <c r="M30" s="58"/>
      <c r="N30" s="58"/>
    </row>
    <row r="31" spans="1:14" s="10" customFormat="1" ht="35.85" customHeight="1" x14ac:dyDescent="0.3">
      <c r="A31" s="63"/>
      <c r="B31" s="34" t="s">
        <v>110</v>
      </c>
      <c r="C31" s="44">
        <v>80006648.349999994</v>
      </c>
      <c r="D31" s="44">
        <v>437772939</v>
      </c>
      <c r="E31" s="215">
        <f>C31/D31</f>
        <v>0.18275832337366105</v>
      </c>
      <c r="F31" s="63"/>
      <c r="G31" s="63"/>
      <c r="H31" s="63"/>
      <c r="I31" s="63"/>
      <c r="J31" s="63"/>
      <c r="K31" s="63"/>
      <c r="L31" s="63"/>
      <c r="M31" s="63"/>
      <c r="N31" s="63"/>
    </row>
    <row r="32" spans="1:14" x14ac:dyDescent="0.3">
      <c r="A32" s="58"/>
      <c r="B32" s="90"/>
      <c r="C32" s="90"/>
      <c r="D32" s="58"/>
      <c r="E32" s="58"/>
      <c r="F32" s="58"/>
      <c r="G32" s="58"/>
      <c r="H32" s="58"/>
      <c r="I32" s="58"/>
      <c r="J32" s="58"/>
      <c r="K32" s="58"/>
      <c r="L32" s="58"/>
      <c r="M32" s="58"/>
      <c r="N32" s="58"/>
    </row>
    <row r="33" spans="1:14" x14ac:dyDescent="0.3">
      <c r="A33" s="58"/>
      <c r="B33" s="90"/>
      <c r="C33" s="116"/>
      <c r="D33" s="116"/>
      <c r="E33" s="58"/>
      <c r="F33" s="58"/>
      <c r="G33" s="58"/>
      <c r="H33" s="58"/>
      <c r="I33" s="58"/>
      <c r="J33" s="58"/>
      <c r="K33" s="58"/>
      <c r="L33" s="58"/>
      <c r="M33" s="58"/>
      <c r="N33" s="58"/>
    </row>
    <row r="34" spans="1:14" x14ac:dyDescent="0.3">
      <c r="A34" s="58"/>
      <c r="B34" s="90"/>
      <c r="C34" s="90"/>
      <c r="D34" s="58"/>
      <c r="E34" s="58"/>
      <c r="F34" s="58"/>
      <c r="G34" s="58"/>
      <c r="H34" s="58"/>
      <c r="I34" s="58"/>
      <c r="J34" s="58"/>
      <c r="K34" s="58"/>
      <c r="L34" s="58"/>
      <c r="M34" s="58"/>
      <c r="N34" s="58"/>
    </row>
    <row r="35" spans="1:14" x14ac:dyDescent="0.3">
      <c r="A35" s="58"/>
      <c r="B35" s="90"/>
      <c r="C35" s="90"/>
      <c r="D35" s="58"/>
      <c r="E35" s="58"/>
      <c r="F35" s="58"/>
      <c r="G35" s="58"/>
      <c r="H35" s="58"/>
      <c r="I35" s="58"/>
      <c r="J35" s="58"/>
      <c r="K35" s="58"/>
      <c r="L35" s="58"/>
      <c r="M35" s="58"/>
      <c r="N35" s="58"/>
    </row>
    <row r="36" spans="1:14" x14ac:dyDescent="0.3">
      <c r="A36" s="58"/>
      <c r="B36" s="90"/>
      <c r="C36" s="90"/>
      <c r="D36" s="58"/>
      <c r="E36" s="58"/>
      <c r="F36" s="58"/>
      <c r="G36" s="58"/>
      <c r="H36" s="58"/>
      <c r="I36" s="58"/>
      <c r="J36" s="58"/>
      <c r="K36" s="58"/>
      <c r="L36" s="58"/>
      <c r="M36" s="58"/>
      <c r="N36" s="58"/>
    </row>
    <row r="37" spans="1:14" x14ac:dyDescent="0.3">
      <c r="A37" s="58"/>
      <c r="B37" s="90"/>
      <c r="C37" s="90"/>
      <c r="D37" s="58"/>
      <c r="E37" s="58"/>
      <c r="F37" s="58"/>
      <c r="G37" s="58"/>
      <c r="H37" s="58"/>
      <c r="I37" s="58"/>
      <c r="J37" s="58"/>
      <c r="K37" s="58"/>
      <c r="L37" s="58"/>
      <c r="M37" s="58"/>
      <c r="N37" s="58"/>
    </row>
    <row r="38" spans="1:14" x14ac:dyDescent="0.3">
      <c r="A38" s="58"/>
      <c r="B38" s="90"/>
      <c r="C38" s="90"/>
      <c r="D38" s="58"/>
      <c r="E38" s="58"/>
      <c r="F38" s="58"/>
      <c r="G38" s="58"/>
      <c r="H38" s="58"/>
      <c r="I38" s="58"/>
      <c r="J38" s="58"/>
      <c r="K38" s="58"/>
      <c r="L38" s="58"/>
      <c r="M38" s="58"/>
      <c r="N38" s="58"/>
    </row>
    <row r="39" spans="1:14" x14ac:dyDescent="0.3">
      <c r="A39" s="58"/>
      <c r="B39" s="90"/>
      <c r="C39" s="90"/>
      <c r="D39" s="58"/>
      <c r="E39" s="58"/>
      <c r="F39" s="58"/>
      <c r="G39" s="58"/>
      <c r="H39" s="58"/>
      <c r="I39" s="58"/>
      <c r="J39" s="58"/>
      <c r="K39" s="58"/>
      <c r="L39" s="58"/>
      <c r="M39" s="58"/>
      <c r="N39" s="58"/>
    </row>
    <row r="40" spans="1:14" x14ac:dyDescent="0.3">
      <c r="A40" s="58"/>
      <c r="B40" s="90"/>
      <c r="C40" s="90"/>
      <c r="D40" s="58"/>
      <c r="E40" s="58"/>
      <c r="F40" s="58"/>
      <c r="G40" s="58"/>
      <c r="H40" s="58"/>
      <c r="I40" s="58"/>
      <c r="J40" s="58"/>
      <c r="K40" s="58"/>
      <c r="L40" s="58"/>
      <c r="M40" s="58"/>
      <c r="N40" s="58"/>
    </row>
    <row r="41" spans="1:14" x14ac:dyDescent="0.3">
      <c r="A41" s="58"/>
      <c r="B41" s="90"/>
      <c r="C41" s="90"/>
      <c r="D41" s="58"/>
      <c r="E41" s="58"/>
      <c r="F41" s="58"/>
      <c r="G41" s="58"/>
      <c r="H41" s="58"/>
      <c r="I41" s="58"/>
      <c r="J41" s="58"/>
      <c r="K41" s="58"/>
      <c r="L41" s="58"/>
      <c r="M41" s="58"/>
      <c r="N41" s="58"/>
    </row>
    <row r="42" spans="1:14" x14ac:dyDescent="0.3">
      <c r="A42" s="58"/>
      <c r="B42" s="90"/>
      <c r="C42" s="90"/>
      <c r="D42" s="58"/>
      <c r="E42" s="58"/>
      <c r="F42" s="58"/>
      <c r="G42" s="58"/>
      <c r="H42" s="58"/>
      <c r="I42" s="58"/>
      <c r="J42" s="58"/>
      <c r="K42" s="58"/>
      <c r="L42" s="58"/>
      <c r="M42" s="58"/>
      <c r="N42" s="58"/>
    </row>
    <row r="43" spans="1:14" x14ac:dyDescent="0.3">
      <c r="A43" s="58"/>
      <c r="B43" s="90"/>
      <c r="C43" s="90"/>
      <c r="D43" s="58"/>
      <c r="E43" s="58"/>
      <c r="F43" s="58"/>
      <c r="G43" s="58"/>
      <c r="H43" s="58"/>
      <c r="I43" s="58"/>
      <c r="J43" s="58"/>
      <c r="K43" s="58"/>
      <c r="L43" s="58"/>
      <c r="M43" s="58"/>
      <c r="N43" s="58"/>
    </row>
    <row r="44" spans="1:14" x14ac:dyDescent="0.3">
      <c r="A44" s="58"/>
      <c r="B44" s="90"/>
      <c r="C44" s="90"/>
      <c r="D44" s="58"/>
      <c r="E44" s="58"/>
      <c r="F44" s="58"/>
      <c r="G44" s="58"/>
      <c r="H44" s="58"/>
      <c r="I44" s="58"/>
      <c r="J44" s="58"/>
      <c r="K44" s="58"/>
      <c r="L44" s="58"/>
      <c r="M44" s="58"/>
      <c r="N44" s="58"/>
    </row>
    <row r="45" spans="1:14" x14ac:dyDescent="0.3">
      <c r="A45" s="58"/>
      <c r="B45" s="90"/>
      <c r="C45" s="90"/>
      <c r="D45" s="58"/>
      <c r="E45" s="58"/>
      <c r="F45" s="58"/>
      <c r="G45" s="58"/>
      <c r="H45" s="58"/>
      <c r="I45" s="58"/>
      <c r="J45" s="58"/>
      <c r="K45" s="58"/>
      <c r="L45" s="58"/>
      <c r="M45" s="58"/>
      <c r="N45" s="58"/>
    </row>
    <row r="46" spans="1:14" x14ac:dyDescent="0.3">
      <c r="A46" s="58"/>
      <c r="B46" s="90"/>
      <c r="C46" s="90"/>
      <c r="D46" s="58"/>
      <c r="E46" s="58"/>
      <c r="F46" s="58"/>
      <c r="G46" s="58"/>
      <c r="H46" s="58"/>
      <c r="I46" s="58"/>
      <c r="J46" s="58"/>
      <c r="K46" s="58"/>
      <c r="L46" s="58"/>
      <c r="M46" s="58"/>
      <c r="N46" s="58"/>
    </row>
    <row r="47" spans="1:14" x14ac:dyDescent="0.3">
      <c r="A47" s="58"/>
      <c r="B47" s="90"/>
      <c r="C47" s="90"/>
      <c r="D47" s="58"/>
      <c r="E47" s="58"/>
      <c r="F47" s="58"/>
      <c r="G47" s="58"/>
      <c r="H47" s="58"/>
      <c r="I47" s="58"/>
      <c r="J47" s="58"/>
      <c r="K47" s="58"/>
      <c r="L47" s="58"/>
      <c r="M47" s="58"/>
      <c r="N47" s="58"/>
    </row>
    <row r="48" spans="1:14" x14ac:dyDescent="0.3">
      <c r="A48" s="58"/>
      <c r="B48" s="90"/>
      <c r="C48" s="90"/>
      <c r="D48" s="58"/>
      <c r="E48" s="58"/>
      <c r="F48" s="58"/>
      <c r="G48" s="58"/>
      <c r="H48" s="58"/>
      <c r="I48" s="58"/>
      <c r="J48" s="58"/>
      <c r="K48" s="58"/>
      <c r="L48" s="58"/>
      <c r="M48" s="58"/>
      <c r="N48" s="58"/>
    </row>
    <row r="49" spans="1:14" x14ac:dyDescent="0.3">
      <c r="A49" s="58"/>
      <c r="B49" s="90"/>
      <c r="C49" s="90"/>
      <c r="D49" s="58"/>
      <c r="E49" s="58"/>
      <c r="F49" s="58"/>
      <c r="G49" s="58"/>
      <c r="H49" s="58"/>
      <c r="I49" s="58"/>
      <c r="J49" s="58"/>
      <c r="K49" s="58"/>
      <c r="L49" s="58"/>
      <c r="M49" s="58"/>
      <c r="N49" s="58"/>
    </row>
    <row r="50" spans="1:14" x14ac:dyDescent="0.3">
      <c r="A50" s="58"/>
      <c r="B50" s="90"/>
      <c r="C50" s="90"/>
      <c r="D50" s="58"/>
      <c r="E50" s="58"/>
      <c r="F50" s="58"/>
      <c r="G50" s="58"/>
      <c r="H50" s="58"/>
      <c r="I50" s="58"/>
      <c r="J50" s="58"/>
      <c r="K50" s="58"/>
      <c r="L50" s="58"/>
      <c r="M50" s="58"/>
      <c r="N50" s="58"/>
    </row>
    <row r="51" spans="1:14" x14ac:dyDescent="0.3">
      <c r="A51" s="58"/>
      <c r="B51" s="90"/>
      <c r="C51" s="90"/>
      <c r="D51" s="58"/>
      <c r="E51" s="58"/>
      <c r="F51" s="58"/>
      <c r="G51" s="58"/>
      <c r="H51" s="58"/>
      <c r="I51" s="58"/>
      <c r="J51" s="58"/>
      <c r="K51" s="58"/>
      <c r="L51" s="58"/>
      <c r="M51" s="58"/>
      <c r="N51" s="58"/>
    </row>
    <row r="52" spans="1:14" x14ac:dyDescent="0.3">
      <c r="A52" s="58"/>
      <c r="B52" s="90"/>
      <c r="C52" s="90"/>
      <c r="D52" s="58"/>
      <c r="E52" s="58"/>
      <c r="F52" s="58"/>
      <c r="G52" s="58"/>
      <c r="H52" s="58"/>
      <c r="I52" s="58"/>
      <c r="J52" s="58"/>
      <c r="K52" s="58"/>
      <c r="L52" s="58"/>
      <c r="M52" s="58"/>
      <c r="N52" s="58"/>
    </row>
    <row r="53" spans="1:14" x14ac:dyDescent="0.3">
      <c r="A53" s="58"/>
      <c r="B53" s="90"/>
      <c r="C53" s="90"/>
      <c r="D53" s="58"/>
      <c r="E53" s="58"/>
      <c r="F53" s="58"/>
      <c r="G53" s="58"/>
      <c r="H53" s="58"/>
      <c r="I53" s="58"/>
      <c r="J53" s="58"/>
      <c r="K53" s="58"/>
      <c r="L53" s="58"/>
      <c r="M53" s="58"/>
      <c r="N53" s="58"/>
    </row>
    <row r="54" spans="1:14" x14ac:dyDescent="0.3">
      <c r="A54" s="58"/>
      <c r="B54" s="90"/>
      <c r="C54" s="90"/>
      <c r="D54" s="58"/>
      <c r="E54" s="58"/>
      <c r="F54" s="58"/>
      <c r="G54" s="58"/>
      <c r="H54" s="58"/>
      <c r="I54" s="58"/>
      <c r="J54" s="58"/>
      <c r="K54" s="58"/>
      <c r="L54" s="58"/>
      <c r="M54" s="58"/>
      <c r="N54" s="58"/>
    </row>
    <row r="55" spans="1:14" x14ac:dyDescent="0.3">
      <c r="A55" s="58"/>
      <c r="B55" s="90"/>
      <c r="C55" s="90"/>
      <c r="D55" s="58"/>
      <c r="E55" s="58"/>
      <c r="F55" s="58"/>
      <c r="G55" s="58"/>
      <c r="H55" s="58"/>
      <c r="I55" s="58"/>
      <c r="J55" s="58"/>
      <c r="K55" s="58"/>
      <c r="L55" s="58"/>
      <c r="M55" s="58"/>
      <c r="N55" s="58"/>
    </row>
    <row r="56" spans="1:14" x14ac:dyDescent="0.3">
      <c r="A56" s="58"/>
      <c r="B56" s="90"/>
      <c r="C56" s="90"/>
      <c r="D56" s="58"/>
      <c r="E56" s="58"/>
      <c r="F56" s="58"/>
      <c r="G56" s="58"/>
      <c r="H56" s="58"/>
      <c r="I56" s="58"/>
      <c r="J56" s="58"/>
      <c r="K56" s="58"/>
      <c r="L56" s="58"/>
      <c r="M56" s="58"/>
      <c r="N56" s="58"/>
    </row>
    <row r="57" spans="1:14" x14ac:dyDescent="0.3">
      <c r="A57" s="58"/>
      <c r="B57" s="90"/>
      <c r="C57" s="90"/>
      <c r="D57" s="58"/>
      <c r="E57" s="58"/>
      <c r="F57" s="58"/>
      <c r="G57" s="58"/>
      <c r="H57" s="58"/>
      <c r="I57" s="58"/>
      <c r="J57" s="58"/>
      <c r="K57" s="58"/>
      <c r="L57" s="58"/>
      <c r="M57" s="58"/>
      <c r="N57" s="58"/>
    </row>
    <row r="58" spans="1:14" x14ac:dyDescent="0.3">
      <c r="A58" s="58"/>
      <c r="B58" s="90"/>
      <c r="C58" s="90"/>
      <c r="D58" s="58"/>
      <c r="E58" s="58"/>
      <c r="F58" s="58"/>
      <c r="G58" s="58"/>
      <c r="H58" s="58"/>
      <c r="I58" s="58"/>
      <c r="J58" s="58"/>
      <c r="K58" s="58"/>
      <c r="L58" s="58"/>
      <c r="M58" s="58"/>
      <c r="N58" s="58"/>
    </row>
    <row r="59" spans="1:14" x14ac:dyDescent="0.3">
      <c r="A59" s="58"/>
      <c r="B59" s="90"/>
      <c r="C59" s="90"/>
      <c r="D59" s="58"/>
      <c r="E59" s="58"/>
      <c r="F59" s="58"/>
      <c r="G59" s="58"/>
      <c r="H59" s="58"/>
      <c r="I59" s="58"/>
      <c r="J59" s="58"/>
      <c r="K59" s="58"/>
      <c r="L59" s="58"/>
      <c r="M59" s="58"/>
      <c r="N59" s="58"/>
    </row>
    <row r="60" spans="1:14" x14ac:dyDescent="0.3">
      <c r="A60" s="58"/>
      <c r="B60" s="90"/>
      <c r="C60" s="90"/>
      <c r="D60" s="58"/>
      <c r="E60" s="58"/>
      <c r="F60" s="58"/>
      <c r="G60" s="58"/>
      <c r="H60" s="58"/>
      <c r="I60" s="58"/>
      <c r="J60" s="58"/>
      <c r="K60" s="58"/>
      <c r="L60" s="58"/>
      <c r="M60" s="58"/>
      <c r="N60" s="58"/>
    </row>
    <row r="61" spans="1:14" x14ac:dyDescent="0.3">
      <c r="A61" s="58"/>
    </row>
    <row r="62" spans="1:14" x14ac:dyDescent="0.3">
      <c r="A62" s="58"/>
    </row>
    <row r="63" spans="1:14" x14ac:dyDescent="0.3">
      <c r="A63" s="58"/>
    </row>
    <row r="64" spans="1:14" x14ac:dyDescent="0.3">
      <c r="A64" s="58"/>
    </row>
    <row r="65" spans="1:1" x14ac:dyDescent="0.3">
      <c r="A65" s="58"/>
    </row>
    <row r="66" spans="1:1" x14ac:dyDescent="0.3">
      <c r="A66" s="58"/>
    </row>
    <row r="67" spans="1:1" x14ac:dyDescent="0.3">
      <c r="A67" s="58"/>
    </row>
    <row r="68" spans="1:1" x14ac:dyDescent="0.3">
      <c r="A68" s="58"/>
    </row>
    <row r="69" spans="1:1" x14ac:dyDescent="0.3">
      <c r="A69" s="58"/>
    </row>
    <row r="70" spans="1:1" x14ac:dyDescent="0.3">
      <c r="A70" s="58"/>
    </row>
    <row r="71" spans="1:1" x14ac:dyDescent="0.3">
      <c r="A71" s="58"/>
    </row>
    <row r="72" spans="1:1" x14ac:dyDescent="0.3">
      <c r="A72" s="58"/>
    </row>
    <row r="73" spans="1:1" x14ac:dyDescent="0.3">
      <c r="A73" s="58"/>
    </row>
    <row r="74" spans="1:1" x14ac:dyDescent="0.3">
      <c r="A74" s="58"/>
    </row>
    <row r="75" spans="1:1" x14ac:dyDescent="0.3">
      <c r="A75" s="58"/>
    </row>
    <row r="76" spans="1:1" x14ac:dyDescent="0.3">
      <c r="A76" s="58"/>
    </row>
    <row r="77" spans="1:1" x14ac:dyDescent="0.3">
      <c r="A77" s="58"/>
    </row>
    <row r="78" spans="1:1" x14ac:dyDescent="0.3">
      <c r="A78" s="58"/>
    </row>
    <row r="79" spans="1:1" x14ac:dyDescent="0.3">
      <c r="A79" s="58"/>
    </row>
    <row r="80" spans="1:1" x14ac:dyDescent="0.3">
      <c r="A80" s="58"/>
    </row>
    <row r="81" spans="1:1" x14ac:dyDescent="0.3">
      <c r="A81" s="58"/>
    </row>
    <row r="82" spans="1:1" x14ac:dyDescent="0.3">
      <c r="A82" s="58"/>
    </row>
    <row r="83" spans="1:1" x14ac:dyDescent="0.3">
      <c r="A83" s="58"/>
    </row>
    <row r="84" spans="1:1" x14ac:dyDescent="0.3">
      <c r="A84" s="58"/>
    </row>
    <row r="85" spans="1:1" x14ac:dyDescent="0.3">
      <c r="A85" s="58"/>
    </row>
    <row r="86" spans="1:1" x14ac:dyDescent="0.3">
      <c r="A86" s="58"/>
    </row>
    <row r="87" spans="1:1" x14ac:dyDescent="0.3">
      <c r="A87" s="58"/>
    </row>
    <row r="88" spans="1:1" x14ac:dyDescent="0.3">
      <c r="A88" s="58"/>
    </row>
    <row r="89" spans="1:1" x14ac:dyDescent="0.3">
      <c r="A89" s="58"/>
    </row>
    <row r="90" spans="1:1" x14ac:dyDescent="0.3">
      <c r="A90" s="58"/>
    </row>
    <row r="91" spans="1:1" x14ac:dyDescent="0.3">
      <c r="A91" s="58"/>
    </row>
    <row r="92" spans="1:1" x14ac:dyDescent="0.3">
      <c r="A92" s="58"/>
    </row>
    <row r="93" spans="1:1" x14ac:dyDescent="0.3">
      <c r="A93" s="58"/>
    </row>
    <row r="94" spans="1:1" x14ac:dyDescent="0.3">
      <c r="A94" s="58"/>
    </row>
    <row r="95" spans="1:1" x14ac:dyDescent="0.3">
      <c r="A95" s="58"/>
    </row>
    <row r="96" spans="1:1" x14ac:dyDescent="0.3">
      <c r="A96" s="58"/>
    </row>
    <row r="97" spans="1:1" x14ac:dyDescent="0.3">
      <c r="A97" s="58"/>
    </row>
    <row r="98" spans="1:1" x14ac:dyDescent="0.3">
      <c r="A98" s="58"/>
    </row>
    <row r="99" spans="1:1" x14ac:dyDescent="0.3">
      <c r="A99" s="58"/>
    </row>
    <row r="100" spans="1:1" x14ac:dyDescent="0.3">
      <c r="A100" s="58"/>
    </row>
    <row r="101" spans="1:1" x14ac:dyDescent="0.3">
      <c r="A101" s="58"/>
    </row>
    <row r="102" spans="1:1" x14ac:dyDescent="0.3">
      <c r="A102" s="58"/>
    </row>
    <row r="103" spans="1:1" x14ac:dyDescent="0.3">
      <c r="A103" s="58"/>
    </row>
    <row r="104" spans="1:1" x14ac:dyDescent="0.3">
      <c r="A104" s="58"/>
    </row>
    <row r="105" spans="1:1" x14ac:dyDescent="0.3">
      <c r="A105" s="58"/>
    </row>
    <row r="106" spans="1:1" x14ac:dyDescent="0.3">
      <c r="A106" s="58"/>
    </row>
    <row r="107" spans="1:1" x14ac:dyDescent="0.3">
      <c r="A107" s="58"/>
    </row>
    <row r="108" spans="1:1" x14ac:dyDescent="0.3">
      <c r="A108" s="58"/>
    </row>
    <row r="109" spans="1:1" x14ac:dyDescent="0.3">
      <c r="A109" s="58"/>
    </row>
    <row r="110" spans="1:1" x14ac:dyDescent="0.3">
      <c r="A110" s="58"/>
    </row>
    <row r="111" spans="1:1" x14ac:dyDescent="0.3">
      <c r="A111" s="58"/>
    </row>
    <row r="112" spans="1:1" x14ac:dyDescent="0.3">
      <c r="A112" s="58"/>
    </row>
    <row r="113" spans="1:1" x14ac:dyDescent="0.3">
      <c r="A113" s="58"/>
    </row>
    <row r="114" spans="1:1" x14ac:dyDescent="0.3">
      <c r="A114" s="58"/>
    </row>
    <row r="115" spans="1:1" x14ac:dyDescent="0.3">
      <c r="A115" s="58"/>
    </row>
    <row r="116" spans="1:1" x14ac:dyDescent="0.3">
      <c r="A116" s="58"/>
    </row>
    <row r="117" spans="1:1" x14ac:dyDescent="0.3">
      <c r="A117" s="58"/>
    </row>
    <row r="118" spans="1:1" x14ac:dyDescent="0.3">
      <c r="A118" s="58"/>
    </row>
    <row r="119" spans="1:1" x14ac:dyDescent="0.3">
      <c r="A119" s="58"/>
    </row>
    <row r="120" spans="1:1" x14ac:dyDescent="0.3">
      <c r="A120" s="58"/>
    </row>
    <row r="121" spans="1:1" x14ac:dyDescent="0.3">
      <c r="A121" s="58"/>
    </row>
    <row r="122" spans="1:1" x14ac:dyDescent="0.3">
      <c r="A122" s="58"/>
    </row>
    <row r="123" spans="1:1" x14ac:dyDescent="0.3">
      <c r="A123" s="58"/>
    </row>
    <row r="124" spans="1:1" x14ac:dyDescent="0.3">
      <c r="A124" s="58"/>
    </row>
    <row r="125" spans="1:1" x14ac:dyDescent="0.3">
      <c r="A125" s="58"/>
    </row>
    <row r="126" spans="1:1" x14ac:dyDescent="0.3">
      <c r="A126" s="58"/>
    </row>
    <row r="127" spans="1:1" x14ac:dyDescent="0.3">
      <c r="A127" s="58"/>
    </row>
    <row r="128" spans="1:1" x14ac:dyDescent="0.3">
      <c r="A128" s="58"/>
    </row>
    <row r="129" spans="1:1" x14ac:dyDescent="0.3">
      <c r="A129" s="58"/>
    </row>
    <row r="130" spans="1:1" x14ac:dyDescent="0.3">
      <c r="A130" s="58"/>
    </row>
    <row r="131" spans="1:1" x14ac:dyDescent="0.3">
      <c r="A131" s="58"/>
    </row>
    <row r="132" spans="1:1" x14ac:dyDescent="0.3">
      <c r="A132" s="58"/>
    </row>
    <row r="133" spans="1:1" x14ac:dyDescent="0.3">
      <c r="A133" s="58"/>
    </row>
    <row r="134" spans="1:1" x14ac:dyDescent="0.3">
      <c r="A134" s="58"/>
    </row>
    <row r="135" spans="1:1" x14ac:dyDescent="0.3">
      <c r="A135" s="58"/>
    </row>
    <row r="136" spans="1:1" x14ac:dyDescent="0.3">
      <c r="A136" s="58"/>
    </row>
    <row r="137" spans="1:1" x14ac:dyDescent="0.3">
      <c r="A137" s="58"/>
    </row>
    <row r="138" spans="1:1" x14ac:dyDescent="0.3">
      <c r="A138" s="58"/>
    </row>
    <row r="139" spans="1:1" x14ac:dyDescent="0.3">
      <c r="A139" s="58"/>
    </row>
    <row r="140" spans="1:1" x14ac:dyDescent="0.3">
      <c r="A140" s="58"/>
    </row>
    <row r="141" spans="1:1" x14ac:dyDescent="0.3">
      <c r="A141" s="58"/>
    </row>
    <row r="142" spans="1:1" x14ac:dyDescent="0.3">
      <c r="A142" s="58"/>
    </row>
    <row r="143" spans="1:1" x14ac:dyDescent="0.3">
      <c r="A143" s="58"/>
    </row>
    <row r="144" spans="1:1" x14ac:dyDescent="0.3">
      <c r="A144" s="58"/>
    </row>
    <row r="145" spans="1:1" x14ac:dyDescent="0.3">
      <c r="A145" s="58"/>
    </row>
    <row r="146" spans="1:1" x14ac:dyDescent="0.3">
      <c r="A146" s="58"/>
    </row>
    <row r="147" spans="1:1" x14ac:dyDescent="0.3">
      <c r="A147" s="58"/>
    </row>
    <row r="148" spans="1:1" x14ac:dyDescent="0.3">
      <c r="A148" s="58"/>
    </row>
    <row r="149" spans="1:1" x14ac:dyDescent="0.3">
      <c r="A149" s="58"/>
    </row>
    <row r="150" spans="1:1" x14ac:dyDescent="0.3">
      <c r="A150" s="58"/>
    </row>
    <row r="151" spans="1:1" x14ac:dyDescent="0.3">
      <c r="A151" s="58"/>
    </row>
    <row r="152" spans="1:1" x14ac:dyDescent="0.3">
      <c r="A152" s="58"/>
    </row>
    <row r="153" spans="1:1" x14ac:dyDescent="0.3">
      <c r="A153" s="58"/>
    </row>
    <row r="154" spans="1:1" x14ac:dyDescent="0.3">
      <c r="A154" s="58"/>
    </row>
    <row r="155" spans="1:1" x14ac:dyDescent="0.3">
      <c r="A155" s="58"/>
    </row>
    <row r="156" spans="1:1" x14ac:dyDescent="0.3">
      <c r="A156" s="58"/>
    </row>
    <row r="157" spans="1:1" x14ac:dyDescent="0.3">
      <c r="A157" s="58"/>
    </row>
    <row r="158" spans="1:1" x14ac:dyDescent="0.3">
      <c r="A158" s="58"/>
    </row>
    <row r="159" spans="1:1" x14ac:dyDescent="0.3">
      <c r="A159" s="58"/>
    </row>
    <row r="160" spans="1:1" x14ac:dyDescent="0.3">
      <c r="A160" s="58"/>
    </row>
    <row r="161" spans="1:1" x14ac:dyDescent="0.3">
      <c r="A161" s="58"/>
    </row>
    <row r="162" spans="1:1" x14ac:dyDescent="0.3">
      <c r="A162" s="58"/>
    </row>
    <row r="163" spans="1:1" x14ac:dyDescent="0.3">
      <c r="A163" s="58"/>
    </row>
    <row r="164" spans="1:1" x14ac:dyDescent="0.3">
      <c r="A164" s="58"/>
    </row>
    <row r="165" spans="1:1" x14ac:dyDescent="0.3">
      <c r="A165" s="58"/>
    </row>
    <row r="166" spans="1:1" x14ac:dyDescent="0.3">
      <c r="A166" s="58"/>
    </row>
    <row r="167" spans="1:1" x14ac:dyDescent="0.3">
      <c r="A167" s="58"/>
    </row>
    <row r="168" spans="1:1" x14ac:dyDescent="0.3">
      <c r="A168" s="58"/>
    </row>
    <row r="169" spans="1:1" x14ac:dyDescent="0.3">
      <c r="A169" s="58"/>
    </row>
    <row r="170" spans="1:1" x14ac:dyDescent="0.3">
      <c r="A170" s="58"/>
    </row>
    <row r="171" spans="1:1" x14ac:dyDescent="0.3">
      <c r="A171" s="58"/>
    </row>
    <row r="172" spans="1:1" x14ac:dyDescent="0.3">
      <c r="A172" s="58"/>
    </row>
    <row r="173" spans="1:1" x14ac:dyDescent="0.3">
      <c r="A173" s="58"/>
    </row>
    <row r="174" spans="1:1" x14ac:dyDescent="0.3">
      <c r="A174" s="58"/>
    </row>
    <row r="175" spans="1:1" x14ac:dyDescent="0.3">
      <c r="A175" s="58"/>
    </row>
    <row r="176" spans="1:1" x14ac:dyDescent="0.3">
      <c r="A176" s="58"/>
    </row>
    <row r="177" spans="1:1" x14ac:dyDescent="0.3">
      <c r="A177" s="58"/>
    </row>
    <row r="178" spans="1:1" x14ac:dyDescent="0.3">
      <c r="A178" s="58"/>
    </row>
    <row r="179" spans="1:1" x14ac:dyDescent="0.3">
      <c r="A179" s="58"/>
    </row>
    <row r="180" spans="1:1" x14ac:dyDescent="0.3">
      <c r="A180" s="58"/>
    </row>
    <row r="181" spans="1:1" x14ac:dyDescent="0.3">
      <c r="A181" s="58"/>
    </row>
    <row r="182" spans="1:1" x14ac:dyDescent="0.3">
      <c r="A182" s="58"/>
    </row>
    <row r="183" spans="1:1" x14ac:dyDescent="0.3">
      <c r="A183" s="58"/>
    </row>
    <row r="184" spans="1:1" x14ac:dyDescent="0.3">
      <c r="A184" s="58"/>
    </row>
    <row r="185" spans="1:1" x14ac:dyDescent="0.3">
      <c r="A185" s="58"/>
    </row>
    <row r="186" spans="1:1" x14ac:dyDescent="0.3">
      <c r="A186" s="58"/>
    </row>
    <row r="187" spans="1:1" x14ac:dyDescent="0.3">
      <c r="A187" s="58"/>
    </row>
    <row r="188" spans="1:1" x14ac:dyDescent="0.3">
      <c r="A188" s="58"/>
    </row>
    <row r="189" spans="1:1" x14ac:dyDescent="0.3">
      <c r="A189" s="58"/>
    </row>
    <row r="190" spans="1:1" x14ac:dyDescent="0.3">
      <c r="A190" s="58"/>
    </row>
    <row r="191" spans="1:1" x14ac:dyDescent="0.3">
      <c r="A191" s="58"/>
    </row>
    <row r="192" spans="1:1" x14ac:dyDescent="0.3">
      <c r="A192" s="58"/>
    </row>
    <row r="193" spans="1:1" x14ac:dyDescent="0.3">
      <c r="A193" s="58"/>
    </row>
    <row r="194" spans="1:1" x14ac:dyDescent="0.3">
      <c r="A194" s="58"/>
    </row>
    <row r="195" spans="1:1" x14ac:dyDescent="0.3">
      <c r="A195" s="58"/>
    </row>
    <row r="196" spans="1:1" x14ac:dyDescent="0.3">
      <c r="A196" s="58"/>
    </row>
    <row r="197" spans="1:1" x14ac:dyDescent="0.3">
      <c r="A197" s="58"/>
    </row>
    <row r="198" spans="1:1" x14ac:dyDescent="0.3">
      <c r="A198" s="58"/>
    </row>
    <row r="199" spans="1:1" x14ac:dyDescent="0.3">
      <c r="A199" s="58"/>
    </row>
    <row r="200" spans="1:1" x14ac:dyDescent="0.3">
      <c r="A200" s="58"/>
    </row>
    <row r="201" spans="1:1" x14ac:dyDescent="0.3">
      <c r="A201" s="58"/>
    </row>
    <row r="202" spans="1:1" x14ac:dyDescent="0.3">
      <c r="A202" s="58"/>
    </row>
    <row r="203" spans="1:1" x14ac:dyDescent="0.3">
      <c r="A203" s="58"/>
    </row>
    <row r="204" spans="1:1" x14ac:dyDescent="0.3">
      <c r="A204" s="58"/>
    </row>
    <row r="205" spans="1:1" x14ac:dyDescent="0.3">
      <c r="A205" s="58"/>
    </row>
    <row r="206" spans="1:1" x14ac:dyDescent="0.3">
      <c r="A206" s="58"/>
    </row>
    <row r="207" spans="1:1" x14ac:dyDescent="0.3">
      <c r="A207" s="58"/>
    </row>
    <row r="208" spans="1:1" x14ac:dyDescent="0.3">
      <c r="A208" s="58"/>
    </row>
    <row r="209" spans="1:1" x14ac:dyDescent="0.3">
      <c r="A209" s="58"/>
    </row>
    <row r="210" spans="1:1" x14ac:dyDescent="0.3">
      <c r="A210" s="58"/>
    </row>
    <row r="211" spans="1:1" x14ac:dyDescent="0.3">
      <c r="A211" s="58"/>
    </row>
    <row r="212" spans="1:1" x14ac:dyDescent="0.3">
      <c r="A212" s="58"/>
    </row>
    <row r="213" spans="1:1" x14ac:dyDescent="0.3">
      <c r="A213" s="58"/>
    </row>
    <row r="214" spans="1:1" x14ac:dyDescent="0.3">
      <c r="A214" s="58"/>
    </row>
    <row r="215" spans="1:1" x14ac:dyDescent="0.3">
      <c r="A215" s="58"/>
    </row>
    <row r="216" spans="1:1" x14ac:dyDescent="0.3">
      <c r="A216" s="58"/>
    </row>
    <row r="217" spans="1:1" x14ac:dyDescent="0.3">
      <c r="A217" s="58"/>
    </row>
    <row r="218" spans="1:1" x14ac:dyDescent="0.3">
      <c r="A218" s="58"/>
    </row>
    <row r="219" spans="1:1" x14ac:dyDescent="0.3">
      <c r="A219" s="58"/>
    </row>
    <row r="220" spans="1:1" x14ac:dyDescent="0.3">
      <c r="A220" s="58"/>
    </row>
    <row r="221" spans="1:1" x14ac:dyDescent="0.3">
      <c r="A221" s="58"/>
    </row>
    <row r="222" spans="1:1" x14ac:dyDescent="0.3">
      <c r="A222" s="58"/>
    </row>
    <row r="223" spans="1:1" x14ac:dyDescent="0.3">
      <c r="A223" s="58"/>
    </row>
    <row r="224" spans="1:1" x14ac:dyDescent="0.3">
      <c r="A224" s="58"/>
    </row>
    <row r="225" spans="1:1" x14ac:dyDescent="0.3">
      <c r="A225" s="58"/>
    </row>
    <row r="226" spans="1:1" x14ac:dyDescent="0.3">
      <c r="A226" s="58"/>
    </row>
    <row r="227" spans="1:1" x14ac:dyDescent="0.3">
      <c r="A227" s="58"/>
    </row>
    <row r="228" spans="1:1" x14ac:dyDescent="0.3">
      <c r="A228" s="58"/>
    </row>
    <row r="229" spans="1:1" x14ac:dyDescent="0.3">
      <c r="A229" s="58"/>
    </row>
    <row r="230" spans="1:1" x14ac:dyDescent="0.3">
      <c r="A230" s="58"/>
    </row>
    <row r="231" spans="1:1" x14ac:dyDescent="0.3">
      <c r="A231" s="58"/>
    </row>
    <row r="232" spans="1:1" x14ac:dyDescent="0.3">
      <c r="A232" s="58"/>
    </row>
    <row r="233" spans="1:1" x14ac:dyDescent="0.3">
      <c r="A233" s="58"/>
    </row>
    <row r="234" spans="1:1" x14ac:dyDescent="0.3">
      <c r="A234" s="58"/>
    </row>
    <row r="235" spans="1:1" x14ac:dyDescent="0.3">
      <c r="A235" s="58"/>
    </row>
    <row r="236" spans="1:1" x14ac:dyDescent="0.3">
      <c r="A236" s="58"/>
    </row>
    <row r="237" spans="1:1" x14ac:dyDescent="0.3">
      <c r="A237" s="58"/>
    </row>
    <row r="238" spans="1:1" x14ac:dyDescent="0.3">
      <c r="A238" s="58"/>
    </row>
    <row r="239" spans="1:1" x14ac:dyDescent="0.3">
      <c r="A239" s="58"/>
    </row>
    <row r="240" spans="1:1" x14ac:dyDescent="0.3">
      <c r="A240" s="58"/>
    </row>
    <row r="241" spans="1:1" x14ac:dyDescent="0.3">
      <c r="A241" s="58"/>
    </row>
    <row r="242" spans="1:1" x14ac:dyDescent="0.3">
      <c r="A242" s="58"/>
    </row>
    <row r="243" spans="1:1" x14ac:dyDescent="0.3">
      <c r="A243" s="58"/>
    </row>
    <row r="244" spans="1:1" x14ac:dyDescent="0.3">
      <c r="A244" s="58"/>
    </row>
    <row r="245" spans="1:1" x14ac:dyDescent="0.3">
      <c r="A245" s="58"/>
    </row>
  </sheetData>
  <mergeCells count="3">
    <mergeCell ref="B12:C12"/>
    <mergeCell ref="B19:C19"/>
    <mergeCell ref="B5:E7"/>
  </mergeCells>
  <printOptions horizontalCentered="1" headings="1"/>
  <pageMargins left="1" right="1" top="1.25" bottom="1" header="0.5" footer="0.5"/>
  <pageSetup scale="64" orientation="portrait" r:id="rId1"/>
  <headerFooter scaleWithDoc="0">
    <oddHeader>&amp;R&amp;"Arial,Bold"ICC Docket No. 17-0312
Statewide Quarterly Report ComEd 2019 Q4 
Tab: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topLeftCell="A7" zoomScale="75" workbookViewId="0">
      <selection activeCell="C36" sqref="C36"/>
    </sheetView>
  </sheetViews>
  <sheetFormatPr defaultColWidth="0" defaultRowHeight="14.4" zeroHeight="1" x14ac:dyDescent="0.3"/>
  <cols>
    <col min="1" max="1" width="3.5546875" customWidth="1"/>
    <col min="2" max="2" width="18.5546875" style="10" customWidth="1"/>
    <col min="3" max="3" width="22.109375" customWidth="1"/>
    <col min="4" max="4" width="24.109375" customWidth="1"/>
    <col min="5" max="6" width="18.5546875" customWidth="1"/>
    <col min="7" max="7" width="19.109375" customWidth="1"/>
    <col min="8" max="8" width="3.109375" customWidth="1"/>
    <col min="9" max="9" width="31.5546875" customWidth="1"/>
    <col min="10" max="10" width="32.77734375" style="228" bestFit="1" customWidth="1"/>
    <col min="11" max="11" width="42.77734375" style="228" bestFit="1" customWidth="1"/>
    <col min="12" max="15" width="17.77734375" style="228" bestFit="1" customWidth="1"/>
    <col min="16" max="16" width="29.109375" style="228" bestFit="1" customWidth="1"/>
    <col min="17" max="18" width="17.109375" style="228" bestFit="1" customWidth="1"/>
    <col min="19" max="19" width="12.109375" customWidth="1"/>
    <col min="20" max="20" width="9.109375" customWidth="1"/>
    <col min="21" max="22" width="0" hidden="1" customWidth="1"/>
    <col min="23" max="16384" width="9.109375" hidden="1"/>
  </cols>
  <sheetData>
    <row r="1" spans="1:22" x14ac:dyDescent="0.3">
      <c r="A1" s="58"/>
      <c r="B1" s="64" t="s">
        <v>0</v>
      </c>
      <c r="C1" s="58"/>
      <c r="D1" s="58"/>
      <c r="E1" s="58"/>
      <c r="F1" s="58"/>
      <c r="G1" s="58"/>
      <c r="H1" s="58"/>
      <c r="I1" s="58"/>
      <c r="J1" s="227"/>
      <c r="K1" s="227"/>
      <c r="L1" s="227"/>
      <c r="M1" s="227"/>
      <c r="N1" s="227"/>
      <c r="O1" s="227"/>
      <c r="P1" s="227"/>
      <c r="Q1" s="227"/>
      <c r="R1" s="227"/>
      <c r="S1" s="58"/>
      <c r="T1" s="58"/>
      <c r="U1" s="58"/>
      <c r="V1" s="58"/>
    </row>
    <row r="2" spans="1:22" x14ac:dyDescent="0.3">
      <c r="A2" s="58"/>
      <c r="B2" s="64" t="s">
        <v>112</v>
      </c>
      <c r="C2" s="58"/>
      <c r="D2" s="58"/>
      <c r="E2" s="58"/>
      <c r="F2" s="58"/>
      <c r="G2" s="58"/>
      <c r="H2" s="58"/>
      <c r="I2" s="58"/>
      <c r="J2" s="227"/>
      <c r="K2" s="227"/>
      <c r="L2" s="227"/>
      <c r="M2" s="227"/>
      <c r="N2" s="227"/>
      <c r="O2" s="227"/>
      <c r="P2" s="227"/>
      <c r="Q2" s="227"/>
      <c r="R2" s="227"/>
      <c r="S2" s="58"/>
      <c r="T2" s="58"/>
      <c r="U2" s="58"/>
      <c r="V2" s="58"/>
    </row>
    <row r="3" spans="1:22" x14ac:dyDescent="0.3">
      <c r="A3" s="58"/>
      <c r="B3" s="64"/>
      <c r="C3" s="58"/>
      <c r="D3" s="58"/>
      <c r="E3" s="58"/>
      <c r="F3" s="58"/>
      <c r="G3" s="58"/>
      <c r="H3" s="58"/>
      <c r="I3" s="58"/>
      <c r="J3" s="227"/>
      <c r="K3" s="227"/>
      <c r="L3" s="227"/>
      <c r="M3" s="227"/>
      <c r="N3" s="227"/>
      <c r="O3" s="227"/>
      <c r="P3" s="227"/>
      <c r="Q3" s="227"/>
      <c r="R3" s="227"/>
      <c r="S3" s="58"/>
      <c r="T3" s="58"/>
      <c r="U3" s="58"/>
      <c r="V3" s="58"/>
    </row>
    <row r="4" spans="1:22" x14ac:dyDescent="0.3">
      <c r="A4" s="58"/>
      <c r="B4" s="64"/>
      <c r="C4" s="58"/>
      <c r="D4" s="58"/>
      <c r="E4" s="58"/>
      <c r="F4" s="58"/>
      <c r="G4" s="58"/>
      <c r="H4" s="58"/>
      <c r="I4" s="58"/>
      <c r="J4" s="227"/>
      <c r="K4" s="227"/>
      <c r="L4" s="227"/>
      <c r="M4" s="227"/>
      <c r="N4" s="227"/>
      <c r="O4" s="227"/>
      <c r="P4" s="227"/>
      <c r="Q4" s="227"/>
      <c r="R4" s="227"/>
      <c r="S4" s="58"/>
      <c r="T4" s="58"/>
      <c r="U4" s="58"/>
      <c r="V4" s="58"/>
    </row>
    <row r="5" spans="1:22" ht="14.85" customHeight="1" x14ac:dyDescent="0.3">
      <c r="A5" s="58"/>
      <c r="B5" s="371" t="s">
        <v>113</v>
      </c>
      <c r="C5" s="371"/>
      <c r="D5" s="371"/>
      <c r="E5" s="371"/>
      <c r="F5" s="371"/>
      <c r="G5" s="371"/>
      <c r="H5" s="58"/>
      <c r="I5" s="58"/>
      <c r="J5" s="227"/>
      <c r="K5" s="227"/>
      <c r="L5" s="227"/>
      <c r="M5" s="227"/>
      <c r="N5" s="227"/>
      <c r="O5" s="227"/>
      <c r="P5" s="227"/>
      <c r="Q5" s="227"/>
      <c r="R5" s="227"/>
      <c r="S5" s="58"/>
      <c r="T5" s="58"/>
      <c r="U5" s="58"/>
      <c r="V5" s="58"/>
    </row>
    <row r="6" spans="1:22" x14ac:dyDescent="0.3">
      <c r="A6" s="58"/>
      <c r="B6" s="371"/>
      <c r="C6" s="371"/>
      <c r="D6" s="371"/>
      <c r="E6" s="371"/>
      <c r="F6" s="371"/>
      <c r="G6" s="371"/>
      <c r="H6" s="58"/>
      <c r="I6" s="58"/>
      <c r="J6" s="227"/>
      <c r="K6" s="227"/>
      <c r="L6" s="227"/>
      <c r="M6" s="227"/>
      <c r="N6" s="227"/>
      <c r="O6" s="227"/>
      <c r="P6" s="227"/>
      <c r="Q6" s="227"/>
      <c r="R6" s="227"/>
      <c r="S6" s="58"/>
      <c r="T6" s="58"/>
      <c r="U6" s="58"/>
      <c r="V6" s="58"/>
    </row>
    <row r="7" spans="1:22" x14ac:dyDescent="0.3">
      <c r="A7" s="58"/>
      <c r="B7" s="371"/>
      <c r="C7" s="371"/>
      <c r="D7" s="371"/>
      <c r="E7" s="371"/>
      <c r="F7" s="371"/>
      <c r="G7" s="371"/>
      <c r="H7" s="58"/>
      <c r="I7" s="58"/>
      <c r="J7" s="227"/>
      <c r="K7" s="227"/>
      <c r="L7" s="227"/>
      <c r="M7" s="227"/>
      <c r="N7" s="227"/>
      <c r="O7" s="227"/>
      <c r="P7" s="227"/>
      <c r="Q7" s="227"/>
      <c r="R7" s="227"/>
      <c r="S7" s="58"/>
      <c r="T7" s="58"/>
      <c r="U7" s="58"/>
      <c r="V7" s="58"/>
    </row>
    <row r="8" spans="1:22" x14ac:dyDescent="0.3">
      <c r="A8" s="58"/>
      <c r="B8" s="371"/>
      <c r="C8" s="371"/>
      <c r="D8" s="371"/>
      <c r="E8" s="371"/>
      <c r="F8" s="371"/>
      <c r="G8" s="371"/>
      <c r="H8" s="58"/>
      <c r="I8" s="58"/>
      <c r="J8" s="227"/>
      <c r="K8" s="227"/>
      <c r="L8" s="227"/>
      <c r="M8" s="227"/>
      <c r="N8" s="227"/>
      <c r="O8" s="227"/>
      <c r="P8" s="227"/>
      <c r="Q8" s="227"/>
      <c r="R8" s="227"/>
      <c r="S8" s="58"/>
      <c r="T8" s="58"/>
      <c r="U8" s="58"/>
      <c r="V8" s="58"/>
    </row>
    <row r="9" spans="1:22" x14ac:dyDescent="0.3">
      <c r="A9" s="58"/>
      <c r="B9" s="371"/>
      <c r="C9" s="371"/>
      <c r="D9" s="371"/>
      <c r="E9" s="371"/>
      <c r="F9" s="371"/>
      <c r="G9" s="371"/>
      <c r="H9" s="58"/>
      <c r="I9" s="58"/>
      <c r="J9" s="227"/>
      <c r="K9" s="227"/>
      <c r="L9" s="227"/>
      <c r="M9" s="227"/>
      <c r="N9" s="227"/>
      <c r="O9" s="227"/>
      <c r="P9" s="227"/>
      <c r="Q9" s="227"/>
      <c r="R9" s="227"/>
      <c r="S9" s="58"/>
      <c r="T9" s="58"/>
      <c r="U9" s="58"/>
      <c r="V9" s="58"/>
    </row>
    <row r="10" spans="1:22" x14ac:dyDescent="0.3">
      <c r="A10" s="58"/>
      <c r="B10" s="63"/>
      <c r="C10" s="58"/>
      <c r="D10" s="58"/>
      <c r="E10" s="58"/>
      <c r="F10" s="58"/>
      <c r="G10" s="58"/>
      <c r="H10" s="58"/>
      <c r="I10" s="58"/>
      <c r="J10" s="227"/>
      <c r="K10" s="227"/>
      <c r="L10" s="227"/>
      <c r="M10" s="227"/>
      <c r="N10" s="227"/>
      <c r="O10" s="227"/>
      <c r="P10" s="227"/>
      <c r="Q10" s="227"/>
      <c r="R10" s="227"/>
      <c r="S10" s="58"/>
      <c r="T10" s="58"/>
      <c r="U10" s="58"/>
      <c r="V10" s="58"/>
    </row>
    <row r="11" spans="1:22" ht="17.399999999999999" x14ac:dyDescent="0.3">
      <c r="A11" s="58"/>
      <c r="B11" s="66" t="s">
        <v>114</v>
      </c>
      <c r="C11" s="66"/>
      <c r="D11" s="67"/>
      <c r="E11" s="67"/>
      <c r="F11" s="67"/>
      <c r="G11" s="67"/>
      <c r="H11" s="58"/>
      <c r="I11" s="131" t="s">
        <v>115</v>
      </c>
      <c r="J11" s="227"/>
      <c r="K11" s="227"/>
      <c r="L11" s="227"/>
      <c r="M11" s="227"/>
      <c r="N11" s="227"/>
      <c r="O11" s="227"/>
      <c r="P11" s="227"/>
      <c r="Q11" s="227"/>
      <c r="R11" s="227"/>
      <c r="S11" s="58"/>
      <c r="T11" s="58"/>
      <c r="U11" s="58"/>
      <c r="V11" s="58"/>
    </row>
    <row r="12" spans="1:22" ht="18" customHeight="1" x14ac:dyDescent="0.3">
      <c r="A12" s="58"/>
      <c r="B12" s="218" t="str">
        <f>'1- Ex Ante Results'!B19</f>
        <v>CY2024 Q1</v>
      </c>
      <c r="C12" s="68"/>
      <c r="D12" s="67"/>
      <c r="E12" s="67"/>
      <c r="F12" s="67"/>
      <c r="G12" s="67"/>
      <c r="H12" s="58"/>
      <c r="I12" s="132"/>
      <c r="J12" s="227"/>
      <c r="K12" s="227"/>
      <c r="L12" s="227"/>
      <c r="M12" s="227"/>
      <c r="N12" s="227"/>
      <c r="O12" s="227"/>
      <c r="P12" s="227"/>
      <c r="Q12" s="227"/>
      <c r="R12" s="227"/>
      <c r="S12" s="58"/>
      <c r="T12" s="58"/>
      <c r="U12" s="58"/>
      <c r="V12" s="58"/>
    </row>
    <row r="13" spans="1:22" s="10" customFormat="1" ht="64.349999999999994" customHeight="1" x14ac:dyDescent="0.3">
      <c r="A13" s="63"/>
      <c r="B13" s="9" t="s">
        <v>116</v>
      </c>
      <c r="C13" s="3" t="s">
        <v>117</v>
      </c>
      <c r="D13" s="3" t="s">
        <v>6</v>
      </c>
      <c r="E13" s="3" t="s">
        <v>118</v>
      </c>
      <c r="F13" s="3" t="s">
        <v>119</v>
      </c>
      <c r="G13" s="3" t="s">
        <v>120</v>
      </c>
      <c r="H13" s="63"/>
      <c r="I13" s="9" t="s">
        <v>121</v>
      </c>
      <c r="J13" s="3" t="s">
        <v>122</v>
      </c>
      <c r="K13" s="3" t="s">
        <v>123</v>
      </c>
      <c r="L13" s="3" t="s">
        <v>124</v>
      </c>
      <c r="M13" s="3" t="s">
        <v>125</v>
      </c>
      <c r="N13" s="3" t="s">
        <v>126</v>
      </c>
      <c r="O13" s="3" t="s">
        <v>127</v>
      </c>
      <c r="P13" s="3" t="s">
        <v>128</v>
      </c>
      <c r="Q13" s="3" t="s">
        <v>129</v>
      </c>
      <c r="R13" s="3" t="s">
        <v>130</v>
      </c>
      <c r="S13" s="63"/>
      <c r="T13" s="63"/>
      <c r="U13" s="63"/>
      <c r="V13" s="63"/>
    </row>
    <row r="14" spans="1:22" ht="31.35" customHeight="1" x14ac:dyDescent="0.3">
      <c r="A14" s="58"/>
      <c r="B14" s="40" t="s">
        <v>131</v>
      </c>
      <c r="C14" s="5" t="s">
        <v>132</v>
      </c>
      <c r="D14" s="6">
        <v>163717</v>
      </c>
      <c r="E14" s="6">
        <v>148842</v>
      </c>
      <c r="F14" s="6">
        <f>E14</f>
        <v>148842</v>
      </c>
      <c r="G14" s="7">
        <f>D14/F14</f>
        <v>1.0999381894895257</v>
      </c>
      <c r="H14" s="58"/>
      <c r="I14" s="30" t="s">
        <v>133</v>
      </c>
      <c r="J14" s="235">
        <v>18636</v>
      </c>
      <c r="K14" s="235">
        <v>34038</v>
      </c>
      <c r="L14" s="235">
        <v>54130</v>
      </c>
      <c r="M14" s="235">
        <v>107640</v>
      </c>
      <c r="N14" s="235">
        <v>98944</v>
      </c>
      <c r="O14" s="235">
        <v>86439</v>
      </c>
      <c r="P14" s="235">
        <v>85124.305999999997</v>
      </c>
      <c r="Q14" s="236">
        <v>30340.597000000002</v>
      </c>
      <c r="R14" s="235">
        <v>171941.09</v>
      </c>
      <c r="S14" s="58"/>
      <c r="T14" s="58"/>
      <c r="U14" s="58"/>
      <c r="V14" s="58"/>
    </row>
    <row r="15" spans="1:22" s="10" customFormat="1" ht="31.35" customHeight="1" x14ac:dyDescent="0.25">
      <c r="A15" s="63"/>
      <c r="B15" s="40" t="s">
        <v>134</v>
      </c>
      <c r="C15" s="5" t="s">
        <v>132</v>
      </c>
      <c r="D15" s="28">
        <v>472132</v>
      </c>
      <c r="E15" s="28">
        <v>312339</v>
      </c>
      <c r="F15" s="6">
        <f>E15</f>
        <v>312339</v>
      </c>
      <c r="G15" s="29">
        <f t="shared" ref="G15:G30" si="0">D15/F15</f>
        <v>1.5116011769263524</v>
      </c>
      <c r="H15" s="63"/>
      <c r="I15" s="26" t="s">
        <v>135</v>
      </c>
      <c r="J15" s="226" t="s">
        <v>132</v>
      </c>
      <c r="K15" s="226" t="s">
        <v>132</v>
      </c>
      <c r="L15" s="226" t="s">
        <v>132</v>
      </c>
      <c r="M15" s="226" t="s">
        <v>132</v>
      </c>
      <c r="N15" s="226" t="s">
        <v>132</v>
      </c>
      <c r="O15" s="226" t="s">
        <v>132</v>
      </c>
      <c r="P15" s="226" t="s">
        <v>136</v>
      </c>
      <c r="Q15" s="226" t="s">
        <v>136</v>
      </c>
      <c r="R15" s="226" t="s">
        <v>136</v>
      </c>
      <c r="S15" s="63"/>
      <c r="T15" s="63"/>
      <c r="U15" s="63"/>
      <c r="V15" s="63"/>
    </row>
    <row r="16" spans="1:22" ht="31.35" customHeight="1" x14ac:dyDescent="0.3">
      <c r="A16" s="58"/>
      <c r="B16" s="40" t="s">
        <v>137</v>
      </c>
      <c r="C16" s="5" t="s">
        <v>132</v>
      </c>
      <c r="D16" s="6">
        <v>626715</v>
      </c>
      <c r="E16" s="6">
        <v>458919</v>
      </c>
      <c r="F16" s="6">
        <f>E16</f>
        <v>458919</v>
      </c>
      <c r="G16" s="7">
        <f t="shared" si="0"/>
        <v>1.3656331509482065</v>
      </c>
      <c r="H16" s="58"/>
      <c r="I16" s="36" t="s">
        <v>138</v>
      </c>
      <c r="J16" s="229" t="s">
        <v>139</v>
      </c>
      <c r="K16" s="229" t="s">
        <v>140</v>
      </c>
      <c r="L16" s="225" t="s">
        <v>141</v>
      </c>
      <c r="M16" s="225" t="s">
        <v>142</v>
      </c>
      <c r="N16" s="225" t="s">
        <v>143</v>
      </c>
      <c r="O16" s="225" t="s">
        <v>144</v>
      </c>
      <c r="P16" s="229" t="s">
        <v>145</v>
      </c>
      <c r="Q16" s="225" t="s">
        <v>146</v>
      </c>
      <c r="R16" s="225" t="s">
        <v>146</v>
      </c>
      <c r="S16" s="58"/>
      <c r="T16" s="58"/>
      <c r="U16" s="58"/>
      <c r="V16" s="58"/>
    </row>
    <row r="17" spans="1:22" ht="27.6" x14ac:dyDescent="0.3">
      <c r="A17" s="58"/>
      <c r="B17" s="31" t="s">
        <v>147</v>
      </c>
      <c r="C17" s="18"/>
      <c r="D17" s="19">
        <f>SUM(D14:D16)</f>
        <v>1262564</v>
      </c>
      <c r="E17" s="19">
        <f>SUM(E14:E16)</f>
        <v>920100</v>
      </c>
      <c r="F17" s="19">
        <f>SUM(F14:F16)</f>
        <v>920100</v>
      </c>
      <c r="G17" s="20">
        <f t="shared" si="0"/>
        <v>1.3722030214107162</v>
      </c>
      <c r="H17" s="58"/>
      <c r="I17" s="158"/>
      <c r="J17" s="227"/>
      <c r="K17" s="227"/>
      <c r="L17" s="227"/>
      <c r="M17" s="227"/>
      <c r="N17" s="227"/>
      <c r="O17" s="227"/>
      <c r="P17" s="227"/>
      <c r="Q17" s="227"/>
      <c r="R17" s="227"/>
      <c r="S17" s="58"/>
      <c r="T17" s="58"/>
      <c r="U17" s="58"/>
      <c r="V17" s="58"/>
    </row>
    <row r="18" spans="1:22" ht="31.35" customHeight="1" x14ac:dyDescent="0.3">
      <c r="A18" s="58"/>
      <c r="B18" s="40" t="s">
        <v>148</v>
      </c>
      <c r="C18" s="5" t="s">
        <v>132</v>
      </c>
      <c r="D18" s="6">
        <v>944111</v>
      </c>
      <c r="E18" s="6">
        <v>610804</v>
      </c>
      <c r="F18" s="6">
        <f>E18</f>
        <v>610804</v>
      </c>
      <c r="G18" s="7">
        <f t="shared" si="0"/>
        <v>1.5456856864067687</v>
      </c>
      <c r="H18" s="58"/>
      <c r="I18" s="158" t="s">
        <v>87</v>
      </c>
      <c r="J18" s="227"/>
      <c r="K18" s="227"/>
      <c r="L18" s="227"/>
      <c r="M18" s="227"/>
      <c r="N18" s="227"/>
      <c r="O18" s="227"/>
      <c r="P18" s="227"/>
      <c r="Q18" s="227"/>
      <c r="R18" s="227"/>
      <c r="S18" s="58"/>
      <c r="T18" s="58"/>
      <c r="U18" s="58"/>
      <c r="V18" s="58"/>
    </row>
    <row r="19" spans="1:22" ht="31.35" customHeight="1" x14ac:dyDescent="0.3">
      <c r="A19" s="58"/>
      <c r="B19" s="40" t="s">
        <v>149</v>
      </c>
      <c r="C19" s="5" t="s">
        <v>132</v>
      </c>
      <c r="D19" s="6">
        <v>942061</v>
      </c>
      <c r="E19" s="6">
        <v>806353</v>
      </c>
      <c r="F19" s="6">
        <f>E19</f>
        <v>806353</v>
      </c>
      <c r="G19" s="7">
        <f t="shared" si="0"/>
        <v>1.1682984995405239</v>
      </c>
      <c r="H19" s="58"/>
      <c r="I19" s="343" t="s">
        <v>150</v>
      </c>
      <c r="J19" s="344"/>
      <c r="K19" s="344"/>
      <c r="L19" s="344"/>
      <c r="M19" s="344"/>
      <c r="N19" s="344"/>
      <c r="O19" s="344"/>
      <c r="P19" s="344"/>
      <c r="Q19" s="344"/>
      <c r="R19" s="345"/>
      <c r="S19" s="58"/>
      <c r="T19" s="58"/>
      <c r="U19" s="58"/>
      <c r="V19" s="58"/>
    </row>
    <row r="20" spans="1:22" ht="31.35" customHeight="1" x14ac:dyDescent="0.3">
      <c r="A20" s="58"/>
      <c r="B20" s="40" t="s">
        <v>151</v>
      </c>
      <c r="C20" s="5" t="s">
        <v>132</v>
      </c>
      <c r="D20" s="6">
        <v>977911</v>
      </c>
      <c r="E20" s="6">
        <v>809556</v>
      </c>
      <c r="F20" s="6">
        <v>791103</v>
      </c>
      <c r="G20" s="7">
        <f t="shared" si="0"/>
        <v>1.2361361289237938</v>
      </c>
      <c r="H20" s="58"/>
      <c r="I20" s="343" t="s">
        <v>152</v>
      </c>
      <c r="J20" s="344"/>
      <c r="K20" s="344"/>
      <c r="L20" s="344"/>
      <c r="M20" s="344"/>
      <c r="N20" s="344"/>
      <c r="O20" s="344"/>
      <c r="P20" s="344"/>
      <c r="Q20" s="344"/>
      <c r="R20" s="345"/>
      <c r="S20" s="58"/>
      <c r="T20" s="58"/>
      <c r="U20" s="58"/>
      <c r="V20" s="58"/>
    </row>
    <row r="21" spans="1:22" ht="43.5" customHeight="1" x14ac:dyDescent="0.3">
      <c r="A21" s="58"/>
      <c r="B21" s="31" t="s">
        <v>153</v>
      </c>
      <c r="C21" s="18"/>
      <c r="D21" s="19">
        <f>SUM(D18:D20)</f>
        <v>2864083</v>
      </c>
      <c r="E21" s="19">
        <f>SUM(E18:E20)</f>
        <v>2226713</v>
      </c>
      <c r="F21" s="19">
        <f>SUM(F18:F20)</f>
        <v>2208260</v>
      </c>
      <c r="G21" s="20">
        <f t="shared" si="0"/>
        <v>1.2969863150172534</v>
      </c>
      <c r="H21" s="58"/>
      <c r="I21" s="58"/>
      <c r="J21" s="227"/>
      <c r="K21" s="227"/>
      <c r="L21" s="227"/>
      <c r="M21" s="227"/>
      <c r="N21" s="227"/>
      <c r="O21" s="227"/>
      <c r="P21" s="227"/>
      <c r="Q21" s="227"/>
      <c r="R21" s="227"/>
      <c r="S21" s="58"/>
      <c r="T21" s="58"/>
      <c r="U21" s="58"/>
      <c r="V21" s="58"/>
    </row>
    <row r="22" spans="1:22" ht="31.35" customHeight="1" x14ac:dyDescent="0.3">
      <c r="A22" s="58"/>
      <c r="B22" s="40" t="s">
        <v>154</v>
      </c>
      <c r="C22" s="5" t="s">
        <v>136</v>
      </c>
      <c r="D22" s="6">
        <v>809877.65800000005</v>
      </c>
      <c r="E22" s="6">
        <v>648029</v>
      </c>
      <c r="F22" s="50">
        <f>E22</f>
        <v>648029</v>
      </c>
      <c r="G22" s="7">
        <f t="shared" si="0"/>
        <v>1.2497552702116728</v>
      </c>
      <c r="H22" s="58"/>
      <c r="I22" s="58"/>
      <c r="J22" s="227"/>
      <c r="K22" s="227"/>
      <c r="L22" s="227"/>
      <c r="M22" s="227"/>
      <c r="N22" s="227"/>
      <c r="O22" s="227"/>
      <c r="P22" s="227"/>
      <c r="Q22" s="227"/>
      <c r="R22" s="227"/>
      <c r="S22" s="58"/>
      <c r="T22" s="58"/>
      <c r="U22" s="58"/>
      <c r="V22" s="58"/>
    </row>
    <row r="23" spans="1:22" ht="31.35" customHeight="1" x14ac:dyDescent="0.3">
      <c r="A23" s="58"/>
      <c r="B23" s="40" t="s">
        <v>155</v>
      </c>
      <c r="C23" s="5" t="s">
        <v>136</v>
      </c>
      <c r="D23" s="6">
        <v>671027.05099999998</v>
      </c>
      <c r="E23" s="6">
        <v>541983</v>
      </c>
      <c r="F23" s="50">
        <f>E23</f>
        <v>541983</v>
      </c>
      <c r="G23" s="7">
        <f t="shared" si="0"/>
        <v>1.2380961229411254</v>
      </c>
      <c r="H23" s="58"/>
      <c r="I23" s="58"/>
      <c r="J23" s="227"/>
      <c r="K23" s="227"/>
      <c r="L23" s="227"/>
      <c r="M23" s="227"/>
      <c r="N23" s="227"/>
      <c r="O23" s="227"/>
      <c r="P23" s="227"/>
      <c r="Q23" s="227"/>
      <c r="R23" s="227"/>
      <c r="S23" s="58"/>
      <c r="T23" s="58"/>
      <c r="U23" s="58"/>
      <c r="V23" s="58"/>
    </row>
    <row r="24" spans="1:22" ht="31.35" customHeight="1" x14ac:dyDescent="0.3">
      <c r="A24" s="58"/>
      <c r="B24" s="40" t="s">
        <v>156</v>
      </c>
      <c r="C24" s="8" t="s">
        <v>136</v>
      </c>
      <c r="D24" s="6">
        <v>1087076</v>
      </c>
      <c r="E24" s="6">
        <v>787629</v>
      </c>
      <c r="F24" s="50">
        <f>E24</f>
        <v>787629</v>
      </c>
      <c r="G24" s="7">
        <f t="shared" si="0"/>
        <v>1.3801878803345229</v>
      </c>
      <c r="H24" s="58"/>
      <c r="I24" s="58"/>
      <c r="J24" s="227"/>
      <c r="K24" s="227"/>
      <c r="L24" s="227"/>
      <c r="M24" s="227"/>
      <c r="N24" s="227"/>
      <c r="O24" s="227"/>
      <c r="P24" s="227"/>
      <c r="Q24" s="227"/>
      <c r="R24" s="227"/>
      <c r="S24" s="58"/>
      <c r="T24" s="58"/>
      <c r="U24" s="58"/>
      <c r="V24" s="58"/>
    </row>
    <row r="25" spans="1:22" ht="44.25" customHeight="1" x14ac:dyDescent="0.3">
      <c r="A25" s="58"/>
      <c r="B25" s="31" t="s">
        <v>157</v>
      </c>
      <c r="C25" s="18"/>
      <c r="D25" s="19">
        <f>SUM(D22:D24)</f>
        <v>2567980.7089999998</v>
      </c>
      <c r="E25" s="19">
        <f>SUM(E22:E24)</f>
        <v>1977641</v>
      </c>
      <c r="F25" s="51">
        <f>SUM(F22:F24)</f>
        <v>1977641</v>
      </c>
      <c r="G25" s="20">
        <f t="shared" si="0"/>
        <v>1.298507013659203</v>
      </c>
      <c r="H25" s="58"/>
      <c r="I25" s="58"/>
      <c r="J25" s="227"/>
      <c r="K25" s="227"/>
      <c r="L25" s="227"/>
      <c r="M25" s="227"/>
      <c r="N25" s="227"/>
      <c r="O25" s="227"/>
      <c r="P25" s="227"/>
      <c r="Q25" s="227"/>
      <c r="R25" s="227"/>
      <c r="S25" s="58"/>
      <c r="T25" s="58"/>
      <c r="U25" s="58"/>
      <c r="V25" s="58"/>
    </row>
    <row r="26" spans="1:22" x14ac:dyDescent="0.3">
      <c r="A26" s="373" t="s">
        <v>158</v>
      </c>
      <c r="B26" s="27">
        <v>2018</v>
      </c>
      <c r="C26" s="8" t="s">
        <v>136</v>
      </c>
      <c r="D26" s="6">
        <v>1859773.2879999999</v>
      </c>
      <c r="E26" s="74">
        <v>1713349</v>
      </c>
      <c r="F26" s="50">
        <f>E26</f>
        <v>1713349</v>
      </c>
      <c r="G26" s="7">
        <f>D26/F26</f>
        <v>1.0854608652411155</v>
      </c>
      <c r="H26" s="58"/>
      <c r="I26" s="58"/>
      <c r="J26" s="227"/>
      <c r="K26" s="227"/>
      <c r="L26" s="227"/>
      <c r="M26" s="227"/>
      <c r="N26" s="227"/>
      <c r="O26" s="227"/>
      <c r="P26" s="227"/>
      <c r="Q26" s="227"/>
      <c r="R26" s="227"/>
      <c r="S26" s="58"/>
      <c r="T26" s="58"/>
      <c r="U26" s="58"/>
      <c r="V26" s="58"/>
    </row>
    <row r="27" spans="1:22" x14ac:dyDescent="0.3">
      <c r="A27" s="374"/>
      <c r="B27" s="27">
        <v>2019</v>
      </c>
      <c r="C27" s="8" t="s">
        <v>136</v>
      </c>
      <c r="D27" s="6">
        <v>1700029.4500006568</v>
      </c>
      <c r="E27" s="74">
        <v>1629672</v>
      </c>
      <c r="F27" s="50">
        <f>E27</f>
        <v>1629672</v>
      </c>
      <c r="G27" s="7">
        <f t="shared" si="0"/>
        <v>1.043172767281181</v>
      </c>
      <c r="H27" s="58"/>
      <c r="I27" s="58"/>
      <c r="J27" s="227"/>
      <c r="K27" s="227"/>
      <c r="L27" s="227"/>
      <c r="M27" s="227"/>
      <c r="N27" s="227"/>
      <c r="O27" s="227"/>
      <c r="P27" s="227"/>
      <c r="Q27" s="227"/>
      <c r="R27" s="227"/>
      <c r="S27" s="58"/>
      <c r="T27" s="58"/>
      <c r="U27" s="58"/>
      <c r="V27" s="58"/>
    </row>
    <row r="28" spans="1:22" x14ac:dyDescent="0.3">
      <c r="A28" s="374"/>
      <c r="B28" s="27">
        <v>2020</v>
      </c>
      <c r="C28" s="8" t="s">
        <v>136</v>
      </c>
      <c r="D28" s="6">
        <v>1821166.2136200001</v>
      </c>
      <c r="E28" s="74">
        <v>1637572</v>
      </c>
      <c r="F28" s="50">
        <f>E28</f>
        <v>1637572</v>
      </c>
      <c r="G28" s="7">
        <f t="shared" si="0"/>
        <v>1.1121136741590598</v>
      </c>
      <c r="H28" s="58"/>
      <c r="I28" s="58"/>
      <c r="J28" s="227"/>
      <c r="K28" s="227"/>
      <c r="L28" s="227"/>
      <c r="M28" s="227"/>
      <c r="N28" s="227"/>
      <c r="O28" s="227"/>
      <c r="P28" s="227"/>
      <c r="Q28" s="227"/>
      <c r="R28" s="227"/>
      <c r="S28" s="58"/>
      <c r="T28" s="58"/>
      <c r="U28" s="58"/>
      <c r="V28" s="58"/>
    </row>
    <row r="29" spans="1:22" x14ac:dyDescent="0.3">
      <c r="A29" s="374"/>
      <c r="B29" s="27">
        <v>2021</v>
      </c>
      <c r="C29" s="8" t="s">
        <v>136</v>
      </c>
      <c r="D29" s="6">
        <v>1849877.162</v>
      </c>
      <c r="E29" s="74">
        <v>1658918</v>
      </c>
      <c r="F29" s="6">
        <f>E29</f>
        <v>1658918</v>
      </c>
      <c r="G29" s="49">
        <f t="shared" si="0"/>
        <v>1.1151106697256887</v>
      </c>
      <c r="H29" s="58"/>
      <c r="I29" s="62"/>
      <c r="J29" s="227"/>
      <c r="K29" s="227"/>
      <c r="L29" s="227"/>
      <c r="M29" s="227"/>
      <c r="N29" s="227"/>
      <c r="O29" s="227"/>
      <c r="P29" s="227"/>
      <c r="Q29" s="227"/>
      <c r="R29" s="227"/>
      <c r="S29" s="58"/>
      <c r="T29" s="58"/>
      <c r="U29" s="58"/>
      <c r="V29" s="58"/>
    </row>
    <row r="30" spans="1:22" ht="42" customHeight="1" x14ac:dyDescent="0.3">
      <c r="A30" s="375"/>
      <c r="B30" s="31" t="s">
        <v>159</v>
      </c>
      <c r="C30" s="18"/>
      <c r="D30" s="19">
        <f>SUM(D26:D29)</f>
        <v>7230846.1136206575</v>
      </c>
      <c r="E30" s="19">
        <f>SUM(E26:E29)</f>
        <v>6639511</v>
      </c>
      <c r="F30" s="19">
        <f>SUM(F26:F29)</f>
        <v>6639511</v>
      </c>
      <c r="G30" s="20">
        <f t="shared" si="0"/>
        <v>1.0890630520260689</v>
      </c>
      <c r="H30" s="58"/>
      <c r="I30" s="58"/>
      <c r="J30" s="227"/>
      <c r="K30" s="227"/>
      <c r="L30" s="227"/>
      <c r="M30" s="227"/>
      <c r="N30" s="227"/>
      <c r="O30" s="227"/>
      <c r="P30" s="227"/>
      <c r="Q30" s="227"/>
      <c r="R30" s="227"/>
      <c r="S30" s="58"/>
      <c r="T30" s="58"/>
      <c r="U30" s="58"/>
      <c r="V30" s="58"/>
    </row>
    <row r="31" spans="1:22" ht="14.85" customHeight="1" x14ac:dyDescent="0.3">
      <c r="A31" s="373" t="s">
        <v>160</v>
      </c>
      <c r="B31" s="27">
        <v>2022</v>
      </c>
      <c r="C31" s="8" t="s">
        <v>136</v>
      </c>
      <c r="D31" s="6">
        <v>1724232</v>
      </c>
      <c r="E31" s="74">
        <v>1738072.00060309</v>
      </c>
      <c r="F31" s="50">
        <f>E31</f>
        <v>1738072.00060309</v>
      </c>
      <c r="G31" s="7">
        <f>D31/F31</f>
        <v>0.99203715346758492</v>
      </c>
      <c r="H31" s="58"/>
      <c r="I31" s="58"/>
      <c r="J31" s="227"/>
      <c r="K31" s="227"/>
      <c r="L31" s="227"/>
      <c r="M31" s="227"/>
      <c r="N31" s="227"/>
      <c r="O31" s="227"/>
      <c r="P31" s="227"/>
      <c r="Q31" s="227"/>
      <c r="R31" s="227"/>
      <c r="S31" s="58"/>
      <c r="T31" s="58"/>
      <c r="U31" s="58"/>
      <c r="V31" s="58"/>
    </row>
    <row r="32" spans="1:22" x14ac:dyDescent="0.3">
      <c r="A32" s="374"/>
      <c r="B32" s="27">
        <v>2023</v>
      </c>
      <c r="C32" s="8" t="s">
        <v>161</v>
      </c>
      <c r="D32" s="6">
        <v>1569223.0419122316</v>
      </c>
      <c r="E32" s="74">
        <v>1544746.0016381273</v>
      </c>
      <c r="F32" s="50">
        <f>E32</f>
        <v>1544746.0016381273</v>
      </c>
      <c r="G32" s="7">
        <f>D32/F32</f>
        <v>1.0158453494931514</v>
      </c>
      <c r="H32" s="58"/>
      <c r="I32" s="58"/>
      <c r="J32" s="227"/>
      <c r="K32" s="227"/>
      <c r="L32" s="227"/>
      <c r="M32" s="227"/>
      <c r="N32" s="227"/>
      <c r="O32" s="227"/>
      <c r="P32" s="227"/>
      <c r="Q32" s="227"/>
      <c r="R32" s="227"/>
      <c r="S32" s="58"/>
      <c r="T32" s="58"/>
      <c r="U32" s="58"/>
      <c r="V32" s="58"/>
    </row>
    <row r="33" spans="1:22" x14ac:dyDescent="0.3">
      <c r="A33" s="374"/>
      <c r="B33" s="27">
        <v>2024</v>
      </c>
      <c r="C33" s="8" t="s">
        <v>161</v>
      </c>
      <c r="D33" s="340">
        <f>'1- Ex Ante Results'!$C$115</f>
        <v>512921.97606999998</v>
      </c>
      <c r="E33" s="294">
        <v>1777272.2980352</v>
      </c>
      <c r="F33" s="341">
        <f>E33</f>
        <v>1777272.2980352</v>
      </c>
      <c r="G33" s="7">
        <f>D33/F33</f>
        <v>0.28860067004760193</v>
      </c>
      <c r="H33" s="58"/>
      <c r="I33" s="58"/>
      <c r="J33" s="227"/>
      <c r="K33" s="227"/>
      <c r="L33" s="227"/>
      <c r="M33" s="227"/>
      <c r="N33" s="227"/>
      <c r="O33" s="227"/>
      <c r="P33" s="227"/>
      <c r="Q33" s="227"/>
      <c r="R33" s="227"/>
      <c r="S33" s="58"/>
      <c r="T33" s="58"/>
      <c r="U33" s="58"/>
      <c r="V33" s="58"/>
    </row>
    <row r="34" spans="1:22" x14ac:dyDescent="0.3">
      <c r="A34" s="374"/>
      <c r="B34" s="27">
        <v>2025</v>
      </c>
      <c r="C34" s="8" t="s">
        <v>161</v>
      </c>
      <c r="D34" s="340" t="s">
        <v>162</v>
      </c>
      <c r="E34" s="294">
        <v>1747847.8958436295</v>
      </c>
      <c r="F34" s="340">
        <f>E34</f>
        <v>1747847.8958436295</v>
      </c>
      <c r="G34" s="49">
        <v>0</v>
      </c>
      <c r="H34" s="58"/>
      <c r="I34" s="58"/>
      <c r="J34" s="227"/>
      <c r="K34" s="227"/>
      <c r="L34" s="227"/>
      <c r="M34" s="227"/>
      <c r="N34" s="227"/>
      <c r="O34" s="227"/>
      <c r="P34" s="227"/>
      <c r="Q34" s="227"/>
      <c r="R34" s="227"/>
      <c r="S34" s="58"/>
      <c r="T34" s="58"/>
      <c r="U34" s="58"/>
      <c r="V34" s="58"/>
    </row>
    <row r="35" spans="1:22" ht="42" customHeight="1" x14ac:dyDescent="0.3">
      <c r="A35" s="375"/>
      <c r="B35" s="31" t="s">
        <v>163</v>
      </c>
      <c r="C35" s="18"/>
      <c r="D35" s="19">
        <f>SUM(D31:D34)</f>
        <v>3806377.0179822315</v>
      </c>
      <c r="E35" s="19">
        <f>SUM(E31:E34)</f>
        <v>6807938.196120047</v>
      </c>
      <c r="F35" s="19">
        <f>SUM(F31:F34)</f>
        <v>6807938.196120047</v>
      </c>
      <c r="G35" s="20">
        <f>D35/F35</f>
        <v>0.55910863294140167</v>
      </c>
      <c r="H35" s="58"/>
      <c r="I35" s="58"/>
      <c r="J35" s="227"/>
      <c r="K35" s="227"/>
      <c r="L35" s="227"/>
      <c r="M35" s="227"/>
      <c r="N35" s="227"/>
      <c r="O35" s="227"/>
      <c r="P35" s="227"/>
      <c r="Q35" s="227"/>
      <c r="R35" s="227"/>
      <c r="S35" s="58"/>
      <c r="T35" s="58"/>
      <c r="U35" s="58"/>
      <c r="V35" s="58"/>
    </row>
    <row r="36" spans="1:22" x14ac:dyDescent="0.3">
      <c r="A36" s="58"/>
      <c r="B36" s="63"/>
      <c r="C36" s="58"/>
      <c r="D36" s="58"/>
      <c r="E36" s="58"/>
      <c r="F36" s="58"/>
      <c r="G36" s="58"/>
      <c r="H36" s="58"/>
      <c r="I36" s="58"/>
      <c r="J36" s="227"/>
      <c r="K36" s="227"/>
      <c r="L36" s="227"/>
      <c r="M36" s="227"/>
      <c r="N36" s="227"/>
      <c r="O36" s="227"/>
      <c r="P36" s="227"/>
      <c r="Q36" s="227"/>
      <c r="R36" s="227"/>
      <c r="S36" s="58"/>
      <c r="T36" s="58"/>
      <c r="U36" s="58"/>
      <c r="V36" s="58"/>
    </row>
    <row r="37" spans="1:22" x14ac:dyDescent="0.3">
      <c r="A37" s="58"/>
      <c r="B37" s="63"/>
      <c r="C37" s="58"/>
      <c r="D37" s="58"/>
      <c r="E37" s="58"/>
      <c r="F37" s="58"/>
      <c r="G37" s="58"/>
      <c r="H37" s="58"/>
      <c r="I37" s="58"/>
      <c r="J37" s="227"/>
      <c r="K37" s="227"/>
      <c r="L37" s="227"/>
      <c r="M37" s="227"/>
      <c r="N37" s="227"/>
      <c r="O37" s="227"/>
      <c r="P37" s="227"/>
      <c r="Q37" s="227"/>
      <c r="R37" s="227"/>
      <c r="S37" s="58"/>
      <c r="T37" s="58"/>
      <c r="U37" s="58"/>
      <c r="V37" s="58"/>
    </row>
    <row r="38" spans="1:22" x14ac:dyDescent="0.3">
      <c r="A38" s="58"/>
      <c r="B38" s="63"/>
      <c r="C38" s="58"/>
      <c r="D38" s="58"/>
      <c r="E38" s="58"/>
      <c r="F38" s="58"/>
      <c r="G38" s="58"/>
      <c r="H38" s="58"/>
      <c r="I38" s="58"/>
      <c r="J38" s="227"/>
      <c r="K38" s="227"/>
      <c r="L38" s="227"/>
      <c r="M38" s="227"/>
      <c r="N38" s="227"/>
      <c r="O38" s="227"/>
      <c r="P38" s="227"/>
      <c r="Q38" s="227"/>
      <c r="R38" s="227"/>
      <c r="S38" s="58"/>
      <c r="T38" s="58"/>
      <c r="U38" s="58"/>
      <c r="V38" s="58"/>
    </row>
    <row r="39" spans="1:22" x14ac:dyDescent="0.3">
      <c r="A39" s="58"/>
      <c r="B39" s="63"/>
      <c r="C39" s="58"/>
      <c r="D39" s="58"/>
      <c r="E39" s="58"/>
      <c r="F39" s="58"/>
      <c r="G39" s="58"/>
      <c r="H39" s="58"/>
      <c r="I39" s="58"/>
      <c r="J39" s="227"/>
      <c r="K39" s="227"/>
      <c r="L39" s="227"/>
      <c r="M39" s="227"/>
      <c r="N39" s="227"/>
      <c r="O39" s="227"/>
      <c r="P39" s="227"/>
      <c r="Q39" s="227"/>
      <c r="R39" s="227"/>
      <c r="S39" s="58"/>
      <c r="T39" s="58"/>
      <c r="U39" s="58"/>
      <c r="V39" s="58"/>
    </row>
    <row r="40" spans="1:22" x14ac:dyDescent="0.3">
      <c r="A40" s="58"/>
      <c r="B40" s="63"/>
      <c r="C40" s="58"/>
      <c r="D40" s="58"/>
      <c r="E40" s="58"/>
      <c r="F40" s="58"/>
      <c r="G40" s="58"/>
      <c r="H40" s="58"/>
      <c r="I40" s="58"/>
      <c r="J40" s="227"/>
      <c r="K40" s="227"/>
      <c r="L40" s="227"/>
      <c r="M40" s="227"/>
      <c r="N40" s="227"/>
      <c r="O40" s="227"/>
      <c r="P40" s="227"/>
      <c r="Q40" s="227"/>
      <c r="R40" s="227"/>
      <c r="S40" s="58"/>
      <c r="T40" s="58"/>
      <c r="U40" s="58"/>
      <c r="V40" s="58"/>
    </row>
    <row r="41" spans="1:22" x14ac:dyDescent="0.3">
      <c r="A41" s="58"/>
      <c r="B41" s="158" t="s">
        <v>87</v>
      </c>
      <c r="C41" s="58"/>
      <c r="D41" s="58"/>
      <c r="E41" s="58"/>
      <c r="F41" s="58"/>
      <c r="G41" s="58"/>
      <c r="H41" s="58"/>
      <c r="I41" s="58"/>
      <c r="J41" s="227"/>
      <c r="K41" s="227"/>
      <c r="L41" s="227"/>
      <c r="M41" s="227"/>
      <c r="N41" s="227"/>
      <c r="O41" s="227"/>
      <c r="P41" s="227"/>
      <c r="Q41" s="227"/>
      <c r="R41" s="227"/>
      <c r="S41" s="58"/>
      <c r="T41" s="58"/>
      <c r="U41" s="58"/>
      <c r="V41" s="58"/>
    </row>
    <row r="42" spans="1:22" s="73" customFormat="1" ht="44.1" customHeight="1" x14ac:dyDescent="0.3">
      <c r="A42" s="159"/>
      <c r="B42" s="372" t="s">
        <v>164</v>
      </c>
      <c r="C42" s="372"/>
      <c r="D42" s="372"/>
      <c r="E42" s="372"/>
      <c r="F42" s="372"/>
      <c r="G42" s="372"/>
      <c r="H42" s="159"/>
      <c r="I42" s="159"/>
      <c r="J42" s="227"/>
      <c r="K42" s="227"/>
      <c r="L42" s="227"/>
      <c r="M42" s="227"/>
      <c r="N42" s="227"/>
      <c r="O42" s="227"/>
      <c r="P42" s="227"/>
      <c r="Q42" s="227"/>
      <c r="R42" s="227"/>
      <c r="S42" s="159"/>
      <c r="T42" s="159"/>
      <c r="U42" s="159"/>
      <c r="V42" s="159"/>
    </row>
    <row r="43" spans="1:22" s="73" customFormat="1" ht="44.1" customHeight="1" x14ac:dyDescent="0.3">
      <c r="A43" s="159"/>
      <c r="B43" s="372" t="s">
        <v>165</v>
      </c>
      <c r="C43" s="372"/>
      <c r="D43" s="372"/>
      <c r="E43" s="372"/>
      <c r="F43" s="372"/>
      <c r="G43" s="372"/>
      <c r="H43" s="159"/>
      <c r="I43" s="159"/>
      <c r="J43" s="227"/>
      <c r="K43" s="227"/>
      <c r="L43" s="227"/>
      <c r="M43" s="227"/>
      <c r="N43" s="227"/>
      <c r="O43" s="227"/>
      <c r="P43" s="227"/>
      <c r="Q43" s="227"/>
      <c r="R43" s="227"/>
      <c r="S43" s="159"/>
      <c r="T43" s="159"/>
      <c r="U43" s="159"/>
      <c r="V43" s="159"/>
    </row>
    <row r="44" spans="1:22" s="73" customFormat="1" ht="44.1" customHeight="1" x14ac:dyDescent="0.3">
      <c r="A44" s="159"/>
      <c r="B44" s="370" t="s">
        <v>166</v>
      </c>
      <c r="C44" s="370"/>
      <c r="D44" s="370"/>
      <c r="E44" s="370"/>
      <c r="F44" s="370"/>
      <c r="G44" s="370"/>
      <c r="H44" s="159"/>
      <c r="I44" s="159"/>
      <c r="J44" s="227"/>
      <c r="K44" s="227"/>
      <c r="L44" s="227"/>
      <c r="M44" s="227"/>
      <c r="N44" s="227"/>
      <c r="O44" s="227"/>
      <c r="P44" s="227"/>
      <c r="Q44" s="227"/>
      <c r="R44" s="227"/>
      <c r="S44" s="159"/>
      <c r="T44" s="159"/>
      <c r="U44" s="159"/>
      <c r="V44" s="159"/>
    </row>
    <row r="45" spans="1:22" x14ac:dyDescent="0.3">
      <c r="A45" s="58"/>
      <c r="B45" s="63"/>
      <c r="C45" s="58"/>
      <c r="D45" s="58"/>
      <c r="E45" s="58"/>
      <c r="F45" s="58"/>
      <c r="G45" s="58"/>
      <c r="H45" s="58"/>
      <c r="I45" s="58"/>
      <c r="J45" s="227"/>
      <c r="K45" s="227"/>
      <c r="L45" s="227"/>
      <c r="M45" s="227"/>
      <c r="N45" s="227"/>
      <c r="O45" s="227"/>
      <c r="P45" s="227"/>
      <c r="Q45" s="227"/>
      <c r="R45" s="227"/>
      <c r="S45" s="58"/>
      <c r="T45" s="58"/>
      <c r="U45" s="58"/>
      <c r="V45" s="58"/>
    </row>
    <row r="46" spans="1:22" x14ac:dyDescent="0.3">
      <c r="A46" s="58"/>
      <c r="B46" s="63"/>
      <c r="C46" s="58"/>
      <c r="D46" s="58"/>
      <c r="E46" s="58"/>
      <c r="F46" s="58"/>
      <c r="G46" s="58"/>
      <c r="H46" s="58"/>
      <c r="I46" s="58"/>
      <c r="J46" s="227"/>
      <c r="K46" s="227"/>
      <c r="L46" s="227"/>
      <c r="M46" s="227"/>
      <c r="N46" s="227"/>
      <c r="O46" s="227"/>
      <c r="P46" s="227"/>
      <c r="Q46" s="227"/>
      <c r="R46" s="227"/>
      <c r="S46" s="58"/>
      <c r="T46" s="58"/>
      <c r="U46" s="58"/>
      <c r="V46" s="58"/>
    </row>
    <row r="47" spans="1:22" x14ac:dyDescent="0.3">
      <c r="A47" s="58"/>
      <c r="B47" s="63"/>
      <c r="C47" s="58"/>
      <c r="D47" s="58"/>
      <c r="E47" s="58"/>
      <c r="F47" s="58"/>
      <c r="G47" s="58"/>
      <c r="H47" s="58"/>
      <c r="I47" s="58"/>
      <c r="J47" s="227"/>
      <c r="K47" s="227"/>
      <c r="L47" s="227"/>
      <c r="M47" s="227"/>
      <c r="N47" s="227"/>
      <c r="O47" s="227"/>
      <c r="P47" s="227"/>
      <c r="Q47" s="227"/>
      <c r="R47" s="227"/>
      <c r="S47" s="58"/>
      <c r="T47" s="58"/>
      <c r="U47" s="58"/>
      <c r="V47" s="58"/>
    </row>
    <row r="48" spans="1:22" x14ac:dyDescent="0.3">
      <c r="A48" s="58"/>
      <c r="B48" s="63"/>
      <c r="C48" s="58"/>
      <c r="D48" s="58"/>
      <c r="E48" s="58"/>
      <c r="F48" s="58"/>
      <c r="G48" s="58"/>
      <c r="H48" s="58"/>
      <c r="I48" s="58"/>
      <c r="J48" s="227"/>
      <c r="K48" s="227"/>
      <c r="L48" s="227"/>
      <c r="M48" s="227"/>
      <c r="N48" s="227"/>
      <c r="O48" s="227"/>
      <c r="P48" s="227"/>
      <c r="Q48" s="227"/>
      <c r="R48" s="227"/>
      <c r="S48" s="58"/>
      <c r="T48" s="58"/>
      <c r="U48" s="58"/>
      <c r="V48" s="58"/>
    </row>
    <row r="49" spans="1:22" x14ac:dyDescent="0.3">
      <c r="A49" s="58"/>
      <c r="B49" s="63"/>
      <c r="C49" s="58"/>
      <c r="D49" s="58"/>
      <c r="E49" s="58"/>
      <c r="F49" s="58"/>
      <c r="G49" s="58"/>
      <c r="H49" s="58"/>
      <c r="I49" s="58"/>
      <c r="J49" s="227"/>
      <c r="K49" s="227"/>
      <c r="L49" s="227"/>
      <c r="M49" s="227"/>
      <c r="N49" s="227"/>
      <c r="O49" s="227"/>
      <c r="P49" s="227"/>
      <c r="Q49" s="227"/>
      <c r="R49" s="227"/>
      <c r="S49" s="58"/>
      <c r="T49" s="58"/>
      <c r="U49" s="58"/>
      <c r="V49" s="58"/>
    </row>
    <row r="50" spans="1:22" x14ac:dyDescent="0.3">
      <c r="A50" s="58"/>
      <c r="B50" s="63"/>
      <c r="C50" s="58"/>
      <c r="D50" s="58"/>
      <c r="E50" s="58"/>
      <c r="F50" s="58"/>
      <c r="G50" s="58"/>
      <c r="H50" s="58"/>
      <c r="I50" s="58"/>
      <c r="J50" s="227"/>
      <c r="K50" s="227"/>
      <c r="L50" s="227"/>
      <c r="M50" s="227"/>
      <c r="N50" s="227"/>
      <c r="O50" s="227"/>
      <c r="P50" s="227"/>
      <c r="Q50" s="227"/>
      <c r="R50" s="227"/>
      <c r="S50" s="58"/>
      <c r="T50" s="58"/>
      <c r="U50" s="58"/>
      <c r="V50" s="58"/>
    </row>
    <row r="51" spans="1:22" x14ac:dyDescent="0.3">
      <c r="A51" s="58"/>
      <c r="B51" s="63"/>
      <c r="C51" s="58"/>
      <c r="D51" s="58"/>
      <c r="E51" s="58"/>
      <c r="F51" s="58"/>
      <c r="G51" s="58"/>
      <c r="H51" s="58"/>
      <c r="I51" s="58"/>
      <c r="J51" s="227"/>
      <c r="K51" s="227"/>
      <c r="L51" s="227"/>
      <c r="M51" s="227"/>
      <c r="N51" s="227"/>
      <c r="O51" s="227"/>
      <c r="P51" s="227"/>
      <c r="Q51" s="227"/>
      <c r="R51" s="227"/>
      <c r="S51" s="58"/>
      <c r="T51" s="58"/>
      <c r="U51" s="58"/>
      <c r="V51" s="58"/>
    </row>
    <row r="52" spans="1:22" x14ac:dyDescent="0.3">
      <c r="A52" s="58"/>
      <c r="B52" s="63"/>
      <c r="C52" s="58"/>
      <c r="D52" s="58"/>
      <c r="E52" s="58"/>
      <c r="F52" s="58"/>
      <c r="G52" s="58"/>
      <c r="H52" s="58"/>
      <c r="I52" s="58"/>
      <c r="J52" s="227"/>
      <c r="K52" s="227"/>
      <c r="L52" s="227"/>
      <c r="M52" s="227"/>
      <c r="N52" s="227"/>
      <c r="O52" s="227"/>
      <c r="P52" s="227"/>
      <c r="Q52" s="227"/>
      <c r="R52" s="227"/>
      <c r="S52" s="58"/>
      <c r="T52" s="58"/>
      <c r="U52" s="58"/>
      <c r="V52" s="58"/>
    </row>
    <row r="53" spans="1:22" x14ac:dyDescent="0.3">
      <c r="A53" s="58"/>
      <c r="B53" s="63"/>
      <c r="C53" s="58"/>
      <c r="D53" s="58"/>
      <c r="E53" s="58"/>
      <c r="F53" s="58"/>
      <c r="G53" s="58"/>
      <c r="H53" s="58"/>
      <c r="I53" s="58"/>
      <c r="J53" s="227"/>
      <c r="K53" s="227"/>
      <c r="L53" s="227"/>
      <c r="M53" s="227"/>
      <c r="N53" s="227"/>
      <c r="O53" s="227"/>
      <c r="P53" s="227"/>
      <c r="Q53" s="227"/>
      <c r="R53" s="227"/>
      <c r="S53" s="58"/>
      <c r="T53" s="58"/>
      <c r="U53" s="58"/>
      <c r="V53" s="58"/>
    </row>
    <row r="54" spans="1:22" hidden="1" x14ac:dyDescent="0.3">
      <c r="A54" s="58"/>
      <c r="B54" s="63"/>
      <c r="C54" s="58"/>
      <c r="D54" s="58"/>
      <c r="E54" s="58"/>
      <c r="F54" s="58"/>
      <c r="G54" s="58"/>
      <c r="H54" s="58"/>
      <c r="I54" s="58"/>
      <c r="J54" s="227"/>
      <c r="K54" s="227"/>
      <c r="L54" s="227"/>
      <c r="M54" s="227"/>
      <c r="N54" s="227"/>
      <c r="O54" s="227"/>
      <c r="P54" s="227"/>
      <c r="Q54" s="227"/>
      <c r="R54" s="227"/>
      <c r="S54" s="58"/>
      <c r="T54" s="58"/>
      <c r="U54" s="58"/>
      <c r="V54" s="58"/>
    </row>
    <row r="55" spans="1:22" hidden="1" x14ac:dyDescent="0.3">
      <c r="A55" s="58"/>
      <c r="B55" s="63"/>
      <c r="C55" s="58"/>
      <c r="D55" s="58"/>
      <c r="E55" s="58"/>
      <c r="F55" s="58"/>
      <c r="G55" s="58"/>
      <c r="H55" s="58"/>
      <c r="I55" s="58"/>
      <c r="J55" s="227"/>
      <c r="K55" s="227"/>
      <c r="L55" s="227"/>
      <c r="M55" s="227"/>
      <c r="N55" s="227"/>
      <c r="O55" s="227"/>
      <c r="P55" s="227"/>
      <c r="Q55" s="227"/>
      <c r="R55" s="227"/>
      <c r="S55" s="58"/>
      <c r="T55" s="58"/>
      <c r="U55" s="58"/>
      <c r="V55" s="58"/>
    </row>
    <row r="56" spans="1:22" hidden="1" x14ac:dyDescent="0.3">
      <c r="A56" s="58"/>
      <c r="B56" s="63"/>
      <c r="C56" s="58"/>
      <c r="D56" s="58"/>
      <c r="E56" s="58"/>
      <c r="F56" s="58"/>
      <c r="G56" s="58"/>
      <c r="H56" s="58"/>
      <c r="I56" s="58"/>
      <c r="J56" s="227"/>
      <c r="K56" s="227"/>
      <c r="L56" s="227"/>
      <c r="M56" s="227"/>
      <c r="N56" s="227"/>
      <c r="O56" s="227"/>
      <c r="P56" s="227"/>
      <c r="Q56" s="227"/>
      <c r="R56" s="227"/>
      <c r="S56" s="58"/>
      <c r="T56" s="58"/>
      <c r="U56" s="58"/>
      <c r="V56" s="58"/>
    </row>
    <row r="57" spans="1:22" hidden="1" x14ac:dyDescent="0.3">
      <c r="A57" s="58"/>
      <c r="B57" s="63"/>
      <c r="C57" s="58"/>
      <c r="D57" s="58"/>
      <c r="E57" s="58"/>
      <c r="F57" s="58"/>
      <c r="G57" s="58"/>
      <c r="H57" s="58"/>
      <c r="I57" s="58"/>
      <c r="J57" s="227"/>
      <c r="K57" s="227"/>
      <c r="L57" s="227"/>
      <c r="M57" s="227"/>
      <c r="N57" s="227"/>
      <c r="O57" s="227"/>
      <c r="P57" s="227"/>
      <c r="Q57" s="227"/>
      <c r="R57" s="227"/>
      <c r="S57" s="58"/>
      <c r="T57" s="58"/>
      <c r="U57" s="58"/>
      <c r="V57" s="58"/>
    </row>
    <row r="58" spans="1:22" hidden="1" x14ac:dyDescent="0.3">
      <c r="A58" s="58"/>
      <c r="B58" s="63"/>
      <c r="C58" s="58"/>
      <c r="D58" s="58"/>
      <c r="E58" s="58"/>
      <c r="F58" s="58"/>
      <c r="G58" s="58"/>
      <c r="H58" s="58"/>
      <c r="I58" s="58"/>
      <c r="J58" s="227"/>
      <c r="K58" s="227"/>
      <c r="L58" s="227"/>
      <c r="M58" s="227"/>
      <c r="N58" s="227"/>
      <c r="O58" s="227"/>
      <c r="P58" s="227"/>
      <c r="Q58" s="227"/>
      <c r="R58" s="227"/>
      <c r="S58" s="58"/>
      <c r="T58" s="58"/>
      <c r="U58" s="58"/>
      <c r="V58" s="58"/>
    </row>
    <row r="59" spans="1:22" hidden="1" x14ac:dyDescent="0.3">
      <c r="A59" s="58"/>
      <c r="B59" s="63"/>
      <c r="C59" s="58"/>
      <c r="D59" s="58"/>
      <c r="E59" s="58"/>
      <c r="F59" s="58"/>
      <c r="G59" s="58"/>
      <c r="H59" s="58"/>
      <c r="I59" s="58"/>
      <c r="J59" s="227"/>
      <c r="K59" s="227"/>
      <c r="L59" s="227"/>
      <c r="M59" s="227"/>
      <c r="N59" s="227"/>
      <c r="O59" s="227"/>
      <c r="P59" s="227"/>
      <c r="Q59" s="227"/>
      <c r="R59" s="227"/>
      <c r="S59" s="58"/>
      <c r="T59" s="58"/>
      <c r="U59" s="58"/>
      <c r="V59" s="58"/>
    </row>
    <row r="60" spans="1:22" hidden="1" x14ac:dyDescent="0.3">
      <c r="A60" s="58"/>
      <c r="B60" s="63"/>
      <c r="C60" s="58"/>
      <c r="D60" s="58"/>
      <c r="E60" s="58"/>
      <c r="F60" s="58"/>
      <c r="G60" s="58"/>
      <c r="H60" s="58"/>
      <c r="I60" s="58"/>
      <c r="J60" s="227"/>
      <c r="K60" s="227"/>
      <c r="L60" s="227"/>
      <c r="M60" s="227"/>
      <c r="N60" s="227"/>
      <c r="O60" s="227"/>
      <c r="P60" s="227"/>
      <c r="Q60" s="227"/>
      <c r="R60" s="227"/>
      <c r="S60" s="58"/>
      <c r="T60" s="58"/>
      <c r="U60" s="58"/>
      <c r="V60" s="58"/>
    </row>
    <row r="61" spans="1:22" hidden="1" x14ac:dyDescent="0.3">
      <c r="A61" s="58"/>
      <c r="B61" s="63"/>
      <c r="C61" s="58"/>
      <c r="D61" s="58"/>
      <c r="E61" s="58"/>
      <c r="F61" s="58"/>
      <c r="G61" s="58"/>
      <c r="H61" s="58"/>
      <c r="I61" s="58"/>
      <c r="J61" s="227"/>
      <c r="K61" s="227"/>
      <c r="L61" s="227"/>
      <c r="M61" s="227"/>
      <c r="N61" s="227"/>
      <c r="O61" s="227"/>
      <c r="P61" s="227"/>
      <c r="Q61" s="227"/>
      <c r="R61" s="227"/>
      <c r="S61" s="58"/>
      <c r="T61" s="58"/>
      <c r="U61" s="58"/>
      <c r="V61" s="58"/>
    </row>
    <row r="62" spans="1:22" hidden="1" x14ac:dyDescent="0.3">
      <c r="A62" s="58"/>
      <c r="B62" s="63"/>
      <c r="C62" s="58"/>
      <c r="D62" s="58"/>
      <c r="E62" s="58"/>
      <c r="F62" s="58"/>
      <c r="G62" s="58"/>
      <c r="H62" s="58"/>
      <c r="I62" s="58"/>
      <c r="J62" s="227"/>
      <c r="K62" s="227"/>
      <c r="L62" s="227"/>
      <c r="M62" s="227"/>
      <c r="N62" s="227"/>
      <c r="O62" s="227"/>
      <c r="P62" s="227"/>
      <c r="Q62" s="227"/>
      <c r="R62" s="227"/>
      <c r="S62" s="58"/>
      <c r="T62" s="58"/>
      <c r="U62" s="58"/>
      <c r="V62" s="58"/>
    </row>
    <row r="63" spans="1:22" hidden="1" x14ac:dyDescent="0.3">
      <c r="A63" s="58"/>
      <c r="B63" s="63"/>
      <c r="C63" s="58"/>
      <c r="D63" s="58"/>
      <c r="E63" s="58"/>
      <c r="F63" s="58"/>
      <c r="G63" s="58"/>
      <c r="H63" s="58"/>
      <c r="I63" s="58"/>
      <c r="J63" s="227"/>
      <c r="K63" s="227"/>
      <c r="L63" s="227"/>
      <c r="M63" s="227"/>
      <c r="N63" s="227"/>
      <c r="O63" s="227"/>
      <c r="P63" s="227"/>
      <c r="Q63" s="227"/>
      <c r="R63" s="227"/>
      <c r="S63" s="58"/>
      <c r="T63" s="58"/>
      <c r="U63" s="58"/>
      <c r="V63" s="58"/>
    </row>
    <row r="64" spans="1:22" hidden="1" x14ac:dyDescent="0.3">
      <c r="A64" s="58"/>
      <c r="B64" s="63"/>
      <c r="C64" s="58"/>
      <c r="D64" s="58"/>
      <c r="E64" s="58"/>
      <c r="F64" s="58"/>
      <c r="G64" s="58"/>
      <c r="H64" s="58"/>
      <c r="I64" s="58"/>
      <c r="J64" s="227"/>
      <c r="K64" s="227"/>
      <c r="L64" s="227"/>
      <c r="M64" s="227"/>
      <c r="N64" s="227"/>
      <c r="O64" s="227"/>
      <c r="P64" s="227"/>
      <c r="Q64" s="227"/>
      <c r="R64" s="227"/>
      <c r="S64" s="58"/>
      <c r="T64" s="58"/>
      <c r="U64" s="58"/>
      <c r="V64" s="58"/>
    </row>
    <row r="65" spans="1:22" hidden="1" x14ac:dyDescent="0.3">
      <c r="A65" s="58"/>
      <c r="B65" s="63"/>
      <c r="C65" s="58"/>
      <c r="D65" s="58"/>
      <c r="E65" s="58"/>
      <c r="F65" s="58"/>
      <c r="G65" s="58"/>
      <c r="H65" s="58"/>
      <c r="I65" s="58"/>
      <c r="J65" s="227"/>
      <c r="K65" s="227"/>
      <c r="L65" s="227"/>
      <c r="M65" s="227"/>
      <c r="N65" s="227"/>
      <c r="O65" s="227"/>
      <c r="P65" s="227"/>
      <c r="Q65" s="227"/>
      <c r="R65" s="227"/>
      <c r="S65" s="58"/>
      <c r="T65" s="58"/>
      <c r="U65" s="58"/>
      <c r="V65" s="58"/>
    </row>
    <row r="66" spans="1:22" hidden="1" x14ac:dyDescent="0.3">
      <c r="A66" s="58"/>
      <c r="B66" s="63"/>
      <c r="C66" s="58"/>
      <c r="D66" s="58"/>
      <c r="E66" s="58"/>
      <c r="F66" s="58"/>
      <c r="G66" s="58"/>
      <c r="H66" s="58"/>
      <c r="I66" s="58"/>
      <c r="J66" s="227"/>
      <c r="K66" s="227"/>
      <c r="L66" s="227"/>
      <c r="M66" s="227"/>
      <c r="N66" s="227"/>
      <c r="O66" s="227"/>
      <c r="P66" s="227"/>
      <c r="Q66" s="227"/>
      <c r="R66" s="227"/>
      <c r="S66" s="58"/>
      <c r="T66" s="58"/>
      <c r="U66" s="58"/>
      <c r="V66" s="58"/>
    </row>
    <row r="67" spans="1:22" hidden="1" x14ac:dyDescent="0.3">
      <c r="A67" s="58"/>
      <c r="B67" s="63"/>
      <c r="C67" s="58"/>
      <c r="D67" s="58"/>
      <c r="E67" s="58"/>
      <c r="F67" s="58"/>
      <c r="G67" s="58"/>
      <c r="H67" s="58"/>
      <c r="I67" s="58"/>
      <c r="J67" s="227"/>
      <c r="K67" s="227"/>
      <c r="L67" s="227"/>
      <c r="M67" s="227"/>
      <c r="N67" s="227"/>
      <c r="O67" s="227"/>
      <c r="P67" s="227"/>
      <c r="Q67" s="227"/>
      <c r="R67" s="227"/>
      <c r="S67" s="58"/>
      <c r="T67" s="58"/>
      <c r="U67" s="58"/>
      <c r="V67" s="58"/>
    </row>
    <row r="68" spans="1:22" hidden="1" x14ac:dyDescent="0.3">
      <c r="A68" s="58"/>
      <c r="B68" s="63"/>
      <c r="C68" s="58"/>
      <c r="D68" s="58"/>
      <c r="E68" s="58"/>
      <c r="F68" s="58"/>
      <c r="G68" s="58"/>
      <c r="H68" s="58"/>
      <c r="I68" s="58"/>
      <c r="J68" s="227"/>
      <c r="K68" s="227"/>
      <c r="L68" s="227"/>
      <c r="M68" s="227"/>
      <c r="N68" s="227"/>
      <c r="O68" s="227"/>
      <c r="P68" s="227"/>
      <c r="Q68" s="227"/>
      <c r="R68" s="227"/>
      <c r="S68" s="58"/>
      <c r="T68" s="58"/>
      <c r="U68" s="58"/>
      <c r="V68" s="58"/>
    </row>
    <row r="69" spans="1:22" hidden="1" x14ac:dyDescent="0.3">
      <c r="A69" s="58"/>
      <c r="B69" s="63"/>
      <c r="C69" s="58"/>
      <c r="D69" s="58"/>
      <c r="E69" s="58"/>
      <c r="F69" s="58"/>
      <c r="G69" s="58"/>
      <c r="H69" s="58"/>
      <c r="I69" s="58"/>
      <c r="J69" s="227"/>
      <c r="K69" s="227"/>
      <c r="L69" s="227"/>
      <c r="M69" s="227"/>
      <c r="N69" s="227"/>
      <c r="O69" s="227"/>
      <c r="P69" s="227"/>
      <c r="Q69" s="227"/>
      <c r="R69" s="227"/>
      <c r="S69" s="58"/>
      <c r="T69" s="58"/>
      <c r="U69" s="58"/>
      <c r="V69" s="58"/>
    </row>
    <row r="70" spans="1:22" hidden="1" x14ac:dyDescent="0.3">
      <c r="A70" s="58"/>
      <c r="B70" s="63"/>
      <c r="C70" s="58"/>
      <c r="D70" s="58"/>
      <c r="E70" s="58"/>
      <c r="F70" s="58"/>
      <c r="G70" s="58"/>
      <c r="H70" s="58"/>
      <c r="I70" s="58"/>
      <c r="J70" s="227"/>
      <c r="K70" s="227"/>
      <c r="L70" s="227"/>
      <c r="M70" s="227"/>
      <c r="N70" s="227"/>
      <c r="O70" s="227"/>
      <c r="P70" s="227"/>
      <c r="Q70" s="227"/>
      <c r="R70" s="227"/>
      <c r="S70" s="58"/>
      <c r="T70" s="58"/>
      <c r="U70" s="58"/>
      <c r="V70" s="58"/>
    </row>
    <row r="71" spans="1:22" hidden="1" x14ac:dyDescent="0.3">
      <c r="A71" s="58"/>
      <c r="B71" s="63"/>
      <c r="C71" s="58"/>
      <c r="D71" s="58"/>
      <c r="E71" s="58"/>
      <c r="F71" s="58"/>
      <c r="G71" s="58"/>
      <c r="H71" s="58"/>
      <c r="I71" s="58"/>
      <c r="J71" s="227"/>
      <c r="K71" s="227"/>
      <c r="L71" s="227"/>
      <c r="M71" s="227"/>
      <c r="N71" s="227"/>
      <c r="O71" s="227"/>
      <c r="P71" s="227"/>
      <c r="Q71" s="227"/>
      <c r="R71" s="227"/>
      <c r="S71" s="58"/>
      <c r="T71" s="58"/>
      <c r="U71" s="58"/>
      <c r="V71" s="58"/>
    </row>
    <row r="72" spans="1:22" hidden="1" x14ac:dyDescent="0.3">
      <c r="A72" s="58"/>
      <c r="B72" s="63"/>
      <c r="C72" s="58"/>
      <c r="D72" s="58"/>
      <c r="E72" s="58"/>
      <c r="F72" s="58"/>
      <c r="G72" s="58"/>
      <c r="H72" s="58"/>
      <c r="I72" s="58"/>
      <c r="J72" s="227"/>
      <c r="K72" s="227"/>
      <c r="L72" s="227"/>
      <c r="M72" s="227"/>
      <c r="N72" s="227"/>
      <c r="O72" s="227"/>
      <c r="P72" s="227"/>
      <c r="Q72" s="227"/>
      <c r="R72" s="227"/>
      <c r="S72" s="58"/>
      <c r="T72" s="58"/>
      <c r="U72" s="58"/>
      <c r="V72" s="58"/>
    </row>
    <row r="73" spans="1:22" hidden="1" x14ac:dyDescent="0.3">
      <c r="A73" s="58"/>
      <c r="B73" s="63"/>
      <c r="C73" s="58"/>
      <c r="D73" s="58"/>
      <c r="E73" s="58"/>
      <c r="F73" s="58"/>
      <c r="G73" s="58"/>
      <c r="H73" s="58"/>
      <c r="I73" s="58"/>
      <c r="J73" s="227"/>
      <c r="K73" s="227"/>
      <c r="L73" s="227"/>
      <c r="M73" s="227"/>
      <c r="N73" s="227"/>
      <c r="O73" s="227"/>
      <c r="P73" s="227"/>
      <c r="Q73" s="227"/>
      <c r="R73" s="227"/>
      <c r="S73" s="58"/>
      <c r="T73" s="58"/>
      <c r="U73" s="58"/>
      <c r="V73" s="58"/>
    </row>
    <row r="74" spans="1:22" hidden="1" x14ac:dyDescent="0.3">
      <c r="A74" s="58"/>
      <c r="B74" s="63"/>
      <c r="C74" s="58"/>
      <c r="D74" s="58"/>
      <c r="E74" s="58"/>
      <c r="F74" s="58"/>
      <c r="G74" s="58"/>
      <c r="H74" s="58"/>
      <c r="I74" s="58"/>
      <c r="J74" s="227"/>
      <c r="K74" s="227"/>
      <c r="L74" s="227"/>
      <c r="M74" s="227"/>
      <c r="N74" s="227"/>
      <c r="O74" s="227"/>
      <c r="P74" s="227"/>
      <c r="Q74" s="227"/>
      <c r="R74" s="227"/>
      <c r="S74" s="58"/>
      <c r="T74" s="58"/>
      <c r="U74" s="58"/>
      <c r="V74" s="58"/>
    </row>
    <row r="75" spans="1:22" hidden="1" x14ac:dyDescent="0.3">
      <c r="A75" s="58"/>
      <c r="B75" s="63"/>
      <c r="C75" s="58"/>
      <c r="D75" s="58"/>
      <c r="E75" s="58"/>
      <c r="F75" s="58"/>
      <c r="G75" s="58"/>
      <c r="H75" s="58"/>
      <c r="I75" s="58"/>
      <c r="J75" s="227"/>
      <c r="K75" s="227"/>
      <c r="L75" s="227"/>
      <c r="M75" s="227"/>
      <c r="N75" s="227"/>
      <c r="O75" s="227"/>
      <c r="P75" s="227"/>
      <c r="Q75" s="227"/>
      <c r="R75" s="227"/>
      <c r="S75" s="58"/>
      <c r="T75" s="58"/>
      <c r="U75" s="58"/>
      <c r="V75" s="58"/>
    </row>
    <row r="76" spans="1:22" hidden="1" x14ac:dyDescent="0.3">
      <c r="A76" s="58"/>
      <c r="B76" s="63"/>
      <c r="C76" s="58"/>
      <c r="D76" s="58"/>
      <c r="E76" s="58"/>
      <c r="F76" s="58"/>
      <c r="G76" s="58"/>
      <c r="H76" s="58"/>
      <c r="I76" s="58"/>
      <c r="J76" s="227"/>
      <c r="K76" s="227"/>
      <c r="L76" s="227"/>
      <c r="M76" s="227"/>
      <c r="N76" s="227"/>
      <c r="O76" s="227"/>
      <c r="P76" s="227"/>
      <c r="Q76" s="227"/>
      <c r="R76" s="227"/>
      <c r="S76" s="58"/>
      <c r="T76" s="58"/>
      <c r="U76" s="58"/>
      <c r="V76" s="58"/>
    </row>
    <row r="77" spans="1:22" hidden="1" x14ac:dyDescent="0.3">
      <c r="A77" s="58"/>
      <c r="B77" s="63"/>
      <c r="C77" s="58"/>
      <c r="D77" s="58"/>
      <c r="E77" s="58"/>
      <c r="F77" s="58"/>
      <c r="G77" s="58"/>
      <c r="H77" s="58"/>
      <c r="I77" s="58"/>
      <c r="J77" s="227"/>
      <c r="K77" s="227"/>
      <c r="L77" s="227"/>
      <c r="M77" s="227"/>
      <c r="N77" s="227"/>
      <c r="O77" s="227"/>
      <c r="P77" s="227"/>
      <c r="Q77" s="227"/>
      <c r="R77" s="227"/>
      <c r="S77" s="58"/>
      <c r="T77" s="58"/>
      <c r="U77" s="58"/>
      <c r="V77" s="58"/>
    </row>
    <row r="78" spans="1:22" hidden="1" x14ac:dyDescent="0.3">
      <c r="A78" s="58"/>
      <c r="B78" s="63"/>
      <c r="C78" s="58"/>
      <c r="D78" s="58"/>
      <c r="E78" s="58"/>
      <c r="F78" s="58"/>
      <c r="G78" s="58"/>
      <c r="H78" s="58"/>
      <c r="I78" s="58"/>
      <c r="J78" s="227"/>
      <c r="K78" s="227"/>
      <c r="L78" s="227"/>
      <c r="M78" s="227"/>
      <c r="N78" s="227"/>
      <c r="O78" s="227"/>
      <c r="P78" s="227"/>
      <c r="Q78" s="227"/>
      <c r="R78" s="227"/>
      <c r="S78" s="58"/>
      <c r="T78" s="58"/>
      <c r="U78" s="58"/>
      <c r="V78" s="58"/>
    </row>
    <row r="79" spans="1:22" hidden="1" x14ac:dyDescent="0.3">
      <c r="A79" s="58"/>
      <c r="B79" s="63"/>
      <c r="C79" s="58"/>
      <c r="D79" s="58"/>
      <c r="E79" s="58"/>
      <c r="F79" s="58"/>
      <c r="G79" s="58"/>
      <c r="H79" s="58"/>
      <c r="I79" s="58"/>
      <c r="J79" s="227"/>
      <c r="K79" s="227"/>
      <c r="L79" s="227"/>
      <c r="M79" s="227"/>
      <c r="N79" s="227"/>
      <c r="O79" s="227"/>
      <c r="P79" s="227"/>
      <c r="Q79" s="227"/>
      <c r="R79" s="227"/>
      <c r="S79" s="58"/>
      <c r="T79" s="58"/>
      <c r="U79" s="58"/>
      <c r="V79" s="58"/>
    </row>
    <row r="80" spans="1:22" hidden="1" x14ac:dyDescent="0.3">
      <c r="A80" s="58"/>
      <c r="B80" s="63"/>
      <c r="C80" s="58"/>
      <c r="D80" s="58"/>
      <c r="E80" s="58"/>
      <c r="F80" s="58"/>
      <c r="G80" s="58"/>
      <c r="H80" s="58"/>
      <c r="I80" s="58"/>
      <c r="J80" s="227"/>
      <c r="K80" s="227"/>
      <c r="L80" s="227"/>
      <c r="M80" s="227"/>
      <c r="N80" s="227"/>
      <c r="O80" s="227"/>
      <c r="P80" s="227"/>
      <c r="Q80" s="227"/>
      <c r="R80" s="227"/>
      <c r="S80" s="58"/>
      <c r="T80" s="58"/>
      <c r="U80" s="58"/>
      <c r="V80" s="58"/>
    </row>
    <row r="81" spans="1:22" hidden="1" x14ac:dyDescent="0.3">
      <c r="A81" s="58"/>
      <c r="B81" s="63"/>
      <c r="C81" s="58"/>
      <c r="D81" s="58"/>
      <c r="E81" s="58"/>
      <c r="F81" s="58"/>
      <c r="G81" s="58"/>
      <c r="H81" s="58"/>
      <c r="I81" s="58"/>
      <c r="J81" s="227"/>
      <c r="K81" s="227"/>
      <c r="L81" s="227"/>
      <c r="M81" s="227"/>
      <c r="N81" s="227"/>
      <c r="O81" s="227"/>
      <c r="P81" s="227"/>
      <c r="Q81" s="227"/>
      <c r="R81" s="227"/>
      <c r="S81" s="58"/>
      <c r="T81" s="58"/>
      <c r="U81" s="58"/>
      <c r="V81" s="58"/>
    </row>
    <row r="82" spans="1:22" hidden="1" x14ac:dyDescent="0.3">
      <c r="A82" s="58"/>
      <c r="B82" s="63"/>
      <c r="C82" s="58"/>
      <c r="D82" s="58"/>
      <c r="E82" s="58"/>
      <c r="F82" s="58"/>
      <c r="G82" s="58"/>
      <c r="H82" s="58"/>
      <c r="I82" s="58"/>
      <c r="J82" s="227"/>
      <c r="K82" s="227"/>
      <c r="L82" s="227"/>
      <c r="M82" s="227"/>
      <c r="N82" s="227"/>
      <c r="O82" s="227"/>
      <c r="P82" s="227"/>
      <c r="Q82" s="227"/>
      <c r="R82" s="227"/>
      <c r="S82" s="58"/>
      <c r="T82" s="58"/>
      <c r="U82" s="58"/>
      <c r="V82" s="58"/>
    </row>
    <row r="83" spans="1:22" hidden="1" x14ac:dyDescent="0.3">
      <c r="A83" s="58"/>
      <c r="B83" s="63"/>
      <c r="C83" s="58"/>
      <c r="D83" s="58"/>
      <c r="E83" s="58"/>
      <c r="F83" s="58"/>
      <c r="G83" s="58"/>
      <c r="H83" s="58"/>
      <c r="I83" s="58"/>
      <c r="J83" s="227"/>
      <c r="K83" s="227"/>
      <c r="L83" s="227"/>
      <c r="M83" s="227"/>
      <c r="N83" s="227"/>
      <c r="O83" s="227"/>
      <c r="P83" s="227"/>
      <c r="Q83" s="227"/>
      <c r="R83" s="227"/>
      <c r="S83" s="58"/>
      <c r="T83" s="58"/>
      <c r="U83" s="58"/>
      <c r="V83" s="58"/>
    </row>
    <row r="84" spans="1:22" hidden="1" x14ac:dyDescent="0.3">
      <c r="A84" s="58"/>
      <c r="B84" s="63"/>
      <c r="C84" s="58"/>
      <c r="D84" s="58"/>
      <c r="E84" s="58"/>
      <c r="F84" s="58"/>
      <c r="G84" s="58"/>
      <c r="H84" s="58"/>
      <c r="I84" s="58"/>
      <c r="J84" s="227"/>
      <c r="K84" s="227"/>
      <c r="L84" s="227"/>
      <c r="M84" s="227"/>
      <c r="N84" s="227"/>
      <c r="O84" s="227"/>
      <c r="P84" s="227"/>
      <c r="Q84" s="227"/>
      <c r="R84" s="227"/>
      <c r="S84" s="58"/>
      <c r="T84" s="58"/>
      <c r="U84" s="58"/>
      <c r="V84" s="58"/>
    </row>
    <row r="85" spans="1:22" hidden="1" x14ac:dyDescent="0.3">
      <c r="A85" s="58"/>
      <c r="B85" s="63"/>
      <c r="C85" s="58"/>
      <c r="D85" s="58"/>
      <c r="E85" s="58"/>
      <c r="F85" s="58"/>
      <c r="G85" s="58"/>
      <c r="H85" s="58"/>
      <c r="I85" s="58"/>
      <c r="J85" s="227"/>
      <c r="K85" s="227"/>
      <c r="L85" s="227"/>
      <c r="M85" s="227"/>
      <c r="N85" s="227"/>
      <c r="O85" s="227"/>
      <c r="P85" s="227"/>
      <c r="Q85" s="227"/>
      <c r="R85" s="227"/>
      <c r="S85" s="58"/>
      <c r="T85" s="58"/>
      <c r="U85" s="58"/>
      <c r="V85" s="58"/>
    </row>
    <row r="86" spans="1:22" hidden="1" x14ac:dyDescent="0.3">
      <c r="A86" s="58"/>
      <c r="B86" s="63"/>
      <c r="C86" s="58"/>
      <c r="D86" s="58"/>
      <c r="E86" s="58"/>
      <c r="F86" s="58"/>
      <c r="G86" s="58"/>
      <c r="H86" s="58"/>
      <c r="I86" s="58"/>
      <c r="J86" s="227"/>
      <c r="K86" s="227"/>
      <c r="L86" s="227"/>
      <c r="M86" s="227"/>
      <c r="N86" s="227"/>
      <c r="O86" s="227"/>
      <c r="P86" s="227"/>
      <c r="Q86" s="227"/>
      <c r="R86" s="227"/>
      <c r="S86" s="58"/>
      <c r="T86" s="58"/>
      <c r="U86" s="58"/>
      <c r="V86" s="58"/>
    </row>
    <row r="87" spans="1:22" hidden="1" x14ac:dyDescent="0.3">
      <c r="A87" s="58"/>
      <c r="B87" s="63"/>
      <c r="C87" s="58"/>
      <c r="D87" s="58"/>
      <c r="E87" s="58"/>
      <c r="F87" s="58"/>
      <c r="G87" s="58"/>
      <c r="H87" s="58"/>
      <c r="I87" s="58"/>
      <c r="J87" s="227"/>
      <c r="K87" s="227"/>
      <c r="L87" s="227"/>
      <c r="M87" s="227"/>
      <c r="N87" s="227"/>
      <c r="O87" s="227"/>
      <c r="P87" s="227"/>
      <c r="Q87" s="227"/>
      <c r="R87" s="227"/>
      <c r="S87" s="58"/>
      <c r="T87" s="58"/>
      <c r="U87" s="58"/>
      <c r="V87" s="58"/>
    </row>
    <row r="88" spans="1:22" hidden="1" x14ac:dyDescent="0.3">
      <c r="A88" s="58"/>
      <c r="B88" s="63"/>
      <c r="C88" s="58"/>
      <c r="D88" s="58"/>
      <c r="E88" s="58"/>
      <c r="F88" s="58"/>
      <c r="G88" s="58"/>
      <c r="H88" s="58"/>
      <c r="I88" s="58"/>
      <c r="J88" s="227"/>
      <c r="K88" s="227"/>
      <c r="L88" s="227"/>
      <c r="M88" s="227"/>
      <c r="N88" s="227"/>
      <c r="O88" s="227"/>
      <c r="P88" s="227"/>
      <c r="Q88" s="227"/>
      <c r="R88" s="227"/>
      <c r="S88" s="58"/>
      <c r="T88" s="58"/>
      <c r="U88" s="58"/>
      <c r="V88" s="58"/>
    </row>
    <row r="89" spans="1:22" hidden="1" x14ac:dyDescent="0.3">
      <c r="A89" s="58"/>
      <c r="B89" s="63"/>
      <c r="C89" s="58"/>
      <c r="D89" s="58"/>
      <c r="E89" s="58"/>
      <c r="F89" s="58"/>
      <c r="G89" s="58"/>
      <c r="H89" s="58"/>
      <c r="I89" s="58"/>
      <c r="J89" s="227"/>
      <c r="K89" s="227"/>
      <c r="L89" s="227"/>
      <c r="M89" s="227"/>
      <c r="N89" s="227"/>
      <c r="O89" s="227"/>
      <c r="P89" s="227"/>
      <c r="Q89" s="227"/>
      <c r="R89" s="227"/>
      <c r="S89" s="58"/>
      <c r="T89" s="58"/>
      <c r="U89" s="58"/>
      <c r="V89" s="58"/>
    </row>
    <row r="90" spans="1:22" hidden="1" x14ac:dyDescent="0.3">
      <c r="A90" s="58"/>
      <c r="B90" s="63"/>
      <c r="C90" s="58"/>
      <c r="D90" s="58"/>
      <c r="E90" s="58"/>
      <c r="F90" s="58"/>
      <c r="G90" s="58"/>
      <c r="H90" s="58"/>
      <c r="I90" s="58"/>
      <c r="J90" s="227"/>
      <c r="K90" s="227"/>
      <c r="L90" s="227"/>
      <c r="M90" s="227"/>
      <c r="N90" s="227"/>
      <c r="O90" s="227"/>
      <c r="P90" s="227"/>
      <c r="Q90" s="227"/>
      <c r="R90" s="227"/>
      <c r="S90" s="58"/>
      <c r="T90" s="58"/>
      <c r="U90" s="58"/>
      <c r="V90" s="58"/>
    </row>
    <row r="91" spans="1:22" hidden="1" x14ac:dyDescent="0.3">
      <c r="A91" s="58"/>
      <c r="B91" s="63"/>
      <c r="C91" s="58"/>
      <c r="D91" s="58"/>
      <c r="E91" s="58"/>
      <c r="F91" s="58"/>
      <c r="G91" s="58"/>
      <c r="H91" s="58"/>
      <c r="I91" s="58"/>
      <c r="J91" s="227"/>
      <c r="K91" s="227"/>
      <c r="L91" s="227"/>
      <c r="M91" s="227"/>
      <c r="N91" s="227"/>
      <c r="O91" s="227"/>
      <c r="P91" s="227"/>
      <c r="Q91" s="227"/>
      <c r="R91" s="227"/>
      <c r="S91" s="58"/>
      <c r="T91" s="58"/>
      <c r="U91" s="58"/>
      <c r="V91" s="58"/>
    </row>
    <row r="92" spans="1:22" hidden="1" x14ac:dyDescent="0.3">
      <c r="A92" s="58"/>
      <c r="B92" s="63"/>
      <c r="C92" s="58"/>
      <c r="D92" s="58"/>
      <c r="E92" s="58"/>
      <c r="F92" s="58"/>
      <c r="G92" s="58"/>
      <c r="H92" s="58"/>
      <c r="I92" s="58"/>
      <c r="J92" s="227"/>
      <c r="K92" s="227"/>
      <c r="L92" s="227"/>
      <c r="M92" s="227"/>
      <c r="N92" s="227"/>
      <c r="O92" s="227"/>
      <c r="P92" s="227"/>
      <c r="Q92" s="227"/>
      <c r="R92" s="227"/>
      <c r="S92" s="58"/>
      <c r="T92" s="58"/>
      <c r="U92" s="58"/>
      <c r="V92" s="58"/>
    </row>
    <row r="93" spans="1:22" hidden="1" x14ac:dyDescent="0.3">
      <c r="A93" s="58"/>
      <c r="B93" s="63"/>
      <c r="C93" s="58"/>
      <c r="D93" s="58"/>
      <c r="E93" s="58"/>
      <c r="F93" s="58"/>
      <c r="G93" s="58"/>
      <c r="H93" s="58"/>
      <c r="I93" s="58"/>
      <c r="J93" s="227"/>
      <c r="K93" s="227"/>
      <c r="L93" s="227"/>
      <c r="M93" s="227"/>
      <c r="N93" s="227"/>
      <c r="O93" s="227"/>
      <c r="P93" s="227"/>
      <c r="Q93" s="227"/>
      <c r="R93" s="227"/>
      <c r="S93" s="58"/>
      <c r="T93" s="58"/>
      <c r="U93" s="58"/>
      <c r="V93" s="58"/>
    </row>
    <row r="94" spans="1:22" hidden="1" x14ac:dyDescent="0.3">
      <c r="A94" s="58"/>
      <c r="B94" s="63"/>
      <c r="C94" s="58"/>
      <c r="D94" s="58"/>
      <c r="E94" s="58"/>
      <c r="F94" s="58"/>
      <c r="G94" s="58"/>
      <c r="H94" s="58"/>
      <c r="I94" s="58"/>
      <c r="J94" s="227"/>
      <c r="K94" s="227"/>
      <c r="L94" s="227"/>
      <c r="M94" s="227"/>
      <c r="N94" s="227"/>
      <c r="O94" s="227"/>
      <c r="P94" s="227"/>
      <c r="Q94" s="227"/>
      <c r="R94" s="227"/>
      <c r="S94" s="58"/>
      <c r="T94" s="58"/>
      <c r="U94" s="58"/>
      <c r="V94" s="58"/>
    </row>
    <row r="95" spans="1:22" hidden="1" x14ac:dyDescent="0.3">
      <c r="A95" s="58"/>
      <c r="B95" s="63"/>
      <c r="C95" s="58"/>
      <c r="D95" s="58"/>
      <c r="E95" s="58"/>
      <c r="F95" s="58"/>
      <c r="G95" s="58"/>
      <c r="H95" s="58"/>
      <c r="I95" s="58"/>
      <c r="J95" s="227"/>
      <c r="K95" s="227"/>
      <c r="L95" s="227"/>
      <c r="M95" s="227"/>
      <c r="N95" s="227"/>
      <c r="O95" s="227"/>
      <c r="P95" s="227"/>
      <c r="Q95" s="227"/>
      <c r="R95" s="227"/>
      <c r="S95" s="58"/>
      <c r="T95" s="58"/>
      <c r="U95" s="58"/>
      <c r="V95" s="58"/>
    </row>
    <row r="96" spans="1:22" hidden="1" x14ac:dyDescent="0.3">
      <c r="A96" s="58"/>
      <c r="B96" s="63"/>
      <c r="C96" s="58"/>
      <c r="D96" s="58"/>
      <c r="E96" s="58"/>
      <c r="F96" s="58"/>
      <c r="G96" s="58"/>
      <c r="H96" s="58"/>
      <c r="I96" s="58"/>
      <c r="J96" s="227"/>
      <c r="K96" s="227"/>
      <c r="L96" s="227"/>
      <c r="M96" s="227"/>
      <c r="N96" s="227"/>
      <c r="O96" s="227"/>
      <c r="P96" s="227"/>
      <c r="Q96" s="227"/>
      <c r="R96" s="227"/>
      <c r="S96" s="58"/>
      <c r="T96" s="58"/>
      <c r="U96" s="58"/>
      <c r="V96" s="58"/>
    </row>
    <row r="97" spans="1:22" hidden="1" x14ac:dyDescent="0.3">
      <c r="A97" s="58"/>
      <c r="B97" s="63"/>
      <c r="C97" s="58"/>
      <c r="D97" s="58"/>
      <c r="E97" s="58"/>
      <c r="F97" s="58"/>
      <c r="G97" s="58"/>
      <c r="H97" s="58"/>
      <c r="I97" s="58"/>
      <c r="J97" s="227"/>
      <c r="K97" s="227"/>
      <c r="L97" s="227"/>
      <c r="M97" s="227"/>
      <c r="N97" s="227"/>
      <c r="O97" s="227"/>
      <c r="P97" s="227"/>
      <c r="Q97" s="227"/>
      <c r="R97" s="227"/>
      <c r="S97" s="58"/>
      <c r="T97" s="58"/>
      <c r="U97" s="58"/>
      <c r="V97" s="58"/>
    </row>
    <row r="98" spans="1:22" hidden="1" x14ac:dyDescent="0.3">
      <c r="A98" s="58"/>
      <c r="B98" s="63"/>
      <c r="C98" s="58"/>
      <c r="D98" s="58"/>
      <c r="E98" s="58"/>
      <c r="F98" s="58"/>
      <c r="G98" s="58"/>
      <c r="H98" s="58"/>
      <c r="I98" s="58"/>
      <c r="J98" s="227"/>
      <c r="K98" s="227"/>
      <c r="L98" s="227"/>
      <c r="M98" s="227"/>
      <c r="N98" s="227"/>
      <c r="O98" s="227"/>
      <c r="P98" s="227"/>
      <c r="Q98" s="227"/>
      <c r="R98" s="227"/>
      <c r="S98" s="58"/>
      <c r="T98" s="58"/>
      <c r="U98" s="58"/>
      <c r="V98" s="58"/>
    </row>
    <row r="99" spans="1:22" hidden="1" x14ac:dyDescent="0.3">
      <c r="A99" s="58"/>
      <c r="B99" s="63"/>
      <c r="C99" s="58"/>
      <c r="D99" s="58"/>
      <c r="E99" s="58"/>
      <c r="F99" s="58"/>
      <c r="G99" s="58"/>
      <c r="H99" s="58"/>
      <c r="I99" s="58"/>
      <c r="J99" s="227"/>
      <c r="K99" s="227"/>
      <c r="L99" s="227"/>
      <c r="M99" s="227"/>
      <c r="N99" s="227"/>
      <c r="O99" s="227"/>
      <c r="P99" s="227"/>
      <c r="Q99" s="227"/>
      <c r="R99" s="227"/>
      <c r="S99" s="58"/>
      <c r="T99" s="58"/>
      <c r="U99" s="58"/>
      <c r="V99" s="58"/>
    </row>
    <row r="100" spans="1:22" hidden="1" x14ac:dyDescent="0.3">
      <c r="A100" s="58"/>
      <c r="B100" s="63"/>
      <c r="C100" s="58"/>
      <c r="D100" s="58"/>
      <c r="E100" s="58"/>
      <c r="F100" s="58"/>
      <c r="G100" s="58"/>
      <c r="H100" s="58"/>
      <c r="I100" s="58"/>
      <c r="J100" s="227"/>
      <c r="K100" s="227"/>
      <c r="L100" s="227"/>
      <c r="M100" s="227"/>
      <c r="N100" s="227"/>
      <c r="O100" s="227"/>
      <c r="P100" s="227"/>
      <c r="Q100" s="227"/>
      <c r="R100" s="227"/>
      <c r="S100" s="58"/>
      <c r="T100" s="58"/>
      <c r="U100" s="58"/>
      <c r="V100" s="58"/>
    </row>
    <row r="101" spans="1:22" hidden="1" x14ac:dyDescent="0.3">
      <c r="A101" s="58"/>
      <c r="B101" s="63"/>
      <c r="C101" s="58"/>
      <c r="D101" s="58"/>
      <c r="E101" s="58"/>
      <c r="F101" s="58"/>
      <c r="G101" s="58"/>
      <c r="H101" s="58"/>
      <c r="I101" s="58"/>
      <c r="J101" s="227"/>
      <c r="K101" s="227"/>
      <c r="L101" s="227"/>
      <c r="M101" s="227"/>
      <c r="N101" s="227"/>
      <c r="O101" s="227"/>
      <c r="P101" s="227"/>
      <c r="Q101" s="227"/>
      <c r="R101" s="227"/>
      <c r="S101" s="58"/>
      <c r="T101" s="58"/>
      <c r="U101" s="58"/>
      <c r="V101" s="58"/>
    </row>
    <row r="102" spans="1:22" hidden="1" x14ac:dyDescent="0.3">
      <c r="A102" s="58"/>
      <c r="B102" s="63"/>
      <c r="C102" s="58"/>
      <c r="D102" s="58"/>
      <c r="E102" s="58"/>
      <c r="F102" s="58"/>
      <c r="G102" s="58"/>
      <c r="H102" s="58"/>
      <c r="I102" s="58"/>
      <c r="J102" s="227"/>
      <c r="K102" s="227"/>
      <c r="L102" s="227"/>
      <c r="M102" s="227"/>
      <c r="N102" s="227"/>
      <c r="O102" s="227"/>
      <c r="P102" s="227"/>
      <c r="Q102" s="227"/>
      <c r="R102" s="227"/>
      <c r="S102" s="58"/>
      <c r="T102" s="58"/>
      <c r="U102" s="58"/>
      <c r="V102" s="58"/>
    </row>
    <row r="103" spans="1:22" hidden="1" x14ac:dyDescent="0.3">
      <c r="A103" s="58"/>
      <c r="B103" s="63"/>
      <c r="C103" s="58"/>
      <c r="D103" s="58"/>
      <c r="E103" s="58"/>
      <c r="F103" s="58"/>
      <c r="G103" s="58"/>
      <c r="H103" s="58"/>
      <c r="I103" s="58"/>
      <c r="J103" s="227"/>
      <c r="K103" s="227"/>
      <c r="L103" s="227"/>
      <c r="M103" s="227"/>
      <c r="N103" s="227"/>
      <c r="O103" s="227"/>
      <c r="P103" s="227"/>
      <c r="Q103" s="227"/>
      <c r="R103" s="227"/>
      <c r="S103" s="58"/>
      <c r="T103" s="58"/>
      <c r="U103" s="58"/>
      <c r="V103" s="58"/>
    </row>
    <row r="104" spans="1:22" hidden="1" x14ac:dyDescent="0.3">
      <c r="A104" s="58"/>
      <c r="B104" s="63"/>
      <c r="C104" s="58"/>
      <c r="D104" s="58"/>
      <c r="E104" s="58"/>
      <c r="F104" s="58"/>
      <c r="G104" s="58"/>
      <c r="H104" s="58"/>
      <c r="I104" s="58"/>
      <c r="J104" s="227"/>
      <c r="K104" s="227"/>
      <c r="L104" s="227"/>
      <c r="M104" s="227"/>
      <c r="N104" s="227"/>
      <c r="O104" s="227"/>
      <c r="P104" s="227"/>
      <c r="Q104" s="227"/>
      <c r="R104" s="227"/>
      <c r="S104" s="58"/>
      <c r="T104" s="58"/>
      <c r="U104" s="58"/>
      <c r="V104" s="58"/>
    </row>
    <row r="105" spans="1:22" hidden="1" x14ac:dyDescent="0.3">
      <c r="A105" s="58"/>
      <c r="B105" s="63"/>
      <c r="C105" s="58"/>
      <c r="D105" s="58"/>
      <c r="E105" s="58"/>
      <c r="F105" s="58"/>
      <c r="G105" s="58"/>
      <c r="H105" s="58"/>
      <c r="I105" s="58"/>
      <c r="J105" s="227"/>
      <c r="K105" s="227"/>
      <c r="L105" s="227"/>
      <c r="M105" s="227"/>
      <c r="N105" s="227"/>
      <c r="O105" s="227"/>
      <c r="P105" s="227"/>
      <c r="Q105" s="227"/>
      <c r="R105" s="227"/>
      <c r="S105" s="58"/>
      <c r="T105" s="58"/>
      <c r="U105" s="58"/>
      <c r="V105" s="58"/>
    </row>
    <row r="106" spans="1:22" hidden="1" x14ac:dyDescent="0.3">
      <c r="A106" s="58"/>
      <c r="B106" s="63"/>
      <c r="C106" s="58"/>
      <c r="D106" s="58"/>
      <c r="E106" s="58"/>
      <c r="F106" s="58"/>
      <c r="G106" s="58"/>
      <c r="H106" s="58"/>
      <c r="I106" s="58"/>
      <c r="J106" s="227"/>
      <c r="K106" s="227"/>
      <c r="L106" s="227"/>
      <c r="M106" s="227"/>
      <c r="N106" s="227"/>
      <c r="O106" s="227"/>
      <c r="P106" s="227"/>
      <c r="Q106" s="227"/>
      <c r="R106" s="227"/>
      <c r="S106" s="58"/>
      <c r="T106" s="58"/>
      <c r="U106" s="58"/>
      <c r="V106" s="58"/>
    </row>
    <row r="107" spans="1:22" hidden="1" x14ac:dyDescent="0.3">
      <c r="A107" s="58"/>
      <c r="B107" s="63"/>
      <c r="C107" s="58"/>
      <c r="D107" s="58"/>
      <c r="E107" s="58"/>
      <c r="F107" s="58"/>
      <c r="G107" s="58"/>
      <c r="H107" s="58"/>
      <c r="I107" s="58"/>
      <c r="J107" s="227"/>
      <c r="K107" s="227"/>
      <c r="L107" s="227"/>
      <c r="M107" s="227"/>
      <c r="N107" s="227"/>
      <c r="O107" s="227"/>
      <c r="P107" s="227"/>
      <c r="Q107" s="227"/>
      <c r="R107" s="227"/>
      <c r="S107" s="58"/>
      <c r="T107" s="58"/>
      <c r="U107" s="58"/>
      <c r="V107" s="58"/>
    </row>
    <row r="108" spans="1:22" hidden="1" x14ac:dyDescent="0.3">
      <c r="A108" s="58"/>
      <c r="B108" s="63"/>
      <c r="C108" s="58"/>
      <c r="D108" s="58"/>
      <c r="E108" s="58"/>
      <c r="F108" s="58"/>
      <c r="G108" s="58"/>
      <c r="H108" s="58"/>
      <c r="I108" s="58"/>
      <c r="J108" s="227"/>
      <c r="K108" s="227"/>
      <c r="L108" s="227"/>
      <c r="M108" s="227"/>
      <c r="N108" s="227"/>
      <c r="O108" s="227"/>
      <c r="P108" s="227"/>
      <c r="Q108" s="227"/>
      <c r="R108" s="227"/>
      <c r="S108" s="58"/>
      <c r="T108" s="58"/>
      <c r="U108" s="58"/>
      <c r="V108" s="58"/>
    </row>
    <row r="109" spans="1:22" hidden="1" x14ac:dyDescent="0.3">
      <c r="A109" s="58"/>
      <c r="B109" s="63"/>
      <c r="C109" s="58"/>
      <c r="D109" s="58"/>
      <c r="E109" s="58"/>
      <c r="F109" s="58"/>
      <c r="G109" s="58"/>
      <c r="H109" s="58"/>
      <c r="I109" s="58"/>
      <c r="J109" s="227"/>
      <c r="K109" s="227"/>
      <c r="L109" s="227"/>
      <c r="M109" s="227"/>
      <c r="N109" s="227"/>
      <c r="O109" s="227"/>
      <c r="P109" s="227"/>
      <c r="Q109" s="227"/>
      <c r="R109" s="227"/>
      <c r="S109" s="58"/>
      <c r="T109" s="58"/>
      <c r="U109" s="58"/>
      <c r="V109" s="58"/>
    </row>
    <row r="110" spans="1:22" hidden="1" x14ac:dyDescent="0.3">
      <c r="A110" s="58"/>
      <c r="B110" s="63"/>
      <c r="C110" s="58"/>
      <c r="D110" s="58"/>
      <c r="E110" s="58"/>
      <c r="F110" s="58"/>
      <c r="G110" s="58"/>
      <c r="H110" s="58"/>
      <c r="I110" s="58"/>
      <c r="J110" s="227"/>
      <c r="K110" s="227"/>
      <c r="L110" s="227"/>
      <c r="M110" s="227"/>
      <c r="N110" s="227"/>
      <c r="O110" s="227"/>
      <c r="P110" s="227"/>
      <c r="Q110" s="227"/>
      <c r="R110" s="227"/>
      <c r="S110" s="58"/>
      <c r="T110" s="58"/>
      <c r="U110" s="58"/>
      <c r="V110" s="58"/>
    </row>
    <row r="111" spans="1:22" hidden="1" x14ac:dyDescent="0.3">
      <c r="A111" s="58"/>
      <c r="B111" s="63"/>
      <c r="C111" s="58"/>
      <c r="D111" s="58"/>
      <c r="E111" s="58"/>
      <c r="F111" s="58"/>
      <c r="G111" s="58"/>
      <c r="H111" s="58"/>
      <c r="I111" s="58"/>
      <c r="J111" s="227"/>
      <c r="K111" s="227"/>
      <c r="L111" s="227"/>
      <c r="M111" s="227"/>
      <c r="N111" s="227"/>
      <c r="O111" s="227"/>
      <c r="P111" s="227"/>
      <c r="Q111" s="227"/>
      <c r="R111" s="227"/>
      <c r="S111" s="58"/>
      <c r="T111" s="58"/>
      <c r="U111" s="58"/>
      <c r="V111" s="58"/>
    </row>
    <row r="112" spans="1:22" hidden="1" x14ac:dyDescent="0.3">
      <c r="A112" s="58"/>
      <c r="B112" s="63"/>
      <c r="C112" s="58"/>
      <c r="D112" s="58"/>
      <c r="E112" s="58"/>
      <c r="F112" s="58"/>
      <c r="G112" s="58"/>
      <c r="H112" s="58"/>
      <c r="I112" s="58"/>
      <c r="J112" s="227"/>
      <c r="K112" s="227"/>
      <c r="L112" s="227"/>
      <c r="M112" s="227"/>
      <c r="N112" s="227"/>
      <c r="O112" s="227"/>
      <c r="P112" s="227"/>
      <c r="Q112" s="227"/>
      <c r="R112" s="227"/>
      <c r="S112" s="58"/>
      <c r="T112" s="58"/>
      <c r="U112" s="58"/>
      <c r="V112" s="58"/>
    </row>
    <row r="113" spans="1:22" hidden="1" x14ac:dyDescent="0.3">
      <c r="A113" s="58"/>
      <c r="B113" s="63"/>
      <c r="C113" s="58"/>
      <c r="D113" s="58"/>
      <c r="E113" s="58"/>
      <c r="F113" s="58"/>
      <c r="G113" s="58"/>
      <c r="H113" s="58"/>
      <c r="I113" s="58"/>
      <c r="J113" s="227"/>
      <c r="K113" s="227"/>
      <c r="L113" s="227"/>
      <c r="M113" s="227"/>
      <c r="N113" s="227"/>
      <c r="O113" s="227"/>
      <c r="P113" s="227"/>
      <c r="Q113" s="227"/>
      <c r="R113" s="227"/>
      <c r="S113" s="58"/>
      <c r="T113" s="58"/>
      <c r="U113" s="58"/>
      <c r="V113" s="58"/>
    </row>
    <row r="114" spans="1:22" hidden="1" x14ac:dyDescent="0.3">
      <c r="A114" s="58"/>
      <c r="B114" s="63"/>
      <c r="C114" s="58"/>
      <c r="D114" s="58"/>
      <c r="E114" s="58"/>
      <c r="F114" s="58"/>
      <c r="G114" s="58"/>
      <c r="H114" s="58"/>
      <c r="I114" s="58"/>
      <c r="J114" s="227"/>
      <c r="K114" s="227"/>
      <c r="L114" s="227"/>
      <c r="M114" s="227"/>
      <c r="N114" s="227"/>
      <c r="O114" s="227"/>
      <c r="P114" s="227"/>
      <c r="Q114" s="227"/>
      <c r="R114" s="227"/>
      <c r="S114" s="58"/>
      <c r="T114" s="58"/>
      <c r="U114" s="58"/>
      <c r="V114" s="58"/>
    </row>
    <row r="115" spans="1:22" hidden="1" x14ac:dyDescent="0.3">
      <c r="A115" s="58"/>
      <c r="B115" s="63"/>
      <c r="C115" s="58"/>
      <c r="D115" s="58"/>
      <c r="E115" s="58"/>
      <c r="F115" s="58"/>
      <c r="G115" s="58"/>
      <c r="H115" s="58"/>
      <c r="I115" s="58"/>
      <c r="J115" s="227"/>
      <c r="K115" s="227"/>
      <c r="L115" s="227"/>
      <c r="M115" s="227"/>
      <c r="N115" s="227"/>
      <c r="O115" s="227"/>
      <c r="P115" s="227"/>
      <c r="Q115" s="227"/>
      <c r="R115" s="227"/>
      <c r="S115" s="58"/>
      <c r="T115" s="58"/>
      <c r="U115" s="58"/>
      <c r="V115" s="58"/>
    </row>
    <row r="116" spans="1:22" hidden="1" x14ac:dyDescent="0.3">
      <c r="A116" s="58"/>
      <c r="B116" s="63"/>
      <c r="C116" s="58"/>
      <c r="D116" s="58"/>
      <c r="E116" s="58"/>
      <c r="F116" s="58"/>
      <c r="G116" s="58"/>
      <c r="H116" s="58"/>
      <c r="I116" s="58"/>
      <c r="J116" s="227"/>
      <c r="K116" s="227"/>
      <c r="L116" s="227"/>
      <c r="M116" s="227"/>
      <c r="N116" s="227"/>
      <c r="O116" s="227"/>
      <c r="P116" s="227"/>
      <c r="Q116" s="227"/>
      <c r="R116" s="227"/>
      <c r="S116" s="58"/>
      <c r="T116" s="58"/>
      <c r="U116" s="58"/>
      <c r="V116" s="58"/>
    </row>
    <row r="117" spans="1:22" hidden="1" x14ac:dyDescent="0.3">
      <c r="A117" s="58"/>
      <c r="B117" s="63"/>
      <c r="C117" s="58"/>
      <c r="D117" s="58"/>
      <c r="E117" s="58"/>
      <c r="F117" s="58"/>
      <c r="G117" s="58"/>
      <c r="H117" s="58"/>
      <c r="I117" s="58"/>
      <c r="J117" s="227"/>
      <c r="K117" s="227"/>
      <c r="L117" s="227"/>
      <c r="M117" s="227"/>
      <c r="N117" s="227"/>
      <c r="O117" s="227"/>
      <c r="P117" s="227"/>
      <c r="Q117" s="227"/>
      <c r="R117" s="227"/>
      <c r="S117" s="58"/>
      <c r="T117" s="58"/>
      <c r="U117" s="58"/>
      <c r="V117" s="58"/>
    </row>
    <row r="118" spans="1:22" hidden="1" x14ac:dyDescent="0.3">
      <c r="A118" s="58"/>
      <c r="B118" s="63"/>
      <c r="C118" s="58"/>
      <c r="D118" s="58"/>
      <c r="E118" s="58"/>
      <c r="F118" s="58"/>
      <c r="G118" s="58"/>
      <c r="H118" s="58"/>
      <c r="I118" s="58"/>
      <c r="J118" s="227"/>
      <c r="K118" s="227"/>
      <c r="L118" s="227"/>
      <c r="M118" s="227"/>
      <c r="N118" s="227"/>
      <c r="O118" s="227"/>
      <c r="P118" s="227"/>
      <c r="Q118" s="227"/>
      <c r="R118" s="227"/>
      <c r="S118" s="58"/>
      <c r="T118" s="58"/>
      <c r="U118" s="58"/>
      <c r="V118" s="58"/>
    </row>
    <row r="119" spans="1:22" hidden="1" x14ac:dyDescent="0.3">
      <c r="A119" s="58"/>
      <c r="B119" s="63"/>
      <c r="C119" s="58"/>
      <c r="D119" s="58"/>
      <c r="E119" s="58"/>
      <c r="F119" s="58"/>
      <c r="G119" s="58"/>
      <c r="H119" s="58"/>
      <c r="I119" s="58"/>
      <c r="J119" s="227"/>
      <c r="K119" s="227"/>
      <c r="L119" s="227"/>
      <c r="M119" s="227"/>
      <c r="N119" s="227"/>
      <c r="O119" s="227"/>
      <c r="P119" s="227"/>
      <c r="Q119" s="227"/>
      <c r="R119" s="227"/>
      <c r="S119" s="58"/>
      <c r="T119" s="58"/>
      <c r="U119" s="58"/>
      <c r="V119" s="58"/>
    </row>
    <row r="120" spans="1:22" hidden="1" x14ac:dyDescent="0.3">
      <c r="A120" s="58"/>
      <c r="B120" s="63"/>
      <c r="C120" s="58"/>
      <c r="D120" s="58"/>
      <c r="E120" s="58"/>
      <c r="F120" s="58"/>
      <c r="G120" s="58"/>
      <c r="H120" s="58"/>
      <c r="I120" s="58"/>
      <c r="J120" s="227"/>
      <c r="K120" s="227"/>
      <c r="L120" s="227"/>
      <c r="M120" s="227"/>
      <c r="N120" s="227"/>
      <c r="O120" s="227"/>
      <c r="P120" s="227"/>
      <c r="Q120" s="227"/>
      <c r="R120" s="227"/>
      <c r="S120" s="58"/>
      <c r="T120" s="58"/>
      <c r="U120" s="58"/>
      <c r="V120" s="58"/>
    </row>
    <row r="121" spans="1:22" hidden="1" x14ac:dyDescent="0.3">
      <c r="A121" s="58"/>
      <c r="B121" s="63"/>
      <c r="C121" s="58"/>
      <c r="D121" s="58"/>
      <c r="E121" s="58"/>
      <c r="F121" s="58"/>
      <c r="G121" s="58"/>
      <c r="H121" s="58"/>
      <c r="I121" s="58"/>
      <c r="J121" s="227"/>
      <c r="K121" s="227"/>
      <c r="L121" s="227"/>
      <c r="M121" s="227"/>
      <c r="N121" s="227"/>
      <c r="O121" s="227"/>
      <c r="P121" s="227"/>
      <c r="Q121" s="227"/>
      <c r="R121" s="227"/>
      <c r="S121" s="58"/>
      <c r="T121" s="58"/>
      <c r="U121" s="58"/>
      <c r="V121" s="58"/>
    </row>
    <row r="122" spans="1:22" hidden="1" x14ac:dyDescent="0.3">
      <c r="A122" s="58"/>
      <c r="B122" s="63"/>
      <c r="C122" s="58"/>
      <c r="D122" s="58"/>
      <c r="E122" s="58"/>
      <c r="F122" s="58"/>
      <c r="G122" s="58"/>
      <c r="H122" s="58"/>
      <c r="I122" s="58"/>
      <c r="J122" s="227"/>
      <c r="K122" s="227"/>
      <c r="L122" s="227"/>
      <c r="M122" s="227"/>
      <c r="N122" s="227"/>
      <c r="O122" s="227"/>
      <c r="P122" s="227"/>
      <c r="Q122" s="227"/>
      <c r="R122" s="227"/>
      <c r="S122" s="58"/>
      <c r="T122" s="58"/>
      <c r="U122" s="58"/>
      <c r="V122" s="58"/>
    </row>
    <row r="123" spans="1:22" hidden="1" x14ac:dyDescent="0.3">
      <c r="A123" s="58"/>
      <c r="B123" s="63"/>
      <c r="C123" s="58"/>
      <c r="D123" s="58"/>
      <c r="E123" s="58"/>
      <c r="F123" s="58"/>
      <c r="G123" s="58"/>
      <c r="H123" s="58"/>
      <c r="I123" s="58"/>
      <c r="J123" s="227"/>
      <c r="K123" s="227"/>
      <c r="L123" s="227"/>
      <c r="M123" s="227"/>
      <c r="N123" s="227"/>
      <c r="O123" s="227"/>
      <c r="P123" s="227"/>
      <c r="Q123" s="227"/>
      <c r="R123" s="227"/>
      <c r="S123" s="58"/>
      <c r="T123" s="58"/>
      <c r="U123" s="58"/>
      <c r="V123" s="58"/>
    </row>
    <row r="124" spans="1:22" hidden="1" x14ac:dyDescent="0.3">
      <c r="A124" s="58"/>
      <c r="B124" s="63"/>
      <c r="C124" s="58"/>
      <c r="D124" s="58"/>
      <c r="E124" s="58"/>
      <c r="F124" s="58"/>
      <c r="G124" s="58"/>
      <c r="H124" s="58"/>
      <c r="I124" s="58"/>
      <c r="J124" s="227"/>
      <c r="K124" s="227"/>
      <c r="L124" s="227"/>
      <c r="M124" s="227"/>
      <c r="N124" s="227"/>
      <c r="O124" s="227"/>
      <c r="P124" s="227"/>
      <c r="Q124" s="227"/>
      <c r="R124" s="227"/>
      <c r="S124" s="58"/>
      <c r="T124" s="58"/>
      <c r="U124" s="58"/>
      <c r="V124" s="58"/>
    </row>
    <row r="125" spans="1:22" hidden="1" x14ac:dyDescent="0.3">
      <c r="A125" s="58"/>
      <c r="B125" s="63"/>
      <c r="C125" s="58"/>
      <c r="D125" s="58"/>
      <c r="E125" s="58"/>
      <c r="F125" s="58"/>
      <c r="G125" s="58"/>
      <c r="H125" s="58"/>
      <c r="I125" s="58"/>
      <c r="J125" s="227"/>
      <c r="K125" s="227"/>
      <c r="L125" s="227"/>
      <c r="M125" s="227"/>
      <c r="N125" s="227"/>
      <c r="O125" s="227"/>
      <c r="P125" s="227"/>
      <c r="Q125" s="227"/>
      <c r="R125" s="227"/>
      <c r="S125" s="58"/>
      <c r="T125" s="58"/>
      <c r="U125" s="58"/>
      <c r="V125" s="58"/>
    </row>
    <row r="126" spans="1:22" hidden="1" x14ac:dyDescent="0.3">
      <c r="A126" s="58"/>
      <c r="B126" s="63"/>
      <c r="C126" s="58"/>
      <c r="D126" s="58"/>
      <c r="E126" s="58"/>
      <c r="F126" s="58"/>
      <c r="G126" s="58"/>
      <c r="H126" s="58"/>
      <c r="I126" s="58"/>
      <c r="J126" s="227"/>
      <c r="K126" s="227"/>
      <c r="L126" s="227"/>
      <c r="M126" s="227"/>
      <c r="N126" s="227"/>
      <c r="O126" s="227"/>
      <c r="P126" s="227"/>
      <c r="Q126" s="227"/>
      <c r="R126" s="227"/>
      <c r="S126" s="58"/>
      <c r="T126" s="58"/>
      <c r="U126" s="58"/>
      <c r="V126" s="58"/>
    </row>
    <row r="127" spans="1:22" hidden="1" x14ac:dyDescent="0.3">
      <c r="A127" s="58"/>
      <c r="B127" s="63"/>
      <c r="C127" s="58"/>
      <c r="D127" s="58"/>
      <c r="E127" s="58"/>
      <c r="F127" s="58"/>
      <c r="G127" s="58"/>
      <c r="H127" s="58"/>
      <c r="I127" s="58"/>
      <c r="J127" s="227"/>
      <c r="K127" s="227"/>
      <c r="L127" s="227"/>
      <c r="M127" s="227"/>
      <c r="N127" s="227"/>
      <c r="O127" s="227"/>
      <c r="P127" s="227"/>
      <c r="Q127" s="227"/>
      <c r="R127" s="227"/>
      <c r="S127" s="58"/>
      <c r="T127" s="58"/>
      <c r="U127" s="58"/>
      <c r="V127" s="58"/>
    </row>
    <row r="128" spans="1:22" hidden="1" x14ac:dyDescent="0.3">
      <c r="A128" s="58"/>
      <c r="B128" s="63"/>
      <c r="C128" s="58"/>
      <c r="D128" s="58"/>
      <c r="E128" s="58"/>
      <c r="F128" s="58"/>
      <c r="G128" s="58"/>
      <c r="H128" s="58"/>
      <c r="I128" s="58"/>
      <c r="J128" s="227"/>
      <c r="K128" s="227"/>
      <c r="L128" s="227"/>
      <c r="M128" s="227"/>
      <c r="N128" s="227"/>
      <c r="O128" s="227"/>
      <c r="P128" s="227"/>
      <c r="Q128" s="227"/>
      <c r="R128" s="227"/>
      <c r="S128" s="58"/>
      <c r="T128" s="58"/>
      <c r="U128" s="58"/>
      <c r="V128" s="58"/>
    </row>
    <row r="129" spans="1:22" hidden="1" x14ac:dyDescent="0.3">
      <c r="A129" s="58"/>
      <c r="B129" s="63"/>
      <c r="C129" s="58"/>
      <c r="D129" s="58"/>
      <c r="E129" s="58"/>
      <c r="F129" s="58"/>
      <c r="G129" s="58"/>
      <c r="H129" s="58"/>
      <c r="I129" s="58"/>
      <c r="J129" s="227"/>
      <c r="K129" s="227"/>
      <c r="L129" s="227"/>
      <c r="M129" s="227"/>
      <c r="N129" s="227"/>
      <c r="O129" s="227"/>
      <c r="P129" s="227"/>
      <c r="Q129" s="227"/>
      <c r="R129" s="227"/>
      <c r="S129" s="58"/>
      <c r="T129" s="58"/>
      <c r="U129" s="58"/>
      <c r="V129" s="58"/>
    </row>
    <row r="130" spans="1:22" hidden="1" x14ac:dyDescent="0.3">
      <c r="A130" s="58"/>
      <c r="B130" s="63"/>
      <c r="C130" s="58"/>
      <c r="D130" s="58"/>
      <c r="E130" s="58"/>
      <c r="F130" s="58"/>
      <c r="G130" s="58"/>
      <c r="H130" s="58"/>
      <c r="I130" s="58"/>
      <c r="J130" s="227"/>
      <c r="K130" s="227"/>
      <c r="L130" s="227"/>
      <c r="M130" s="227"/>
      <c r="N130" s="227"/>
      <c r="O130" s="227"/>
      <c r="P130" s="227"/>
      <c r="Q130" s="227"/>
      <c r="R130" s="227"/>
      <c r="S130" s="58"/>
      <c r="T130" s="58"/>
      <c r="U130" s="58"/>
      <c r="V130" s="58"/>
    </row>
    <row r="131" spans="1:22" hidden="1" x14ac:dyDescent="0.3">
      <c r="A131" s="58"/>
      <c r="B131" s="63"/>
      <c r="C131" s="58"/>
      <c r="D131" s="58"/>
      <c r="E131" s="58"/>
      <c r="F131" s="58"/>
      <c r="G131" s="58"/>
      <c r="H131" s="58"/>
      <c r="I131" s="58"/>
      <c r="J131" s="227"/>
      <c r="K131" s="227"/>
      <c r="L131" s="227"/>
      <c r="M131" s="227"/>
      <c r="N131" s="227"/>
      <c r="O131" s="227"/>
      <c r="P131" s="227"/>
      <c r="Q131" s="227"/>
      <c r="R131" s="227"/>
      <c r="S131" s="58"/>
      <c r="T131" s="58"/>
      <c r="U131" s="58"/>
      <c r="V131" s="58"/>
    </row>
    <row r="132" spans="1:22" hidden="1" x14ac:dyDescent="0.3">
      <c r="A132" s="58"/>
      <c r="B132" s="63"/>
      <c r="C132" s="58"/>
      <c r="D132" s="58"/>
      <c r="E132" s="58"/>
      <c r="F132" s="58"/>
      <c r="G132" s="58"/>
      <c r="H132" s="58"/>
      <c r="I132" s="58"/>
      <c r="J132" s="227"/>
      <c r="K132" s="227"/>
      <c r="L132" s="227"/>
      <c r="M132" s="227"/>
      <c r="N132" s="227"/>
      <c r="O132" s="227"/>
      <c r="P132" s="227"/>
      <c r="Q132" s="227"/>
      <c r="R132" s="227"/>
      <c r="S132" s="58"/>
      <c r="T132" s="58"/>
      <c r="U132" s="58"/>
      <c r="V132" s="58"/>
    </row>
    <row r="133" spans="1:22" hidden="1" x14ac:dyDescent="0.3">
      <c r="A133" s="58"/>
      <c r="B133" s="63"/>
      <c r="C133" s="58"/>
      <c r="D133" s="58"/>
      <c r="E133" s="58"/>
      <c r="F133" s="58"/>
      <c r="G133" s="58"/>
      <c r="H133" s="58"/>
      <c r="I133" s="58"/>
      <c r="J133" s="227"/>
      <c r="K133" s="227"/>
      <c r="L133" s="227"/>
      <c r="M133" s="227"/>
      <c r="N133" s="227"/>
      <c r="O133" s="227"/>
      <c r="P133" s="227"/>
      <c r="Q133" s="227"/>
      <c r="R133" s="227"/>
      <c r="S133" s="58"/>
      <c r="T133" s="58"/>
      <c r="U133" s="58"/>
      <c r="V133" s="58"/>
    </row>
    <row r="134" spans="1:22" hidden="1" x14ac:dyDescent="0.3">
      <c r="A134" s="58"/>
      <c r="B134" s="63"/>
      <c r="C134" s="58"/>
      <c r="D134" s="58"/>
      <c r="E134" s="58"/>
      <c r="F134" s="58"/>
      <c r="G134" s="58"/>
      <c r="H134" s="58"/>
      <c r="I134" s="58"/>
      <c r="J134" s="227"/>
      <c r="K134" s="227"/>
      <c r="L134" s="227"/>
      <c r="M134" s="227"/>
      <c r="N134" s="227"/>
      <c r="O134" s="227"/>
      <c r="P134" s="227"/>
      <c r="Q134" s="227"/>
      <c r="R134" s="227"/>
      <c r="S134" s="58"/>
      <c r="T134" s="58"/>
      <c r="U134" s="58"/>
      <c r="V134" s="58"/>
    </row>
    <row r="135" spans="1:22" hidden="1" x14ac:dyDescent="0.3">
      <c r="A135" s="58"/>
      <c r="B135" s="63"/>
      <c r="C135" s="58"/>
      <c r="D135" s="58"/>
      <c r="E135" s="58"/>
      <c r="F135" s="58"/>
      <c r="G135" s="58"/>
      <c r="H135" s="58"/>
      <c r="I135" s="58"/>
      <c r="J135" s="227"/>
      <c r="K135" s="227"/>
      <c r="L135" s="227"/>
      <c r="M135" s="227"/>
      <c r="N135" s="227"/>
      <c r="O135" s="227"/>
      <c r="P135" s="227"/>
      <c r="Q135" s="227"/>
      <c r="R135" s="227"/>
      <c r="S135" s="58"/>
      <c r="T135" s="58"/>
      <c r="U135" s="58"/>
      <c r="V135" s="58"/>
    </row>
    <row r="136" spans="1:22" hidden="1" x14ac:dyDescent="0.3">
      <c r="A136" s="58"/>
      <c r="B136" s="63"/>
      <c r="C136" s="58"/>
      <c r="D136" s="58"/>
      <c r="E136" s="58"/>
      <c r="F136" s="58"/>
      <c r="G136" s="58"/>
      <c r="H136" s="58"/>
      <c r="I136" s="58"/>
      <c r="J136" s="227"/>
      <c r="K136" s="227"/>
      <c r="L136" s="227"/>
      <c r="M136" s="227"/>
      <c r="N136" s="227"/>
      <c r="O136" s="227"/>
      <c r="P136" s="227"/>
      <c r="Q136" s="227"/>
      <c r="R136" s="227"/>
      <c r="S136" s="58"/>
      <c r="T136" s="58"/>
      <c r="U136" s="58"/>
      <c r="V136" s="58"/>
    </row>
    <row r="137" spans="1:22" hidden="1" x14ac:dyDescent="0.3">
      <c r="A137" s="58"/>
      <c r="B137" s="63"/>
      <c r="C137" s="58"/>
      <c r="D137" s="58"/>
      <c r="E137" s="58"/>
      <c r="F137" s="58"/>
      <c r="G137" s="58"/>
      <c r="H137" s="58"/>
      <c r="I137" s="58"/>
      <c r="J137" s="227"/>
      <c r="K137" s="227"/>
      <c r="L137" s="227"/>
      <c r="M137" s="227"/>
      <c r="N137" s="227"/>
      <c r="O137" s="227"/>
      <c r="P137" s="227"/>
      <c r="Q137" s="227"/>
      <c r="R137" s="227"/>
      <c r="S137" s="58"/>
      <c r="T137" s="58"/>
      <c r="U137" s="58"/>
      <c r="V137" s="58"/>
    </row>
    <row r="138" spans="1:22" hidden="1" x14ac:dyDescent="0.3">
      <c r="A138" s="58"/>
      <c r="B138" s="63"/>
      <c r="C138" s="58"/>
      <c r="D138" s="58"/>
      <c r="E138" s="58"/>
      <c r="F138" s="58"/>
      <c r="G138" s="58"/>
      <c r="H138" s="58"/>
      <c r="I138" s="58"/>
      <c r="J138" s="227"/>
      <c r="K138" s="227"/>
      <c r="L138" s="227"/>
      <c r="M138" s="227"/>
      <c r="N138" s="227"/>
      <c r="O138" s="227"/>
      <c r="P138" s="227"/>
      <c r="Q138" s="227"/>
      <c r="R138" s="227"/>
      <c r="S138" s="58"/>
      <c r="T138" s="58"/>
      <c r="U138" s="58"/>
      <c r="V138" s="58"/>
    </row>
    <row r="139" spans="1:22" hidden="1" x14ac:dyDescent="0.3">
      <c r="A139" s="58"/>
      <c r="B139" s="63"/>
      <c r="C139" s="58"/>
      <c r="D139" s="58"/>
      <c r="E139" s="58"/>
      <c r="F139" s="58"/>
      <c r="G139" s="58"/>
      <c r="H139" s="58"/>
      <c r="I139" s="58"/>
      <c r="J139" s="227"/>
      <c r="K139" s="227"/>
      <c r="L139" s="227"/>
      <c r="M139" s="227"/>
      <c r="N139" s="227"/>
      <c r="O139" s="227"/>
      <c r="P139" s="227"/>
      <c r="Q139" s="227"/>
      <c r="R139" s="227"/>
      <c r="S139" s="58"/>
      <c r="T139" s="58"/>
      <c r="U139" s="58"/>
      <c r="V139" s="58"/>
    </row>
    <row r="140" spans="1:22" hidden="1" x14ac:dyDescent="0.3">
      <c r="A140" s="58"/>
      <c r="B140" s="63"/>
      <c r="C140" s="58"/>
      <c r="D140" s="58"/>
      <c r="E140" s="58"/>
      <c r="F140" s="58"/>
      <c r="G140" s="58"/>
      <c r="H140" s="58"/>
      <c r="I140" s="58"/>
      <c r="J140" s="227"/>
      <c r="K140" s="227"/>
      <c r="L140" s="227"/>
      <c r="M140" s="227"/>
      <c r="N140" s="227"/>
      <c r="O140" s="227"/>
      <c r="P140" s="227"/>
      <c r="Q140" s="227"/>
      <c r="R140" s="227"/>
      <c r="S140" s="58"/>
      <c r="T140" s="58"/>
      <c r="U140" s="58"/>
      <c r="V140" s="58"/>
    </row>
    <row r="141" spans="1:22" hidden="1" x14ac:dyDescent="0.3">
      <c r="A141" s="58"/>
      <c r="B141" s="63"/>
      <c r="C141" s="58"/>
      <c r="D141" s="58"/>
      <c r="E141" s="58"/>
      <c r="F141" s="58"/>
      <c r="G141" s="58"/>
      <c r="H141" s="58"/>
      <c r="I141" s="58"/>
      <c r="J141" s="227"/>
      <c r="K141" s="227"/>
      <c r="L141" s="227"/>
      <c r="M141" s="227"/>
      <c r="N141" s="227"/>
      <c r="O141" s="227"/>
      <c r="P141" s="227"/>
      <c r="Q141" s="227"/>
      <c r="R141" s="227"/>
      <c r="S141" s="58"/>
      <c r="T141" s="58"/>
      <c r="U141" s="58"/>
      <c r="V141" s="58"/>
    </row>
    <row r="142" spans="1:22" hidden="1" x14ac:dyDescent="0.3">
      <c r="A142" s="58"/>
      <c r="B142" s="63"/>
      <c r="C142" s="58"/>
      <c r="D142" s="58"/>
      <c r="E142" s="58"/>
      <c r="F142" s="58"/>
      <c r="G142" s="58"/>
      <c r="H142" s="58"/>
      <c r="I142" s="58"/>
      <c r="J142" s="227"/>
      <c r="K142" s="227"/>
      <c r="L142" s="227"/>
      <c r="M142" s="227"/>
      <c r="N142" s="227"/>
      <c r="O142" s="227"/>
      <c r="P142" s="227"/>
      <c r="Q142" s="227"/>
      <c r="R142" s="227"/>
      <c r="S142" s="58"/>
      <c r="T142" s="58"/>
      <c r="U142" s="58"/>
      <c r="V142" s="58"/>
    </row>
    <row r="143" spans="1:22" hidden="1" x14ac:dyDescent="0.3">
      <c r="A143" s="58"/>
      <c r="B143" s="63"/>
      <c r="C143" s="58"/>
      <c r="D143" s="58"/>
      <c r="E143" s="58"/>
      <c r="F143" s="58"/>
      <c r="G143" s="58"/>
      <c r="H143" s="58"/>
      <c r="I143" s="58"/>
      <c r="J143" s="227"/>
      <c r="K143" s="227"/>
      <c r="L143" s="227"/>
      <c r="M143" s="227"/>
      <c r="N143" s="227"/>
      <c r="O143" s="227"/>
      <c r="P143" s="227"/>
      <c r="Q143" s="227"/>
      <c r="R143" s="227"/>
      <c r="S143" s="58"/>
      <c r="T143" s="58"/>
      <c r="U143" s="58"/>
      <c r="V143" s="58"/>
    </row>
    <row r="144" spans="1:22" hidden="1" x14ac:dyDescent="0.3">
      <c r="A144" s="58"/>
      <c r="B144" s="63"/>
      <c r="C144" s="58"/>
      <c r="D144" s="58"/>
      <c r="E144" s="58"/>
      <c r="F144" s="58"/>
      <c r="G144" s="58"/>
      <c r="H144" s="58"/>
      <c r="I144" s="58"/>
      <c r="J144" s="227"/>
      <c r="K144" s="227"/>
      <c r="L144" s="227"/>
      <c r="M144" s="227"/>
      <c r="N144" s="227"/>
      <c r="O144" s="227"/>
      <c r="P144" s="227"/>
      <c r="Q144" s="227"/>
      <c r="R144" s="227"/>
      <c r="S144" s="58"/>
      <c r="T144" s="58"/>
      <c r="U144" s="58"/>
      <c r="V144" s="58"/>
    </row>
    <row r="145" spans="1:22" hidden="1" x14ac:dyDescent="0.3">
      <c r="A145" s="58"/>
      <c r="B145" s="63"/>
      <c r="C145" s="58"/>
      <c r="D145" s="58"/>
      <c r="E145" s="58"/>
      <c r="F145" s="58"/>
      <c r="G145" s="58"/>
      <c r="H145" s="58"/>
      <c r="I145" s="58"/>
      <c r="J145" s="227"/>
      <c r="K145" s="227"/>
      <c r="L145" s="227"/>
      <c r="M145" s="227"/>
      <c r="N145" s="227"/>
      <c r="O145" s="227"/>
      <c r="P145" s="227"/>
      <c r="Q145" s="227"/>
      <c r="R145" s="227"/>
      <c r="S145" s="58"/>
      <c r="T145" s="58"/>
      <c r="U145" s="58"/>
      <c r="V145" s="58"/>
    </row>
    <row r="146" spans="1:22" hidden="1" x14ac:dyDescent="0.3">
      <c r="A146" s="58"/>
      <c r="B146" s="63"/>
      <c r="C146" s="58"/>
      <c r="D146" s="58"/>
      <c r="E146" s="58"/>
      <c r="F146" s="58"/>
      <c r="G146" s="58"/>
      <c r="H146" s="58"/>
      <c r="I146" s="58"/>
      <c r="J146" s="227"/>
      <c r="K146" s="227"/>
      <c r="L146" s="227"/>
      <c r="M146" s="227"/>
      <c r="N146" s="227"/>
      <c r="O146" s="227"/>
      <c r="P146" s="227"/>
      <c r="Q146" s="227"/>
      <c r="R146" s="227"/>
      <c r="S146" s="58"/>
      <c r="T146" s="58"/>
      <c r="U146" s="58"/>
      <c r="V146" s="58"/>
    </row>
    <row r="147" spans="1:22" hidden="1" x14ac:dyDescent="0.3">
      <c r="A147" s="58"/>
      <c r="B147" s="63"/>
      <c r="C147" s="58"/>
      <c r="D147" s="58"/>
      <c r="E147" s="58"/>
      <c r="F147" s="58"/>
      <c r="G147" s="58"/>
      <c r="H147" s="58"/>
      <c r="I147" s="58"/>
      <c r="J147" s="227"/>
      <c r="K147" s="227"/>
      <c r="L147" s="227"/>
      <c r="M147" s="227"/>
      <c r="N147" s="227"/>
      <c r="O147" s="227"/>
      <c r="P147" s="227"/>
      <c r="Q147" s="227"/>
      <c r="R147" s="227"/>
      <c r="S147" s="58"/>
      <c r="T147" s="58"/>
      <c r="U147" s="58"/>
      <c r="V147" s="58"/>
    </row>
    <row r="148" spans="1:22" hidden="1" x14ac:dyDescent="0.3">
      <c r="A148" s="58"/>
      <c r="B148" s="63"/>
      <c r="C148" s="58"/>
      <c r="D148" s="58"/>
      <c r="E148" s="58"/>
      <c r="F148" s="58"/>
      <c r="G148" s="58"/>
      <c r="H148" s="58"/>
      <c r="I148" s="58"/>
      <c r="J148" s="227"/>
      <c r="K148" s="227"/>
      <c r="L148" s="227"/>
      <c r="M148" s="227"/>
      <c r="N148" s="227"/>
      <c r="O148" s="227"/>
      <c r="P148" s="227"/>
      <c r="Q148" s="227"/>
      <c r="R148" s="227"/>
      <c r="S148" s="58"/>
      <c r="T148" s="58"/>
      <c r="U148" s="58"/>
      <c r="V148" s="58"/>
    </row>
    <row r="149" spans="1:22" hidden="1" x14ac:dyDescent="0.3">
      <c r="A149" s="58"/>
      <c r="B149" s="63"/>
      <c r="C149" s="58"/>
      <c r="D149" s="58"/>
      <c r="E149" s="58"/>
      <c r="F149" s="58"/>
      <c r="G149" s="58"/>
      <c r="H149" s="58"/>
      <c r="I149" s="58"/>
      <c r="J149" s="227"/>
      <c r="K149" s="227"/>
      <c r="L149" s="227"/>
      <c r="M149" s="227"/>
      <c r="N149" s="227"/>
      <c r="O149" s="227"/>
      <c r="P149" s="227"/>
      <c r="Q149" s="227"/>
      <c r="R149" s="227"/>
      <c r="S149" s="58"/>
      <c r="T149" s="58"/>
      <c r="U149" s="58"/>
      <c r="V149" s="58"/>
    </row>
    <row r="150" spans="1:22" hidden="1" x14ac:dyDescent="0.3">
      <c r="A150" s="58"/>
      <c r="B150" s="63"/>
      <c r="C150" s="58"/>
      <c r="D150" s="58"/>
      <c r="E150" s="58"/>
      <c r="F150" s="58"/>
      <c r="G150" s="58"/>
      <c r="H150" s="58"/>
      <c r="I150" s="58"/>
      <c r="J150" s="227"/>
      <c r="K150" s="227"/>
      <c r="L150" s="227"/>
      <c r="M150" s="227"/>
      <c r="N150" s="227"/>
      <c r="O150" s="227"/>
      <c r="P150" s="227"/>
      <c r="Q150" s="227"/>
      <c r="R150" s="227"/>
      <c r="S150" s="58"/>
      <c r="T150" s="58"/>
      <c r="U150" s="58"/>
      <c r="V150" s="58"/>
    </row>
    <row r="151" spans="1:22" hidden="1" x14ac:dyDescent="0.3">
      <c r="A151" s="58"/>
      <c r="B151" s="63"/>
      <c r="C151" s="58"/>
      <c r="D151" s="58"/>
      <c r="E151" s="58"/>
      <c r="F151" s="58"/>
      <c r="G151" s="58"/>
      <c r="H151" s="58"/>
      <c r="I151" s="58"/>
      <c r="J151" s="227"/>
      <c r="K151" s="227"/>
      <c r="L151" s="227"/>
      <c r="M151" s="227"/>
      <c r="N151" s="227"/>
      <c r="O151" s="227"/>
      <c r="P151" s="227"/>
      <c r="Q151" s="227"/>
      <c r="R151" s="227"/>
      <c r="S151" s="58"/>
      <c r="T151" s="58"/>
      <c r="U151" s="58"/>
      <c r="V151" s="58"/>
    </row>
    <row r="152" spans="1:22" hidden="1" x14ac:dyDescent="0.3">
      <c r="A152" s="58"/>
      <c r="B152" s="63"/>
      <c r="C152" s="58"/>
      <c r="D152" s="58"/>
      <c r="E152" s="58"/>
      <c r="F152" s="58"/>
      <c r="G152" s="58"/>
      <c r="H152" s="58"/>
      <c r="I152" s="58"/>
      <c r="J152" s="227"/>
      <c r="K152" s="227"/>
      <c r="L152" s="227"/>
      <c r="M152" s="227"/>
      <c r="N152" s="227"/>
      <c r="O152" s="227"/>
      <c r="P152" s="227"/>
      <c r="Q152" s="227"/>
      <c r="R152" s="227"/>
      <c r="S152" s="58"/>
      <c r="T152" s="58"/>
      <c r="U152" s="58"/>
      <c r="V152" s="58"/>
    </row>
    <row r="153" spans="1:22" hidden="1" x14ac:dyDescent="0.3">
      <c r="A153" s="58"/>
      <c r="B153" s="63"/>
      <c r="C153" s="58"/>
      <c r="D153" s="58"/>
      <c r="E153" s="58"/>
      <c r="F153" s="58"/>
      <c r="G153" s="58"/>
      <c r="H153" s="58"/>
      <c r="I153" s="58"/>
      <c r="J153" s="227"/>
      <c r="K153" s="227"/>
      <c r="L153" s="227"/>
      <c r="M153" s="227"/>
      <c r="N153" s="227"/>
      <c r="O153" s="227"/>
      <c r="P153" s="227"/>
      <c r="Q153" s="227"/>
      <c r="R153" s="227"/>
      <c r="S153" s="58"/>
      <c r="T153" s="58"/>
      <c r="U153" s="58"/>
      <c r="V153" s="58"/>
    </row>
  </sheetData>
  <mergeCells count="8">
    <mergeCell ref="A26:A30"/>
    <mergeCell ref="A31:A35"/>
    <mergeCell ref="I20:R20"/>
    <mergeCell ref="I19:R19"/>
    <mergeCell ref="B44:G44"/>
    <mergeCell ref="B5:G9"/>
    <mergeCell ref="B42:G42"/>
    <mergeCell ref="B43:G43"/>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ignoredErrors>
    <ignoredError sqref="F25 F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Y58"/>
  <sheetViews>
    <sheetView topLeftCell="D1" workbookViewId="0">
      <selection activeCell="S26" sqref="S26"/>
    </sheetView>
  </sheetViews>
  <sheetFormatPr defaultColWidth="0" defaultRowHeight="14.4" x14ac:dyDescent="0.3"/>
  <cols>
    <col min="1" max="1" width="4.109375" customWidth="1"/>
    <col min="2" max="2" width="51.5546875" customWidth="1"/>
    <col min="3" max="3" width="13.109375" customWidth="1"/>
    <col min="4" max="4" width="11.5546875" customWidth="1"/>
    <col min="5" max="5" width="11.109375" customWidth="1"/>
    <col min="6" max="6" width="12" customWidth="1"/>
    <col min="7" max="7" width="13.5546875" customWidth="1"/>
    <col min="8" max="8" width="13.109375" customWidth="1"/>
    <col min="9" max="9" width="12.77734375" customWidth="1"/>
    <col min="10" max="11" width="14.109375" customWidth="1"/>
    <col min="12" max="12" width="13.88671875" customWidth="1"/>
    <col min="13" max="13" width="14.88671875" customWidth="1"/>
    <col min="14" max="14" width="15.109375" customWidth="1"/>
    <col min="15" max="15" width="14.88671875" customWidth="1"/>
    <col min="16" max="16" width="14.88671875" bestFit="1" customWidth="1"/>
    <col min="17" max="17" width="13.88671875" bestFit="1" customWidth="1"/>
    <col min="18" max="19" width="13.77734375" customWidth="1"/>
    <col min="20" max="21" width="9.109375" customWidth="1"/>
    <col min="22" max="22" width="28.21875" bestFit="1" customWidth="1"/>
    <col min="23" max="23" width="23.44140625" bestFit="1" customWidth="1"/>
    <col min="24" max="24" width="9.109375" customWidth="1"/>
    <col min="25" max="25" width="0" hidden="1" customWidth="1"/>
    <col min="26" max="16384" width="9.109375" hidden="1"/>
  </cols>
  <sheetData>
    <row r="1" spans="1:25" x14ac:dyDescent="0.3">
      <c r="A1" s="58"/>
      <c r="B1" s="65" t="s">
        <v>0</v>
      </c>
      <c r="C1" s="65"/>
      <c r="D1" s="58"/>
      <c r="E1" s="58"/>
      <c r="F1" s="58"/>
      <c r="G1" s="58"/>
      <c r="H1" s="58"/>
      <c r="I1" s="58"/>
      <c r="J1" s="58"/>
      <c r="K1" s="58"/>
      <c r="L1" s="58"/>
      <c r="M1" s="58"/>
      <c r="N1" s="58"/>
      <c r="O1" s="58"/>
      <c r="P1" s="58"/>
      <c r="Q1" s="58"/>
      <c r="R1" s="58"/>
      <c r="S1" s="58"/>
      <c r="T1" s="58"/>
      <c r="U1" s="58"/>
      <c r="V1" s="58"/>
      <c r="W1" s="58"/>
      <c r="X1" s="58"/>
      <c r="Y1" s="58"/>
    </row>
    <row r="2" spans="1:25" x14ac:dyDescent="0.3">
      <c r="A2" s="58"/>
      <c r="B2" s="65" t="s">
        <v>167</v>
      </c>
      <c r="C2" s="65"/>
      <c r="D2" s="58"/>
      <c r="E2" s="58"/>
      <c r="F2" s="58"/>
      <c r="G2" s="58"/>
      <c r="H2" s="58"/>
      <c r="I2" s="58"/>
      <c r="J2" s="58"/>
      <c r="K2" s="58"/>
      <c r="L2" s="58"/>
      <c r="M2" s="58"/>
      <c r="N2" s="58"/>
      <c r="O2" s="58"/>
      <c r="P2" s="58"/>
      <c r="Q2" s="58"/>
      <c r="R2" s="58"/>
      <c r="S2" s="58"/>
      <c r="T2" s="58"/>
      <c r="U2" s="58"/>
      <c r="V2" s="58"/>
      <c r="W2" s="58"/>
      <c r="X2" s="58"/>
      <c r="Y2" s="58"/>
    </row>
    <row r="3" spans="1:25" x14ac:dyDescent="0.3">
      <c r="A3" s="58"/>
      <c r="B3" s="65"/>
      <c r="C3" s="65"/>
      <c r="D3" s="58"/>
      <c r="E3" s="58"/>
      <c r="F3" s="58"/>
      <c r="G3" s="58"/>
      <c r="H3" s="58"/>
      <c r="I3" s="58"/>
      <c r="J3" s="58"/>
      <c r="K3" s="58"/>
      <c r="L3" s="58"/>
      <c r="M3" s="58"/>
      <c r="N3" s="58"/>
      <c r="O3" s="58"/>
      <c r="P3" s="58"/>
      <c r="Q3" s="58"/>
      <c r="R3" s="58"/>
      <c r="S3" s="58"/>
      <c r="T3" s="58"/>
      <c r="U3" s="58"/>
      <c r="V3" s="58"/>
      <c r="W3" s="58"/>
      <c r="X3" s="58"/>
      <c r="Y3" s="58"/>
    </row>
    <row r="4" spans="1:25" x14ac:dyDescent="0.3">
      <c r="A4" s="58"/>
      <c r="B4" s="65"/>
      <c r="C4" s="65"/>
      <c r="D4" s="58"/>
      <c r="E4" s="58"/>
      <c r="F4" s="58"/>
      <c r="G4" s="58"/>
      <c r="H4" s="58"/>
      <c r="I4" s="58"/>
      <c r="J4" s="58"/>
      <c r="K4" s="58"/>
      <c r="L4" s="58"/>
      <c r="M4" s="58"/>
      <c r="N4" s="58"/>
      <c r="O4" s="58"/>
      <c r="P4" s="58"/>
      <c r="Q4" s="58"/>
      <c r="R4" s="58"/>
      <c r="S4" s="58"/>
      <c r="T4" s="58"/>
      <c r="U4" s="58"/>
      <c r="V4" s="58"/>
      <c r="W4" s="58"/>
      <c r="X4" s="58"/>
      <c r="Y4" s="58"/>
    </row>
    <row r="5" spans="1:25" x14ac:dyDescent="0.3">
      <c r="A5" s="58"/>
      <c r="B5" s="353" t="s">
        <v>168</v>
      </c>
      <c r="C5" s="353"/>
      <c r="D5" s="353"/>
      <c r="E5" s="353"/>
      <c r="F5" s="353"/>
      <c r="G5" s="353"/>
      <c r="H5" s="353"/>
      <c r="I5" s="353"/>
      <c r="J5" s="353"/>
      <c r="K5" s="353"/>
      <c r="L5" s="353"/>
      <c r="M5" s="58"/>
      <c r="N5" s="58"/>
      <c r="O5" s="58"/>
      <c r="P5" s="58"/>
      <c r="Q5" s="58"/>
      <c r="R5" s="58"/>
      <c r="S5" s="58"/>
      <c r="T5" s="58"/>
      <c r="U5" s="58"/>
      <c r="V5" s="58"/>
      <c r="W5" s="58"/>
      <c r="X5" s="58"/>
      <c r="Y5" s="58"/>
    </row>
    <row r="6" spans="1:25" x14ac:dyDescent="0.3">
      <c r="A6" s="58"/>
      <c r="B6" s="353"/>
      <c r="C6" s="353"/>
      <c r="D6" s="353"/>
      <c r="E6" s="353"/>
      <c r="F6" s="353"/>
      <c r="G6" s="353"/>
      <c r="H6" s="353"/>
      <c r="I6" s="353"/>
      <c r="J6" s="353"/>
      <c r="K6" s="353"/>
      <c r="L6" s="353"/>
      <c r="M6" s="58"/>
      <c r="N6" s="58"/>
      <c r="O6" s="58"/>
      <c r="P6" s="58"/>
      <c r="Q6" s="58"/>
      <c r="R6" s="58"/>
      <c r="S6" s="58"/>
      <c r="T6" s="58"/>
      <c r="U6" s="58"/>
      <c r="V6" s="58"/>
      <c r="W6" s="58"/>
      <c r="X6" s="58"/>
      <c r="Y6" s="58"/>
    </row>
    <row r="7" spans="1:25" x14ac:dyDescent="0.3">
      <c r="A7" s="58"/>
      <c r="B7" s="353"/>
      <c r="C7" s="353"/>
      <c r="D7" s="353"/>
      <c r="E7" s="353"/>
      <c r="F7" s="353"/>
      <c r="G7" s="353"/>
      <c r="H7" s="353"/>
      <c r="I7" s="353"/>
      <c r="J7" s="353"/>
      <c r="K7" s="353"/>
      <c r="L7" s="353"/>
      <c r="M7" s="58"/>
      <c r="N7" s="58"/>
      <c r="O7" s="58"/>
      <c r="P7" s="58"/>
      <c r="Q7" s="58"/>
      <c r="R7" s="58"/>
      <c r="S7" s="58"/>
      <c r="T7" s="58"/>
      <c r="U7" s="58"/>
      <c r="V7" s="58"/>
      <c r="W7" s="58"/>
      <c r="X7" s="58"/>
      <c r="Y7" s="58"/>
    </row>
    <row r="8" spans="1:25" x14ac:dyDescent="0.3">
      <c r="A8" s="58"/>
      <c r="B8" s="90"/>
      <c r="C8" s="90"/>
      <c r="D8" s="90"/>
      <c r="E8" s="90"/>
      <c r="F8" s="90"/>
      <c r="G8" s="90"/>
      <c r="H8" s="90"/>
      <c r="I8" s="90"/>
      <c r="J8" s="90"/>
      <c r="K8" s="90"/>
      <c r="L8" s="90"/>
      <c r="M8" s="90"/>
      <c r="N8" s="58"/>
      <c r="O8" s="58"/>
      <c r="P8" s="58"/>
      <c r="Q8" s="58"/>
      <c r="R8" s="58"/>
      <c r="S8" s="58"/>
      <c r="T8" s="58"/>
      <c r="U8" s="58"/>
      <c r="V8" s="58"/>
      <c r="W8" s="58"/>
      <c r="X8" s="58"/>
      <c r="Y8" s="58"/>
    </row>
    <row r="9" spans="1:25" x14ac:dyDescent="0.3">
      <c r="A9" s="58"/>
      <c r="B9" s="131" t="s">
        <v>169</v>
      </c>
      <c r="C9" s="131"/>
      <c r="D9" s="131"/>
      <c r="E9" s="132"/>
      <c r="F9" s="132"/>
      <c r="G9" s="133"/>
      <c r="H9" s="134"/>
      <c r="I9" s="133"/>
      <c r="J9" s="133"/>
      <c r="K9" s="133"/>
      <c r="L9" s="133"/>
      <c r="M9" s="133"/>
      <c r="N9" s="58"/>
      <c r="O9" s="58"/>
      <c r="P9" s="58"/>
      <c r="Q9" s="58"/>
      <c r="R9" s="58"/>
      <c r="S9" s="58"/>
      <c r="T9" s="58"/>
      <c r="U9" s="58"/>
      <c r="V9" s="58"/>
      <c r="W9" s="58"/>
      <c r="X9" s="58"/>
      <c r="Y9" s="58"/>
    </row>
    <row r="10" spans="1:25" ht="18" customHeight="1" x14ac:dyDescent="0.3">
      <c r="A10" s="58"/>
      <c r="B10" s="218" t="str">
        <f>'1- Ex Ante Results'!B19</f>
        <v>CY2024 Q1</v>
      </c>
      <c r="C10" s="132"/>
      <c r="D10" s="132"/>
      <c r="E10" s="132"/>
      <c r="F10" s="132"/>
      <c r="G10" s="133"/>
      <c r="H10" s="133"/>
      <c r="I10" s="133"/>
      <c r="J10" s="133"/>
      <c r="K10" s="133"/>
      <c r="L10" s="133"/>
      <c r="M10" s="135"/>
      <c r="N10" s="58"/>
      <c r="O10" s="58"/>
      <c r="P10" s="58"/>
      <c r="Q10" s="58"/>
      <c r="R10" s="58"/>
      <c r="S10" s="58"/>
      <c r="T10" s="58"/>
      <c r="U10" s="58"/>
      <c r="V10" s="58"/>
      <c r="W10" s="58"/>
      <c r="X10" s="58"/>
      <c r="Y10" s="58"/>
    </row>
    <row r="11" spans="1:25" ht="27.6" x14ac:dyDescent="0.3">
      <c r="A11" s="58"/>
      <c r="B11" s="13" t="s">
        <v>170</v>
      </c>
      <c r="C11" s="13"/>
      <c r="D11" s="9" t="s">
        <v>122</v>
      </c>
      <c r="E11" s="9" t="s">
        <v>123</v>
      </c>
      <c r="F11" s="3" t="s">
        <v>124</v>
      </c>
      <c r="G11" s="3" t="s">
        <v>125</v>
      </c>
      <c r="H11" s="3" t="s">
        <v>126</v>
      </c>
      <c r="I11" s="3" t="s">
        <v>127</v>
      </c>
      <c r="J11" s="3" t="s">
        <v>128</v>
      </c>
      <c r="K11" s="3" t="s">
        <v>129</v>
      </c>
      <c r="L11" s="3" t="s">
        <v>171</v>
      </c>
      <c r="M11" s="3" t="s">
        <v>172</v>
      </c>
      <c r="N11" s="3" t="s">
        <v>173</v>
      </c>
      <c r="O11" s="3" t="s">
        <v>174</v>
      </c>
      <c r="P11" s="3" t="s">
        <v>175</v>
      </c>
      <c r="Q11" s="3" t="s">
        <v>176</v>
      </c>
      <c r="R11" s="3" t="s">
        <v>177</v>
      </c>
      <c r="S11" s="3" t="s">
        <v>301</v>
      </c>
      <c r="T11" s="58"/>
      <c r="U11" s="58"/>
      <c r="V11" s="58"/>
      <c r="W11" s="58"/>
      <c r="X11" s="58"/>
      <c r="Y11" s="58"/>
    </row>
    <row r="12" spans="1:25" x14ac:dyDescent="0.3">
      <c r="A12" s="58"/>
      <c r="B12" s="4" t="s">
        <v>178</v>
      </c>
      <c r="C12" s="45"/>
      <c r="D12" s="11">
        <v>182353</v>
      </c>
      <c r="E12" s="11">
        <v>506170</v>
      </c>
      <c r="F12" s="11">
        <v>680845</v>
      </c>
      <c r="G12" s="11">
        <v>1051751</v>
      </c>
      <c r="H12" s="11">
        <v>1041005</v>
      </c>
      <c r="I12" s="11">
        <v>1205087.922</v>
      </c>
      <c r="J12" s="11">
        <v>1207781.348736</v>
      </c>
      <c r="K12" s="11">
        <v>1382679.5970000001</v>
      </c>
      <c r="L12" s="11">
        <v>2542422.09</v>
      </c>
      <c r="M12" s="11">
        <v>1859773.2879999999</v>
      </c>
      <c r="N12" s="11">
        <v>1700029.4500006568</v>
      </c>
      <c r="O12" s="11">
        <v>1821166.2136200001</v>
      </c>
      <c r="P12" s="41">
        <f>'3- Energy'!$D$29</f>
        <v>1849877.162</v>
      </c>
      <c r="Q12" s="41">
        <v>1724232</v>
      </c>
      <c r="R12" s="41">
        <v>1569223.0419122316</v>
      </c>
      <c r="S12" s="41">
        <f>'3- Energy'!$D$33</f>
        <v>512921.97606999998</v>
      </c>
      <c r="T12" s="58"/>
      <c r="U12" s="58"/>
      <c r="V12" s="58"/>
      <c r="W12" s="58"/>
      <c r="X12" s="58"/>
      <c r="Y12" s="58"/>
    </row>
    <row r="13" spans="1:25" x14ac:dyDescent="0.3">
      <c r="A13" s="58"/>
      <c r="B13" s="4" t="s">
        <v>179</v>
      </c>
      <c r="C13" s="45"/>
      <c r="D13" s="11">
        <f>D12*1000*1.3909/2204.62</f>
        <v>115046.94128693381</v>
      </c>
      <c r="E13" s="11">
        <f t="shared" ref="E13:L13" si="0">E12*1000*1.3909/2204.62</f>
        <v>319343.85653763462</v>
      </c>
      <c r="F13" s="11">
        <f t="shared" si="0"/>
        <v>429546.72936832655</v>
      </c>
      <c r="G13" s="11">
        <f t="shared" si="0"/>
        <v>663552.20668414515</v>
      </c>
      <c r="H13" s="11">
        <f t="shared" si="0"/>
        <v>656772.52973301522</v>
      </c>
      <c r="I13" s="11">
        <f t="shared" si="0"/>
        <v>760292.83536836284</v>
      </c>
      <c r="J13" s="11">
        <f t="shared" si="0"/>
        <v>761992.12470035767</v>
      </c>
      <c r="K13" s="11">
        <f t="shared" si="0"/>
        <v>872335.84539163217</v>
      </c>
      <c r="L13" s="11">
        <f t="shared" si="0"/>
        <v>1604020.1417845252</v>
      </c>
      <c r="M13" s="11">
        <f>M12*1000*1.2515/2204.62</f>
        <v>1055740.3407081494</v>
      </c>
      <c r="N13" s="11">
        <f>N12*1000*1.174/2204.62</f>
        <v>905296.41130932816</v>
      </c>
      <c r="O13" s="11">
        <f>O12*1000*1.174/2204.62</f>
        <v>969803.92756569397</v>
      </c>
      <c r="P13" s="11">
        <f>P12*1000*1.074/2204.62</f>
        <v>901183.91014687344</v>
      </c>
      <c r="Q13" s="11">
        <f>(Q12*1000*0.84903)/2204.62</f>
        <v>664025.8615815877</v>
      </c>
      <c r="R13" s="11">
        <v>604329.74357247143</v>
      </c>
      <c r="S13" s="11">
        <f>(S12*1000*0.7385)/2204.62</f>
        <v>171817.76420775236</v>
      </c>
      <c r="T13" s="58"/>
      <c r="U13" s="58"/>
      <c r="V13" s="296"/>
      <c r="W13" s="58"/>
      <c r="X13" s="58"/>
      <c r="Y13" s="58"/>
    </row>
    <row r="14" spans="1:25" x14ac:dyDescent="0.3">
      <c r="A14" s="58"/>
      <c r="B14" s="4" t="s">
        <v>180</v>
      </c>
      <c r="C14" s="45"/>
      <c r="D14" s="11">
        <f>D12*1000*1.3909/(4.67*2204.62)</f>
        <v>24635.31933339054</v>
      </c>
      <c r="E14" s="11">
        <f t="shared" ref="E14:L14" si="1">E12*1000*1.3909/(4.67*2204.62)</f>
        <v>68381.982127973155</v>
      </c>
      <c r="F14" s="11">
        <f t="shared" si="1"/>
        <v>91980.027701997111</v>
      </c>
      <c r="G14" s="11">
        <f t="shared" si="1"/>
        <v>142088.26695591974</v>
      </c>
      <c r="H14" s="11">
        <f t="shared" si="1"/>
        <v>140636.51600278699</v>
      </c>
      <c r="I14" s="11">
        <f t="shared" si="1"/>
        <v>162803.60500393208</v>
      </c>
      <c r="J14" s="11">
        <f t="shared" si="1"/>
        <v>163167.47852256053</v>
      </c>
      <c r="K14" s="11">
        <f t="shared" si="1"/>
        <v>186795.68423803686</v>
      </c>
      <c r="L14" s="11">
        <f t="shared" si="1"/>
        <v>343473.26376542298</v>
      </c>
      <c r="M14" s="11">
        <f>M12*1000*1.2515/(4.67*2204.62)</f>
        <v>226068.59544071721</v>
      </c>
      <c r="N14" s="11">
        <f>N12*1000*1.174/(4.63*2204.62)</f>
        <v>195528.38257220911</v>
      </c>
      <c r="O14" s="11">
        <f>O12*1000*1.174/(4.63*2204.62)</f>
        <v>209460.89148287126</v>
      </c>
      <c r="P14" s="11">
        <f>P12*1000*1.074/(4.6*2204.62)</f>
        <v>195909.54568410295</v>
      </c>
      <c r="Q14" s="11">
        <f>Q12*1000*0.84903/(4.6*2204.62)</f>
        <v>144353.44816991038</v>
      </c>
      <c r="R14" s="11">
        <v>131376.03121140684</v>
      </c>
      <c r="S14" s="11">
        <f>(S12*1000*0.7385)/(4.49*2204.62)</f>
        <v>38266.762629788944</v>
      </c>
      <c r="T14" s="58"/>
      <c r="U14" s="58"/>
      <c r="V14" s="58"/>
      <c r="W14" s="58"/>
      <c r="X14" s="58"/>
      <c r="Y14" s="58"/>
    </row>
    <row r="15" spans="1:25" x14ac:dyDescent="0.3">
      <c r="A15" s="58"/>
      <c r="B15" s="4" t="s">
        <v>181</v>
      </c>
      <c r="C15" s="45"/>
      <c r="D15" s="11">
        <f>(D12*1000*1.3909)/(0.85*2204.62)</f>
        <v>135349.34269051038</v>
      </c>
      <c r="E15" s="11">
        <f t="shared" ref="E15:L15" si="2">(E12*1000*1.3909)/(0.85*2204.62)</f>
        <v>375698.65475015837</v>
      </c>
      <c r="F15" s="11">
        <f t="shared" si="2"/>
        <v>505349.0933745018</v>
      </c>
      <c r="G15" s="11">
        <f t="shared" si="2"/>
        <v>780649.65492252377</v>
      </c>
      <c r="H15" s="11">
        <f t="shared" si="2"/>
        <v>772673.56439178262</v>
      </c>
      <c r="I15" s="11">
        <f t="shared" si="2"/>
        <v>894462.15925689752</v>
      </c>
      <c r="J15" s="11">
        <f t="shared" si="2"/>
        <v>896461.32317689143</v>
      </c>
      <c r="K15" s="11">
        <f t="shared" si="2"/>
        <v>1026277.465166626</v>
      </c>
      <c r="L15" s="11">
        <f t="shared" si="2"/>
        <v>1887082.5197465003</v>
      </c>
      <c r="M15" s="11">
        <f>(M12*1000*1.2515)/(0.85*2204.62)</f>
        <v>1242047.4596566462</v>
      </c>
      <c r="N15" s="11">
        <f>(N12*1000*1.174)/(0.77*2204.62)</f>
        <v>1175709.6250770495</v>
      </c>
      <c r="O15" s="11">
        <f>(O12*1000*1.174)/(0.77*2204.62)</f>
        <v>1259485.6202151868</v>
      </c>
      <c r="P15" s="11">
        <f>(P12*1000*1.074)/(0.82*2204.62)</f>
        <v>1099004.768471797</v>
      </c>
      <c r="Q15" s="11">
        <f>(Q12*1000*0.84903)/(0.82*2204.62)</f>
        <v>809787.63607510692</v>
      </c>
      <c r="R15" s="11">
        <v>736987.49216155056</v>
      </c>
      <c r="S15" s="11">
        <f>(S12*1000*0.7385)/(0.84*2204.62)</f>
        <v>204544.9573901814</v>
      </c>
      <c r="T15" s="58"/>
      <c r="U15" s="58"/>
      <c r="V15" s="58"/>
      <c r="W15" s="58"/>
      <c r="X15" s="58"/>
      <c r="Y15" s="58"/>
    </row>
    <row r="16" spans="1:25" x14ac:dyDescent="0.3">
      <c r="A16" s="58"/>
      <c r="B16" s="4" t="s">
        <v>182</v>
      </c>
      <c r="C16" s="45"/>
      <c r="D16" s="11">
        <f>D12*1000/8916</f>
        <v>20452.33288470166</v>
      </c>
      <c r="E16" s="11">
        <f t="shared" ref="E16:M16" si="3">E12*1000/8916</f>
        <v>56770.973530731273</v>
      </c>
      <c r="F16" s="11">
        <f t="shared" si="3"/>
        <v>76362.157918349039</v>
      </c>
      <c r="G16" s="11">
        <f t="shared" si="3"/>
        <v>117962.20278151637</v>
      </c>
      <c r="H16" s="11">
        <f t="shared" si="3"/>
        <v>116756.95379093764</v>
      </c>
      <c r="I16" s="11">
        <f t="shared" si="3"/>
        <v>135160.1527590848</v>
      </c>
      <c r="J16" s="11">
        <f t="shared" si="3"/>
        <v>135462.24189502018</v>
      </c>
      <c r="K16" s="11">
        <f t="shared" si="3"/>
        <v>155078.46534320322</v>
      </c>
      <c r="L16" s="11">
        <f t="shared" si="3"/>
        <v>285152.76917900401</v>
      </c>
      <c r="M16" s="11">
        <f t="shared" si="3"/>
        <v>208588.30058322116</v>
      </c>
      <c r="N16" s="11">
        <f>N12*1000/8640</f>
        <v>196762.66782415009</v>
      </c>
      <c r="O16" s="11">
        <f>O12*1000/8652</f>
        <v>210490.77827323164</v>
      </c>
      <c r="P16" s="11">
        <f>P12*1000/8652</f>
        <v>213809.19579288026</v>
      </c>
      <c r="Q16" s="11">
        <f>Q12*1000/8700</f>
        <v>198187.58620689655</v>
      </c>
      <c r="R16" s="11">
        <v>180370.46458761283</v>
      </c>
      <c r="S16" s="11">
        <f>S12*1000/8628</f>
        <v>59448.536864858601</v>
      </c>
      <c r="T16" s="58"/>
      <c r="U16" s="58"/>
      <c r="V16" s="58"/>
      <c r="W16" s="58"/>
      <c r="X16" s="58"/>
      <c r="Y16" s="58"/>
    </row>
    <row r="17" spans="1:25" x14ac:dyDescent="0.3">
      <c r="A17" s="58"/>
      <c r="B17" s="4" t="s">
        <v>183</v>
      </c>
      <c r="C17" s="45"/>
      <c r="D17" s="11">
        <v>66</v>
      </c>
      <c r="E17" s="11">
        <v>84</v>
      </c>
      <c r="F17" s="11">
        <v>154</v>
      </c>
      <c r="G17" s="11">
        <v>179</v>
      </c>
      <c r="H17" s="12">
        <v>196</v>
      </c>
      <c r="I17" s="12">
        <v>234</v>
      </c>
      <c r="J17" s="12">
        <v>260</v>
      </c>
      <c r="K17" s="11">
        <v>267</v>
      </c>
      <c r="L17" s="11">
        <v>376</v>
      </c>
      <c r="M17" s="12">
        <v>412.48</v>
      </c>
      <c r="N17" s="56">
        <v>482</v>
      </c>
      <c r="O17" s="57">
        <v>475</v>
      </c>
      <c r="P17" s="41">
        <v>442</v>
      </c>
      <c r="Q17" s="41">
        <v>457</v>
      </c>
      <c r="R17" s="41">
        <v>484</v>
      </c>
      <c r="S17" s="297">
        <v>518</v>
      </c>
      <c r="T17" s="130"/>
      <c r="U17" s="130"/>
      <c r="V17" s="130"/>
      <c r="W17" s="130"/>
      <c r="X17" s="58"/>
      <c r="Y17" s="58"/>
    </row>
    <row r="18" spans="1:25" s="10" customFormat="1" x14ac:dyDescent="0.25">
      <c r="A18" s="63"/>
      <c r="B18" s="25" t="s">
        <v>184</v>
      </c>
      <c r="C18" s="45"/>
      <c r="D18" s="45"/>
      <c r="E18" s="45"/>
      <c r="F18" s="45"/>
      <c r="G18" s="45"/>
      <c r="H18" s="45"/>
      <c r="I18" s="45"/>
      <c r="J18" s="45"/>
      <c r="K18" s="45"/>
      <c r="L18" s="11">
        <f>459+1299+1+318</f>
        <v>2077</v>
      </c>
      <c r="M18" s="41">
        <f>1561+5119+2497+9+34899</f>
        <v>44085</v>
      </c>
      <c r="N18" s="41">
        <v>75450</v>
      </c>
      <c r="O18" s="41">
        <v>73577</v>
      </c>
      <c r="P18" s="41">
        <v>79722</v>
      </c>
      <c r="Q18" s="41">
        <v>89548</v>
      </c>
      <c r="R18" s="41">
        <v>98592</v>
      </c>
      <c r="S18" s="297">
        <v>24397</v>
      </c>
      <c r="T18" s="136"/>
      <c r="U18" s="136"/>
      <c r="V18" s="136"/>
      <c r="W18" s="136"/>
      <c r="X18" s="63"/>
      <c r="Y18" s="63"/>
    </row>
    <row r="19" spans="1:25" x14ac:dyDescent="0.3">
      <c r="A19" s="58"/>
      <c r="B19" s="94"/>
      <c r="C19" s="94"/>
      <c r="D19" s="127"/>
      <c r="E19" s="127"/>
      <c r="F19" s="127"/>
      <c r="G19" s="127"/>
      <c r="H19" s="127"/>
      <c r="I19" s="127"/>
      <c r="J19" s="127"/>
      <c r="K19" s="127"/>
      <c r="L19" s="127"/>
      <c r="M19" s="129"/>
      <c r="N19" s="58"/>
      <c r="O19" s="58"/>
      <c r="P19" s="58"/>
      <c r="Q19" s="58"/>
      <c r="R19" s="58"/>
      <c r="S19" s="58"/>
      <c r="T19" s="130"/>
      <c r="U19" s="130"/>
      <c r="V19" s="130"/>
      <c r="W19" s="130"/>
      <c r="X19" s="58"/>
      <c r="Y19" s="58"/>
    </row>
    <row r="20" spans="1:25" ht="48.75" customHeight="1" x14ac:dyDescent="0.3">
      <c r="A20" s="58"/>
      <c r="B20" s="13" t="s">
        <v>185</v>
      </c>
      <c r="C20" s="3" t="s">
        <v>186</v>
      </c>
      <c r="D20" s="3" t="s">
        <v>187</v>
      </c>
      <c r="E20" s="3" t="s">
        <v>188</v>
      </c>
      <c r="F20" s="3" t="s">
        <v>189</v>
      </c>
      <c r="G20" s="3" t="s">
        <v>190</v>
      </c>
      <c r="H20" s="3" t="s">
        <v>191</v>
      </c>
      <c r="I20" s="3" t="s">
        <v>192</v>
      </c>
      <c r="J20" s="3" t="s">
        <v>193</v>
      </c>
      <c r="K20" s="3" t="s">
        <v>194</v>
      </c>
      <c r="L20" s="3" t="s">
        <v>195</v>
      </c>
      <c r="M20" s="3" t="s">
        <v>172</v>
      </c>
      <c r="N20" s="3" t="s">
        <v>173</v>
      </c>
      <c r="O20" s="3" t="s">
        <v>174</v>
      </c>
      <c r="P20" s="3" t="s">
        <v>175</v>
      </c>
      <c r="Q20" s="3" t="s">
        <v>176</v>
      </c>
      <c r="R20" s="3" t="s">
        <v>177</v>
      </c>
      <c r="S20" s="3" t="s">
        <v>301</v>
      </c>
      <c r="T20" s="130"/>
      <c r="U20" s="130"/>
      <c r="V20" s="130"/>
      <c r="W20" s="130"/>
      <c r="X20" s="58"/>
      <c r="Y20" s="58"/>
    </row>
    <row r="21" spans="1:25" ht="24.75" customHeight="1" x14ac:dyDescent="0.3">
      <c r="A21" s="58"/>
      <c r="B21" s="4" t="s">
        <v>196</v>
      </c>
      <c r="C21" s="11">
        <v>1400000</v>
      </c>
      <c r="D21" s="11">
        <v>19800000</v>
      </c>
      <c r="E21" s="11">
        <v>84500000</v>
      </c>
      <c r="F21" s="11">
        <v>211600000</v>
      </c>
      <c r="G21" s="11">
        <v>429800000</v>
      </c>
      <c r="H21" s="11">
        <v>691400000</v>
      </c>
      <c r="I21" s="11">
        <v>1153200000</v>
      </c>
      <c r="J21" s="11">
        <v>1715400000</v>
      </c>
      <c r="K21" s="11">
        <v>2344700000</v>
      </c>
      <c r="L21" s="41">
        <f>3002600000</f>
        <v>3002600000</v>
      </c>
      <c r="M21" s="41">
        <v>3764700000</v>
      </c>
      <c r="N21" s="41">
        <v>4559500000</v>
      </c>
      <c r="O21" s="41">
        <v>5442800000</v>
      </c>
      <c r="P21" s="41">
        <v>6424097000</v>
      </c>
      <c r="Q21" s="41">
        <v>7653843402.3071308</v>
      </c>
      <c r="R21" s="41">
        <v>9152219571.9666824</v>
      </c>
      <c r="S21" s="297">
        <f>9613652.6144013*1000</f>
        <v>9613652614.4013004</v>
      </c>
      <c r="T21" s="130"/>
      <c r="U21" s="130"/>
      <c r="V21" s="130"/>
      <c r="W21" s="130"/>
      <c r="X21" s="58"/>
      <c r="Y21" s="58"/>
    </row>
    <row r="22" spans="1:25" x14ac:dyDescent="0.3">
      <c r="A22" s="58"/>
      <c r="B22" s="4" t="s">
        <v>197</v>
      </c>
      <c r="C22" s="11">
        <v>12997.1693670485</v>
      </c>
      <c r="D22" s="11">
        <v>187713.304494382</v>
      </c>
      <c r="E22" s="11">
        <v>653580.80466569797</v>
      </c>
      <c r="F22" s="11">
        <v>1265042.7655790001</v>
      </c>
      <c r="G22" s="11">
        <v>2136490.2403814155</v>
      </c>
      <c r="H22" s="11">
        <v>2958586.2127598412</v>
      </c>
      <c r="I22" s="11">
        <v>3934604.1171026533</v>
      </c>
      <c r="J22" s="11">
        <v>4855779.8367007999</v>
      </c>
      <c r="K22" s="41">
        <v>5452538.5959787779</v>
      </c>
      <c r="L22" s="41">
        <v>5721960.3020907417</v>
      </c>
      <c r="M22" s="41">
        <v>33597909.552505702</v>
      </c>
      <c r="N22" s="41">
        <v>41111935.064689398</v>
      </c>
      <c r="O22" s="41">
        <v>49782658.144593798</v>
      </c>
      <c r="P22" s="41">
        <v>59434169.137077436</v>
      </c>
      <c r="Q22" s="41">
        <v>70358375.164017603</v>
      </c>
      <c r="R22" s="41">
        <v>82474110.986843407</v>
      </c>
      <c r="S22" s="297">
        <v>85840021.051966771</v>
      </c>
      <c r="T22" s="130"/>
      <c r="U22" s="130"/>
      <c r="V22" s="130"/>
      <c r="W22" s="130"/>
      <c r="X22" s="58"/>
      <c r="Y22" s="58"/>
    </row>
    <row r="23" spans="1:25" x14ac:dyDescent="0.3">
      <c r="A23" s="58"/>
      <c r="B23" s="4" t="s">
        <v>198</v>
      </c>
      <c r="C23" s="11">
        <v>6331.6852338317221</v>
      </c>
      <c r="D23" s="11">
        <v>91446.185295863368</v>
      </c>
      <c r="E23" s="11">
        <v>318397.63052633096</v>
      </c>
      <c r="F23" s="11">
        <v>616276.69631584862</v>
      </c>
      <c r="G23" s="11">
        <v>1040809.9891000015</v>
      </c>
      <c r="H23" s="11">
        <v>1441301.2639384875</v>
      </c>
      <c r="I23" s="11">
        <v>1916776.9600966366</v>
      </c>
      <c r="J23" s="11">
        <v>2365535.8041824256</v>
      </c>
      <c r="K23" s="41">
        <v>2656252.0761315832</v>
      </c>
      <c r="L23" s="41">
        <v>2787503.2270620135</v>
      </c>
      <c r="M23" s="41">
        <v>16367516.787197396</v>
      </c>
      <c r="N23" s="41">
        <v>20028040.324172158</v>
      </c>
      <c r="O23" s="41">
        <v>24252059.242542364</v>
      </c>
      <c r="P23" s="41">
        <v>28953877.608486351</v>
      </c>
      <c r="Q23" s="41">
        <v>27095994.441448353</v>
      </c>
      <c r="R23" s="41">
        <v>31761933.780497164</v>
      </c>
      <c r="S23" s="297">
        <v>28754549.784941383</v>
      </c>
      <c r="T23" s="130"/>
      <c r="U23" s="130"/>
      <c r="V23" s="130"/>
      <c r="W23" s="130"/>
      <c r="X23" s="58"/>
      <c r="Y23" s="58"/>
    </row>
    <row r="24" spans="1:25" x14ac:dyDescent="0.3">
      <c r="A24" s="58"/>
      <c r="B24" s="4" t="s">
        <v>199</v>
      </c>
      <c r="C24" s="11">
        <v>1367.5346077390329</v>
      </c>
      <c r="D24" s="11">
        <v>19750.795960229669</v>
      </c>
      <c r="E24" s="11">
        <v>68768.386722749681</v>
      </c>
      <c r="F24" s="11">
        <v>133105.11799478374</v>
      </c>
      <c r="G24" s="11">
        <v>224796.97388768932</v>
      </c>
      <c r="H24" s="11">
        <v>311296.16931716795</v>
      </c>
      <c r="I24" s="11">
        <v>413990.70412454358</v>
      </c>
      <c r="J24" s="11">
        <v>510914.86051456281</v>
      </c>
      <c r="K24" s="41">
        <v>573704.55208025558</v>
      </c>
      <c r="L24" s="41">
        <v>602052.53284276754</v>
      </c>
      <c r="M24" s="41">
        <v>3535100.8179692002</v>
      </c>
      <c r="N24" s="41">
        <v>4325710.6531689325</v>
      </c>
      <c r="O24" s="41">
        <v>5238025.754328805</v>
      </c>
      <c r="P24" s="41">
        <v>6294321.2192361634</v>
      </c>
      <c r="Q24" s="41">
        <v>5890433.574227904</v>
      </c>
      <c r="R24" s="41">
        <v>6904768.2131515583</v>
      </c>
      <c r="S24" s="297">
        <v>6250989.0836829096</v>
      </c>
      <c r="T24" s="130"/>
      <c r="U24" s="130"/>
      <c r="V24" s="130"/>
      <c r="W24" s="130"/>
      <c r="X24" s="58"/>
      <c r="Y24" s="58"/>
    </row>
    <row r="25" spans="1:25" x14ac:dyDescent="0.3">
      <c r="A25" s="58"/>
      <c r="B25" s="4" t="s">
        <v>200</v>
      </c>
      <c r="C25" s="11">
        <v>8222.9678361450933</v>
      </c>
      <c r="D25" s="11">
        <v>118761.27960501735</v>
      </c>
      <c r="E25" s="11">
        <v>413503.41626796231</v>
      </c>
      <c r="F25" s="11">
        <v>800359.34586473845</v>
      </c>
      <c r="G25" s="11">
        <v>1351701.2845454565</v>
      </c>
      <c r="H25" s="11">
        <v>1871819.8232967372</v>
      </c>
      <c r="I25" s="11">
        <v>2489320.7273982293</v>
      </c>
      <c r="J25" s="11">
        <v>3072124.4210161371</v>
      </c>
      <c r="K25" s="41">
        <v>3449678.0209501078</v>
      </c>
      <c r="L25" s="41">
        <v>3620134.0611194978</v>
      </c>
      <c r="M25" s="41">
        <v>21256515.308048565</v>
      </c>
      <c r="N25" s="41">
        <v>26010441.979444358</v>
      </c>
      <c r="O25" s="41">
        <v>31496180.834470604</v>
      </c>
      <c r="P25" s="41">
        <v>35309606.839617498</v>
      </c>
      <c r="Q25" s="41">
        <v>33043895.66030287</v>
      </c>
      <c r="R25" s="41">
        <v>38734065.585972153</v>
      </c>
      <c r="S25" s="297">
        <v>35066524.127977297</v>
      </c>
      <c r="T25" s="130"/>
      <c r="U25" s="130"/>
      <c r="V25" s="130"/>
      <c r="W25" s="130"/>
      <c r="X25" s="58"/>
      <c r="Y25" s="58"/>
    </row>
    <row r="26" spans="1:25" x14ac:dyDescent="0.3">
      <c r="A26" s="58"/>
      <c r="B26" s="4" t="s">
        <v>201</v>
      </c>
      <c r="C26" s="11">
        <v>1502.2155995201688</v>
      </c>
      <c r="D26" s="11">
        <v>21695.943653996994</v>
      </c>
      <c r="E26" s="11">
        <v>75541.008398716833</v>
      </c>
      <c r="F26" s="11">
        <v>146213.91187921868</v>
      </c>
      <c r="G26" s="11">
        <v>246935.99634551778</v>
      </c>
      <c r="H26" s="11">
        <v>341954.02366618585</v>
      </c>
      <c r="I26" s="11">
        <v>454762.38061750465</v>
      </c>
      <c r="J26" s="11">
        <v>561232.06619288027</v>
      </c>
      <c r="K26" s="41">
        <v>630205.57050147711</v>
      </c>
      <c r="L26" s="41">
        <v>661345.38859116274</v>
      </c>
      <c r="M26" s="41">
        <v>3883253.5312651061</v>
      </c>
      <c r="N26" s="41">
        <v>4751726.1979530053</v>
      </c>
      <c r="O26" s="41">
        <v>5753890.2155101486</v>
      </c>
      <c r="P26" s="41">
        <v>6869413.9085850017</v>
      </c>
      <c r="Q26" s="41">
        <v>8087169.5590824839</v>
      </c>
      <c r="R26" s="41">
        <v>9401973.4367126562</v>
      </c>
      <c r="S26" s="297">
        <v>9949005.6852070894</v>
      </c>
      <c r="T26" s="130"/>
      <c r="U26" s="130"/>
      <c r="V26" s="130"/>
      <c r="W26" s="130"/>
      <c r="X26" s="58"/>
      <c r="Y26" s="58"/>
    </row>
    <row r="27" spans="1:25" x14ac:dyDescent="0.3">
      <c r="A27" s="58"/>
      <c r="B27" s="94"/>
      <c r="C27" s="94"/>
      <c r="D27" s="127"/>
      <c r="E27" s="127"/>
      <c r="F27" s="127"/>
      <c r="G27" s="127"/>
      <c r="H27" s="128"/>
      <c r="I27" s="128"/>
      <c r="J27" s="128"/>
      <c r="K27" s="127"/>
      <c r="L27" s="127"/>
      <c r="M27" s="129"/>
      <c r="N27" s="58"/>
      <c r="O27" s="58"/>
      <c r="P27" s="58"/>
      <c r="Q27" s="130"/>
      <c r="R27" s="130"/>
      <c r="S27" s="130"/>
      <c r="T27" s="130"/>
      <c r="U27" s="130"/>
      <c r="V27" s="130"/>
      <c r="W27" s="130"/>
      <c r="X27" s="58"/>
      <c r="Y27" s="58"/>
    </row>
    <row r="28" spans="1:25" x14ac:dyDescent="0.3">
      <c r="A28" s="58"/>
      <c r="B28" s="93" t="s">
        <v>87</v>
      </c>
      <c r="C28" s="93"/>
      <c r="D28" s="94"/>
      <c r="E28" s="93"/>
      <c r="F28" s="93"/>
      <c r="G28" s="95"/>
      <c r="H28" s="98"/>
      <c r="I28" s="98"/>
      <c r="J28" s="98"/>
      <c r="K28" s="95"/>
      <c r="L28" s="95"/>
      <c r="M28" s="99"/>
      <c r="N28" s="58"/>
      <c r="O28" s="58"/>
      <c r="P28" s="58"/>
      <c r="Q28" s="58"/>
      <c r="R28" s="58"/>
      <c r="S28" s="58"/>
      <c r="T28" s="58"/>
      <c r="U28" s="130"/>
      <c r="V28" s="130"/>
      <c r="W28" s="130"/>
      <c r="X28" s="58"/>
      <c r="Y28" s="58"/>
    </row>
    <row r="29" spans="1:25" ht="29.85" customHeight="1" x14ac:dyDescent="0.3">
      <c r="A29" s="58"/>
      <c r="B29" s="346" t="s">
        <v>202</v>
      </c>
      <c r="C29" s="346"/>
      <c r="D29" s="346"/>
      <c r="E29" s="346"/>
      <c r="F29" s="346"/>
      <c r="G29" s="346"/>
      <c r="H29" s="346"/>
      <c r="I29" s="346"/>
      <c r="J29" s="346"/>
      <c r="K29" s="346"/>
      <c r="L29" s="346"/>
      <c r="M29" s="346"/>
      <c r="N29" s="58"/>
      <c r="O29" s="58"/>
      <c r="P29" s="58"/>
      <c r="Q29" s="58"/>
      <c r="R29" s="58"/>
      <c r="S29" s="58"/>
      <c r="T29" s="58"/>
      <c r="U29" s="130"/>
      <c r="V29" s="130"/>
      <c r="W29" s="58"/>
      <c r="X29" s="58"/>
    </row>
    <row r="30" spans="1:25" ht="27.75" customHeight="1" x14ac:dyDescent="0.3">
      <c r="A30" s="58"/>
      <c r="B30" s="343" t="s">
        <v>203</v>
      </c>
      <c r="C30" s="344"/>
      <c r="D30" s="344"/>
      <c r="E30" s="344"/>
      <c r="F30" s="344"/>
      <c r="G30" s="344"/>
      <c r="H30" s="344"/>
      <c r="I30" s="344"/>
      <c r="J30" s="344"/>
      <c r="K30" s="344"/>
      <c r="L30" s="344"/>
      <c r="M30" s="345"/>
      <c r="N30" s="58"/>
      <c r="O30" s="58"/>
      <c r="P30" s="58"/>
      <c r="Q30" s="58"/>
      <c r="R30" s="58"/>
      <c r="S30" s="58"/>
      <c r="T30" s="58"/>
      <c r="U30" s="130"/>
      <c r="V30" s="130"/>
      <c r="W30" s="58"/>
      <c r="X30" s="58"/>
    </row>
    <row r="31" spans="1:25" ht="45" customHeight="1" x14ac:dyDescent="0.3">
      <c r="A31" s="58"/>
      <c r="B31" s="343" t="s">
        <v>298</v>
      </c>
      <c r="C31" s="344"/>
      <c r="D31" s="344"/>
      <c r="E31" s="344"/>
      <c r="F31" s="344"/>
      <c r="G31" s="344"/>
      <c r="H31" s="344"/>
      <c r="I31" s="344"/>
      <c r="J31" s="344"/>
      <c r="K31" s="344"/>
      <c r="L31" s="344"/>
      <c r="M31" s="345"/>
      <c r="N31" s="58"/>
      <c r="O31" s="58"/>
      <c r="P31" s="58"/>
      <c r="Q31" s="58"/>
      <c r="R31" s="58"/>
      <c r="S31" s="58"/>
      <c r="T31" s="58"/>
      <c r="U31" s="130"/>
      <c r="V31" s="130"/>
      <c r="W31" s="58"/>
      <c r="X31" s="58"/>
    </row>
    <row r="32" spans="1:25" ht="20.85" customHeight="1" x14ac:dyDescent="0.3">
      <c r="A32" s="58"/>
      <c r="B32" s="380" t="s">
        <v>204</v>
      </c>
      <c r="C32" s="380"/>
      <c r="D32" s="380"/>
      <c r="E32" s="380"/>
      <c r="F32" s="380"/>
      <c r="G32" s="380"/>
      <c r="H32" s="380"/>
      <c r="I32" s="380"/>
      <c r="J32" s="380"/>
      <c r="K32" s="380"/>
      <c r="L32" s="380"/>
      <c r="M32" s="380"/>
      <c r="N32" s="58"/>
      <c r="O32" s="58"/>
      <c r="P32" s="58"/>
      <c r="Q32" s="58"/>
      <c r="R32" s="58"/>
      <c r="S32" s="58"/>
      <c r="T32" s="58"/>
      <c r="U32" s="130"/>
      <c r="V32" s="130"/>
      <c r="W32" s="58"/>
      <c r="X32" s="58"/>
    </row>
    <row r="33" spans="1:25" ht="30" customHeight="1" x14ac:dyDescent="0.3">
      <c r="A33" s="58"/>
      <c r="B33" s="377" t="s">
        <v>205</v>
      </c>
      <c r="C33" s="378"/>
      <c r="D33" s="378"/>
      <c r="E33" s="378"/>
      <c r="F33" s="378"/>
      <c r="G33" s="378"/>
      <c r="H33" s="378"/>
      <c r="I33" s="378"/>
      <c r="J33" s="378"/>
      <c r="K33" s="378"/>
      <c r="L33" s="378"/>
      <c r="M33" s="379"/>
      <c r="N33" s="58"/>
      <c r="O33" s="58"/>
      <c r="P33" s="58"/>
      <c r="Q33" s="58"/>
      <c r="R33" s="58"/>
      <c r="S33" s="58"/>
      <c r="T33" s="58"/>
      <c r="U33" s="130"/>
      <c r="V33" s="130"/>
      <c r="W33" s="58"/>
      <c r="X33" s="58"/>
    </row>
    <row r="34" spans="1:25" ht="30" customHeight="1" x14ac:dyDescent="0.3">
      <c r="A34" s="58"/>
      <c r="B34" s="376" t="s">
        <v>206</v>
      </c>
      <c r="C34" s="376"/>
      <c r="D34" s="376"/>
      <c r="E34" s="376"/>
      <c r="F34" s="376"/>
      <c r="G34" s="376"/>
      <c r="H34" s="376"/>
      <c r="I34" s="376"/>
      <c r="J34" s="376"/>
      <c r="K34" s="376"/>
      <c r="L34" s="376"/>
      <c r="M34" s="376"/>
      <c r="N34" s="58"/>
      <c r="O34" s="58"/>
      <c r="P34" s="58"/>
      <c r="Q34" s="58"/>
      <c r="R34" s="58"/>
      <c r="S34" s="58"/>
      <c r="T34" s="58"/>
      <c r="U34" s="130"/>
      <c r="V34" s="130"/>
      <c r="W34" s="58"/>
      <c r="X34" s="58"/>
    </row>
    <row r="35" spans="1:25" ht="33.75" customHeight="1" x14ac:dyDescent="0.3">
      <c r="A35" s="58"/>
      <c r="B35" s="376" t="s">
        <v>207</v>
      </c>
      <c r="C35" s="376"/>
      <c r="D35" s="376"/>
      <c r="E35" s="376"/>
      <c r="F35" s="376"/>
      <c r="G35" s="376"/>
      <c r="H35" s="376"/>
      <c r="I35" s="376"/>
      <c r="J35" s="376"/>
      <c r="K35" s="376"/>
      <c r="L35" s="376"/>
      <c r="M35" s="376"/>
      <c r="N35" s="58"/>
      <c r="O35" s="58"/>
      <c r="P35" s="58"/>
      <c r="Q35" s="58"/>
      <c r="R35" s="58"/>
      <c r="S35" s="58"/>
      <c r="T35" s="58"/>
      <c r="U35" s="130"/>
      <c r="V35" s="130"/>
      <c r="W35" s="58"/>
      <c r="X35" s="58"/>
    </row>
    <row r="36" spans="1:25" ht="27.75" customHeight="1" x14ac:dyDescent="0.3">
      <c r="A36" s="58"/>
      <c r="B36" s="376" t="s">
        <v>208</v>
      </c>
      <c r="C36" s="376"/>
      <c r="D36" s="376"/>
      <c r="E36" s="376"/>
      <c r="F36" s="376"/>
      <c r="G36" s="376"/>
      <c r="H36" s="376"/>
      <c r="I36" s="376"/>
      <c r="J36" s="376"/>
      <c r="K36" s="376"/>
      <c r="L36" s="376"/>
      <c r="M36" s="376"/>
      <c r="N36" s="58"/>
      <c r="O36" s="58"/>
      <c r="P36" s="58"/>
      <c r="Q36" s="58"/>
      <c r="R36" s="58"/>
      <c r="S36" s="58"/>
      <c r="T36" s="58"/>
      <c r="U36" s="58"/>
      <c r="V36" s="58"/>
      <c r="W36" s="58"/>
      <c r="X36" s="58"/>
      <c r="Y36" s="58"/>
    </row>
    <row r="37" spans="1:25" ht="15" customHeight="1"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row>
    <row r="38" spans="1:25"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25" x14ac:dyDescent="0.3">
      <c r="A39" s="58"/>
      <c r="B39" s="58"/>
      <c r="C39" s="58"/>
      <c r="D39" s="58"/>
      <c r="E39" s="58"/>
      <c r="F39" s="58"/>
      <c r="G39" s="58"/>
      <c r="H39" s="58"/>
      <c r="I39" s="58"/>
      <c r="J39" s="58"/>
      <c r="K39" s="58"/>
      <c r="L39" s="58"/>
      <c r="M39" s="58"/>
      <c r="N39" s="58"/>
      <c r="O39" s="58"/>
      <c r="P39" s="58"/>
      <c r="Q39" s="58"/>
      <c r="R39" s="58"/>
      <c r="S39" s="58"/>
      <c r="T39" s="58"/>
      <c r="U39" s="58"/>
      <c r="V39" s="58"/>
      <c r="W39" s="58"/>
      <c r="X39" s="58"/>
      <c r="Y39" s="58"/>
    </row>
    <row r="40" spans="1:25" x14ac:dyDescent="0.3">
      <c r="A40" s="58"/>
      <c r="B40" s="58"/>
      <c r="C40" s="58"/>
      <c r="D40" s="58"/>
      <c r="E40" s="58"/>
      <c r="F40" s="58"/>
      <c r="G40" s="58"/>
      <c r="H40" s="58"/>
      <c r="I40" s="58"/>
      <c r="J40" s="58"/>
      <c r="K40" s="58"/>
      <c r="L40" s="58"/>
      <c r="M40" s="58"/>
      <c r="N40" s="58"/>
      <c r="O40" s="58"/>
      <c r="P40" s="58"/>
      <c r="Q40" s="58"/>
      <c r="R40" s="58"/>
      <c r="S40" s="58"/>
      <c r="T40" s="58"/>
      <c r="U40" s="58"/>
      <c r="V40" s="58"/>
      <c r="W40" s="58"/>
      <c r="X40" s="58"/>
      <c r="Y40" s="58"/>
    </row>
    <row r="41" spans="1:25" x14ac:dyDescent="0.3">
      <c r="A41" s="58"/>
      <c r="B41" s="58"/>
      <c r="C41" s="58"/>
      <c r="D41" s="58"/>
      <c r="E41" s="58"/>
      <c r="F41" s="58"/>
      <c r="G41" s="58"/>
      <c r="H41" s="58"/>
      <c r="I41" s="58"/>
      <c r="J41" s="58"/>
      <c r="K41" s="58"/>
      <c r="L41" s="58"/>
      <c r="M41" s="58"/>
      <c r="N41" s="58"/>
      <c r="O41" s="58"/>
      <c r="P41" s="58"/>
      <c r="Q41" s="58"/>
      <c r="R41" s="58"/>
      <c r="S41" s="58"/>
      <c r="T41" s="58"/>
      <c r="U41" s="58"/>
      <c r="V41" s="58"/>
      <c r="W41" s="58"/>
      <c r="X41" s="58"/>
      <c r="Y41" s="58"/>
    </row>
    <row r="42" spans="1:25" x14ac:dyDescent="0.3">
      <c r="A42" s="58"/>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x14ac:dyDescent="0.3">
      <c r="A43" s="58"/>
      <c r="B43" s="58"/>
      <c r="C43" s="58"/>
      <c r="D43" s="58"/>
      <c r="E43" s="58"/>
      <c r="F43" s="58"/>
      <c r="G43" s="58"/>
      <c r="H43" s="58"/>
      <c r="I43" s="58"/>
      <c r="J43" s="58"/>
      <c r="K43" s="58"/>
      <c r="L43" s="58"/>
      <c r="M43" s="58"/>
      <c r="N43" s="58"/>
      <c r="O43" s="58"/>
      <c r="P43" s="58"/>
      <c r="Q43" s="58"/>
      <c r="R43" s="58"/>
      <c r="S43" s="58"/>
      <c r="T43" s="58"/>
      <c r="U43" s="58"/>
      <c r="V43" s="58"/>
      <c r="W43" s="58"/>
      <c r="X43" s="58"/>
      <c r="Y43" s="58"/>
    </row>
    <row r="44" spans="1:25"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row>
    <row r="45" spans="1:25"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row>
    <row r="46" spans="1:25"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row>
    <row r="47" spans="1:25" x14ac:dyDescent="0.3">
      <c r="A47" s="58"/>
      <c r="B47" s="58"/>
      <c r="C47" s="58"/>
      <c r="D47" s="58"/>
      <c r="E47" s="58"/>
      <c r="F47" s="58"/>
      <c r="G47" s="58"/>
      <c r="H47" s="58"/>
      <c r="I47" s="58"/>
      <c r="J47" s="58"/>
      <c r="K47" s="58"/>
      <c r="L47" s="58"/>
      <c r="M47" s="58"/>
      <c r="N47" s="58"/>
      <c r="O47" s="58"/>
      <c r="P47" s="58"/>
      <c r="Q47" s="58"/>
      <c r="R47" s="58"/>
      <c r="S47" s="58"/>
      <c r="T47" s="58"/>
      <c r="U47" s="58"/>
      <c r="V47" s="58"/>
      <c r="W47" s="58"/>
      <c r="X47" s="58"/>
      <c r="Y47" s="58"/>
    </row>
    <row r="48" spans="1:25" x14ac:dyDescent="0.3">
      <c r="A48" s="58"/>
      <c r="B48" s="58"/>
      <c r="C48" s="58"/>
      <c r="D48" s="58"/>
      <c r="E48" s="58"/>
      <c r="F48" s="58"/>
      <c r="G48" s="58"/>
      <c r="H48" s="58"/>
      <c r="I48" s="58"/>
      <c r="J48" s="58"/>
      <c r="K48" s="58"/>
      <c r="L48" s="58"/>
      <c r="M48" s="58"/>
      <c r="N48" s="58"/>
      <c r="O48" s="58"/>
      <c r="P48" s="58"/>
      <c r="Q48" s="58"/>
      <c r="R48" s="58"/>
      <c r="S48" s="58"/>
      <c r="T48" s="58"/>
      <c r="U48" s="58"/>
      <c r="V48" s="58"/>
      <c r="W48" s="58"/>
      <c r="X48" s="58"/>
      <c r="Y48" s="58"/>
    </row>
    <row r="49" spans="1:25" x14ac:dyDescent="0.3">
      <c r="A49" s="58"/>
      <c r="B49" s="58"/>
      <c r="C49" s="58"/>
      <c r="D49" s="58"/>
      <c r="E49" s="58"/>
      <c r="F49" s="58"/>
      <c r="G49" s="58"/>
      <c r="H49" s="58"/>
      <c r="I49" s="58"/>
      <c r="J49" s="58"/>
      <c r="K49" s="58"/>
      <c r="L49" s="58"/>
      <c r="M49" s="58"/>
      <c r="N49" s="58"/>
      <c r="O49" s="58"/>
      <c r="P49" s="58"/>
      <c r="Q49" s="58"/>
      <c r="R49" s="58"/>
      <c r="S49" s="58"/>
      <c r="T49" s="58"/>
      <c r="U49" s="58"/>
      <c r="V49" s="58"/>
      <c r="W49" s="58"/>
      <c r="X49" s="58"/>
      <c r="Y49" s="58"/>
    </row>
    <row r="50" spans="1:25" x14ac:dyDescent="0.3">
      <c r="A50" s="58"/>
      <c r="B50" s="58"/>
      <c r="C50" s="58"/>
      <c r="D50" s="58"/>
      <c r="E50" s="58"/>
      <c r="F50" s="58"/>
      <c r="G50" s="58"/>
      <c r="H50" s="58"/>
      <c r="I50" s="58"/>
      <c r="J50" s="58"/>
      <c r="K50" s="58"/>
      <c r="L50" s="58"/>
      <c r="M50" s="58"/>
      <c r="N50" s="58"/>
      <c r="O50" s="58"/>
      <c r="P50" s="58"/>
      <c r="Q50" s="58"/>
      <c r="R50" s="58"/>
      <c r="S50" s="58"/>
      <c r="T50" s="58"/>
      <c r="U50" s="58"/>
      <c r="V50" s="58"/>
      <c r="W50" s="58"/>
      <c r="X50" s="58"/>
      <c r="Y50" s="58"/>
    </row>
    <row r="51" spans="1:25" x14ac:dyDescent="0.3">
      <c r="A51" s="58"/>
      <c r="B51" s="58"/>
      <c r="C51" s="58"/>
      <c r="D51" s="58"/>
      <c r="E51" s="58"/>
      <c r="F51" s="58"/>
      <c r="G51" s="58"/>
      <c r="H51" s="58"/>
      <c r="I51" s="58"/>
      <c r="J51" s="58"/>
      <c r="K51" s="58"/>
      <c r="L51" s="58"/>
      <c r="M51" s="58"/>
      <c r="N51" s="58"/>
      <c r="O51" s="58"/>
      <c r="P51" s="58"/>
      <c r="Q51" s="58"/>
      <c r="R51" s="58"/>
      <c r="S51" s="58"/>
      <c r="T51" s="58"/>
      <c r="U51" s="58"/>
      <c r="V51" s="58"/>
      <c r="W51" s="58"/>
      <c r="X51" s="58"/>
      <c r="Y51" s="58"/>
    </row>
    <row r="52" spans="1:25" x14ac:dyDescent="0.3">
      <c r="A52" s="58"/>
      <c r="B52" s="58"/>
      <c r="C52" s="58"/>
      <c r="D52" s="58"/>
      <c r="E52" s="58"/>
      <c r="F52" s="58"/>
      <c r="G52" s="58"/>
      <c r="H52" s="58"/>
      <c r="I52" s="58"/>
      <c r="J52" s="58"/>
      <c r="K52" s="58"/>
      <c r="L52" s="58"/>
      <c r="M52" s="58"/>
      <c r="N52" s="58"/>
      <c r="O52" s="58"/>
      <c r="P52" s="58"/>
      <c r="Q52" s="58"/>
      <c r="R52" s="58"/>
      <c r="S52" s="58"/>
      <c r="T52" s="58"/>
      <c r="U52" s="58"/>
      <c r="V52" s="58"/>
      <c r="W52" s="58"/>
      <c r="X52" s="58"/>
      <c r="Y52" s="58"/>
    </row>
    <row r="53" spans="1:25" x14ac:dyDescent="0.3">
      <c r="A53" s="58"/>
      <c r="B53" s="58"/>
      <c r="C53" s="58"/>
      <c r="D53" s="58"/>
      <c r="E53" s="58"/>
      <c r="F53" s="58"/>
      <c r="G53" s="58"/>
      <c r="H53" s="58"/>
      <c r="I53" s="58"/>
      <c r="J53" s="58"/>
      <c r="K53" s="58"/>
      <c r="L53" s="58"/>
      <c r="M53" s="58"/>
      <c r="N53" s="58"/>
      <c r="O53" s="58"/>
      <c r="P53" s="58"/>
      <c r="Q53" s="58"/>
      <c r="R53" s="58"/>
      <c r="S53" s="58"/>
      <c r="T53" s="58"/>
      <c r="U53" s="58"/>
      <c r="V53" s="58"/>
      <c r="W53" s="58"/>
      <c r="X53" s="58"/>
      <c r="Y53" s="58"/>
    </row>
    <row r="54" spans="1:25" x14ac:dyDescent="0.3">
      <c r="A54" s="58"/>
      <c r="B54" s="58"/>
      <c r="C54" s="58"/>
      <c r="D54" s="58"/>
      <c r="E54" s="58"/>
      <c r="F54" s="58"/>
      <c r="G54" s="58"/>
      <c r="H54" s="58"/>
      <c r="I54" s="58"/>
      <c r="J54" s="58"/>
      <c r="K54" s="58"/>
      <c r="L54" s="58"/>
      <c r="M54" s="58"/>
      <c r="N54" s="58"/>
      <c r="O54" s="58"/>
      <c r="P54" s="58"/>
      <c r="Q54" s="58"/>
      <c r="R54" s="58"/>
      <c r="S54" s="58"/>
      <c r="T54" s="58"/>
      <c r="U54" s="58"/>
      <c r="V54" s="58"/>
      <c r="W54" s="58"/>
      <c r="X54" s="58"/>
      <c r="Y54" s="58"/>
    </row>
    <row r="55" spans="1:25" x14ac:dyDescent="0.3">
      <c r="A55" s="58"/>
      <c r="B55" s="58"/>
      <c r="C55" s="58"/>
      <c r="D55" s="58"/>
      <c r="E55" s="58"/>
      <c r="F55" s="58"/>
      <c r="G55" s="58"/>
      <c r="H55" s="58"/>
      <c r="I55" s="58"/>
      <c r="J55" s="58"/>
      <c r="K55" s="58"/>
      <c r="L55" s="58"/>
      <c r="M55" s="58"/>
      <c r="N55" s="58"/>
      <c r="O55" s="58"/>
      <c r="P55" s="58"/>
      <c r="Q55" s="58"/>
      <c r="R55" s="58"/>
      <c r="S55" s="58"/>
      <c r="T55" s="58"/>
      <c r="U55" s="58"/>
      <c r="V55" s="58"/>
      <c r="W55" s="58"/>
      <c r="X55" s="58"/>
      <c r="Y55" s="58"/>
    </row>
    <row r="56" spans="1:25" x14ac:dyDescent="0.3">
      <c r="A56" s="58"/>
      <c r="B56" s="58"/>
      <c r="C56" s="58"/>
      <c r="D56" s="58"/>
      <c r="E56" s="58"/>
      <c r="F56" s="58"/>
      <c r="G56" s="58"/>
      <c r="H56" s="58"/>
      <c r="I56" s="58"/>
      <c r="J56" s="58"/>
      <c r="K56" s="58"/>
      <c r="L56" s="58"/>
      <c r="M56" s="58"/>
      <c r="N56" s="58"/>
      <c r="O56" s="58"/>
      <c r="P56" s="58"/>
      <c r="Q56" s="58"/>
      <c r="R56" s="58"/>
      <c r="S56" s="58"/>
      <c r="T56" s="58"/>
      <c r="U56" s="58"/>
      <c r="V56" s="58"/>
      <c r="W56" s="58"/>
      <c r="X56" s="58"/>
      <c r="Y56" s="58"/>
    </row>
    <row r="57" spans="1:25" x14ac:dyDescent="0.3">
      <c r="A57" s="58"/>
      <c r="B57" s="58"/>
      <c r="C57" s="58"/>
      <c r="D57" s="58"/>
      <c r="E57" s="58"/>
      <c r="F57" s="58"/>
      <c r="G57" s="58"/>
      <c r="H57" s="58"/>
      <c r="I57" s="58"/>
      <c r="J57" s="58"/>
      <c r="K57" s="58"/>
      <c r="L57" s="58"/>
      <c r="M57" s="58"/>
      <c r="N57" s="58"/>
      <c r="O57" s="58"/>
      <c r="P57" s="58"/>
      <c r="Q57" s="58"/>
      <c r="R57" s="58"/>
      <c r="S57" s="58"/>
      <c r="T57" s="58"/>
      <c r="U57" s="58"/>
      <c r="V57" s="58"/>
      <c r="W57" s="58"/>
      <c r="X57" s="58"/>
      <c r="Y57" s="58"/>
    </row>
    <row r="58" spans="1:25"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row>
  </sheetData>
  <mergeCells count="9">
    <mergeCell ref="B36:M36"/>
    <mergeCell ref="B35:M35"/>
    <mergeCell ref="B33:M33"/>
    <mergeCell ref="B34:M34"/>
    <mergeCell ref="B5:L7"/>
    <mergeCell ref="B30:M30"/>
    <mergeCell ref="B29:M29"/>
    <mergeCell ref="B32:M32"/>
    <mergeCell ref="B31:M31"/>
  </mergeCells>
  <phoneticPr fontId="29" type="noConversion"/>
  <printOptions horizontalCentered="1" headings="1"/>
  <pageMargins left="0.5" right="0.5" top="1.25" bottom="1" header="0.5" footer="0.5"/>
  <pageSetup scale="53" fitToHeight="0" orientation="landscape" r:id="rId1"/>
  <headerFooter scaleWithDoc="0">
    <oddHeader>&amp;R&amp;"Arial,Bold"ICC Docket No. 17-0312
Statewide Quarterly Report ComEd 2019 Q4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topLeftCell="A13" workbookViewId="0">
      <selection activeCell="G37" sqref="G37"/>
    </sheetView>
  </sheetViews>
  <sheetFormatPr defaultColWidth="0" defaultRowHeight="14.4" zeroHeight="1" x14ac:dyDescent="0.3"/>
  <cols>
    <col min="1" max="1" width="2.5546875" customWidth="1"/>
    <col min="2" max="2" width="4.5546875" style="1" customWidth="1"/>
    <col min="3" max="3" width="4.5546875" customWidth="1"/>
    <col min="4" max="4" width="76.5546875" customWidth="1"/>
    <col min="5" max="5" width="15.109375" customWidth="1"/>
    <col min="6" max="6" width="48.5546875" customWidth="1"/>
    <col min="7" max="7" width="30.77734375" bestFit="1" customWidth="1"/>
    <col min="8" max="8" width="10.5546875" bestFit="1" customWidth="1"/>
    <col min="9" max="10" width="9.109375" customWidth="1"/>
    <col min="11" max="11" width="9.109375" hidden="1" customWidth="1"/>
    <col min="12" max="13" width="0" hidden="1" customWidth="1"/>
    <col min="14" max="16384" width="9.109375" hidden="1"/>
  </cols>
  <sheetData>
    <row r="1" spans="1:13" ht="16.5" customHeight="1" x14ac:dyDescent="0.35">
      <c r="A1" s="58"/>
      <c r="B1" s="65" t="s">
        <v>0</v>
      </c>
      <c r="C1" s="58"/>
      <c r="D1" s="58"/>
      <c r="E1" s="83"/>
      <c r="F1" s="83"/>
      <c r="G1" s="58"/>
      <c r="H1" s="58"/>
      <c r="I1" s="58"/>
      <c r="J1" s="58"/>
      <c r="K1" s="58"/>
      <c r="L1" s="58"/>
      <c r="M1" s="58"/>
    </row>
    <row r="2" spans="1:13" ht="14.25" customHeight="1" x14ac:dyDescent="0.35">
      <c r="A2" s="58"/>
      <c r="B2" s="65" t="s">
        <v>209</v>
      </c>
      <c r="C2" s="58"/>
      <c r="D2" s="58"/>
      <c r="E2" s="84"/>
      <c r="F2" s="84"/>
      <c r="G2" s="58"/>
      <c r="H2" s="58"/>
      <c r="I2" s="58"/>
      <c r="J2" s="58"/>
      <c r="K2" s="58"/>
      <c r="L2" s="58"/>
      <c r="M2" s="58"/>
    </row>
    <row r="3" spans="1:13" ht="15.6" x14ac:dyDescent="0.3">
      <c r="A3" s="58"/>
      <c r="B3" s="65"/>
      <c r="C3" s="58"/>
      <c r="D3" s="58"/>
      <c r="E3" s="85"/>
      <c r="F3" s="85"/>
      <c r="G3" s="58"/>
      <c r="H3" s="58"/>
      <c r="I3" s="58"/>
      <c r="J3" s="58"/>
      <c r="K3" s="58"/>
      <c r="L3" s="58"/>
      <c r="M3" s="58"/>
    </row>
    <row r="4" spans="1:13" ht="18" x14ac:dyDescent="0.35">
      <c r="A4" s="58"/>
      <c r="B4" s="86"/>
      <c r="C4" s="58"/>
      <c r="D4" s="58"/>
      <c r="E4" s="85"/>
      <c r="F4" s="85"/>
      <c r="G4" s="58"/>
      <c r="H4" s="58"/>
      <c r="I4" s="58"/>
      <c r="J4" s="58"/>
      <c r="K4" s="58"/>
      <c r="L4" s="58"/>
      <c r="M4" s="58"/>
    </row>
    <row r="5" spans="1:13" ht="22.5" customHeight="1" x14ac:dyDescent="0.3">
      <c r="A5" s="58"/>
      <c r="B5" s="353" t="s">
        <v>210</v>
      </c>
      <c r="C5" s="353"/>
      <c r="D5" s="353"/>
      <c r="E5" s="87"/>
      <c r="F5" s="87"/>
      <c r="G5" s="87"/>
      <c r="H5" s="87"/>
      <c r="I5" s="87"/>
      <c r="J5" s="87"/>
      <c r="K5" s="87"/>
      <c r="L5" s="58"/>
      <c r="M5" s="58"/>
    </row>
    <row r="6" spans="1:13" ht="27" customHeight="1" x14ac:dyDescent="0.3">
      <c r="A6" s="58"/>
      <c r="B6" s="353"/>
      <c r="C6" s="353"/>
      <c r="D6" s="353"/>
      <c r="E6" s="87"/>
      <c r="F6" s="87"/>
      <c r="G6" s="87"/>
      <c r="H6" s="87"/>
      <c r="I6" s="87"/>
      <c r="J6" s="87"/>
      <c r="K6" s="87"/>
      <c r="L6" s="58"/>
      <c r="M6" s="58"/>
    </row>
    <row r="7" spans="1:13" ht="22.5" customHeight="1" x14ac:dyDescent="0.3">
      <c r="A7" s="58"/>
      <c r="B7" s="88"/>
      <c r="C7" s="88"/>
      <c r="D7" s="88"/>
      <c r="E7" s="87"/>
      <c r="F7" s="87"/>
      <c r="G7" s="87"/>
      <c r="H7" s="87"/>
      <c r="I7" s="87"/>
      <c r="J7" s="87"/>
      <c r="K7" s="87"/>
      <c r="L7" s="58"/>
      <c r="M7" s="58"/>
    </row>
    <row r="8" spans="1:13" ht="22.5" customHeight="1" x14ac:dyDescent="0.3">
      <c r="A8" s="58"/>
      <c r="B8" s="383" t="s">
        <v>211</v>
      </c>
      <c r="C8" s="383"/>
      <c r="D8" s="383"/>
      <c r="E8" s="87"/>
      <c r="F8" s="87"/>
      <c r="G8" s="87"/>
      <c r="H8" s="87"/>
      <c r="I8" s="87"/>
      <c r="J8" s="87"/>
      <c r="K8" s="87"/>
      <c r="L8" s="58"/>
      <c r="M8" s="58"/>
    </row>
    <row r="9" spans="1:13" ht="21" customHeight="1" x14ac:dyDescent="0.3">
      <c r="A9" s="58"/>
      <c r="B9" s="394" t="s">
        <v>212</v>
      </c>
      <c r="C9" s="394"/>
      <c r="D9" s="394"/>
      <c r="E9" s="88"/>
      <c r="F9" s="88"/>
      <c r="G9" s="88"/>
      <c r="H9" s="88"/>
      <c r="I9" s="88"/>
      <c r="J9" s="88"/>
      <c r="K9" s="88"/>
      <c r="L9" s="58"/>
      <c r="M9" s="58"/>
    </row>
    <row r="10" spans="1:13" ht="21" customHeight="1" x14ac:dyDescent="0.3">
      <c r="A10" s="58"/>
      <c r="B10" s="395" t="s">
        <v>213</v>
      </c>
      <c r="C10" s="395"/>
      <c r="D10" s="395"/>
      <c r="E10" s="88"/>
      <c r="F10" s="88"/>
      <c r="G10" s="88"/>
      <c r="H10" s="88"/>
      <c r="I10" s="88"/>
      <c r="J10" s="88"/>
      <c r="K10" s="88"/>
      <c r="L10" s="58"/>
      <c r="M10" s="58"/>
    </row>
    <row r="11" spans="1:13" ht="21" customHeight="1" x14ac:dyDescent="0.3">
      <c r="A11" s="58"/>
      <c r="B11" s="396" t="s">
        <v>214</v>
      </c>
      <c r="C11" s="396"/>
      <c r="D11" s="396"/>
      <c r="E11" s="88"/>
      <c r="F11" s="88"/>
      <c r="G11" s="88"/>
      <c r="H11" s="88"/>
      <c r="I11" s="88"/>
      <c r="J11" s="88"/>
      <c r="K11" s="88"/>
      <c r="L11" s="58"/>
      <c r="M11" s="58"/>
    </row>
    <row r="12" spans="1:13" ht="21" customHeight="1" x14ac:dyDescent="0.3">
      <c r="A12" s="58"/>
      <c r="B12" s="102"/>
      <c r="C12" s="102"/>
      <c r="D12" s="102"/>
      <c r="E12" s="88"/>
      <c r="F12" s="88"/>
      <c r="G12" s="88"/>
      <c r="H12" s="88"/>
      <c r="I12" s="88"/>
      <c r="J12" s="88"/>
      <c r="K12" s="88"/>
      <c r="L12" s="58"/>
      <c r="M12" s="58"/>
    </row>
    <row r="13" spans="1:13" ht="21" customHeight="1" x14ac:dyDescent="0.3">
      <c r="A13" s="58"/>
      <c r="B13" s="103" t="s">
        <v>215</v>
      </c>
      <c r="C13" s="102"/>
      <c r="D13" s="102"/>
      <c r="E13" s="88"/>
      <c r="F13" s="88"/>
      <c r="G13" s="88"/>
      <c r="H13" s="88"/>
      <c r="I13" s="88"/>
      <c r="J13" s="88"/>
      <c r="K13" s="88"/>
      <c r="L13" s="58"/>
      <c r="M13" s="58"/>
    </row>
    <row r="14" spans="1:13" ht="21" customHeight="1" x14ac:dyDescent="0.3">
      <c r="A14" s="58"/>
      <c r="B14" s="217" t="str">
        <f>'1- Ex Ante Results'!B19</f>
        <v>CY2024 Q1</v>
      </c>
      <c r="C14" s="216"/>
      <c r="D14" s="216"/>
      <c r="E14" s="88"/>
      <c r="F14" s="88"/>
      <c r="G14" s="88"/>
      <c r="H14" s="88"/>
      <c r="I14" s="88"/>
      <c r="J14" s="88"/>
      <c r="K14" s="88"/>
      <c r="L14" s="58"/>
      <c r="M14" s="58"/>
    </row>
    <row r="15" spans="1:13" ht="18" customHeight="1" x14ac:dyDescent="0.3">
      <c r="A15" s="58"/>
      <c r="B15" s="384" t="str">
        <f>"Cumulative Persisting Annual Savings (CPAS) Goal Progress "&amp;'1- Ex Ante Results'!B19</f>
        <v>Cumulative Persisting Annual Savings (CPAS) Goal Progress CY2024 Q1</v>
      </c>
      <c r="C15" s="384"/>
      <c r="D15" s="384"/>
      <c r="E15" s="384"/>
      <c r="F15" s="384"/>
      <c r="G15" s="58"/>
      <c r="H15" s="58"/>
      <c r="I15" s="58"/>
      <c r="J15" s="58"/>
      <c r="K15" s="58"/>
      <c r="L15" s="58"/>
      <c r="M15" s="58"/>
    </row>
    <row r="16" spans="1:13" x14ac:dyDescent="0.3">
      <c r="A16" s="58"/>
      <c r="B16" s="39" t="s">
        <v>216</v>
      </c>
      <c r="C16" s="385" t="s">
        <v>217</v>
      </c>
      <c r="D16" s="386"/>
      <c r="E16" s="161">
        <v>0.157</v>
      </c>
      <c r="F16" s="53" t="s">
        <v>218</v>
      </c>
      <c r="G16" s="58"/>
      <c r="H16" s="58"/>
      <c r="I16" s="58"/>
      <c r="J16" s="58"/>
      <c r="K16" s="58"/>
      <c r="L16" s="58"/>
      <c r="M16" s="58"/>
    </row>
    <row r="17" spans="1:13" x14ac:dyDescent="0.3">
      <c r="A17" s="58"/>
      <c r="B17" s="39" t="s">
        <v>219</v>
      </c>
      <c r="C17" s="385" t="s">
        <v>220</v>
      </c>
      <c r="D17" s="386"/>
      <c r="E17" s="162">
        <v>83000528.09633334</v>
      </c>
      <c r="F17" s="53" t="s">
        <v>218</v>
      </c>
      <c r="G17" s="101"/>
      <c r="H17" s="58"/>
      <c r="I17" s="58"/>
      <c r="J17" s="58"/>
      <c r="K17" s="58"/>
      <c r="L17" s="58"/>
      <c r="M17" s="58"/>
    </row>
    <row r="18" spans="1:13" x14ac:dyDescent="0.3">
      <c r="A18" s="58"/>
      <c r="B18" s="39" t="s">
        <v>221</v>
      </c>
      <c r="C18" s="385" t="s">
        <v>222</v>
      </c>
      <c r="D18" s="386"/>
      <c r="E18" s="163">
        <f>E17*E16</f>
        <v>13031082.911124334</v>
      </c>
      <c r="F18" s="54" t="s">
        <v>223</v>
      </c>
      <c r="G18" s="58"/>
      <c r="H18" s="58"/>
      <c r="I18" s="58"/>
      <c r="J18" s="58"/>
      <c r="K18" s="58"/>
      <c r="L18" s="58"/>
      <c r="M18" s="58"/>
    </row>
    <row r="19" spans="1:13" x14ac:dyDescent="0.3">
      <c r="A19" s="58"/>
      <c r="B19" s="39" t="s">
        <v>224</v>
      </c>
      <c r="C19" s="385" t="s">
        <v>225</v>
      </c>
      <c r="D19" s="386"/>
      <c r="E19" s="164">
        <v>12027359.654999999</v>
      </c>
      <c r="F19" s="55" t="s">
        <v>226</v>
      </c>
      <c r="G19" s="58"/>
      <c r="H19" s="60"/>
      <c r="I19" s="58"/>
      <c r="J19" s="58"/>
      <c r="K19" s="58"/>
      <c r="L19" s="58"/>
      <c r="M19" s="58"/>
    </row>
    <row r="20" spans="1:13" ht="16.5" customHeight="1" x14ac:dyDescent="0.3">
      <c r="A20" s="58"/>
      <c r="B20" s="39"/>
      <c r="C20" s="391" t="s">
        <v>227</v>
      </c>
      <c r="D20" s="392"/>
      <c r="E20" s="392"/>
      <c r="F20" s="393"/>
      <c r="G20" s="58"/>
      <c r="H20" s="58"/>
      <c r="I20" s="58"/>
      <c r="J20" s="58"/>
      <c r="K20" s="58"/>
      <c r="L20" s="58"/>
      <c r="M20" s="58"/>
    </row>
    <row r="21" spans="1:13" x14ac:dyDescent="0.3">
      <c r="A21" s="58"/>
      <c r="B21" s="39" t="s">
        <v>228</v>
      </c>
      <c r="C21" s="402" t="s">
        <v>229</v>
      </c>
      <c r="D21" s="403"/>
      <c r="E21" s="161">
        <v>2.8000000000000001E-2</v>
      </c>
      <c r="F21" s="53" t="s">
        <v>230</v>
      </c>
      <c r="G21" s="58"/>
      <c r="H21" s="58"/>
      <c r="I21" s="58"/>
      <c r="J21" s="58"/>
      <c r="K21" s="58"/>
      <c r="L21" s="58"/>
      <c r="M21" s="58"/>
    </row>
    <row r="22" spans="1:13" x14ac:dyDescent="0.3">
      <c r="A22" s="58"/>
      <c r="B22" s="39" t="s">
        <v>231</v>
      </c>
      <c r="C22" s="402" t="s">
        <v>232</v>
      </c>
      <c r="D22" s="403"/>
      <c r="E22" s="161">
        <v>3.1E-2</v>
      </c>
      <c r="F22" s="53" t="s">
        <v>230</v>
      </c>
      <c r="G22" s="58"/>
      <c r="H22" s="61"/>
      <c r="I22" s="58"/>
      <c r="J22" s="97"/>
      <c r="K22" s="58"/>
      <c r="L22" s="58"/>
      <c r="M22" s="58"/>
    </row>
    <row r="23" spans="1:13" x14ac:dyDescent="0.3">
      <c r="A23" s="58"/>
      <c r="B23" s="39" t="s">
        <v>233</v>
      </c>
      <c r="C23" s="402" t="s">
        <v>234</v>
      </c>
      <c r="D23" s="403"/>
      <c r="E23" s="165">
        <f>E22-E21</f>
        <v>2.9999999999999992E-3</v>
      </c>
      <c r="F23" s="54" t="s">
        <v>235</v>
      </c>
      <c r="G23" s="58"/>
      <c r="H23" s="58"/>
      <c r="I23" s="58"/>
      <c r="J23" s="58"/>
      <c r="K23" s="58"/>
      <c r="L23" s="58"/>
      <c r="M23" s="58"/>
    </row>
    <row r="24" spans="1:13" x14ac:dyDescent="0.3">
      <c r="A24" s="63"/>
      <c r="B24" s="39" t="s">
        <v>236</v>
      </c>
      <c r="C24" s="402" t="s">
        <v>415</v>
      </c>
      <c r="D24" s="403"/>
      <c r="E24" s="163">
        <f>E23*E17</f>
        <v>249001.58428899996</v>
      </c>
      <c r="F24" s="54" t="s">
        <v>413</v>
      </c>
      <c r="G24" s="58"/>
      <c r="H24" s="58"/>
      <c r="I24" s="58"/>
      <c r="J24" s="58"/>
      <c r="K24" s="58"/>
      <c r="L24" s="58"/>
      <c r="M24" s="58"/>
    </row>
    <row r="25" spans="1:13" x14ac:dyDescent="0.3">
      <c r="A25" s="58"/>
      <c r="B25" s="39" t="s">
        <v>237</v>
      </c>
      <c r="C25" s="402" t="s">
        <v>238</v>
      </c>
      <c r="D25" s="403"/>
      <c r="E25" s="164">
        <v>506459.74099999998</v>
      </c>
      <c r="F25" s="55" t="s">
        <v>417</v>
      </c>
      <c r="G25" s="58"/>
      <c r="H25" s="58"/>
      <c r="I25" s="58"/>
      <c r="J25" s="58"/>
      <c r="K25" s="58"/>
      <c r="L25" s="58"/>
      <c r="M25" s="58"/>
    </row>
    <row r="26" spans="1:13" x14ac:dyDescent="0.3">
      <c r="A26" s="58"/>
      <c r="B26" s="39" t="s">
        <v>239</v>
      </c>
      <c r="C26" s="404" t="s">
        <v>240</v>
      </c>
      <c r="D26" s="405"/>
      <c r="E26" s="166">
        <f>E24+E25</f>
        <v>755461.32528899994</v>
      </c>
      <c r="F26" s="54" t="s">
        <v>241</v>
      </c>
      <c r="G26" s="58"/>
      <c r="H26" s="58"/>
      <c r="I26" s="58"/>
      <c r="J26" s="58"/>
      <c r="K26" s="58"/>
      <c r="L26" s="58"/>
      <c r="M26" s="58"/>
    </row>
    <row r="27" spans="1:13" x14ac:dyDescent="0.3">
      <c r="A27" s="58"/>
      <c r="B27" s="39" t="s">
        <v>242</v>
      </c>
      <c r="C27" s="385" t="s">
        <v>243</v>
      </c>
      <c r="D27" s="386"/>
      <c r="E27" s="163">
        <f>E18-E19+E26</f>
        <v>1759184.5814133342</v>
      </c>
      <c r="F27" s="54" t="s">
        <v>244</v>
      </c>
      <c r="G27" s="58"/>
      <c r="H27" s="58"/>
      <c r="I27" s="58"/>
      <c r="J27" s="58"/>
      <c r="K27" s="58"/>
      <c r="L27" s="58"/>
      <c r="M27" s="58"/>
    </row>
    <row r="28" spans="1:13" x14ac:dyDescent="0.3">
      <c r="A28" s="58"/>
      <c r="B28" s="39" t="s">
        <v>245</v>
      </c>
      <c r="C28" s="385" t="s">
        <v>246</v>
      </c>
      <c r="D28" s="386"/>
      <c r="E28" s="167">
        <f>'1- Ex Ante Results'!C115</f>
        <v>512921.97606999998</v>
      </c>
      <c r="F28" s="55" t="s">
        <v>247</v>
      </c>
      <c r="G28" s="62"/>
      <c r="H28" s="58"/>
      <c r="I28" s="58"/>
      <c r="J28" s="58"/>
      <c r="K28" s="58"/>
      <c r="L28" s="58"/>
      <c r="M28" s="58"/>
    </row>
    <row r="29" spans="1:13" x14ac:dyDescent="0.3">
      <c r="A29" s="58"/>
      <c r="B29" s="39" t="s">
        <v>248</v>
      </c>
      <c r="C29" s="385" t="s">
        <v>249</v>
      </c>
      <c r="D29" s="386"/>
      <c r="E29" s="167">
        <f>'1- Ex Ante Results'!C115</f>
        <v>512921.97606999998</v>
      </c>
      <c r="F29" s="55" t="s">
        <v>250</v>
      </c>
      <c r="G29" s="62"/>
      <c r="H29" s="58"/>
      <c r="I29" s="58"/>
      <c r="J29" s="58"/>
      <c r="K29" s="58"/>
      <c r="L29" s="58"/>
      <c r="M29" s="58"/>
    </row>
    <row r="30" spans="1:13" ht="27" customHeight="1" x14ac:dyDescent="0.3">
      <c r="A30" s="58"/>
      <c r="B30" s="39" t="s">
        <v>251</v>
      </c>
      <c r="C30" s="387" t="s">
        <v>252</v>
      </c>
      <c r="D30" s="388"/>
      <c r="E30" s="168">
        <f>E29/E27</f>
        <v>0.29156802616921351</v>
      </c>
      <c r="F30" s="54" t="s">
        <v>253</v>
      </c>
      <c r="G30" s="58"/>
      <c r="H30" s="58"/>
      <c r="I30" s="58"/>
      <c r="J30" s="58"/>
      <c r="K30" s="58"/>
      <c r="L30" s="58"/>
      <c r="M30" s="58"/>
    </row>
    <row r="31" spans="1:13" ht="18" customHeight="1" x14ac:dyDescent="0.3">
      <c r="A31" s="58"/>
      <c r="B31" s="397" t="s">
        <v>254</v>
      </c>
      <c r="C31" s="397"/>
      <c r="D31" s="397"/>
      <c r="E31" s="397"/>
      <c r="F31" s="397"/>
      <c r="G31" s="58"/>
      <c r="H31" s="58"/>
      <c r="I31" s="58"/>
      <c r="J31" s="58"/>
      <c r="K31" s="58"/>
      <c r="L31" s="58"/>
      <c r="M31" s="58"/>
    </row>
    <row r="32" spans="1:13" x14ac:dyDescent="0.3">
      <c r="A32" s="58"/>
      <c r="B32" s="39" t="s">
        <v>255</v>
      </c>
      <c r="C32" s="389" t="s">
        <v>256</v>
      </c>
      <c r="D32" s="390"/>
      <c r="E32" s="161">
        <v>0.14399999999999999</v>
      </c>
      <c r="F32" s="37" t="s">
        <v>218</v>
      </c>
      <c r="G32" s="58"/>
      <c r="H32" s="58"/>
      <c r="I32" s="58"/>
      <c r="J32" s="89"/>
      <c r="K32" s="58"/>
      <c r="L32" s="58"/>
      <c r="M32" s="58"/>
    </row>
    <row r="33" spans="1:13" x14ac:dyDescent="0.3">
      <c r="A33" s="58"/>
      <c r="B33" s="39" t="s">
        <v>257</v>
      </c>
      <c r="C33" s="389" t="s">
        <v>288</v>
      </c>
      <c r="D33" s="390"/>
      <c r="E33" s="169">
        <v>11952076.045871994</v>
      </c>
      <c r="F33" s="38" t="s">
        <v>258</v>
      </c>
      <c r="G33" s="58"/>
      <c r="H33" s="58"/>
      <c r="I33" s="58"/>
      <c r="J33" s="58"/>
      <c r="K33" s="58"/>
      <c r="L33" s="58"/>
      <c r="M33" s="58"/>
    </row>
    <row r="34" spans="1:13" x14ac:dyDescent="0.3">
      <c r="A34" s="58"/>
      <c r="B34" s="39" t="s">
        <v>259</v>
      </c>
      <c r="C34" s="36" t="s">
        <v>416</v>
      </c>
      <c r="D34" s="36"/>
      <c r="E34" s="169">
        <f>E18-E33</f>
        <v>1079006.8652523402</v>
      </c>
      <c r="F34" s="38" t="s">
        <v>414</v>
      </c>
      <c r="G34" s="58"/>
      <c r="H34" s="58"/>
      <c r="I34" s="58"/>
      <c r="J34" s="58"/>
      <c r="K34" s="58"/>
      <c r="L34" s="58"/>
      <c r="M34" s="58"/>
    </row>
    <row r="35" spans="1:13" x14ac:dyDescent="0.3">
      <c r="A35" s="58"/>
      <c r="B35" s="39" t="s">
        <v>260</v>
      </c>
      <c r="C35" s="36" t="s">
        <v>261</v>
      </c>
      <c r="D35" s="36"/>
      <c r="E35" s="169">
        <f>E34+E26</f>
        <v>1834468.19054134</v>
      </c>
      <c r="F35" s="38" t="s">
        <v>262</v>
      </c>
      <c r="G35" s="59"/>
      <c r="H35" s="58"/>
      <c r="I35" s="58"/>
      <c r="J35" s="58"/>
      <c r="K35" s="58"/>
      <c r="L35" s="58"/>
      <c r="M35" s="58"/>
    </row>
    <row r="36" spans="1:13" x14ac:dyDescent="0.3">
      <c r="A36" s="58"/>
      <c r="B36" s="39" t="s">
        <v>263</v>
      </c>
      <c r="C36" s="36" t="s">
        <v>264</v>
      </c>
      <c r="D36" s="36"/>
      <c r="E36" s="169">
        <f>E29</f>
        <v>512921.97606999998</v>
      </c>
      <c r="F36" s="38" t="s">
        <v>265</v>
      </c>
      <c r="G36" s="58"/>
      <c r="H36" s="59"/>
      <c r="I36" s="58"/>
      <c r="J36" s="58"/>
      <c r="K36" s="58"/>
      <c r="L36" s="58"/>
      <c r="M36" s="58"/>
    </row>
    <row r="37" spans="1:13" ht="32.85" customHeight="1" x14ac:dyDescent="0.3">
      <c r="A37" s="58"/>
      <c r="B37" s="39" t="s">
        <v>266</v>
      </c>
      <c r="C37" s="398" t="s">
        <v>267</v>
      </c>
      <c r="D37" s="399"/>
      <c r="E37" s="170">
        <f>E26</f>
        <v>755461.32528899994</v>
      </c>
      <c r="F37" s="38" t="s">
        <v>268</v>
      </c>
      <c r="G37" s="58"/>
      <c r="H37" s="58"/>
      <c r="I37" s="58"/>
      <c r="J37" s="58"/>
      <c r="K37" s="58"/>
      <c r="L37" s="58"/>
      <c r="M37" s="58"/>
    </row>
    <row r="38" spans="1:13" x14ac:dyDescent="0.3">
      <c r="A38" s="58"/>
      <c r="B38" s="39" t="s">
        <v>269</v>
      </c>
      <c r="C38" s="398" t="s">
        <v>270</v>
      </c>
      <c r="D38" s="399"/>
      <c r="E38" s="169">
        <f>E36-E37</f>
        <v>-242539.34921899997</v>
      </c>
      <c r="F38" s="38" t="s">
        <v>271</v>
      </c>
      <c r="G38" s="58"/>
      <c r="H38" s="58"/>
      <c r="I38" s="58"/>
      <c r="J38" s="58"/>
      <c r="K38" s="58"/>
      <c r="L38" s="58"/>
      <c r="M38" s="58"/>
    </row>
    <row r="39" spans="1:13" ht="30" customHeight="1" x14ac:dyDescent="0.3">
      <c r="A39" s="58"/>
      <c r="B39" s="39" t="s">
        <v>272</v>
      </c>
      <c r="C39" s="400" t="s">
        <v>273</v>
      </c>
      <c r="D39" s="401"/>
      <c r="E39" s="171">
        <f>E38/E34</f>
        <v>-0.22478017242483336</v>
      </c>
      <c r="F39" s="38" t="s">
        <v>274</v>
      </c>
      <c r="G39" s="58"/>
      <c r="H39" s="58"/>
      <c r="I39" s="58"/>
      <c r="J39" s="58"/>
      <c r="K39" s="58"/>
      <c r="L39" s="58"/>
      <c r="M39" s="58"/>
    </row>
    <row r="40" spans="1:13" x14ac:dyDescent="0.3">
      <c r="A40" s="58"/>
      <c r="B40" s="89"/>
      <c r="C40" s="90"/>
      <c r="D40" s="90"/>
      <c r="E40" s="91"/>
      <c r="F40" s="92"/>
      <c r="G40" s="58"/>
      <c r="H40" s="58"/>
      <c r="I40" s="58"/>
      <c r="J40" s="58"/>
      <c r="K40" s="58"/>
      <c r="L40" s="58"/>
      <c r="M40" s="58"/>
    </row>
    <row r="41" spans="1:13" x14ac:dyDescent="0.3">
      <c r="A41" s="58"/>
      <c r="B41" s="93" t="s">
        <v>87</v>
      </c>
      <c r="C41" s="94"/>
      <c r="D41" s="93"/>
      <c r="E41" s="93"/>
      <c r="F41" s="95"/>
      <c r="G41" s="98"/>
      <c r="H41" s="98"/>
      <c r="I41" s="98"/>
      <c r="J41" s="95"/>
      <c r="K41" s="95"/>
      <c r="L41" s="99"/>
      <c r="M41" s="58"/>
    </row>
    <row r="42" spans="1:13" ht="39" customHeight="1" x14ac:dyDescent="0.3">
      <c r="A42" s="58"/>
      <c r="B42" s="381" t="s">
        <v>418</v>
      </c>
      <c r="C42" s="382"/>
      <c r="D42" s="382"/>
      <c r="E42" s="382"/>
      <c r="F42" s="382"/>
      <c r="G42" s="100"/>
      <c r="H42" s="100"/>
      <c r="I42" s="100"/>
      <c r="J42" s="100"/>
      <c r="K42" s="100"/>
      <c r="L42" s="100"/>
      <c r="M42" s="58"/>
    </row>
    <row r="43" spans="1:13" ht="14.85" customHeight="1" x14ac:dyDescent="0.3">
      <c r="A43" s="58"/>
      <c r="B43" s="381" t="s">
        <v>289</v>
      </c>
      <c r="C43" s="382"/>
      <c r="D43" s="382"/>
      <c r="E43" s="382"/>
      <c r="F43" s="382"/>
      <c r="G43" s="58"/>
      <c r="H43" s="58"/>
      <c r="I43" s="58"/>
      <c r="J43" s="58"/>
      <c r="K43" s="58"/>
      <c r="L43" s="58"/>
      <c r="M43" s="58"/>
    </row>
    <row r="44" spans="1:13" x14ac:dyDescent="0.3">
      <c r="A44" s="58"/>
      <c r="B44" s="96"/>
      <c r="C44" s="58"/>
      <c r="D44" s="58"/>
      <c r="E44" s="58"/>
      <c r="F44" s="58"/>
      <c r="G44" s="58"/>
      <c r="H44" s="58"/>
      <c r="I44" s="58"/>
      <c r="J44" s="58"/>
      <c r="K44" s="58"/>
      <c r="L44" s="58"/>
      <c r="M44" s="58"/>
    </row>
    <row r="45" spans="1:13" x14ac:dyDescent="0.3">
      <c r="A45" s="58"/>
      <c r="B45" s="96"/>
      <c r="C45" s="58"/>
      <c r="D45" s="58"/>
      <c r="E45" s="58"/>
      <c r="F45" s="58"/>
      <c r="G45" s="58"/>
      <c r="H45" s="58"/>
      <c r="I45" s="58"/>
      <c r="J45" s="58"/>
      <c r="K45" s="58"/>
      <c r="L45" s="58"/>
      <c r="M45" s="58"/>
    </row>
    <row r="46" spans="1:13" x14ac:dyDescent="0.3">
      <c r="A46" s="58"/>
      <c r="B46" s="96"/>
      <c r="C46" s="58"/>
      <c r="D46" s="58"/>
      <c r="E46" s="58"/>
      <c r="F46" s="58"/>
      <c r="G46" s="58"/>
      <c r="H46" s="58"/>
      <c r="I46" s="58"/>
      <c r="J46" s="58"/>
      <c r="K46" s="58"/>
      <c r="L46" s="58"/>
      <c r="M46" s="58"/>
    </row>
    <row r="47" spans="1:13" x14ac:dyDescent="0.3">
      <c r="A47" s="58"/>
      <c r="B47" s="96"/>
      <c r="C47" s="58"/>
      <c r="D47" s="58"/>
      <c r="E47" s="58"/>
      <c r="F47" s="58"/>
      <c r="G47" s="58"/>
      <c r="H47" s="58"/>
      <c r="I47" s="58"/>
      <c r="J47" s="58"/>
      <c r="K47" s="58"/>
      <c r="L47" s="58"/>
      <c r="M47" s="58"/>
    </row>
    <row r="48" spans="1:13" x14ac:dyDescent="0.3">
      <c r="A48" s="58"/>
      <c r="B48" s="96"/>
      <c r="C48" s="58"/>
      <c r="D48" s="58"/>
      <c r="E48" s="58"/>
      <c r="F48" s="58"/>
      <c r="G48" s="58"/>
      <c r="H48" s="58"/>
      <c r="I48" s="58"/>
      <c r="J48" s="58"/>
      <c r="K48" s="58"/>
      <c r="L48" s="58"/>
      <c r="M48" s="58"/>
    </row>
    <row r="49" spans="1:13" x14ac:dyDescent="0.3">
      <c r="A49" s="58"/>
      <c r="B49" s="96"/>
      <c r="C49" s="58"/>
      <c r="D49" s="58"/>
      <c r="E49" s="58"/>
      <c r="F49" s="58"/>
      <c r="G49" s="58"/>
      <c r="H49" s="58"/>
      <c r="I49" s="58"/>
      <c r="J49" s="58"/>
      <c r="K49" s="58"/>
      <c r="L49" s="58"/>
      <c r="M49" s="58"/>
    </row>
    <row r="50" spans="1:13" x14ac:dyDescent="0.3">
      <c r="A50" s="58"/>
      <c r="B50" s="96"/>
      <c r="C50" s="58"/>
      <c r="D50" s="58"/>
      <c r="E50" s="58"/>
      <c r="F50" s="58"/>
      <c r="G50" s="58"/>
      <c r="H50" s="58"/>
      <c r="I50" s="58"/>
      <c r="J50" s="58"/>
      <c r="K50" s="58"/>
      <c r="L50" s="58"/>
      <c r="M50" s="58"/>
    </row>
    <row r="51" spans="1:13" x14ac:dyDescent="0.3">
      <c r="A51" s="58"/>
      <c r="B51" s="96"/>
      <c r="C51" s="58"/>
      <c r="D51" s="58"/>
      <c r="E51" s="58"/>
      <c r="F51" s="58"/>
      <c r="G51" s="58"/>
      <c r="H51" s="58"/>
      <c r="I51" s="58"/>
      <c r="J51" s="58"/>
      <c r="K51" s="58"/>
      <c r="L51" s="58"/>
      <c r="M51" s="58"/>
    </row>
    <row r="52" spans="1:13" x14ac:dyDescent="0.3">
      <c r="A52" s="58"/>
      <c r="B52" s="96"/>
      <c r="C52" s="58"/>
      <c r="D52" s="58"/>
      <c r="E52" s="58"/>
      <c r="F52" s="58"/>
      <c r="G52" s="58"/>
      <c r="H52" s="58"/>
      <c r="I52" s="58"/>
      <c r="J52" s="58"/>
      <c r="K52" s="58"/>
      <c r="L52" s="58"/>
      <c r="M52" s="58"/>
    </row>
    <row r="53" spans="1:13" x14ac:dyDescent="0.3">
      <c r="A53" s="58"/>
      <c r="B53" s="96"/>
      <c r="C53" s="58"/>
      <c r="D53" s="58"/>
      <c r="E53" s="58"/>
      <c r="F53" s="58"/>
      <c r="G53" s="58"/>
      <c r="H53" s="58"/>
      <c r="I53" s="58"/>
      <c r="J53" s="58"/>
      <c r="K53" s="58"/>
      <c r="L53" s="58"/>
      <c r="M53" s="58"/>
    </row>
    <row r="54" spans="1:13" x14ac:dyDescent="0.3">
      <c r="A54" s="58"/>
      <c r="B54" s="96"/>
      <c r="C54" s="58"/>
      <c r="D54" s="58"/>
      <c r="E54" s="58"/>
      <c r="F54" s="58"/>
      <c r="G54" s="58"/>
      <c r="H54" s="58"/>
      <c r="I54" s="58"/>
      <c r="J54" s="58"/>
      <c r="K54" s="58"/>
      <c r="L54" s="58"/>
      <c r="M54" s="58"/>
    </row>
    <row r="55" spans="1:13" x14ac:dyDescent="0.3">
      <c r="A55" s="58"/>
      <c r="B55" s="96"/>
      <c r="C55" s="58"/>
      <c r="D55" s="58"/>
      <c r="E55" s="58"/>
      <c r="F55" s="58"/>
      <c r="G55" s="58"/>
      <c r="H55" s="58"/>
      <c r="I55" s="58"/>
      <c r="J55" s="58"/>
      <c r="K55" s="58"/>
      <c r="L55" s="58"/>
      <c r="M55" s="58"/>
    </row>
    <row r="56" spans="1:13" x14ac:dyDescent="0.3">
      <c r="A56" s="58"/>
      <c r="B56" s="96"/>
      <c r="C56" s="58"/>
      <c r="D56" s="58"/>
      <c r="E56" s="58"/>
      <c r="F56" s="58"/>
      <c r="G56" s="58"/>
      <c r="H56" s="58"/>
      <c r="I56" s="58"/>
      <c r="J56" s="58"/>
      <c r="K56" s="58"/>
      <c r="L56" s="58"/>
      <c r="M56" s="58"/>
    </row>
    <row r="57" spans="1:13" x14ac:dyDescent="0.3">
      <c r="A57" s="58"/>
      <c r="B57" s="96"/>
      <c r="C57" s="58"/>
      <c r="D57" s="58"/>
      <c r="E57" s="58"/>
      <c r="F57" s="58"/>
      <c r="G57" s="58"/>
      <c r="H57" s="58"/>
      <c r="I57" s="58"/>
      <c r="J57" s="58"/>
      <c r="K57" s="58"/>
      <c r="L57" s="58"/>
      <c r="M57" s="58"/>
    </row>
  </sheetData>
  <mergeCells count="29">
    <mergeCell ref="C39:D39"/>
    <mergeCell ref="C21:D21"/>
    <mergeCell ref="C22:D22"/>
    <mergeCell ref="C23:D23"/>
    <mergeCell ref="C24:D24"/>
    <mergeCell ref="C25:D25"/>
    <mergeCell ref="C26:D26"/>
    <mergeCell ref="C27:D27"/>
    <mergeCell ref="B10:D10"/>
    <mergeCell ref="B11:D11"/>
    <mergeCell ref="B31:F31"/>
    <mergeCell ref="C37:D37"/>
    <mergeCell ref="C38:D38"/>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opLeftCell="A6" workbookViewId="0">
      <selection activeCell="D34" sqref="D34"/>
    </sheetView>
  </sheetViews>
  <sheetFormatPr defaultColWidth="0" defaultRowHeight="14.4" zeroHeight="1" x14ac:dyDescent="0.3"/>
  <cols>
    <col min="1" max="1" width="6.109375" customWidth="1"/>
    <col min="2" max="2" width="33.109375" style="10" customWidth="1"/>
    <col min="3" max="3" width="19.109375" bestFit="1" customWidth="1"/>
    <col min="4" max="4" width="20.109375" customWidth="1"/>
    <col min="5" max="5" width="18.88671875" customWidth="1"/>
    <col min="6" max="7" width="18.5546875" customWidth="1"/>
    <col min="8" max="8" width="8.88671875" customWidth="1"/>
    <col min="9" max="11" width="9.109375" customWidth="1"/>
    <col min="12" max="16384" width="9.109375" hidden="1"/>
  </cols>
  <sheetData>
    <row r="1" spans="1:11" x14ac:dyDescent="0.3">
      <c r="A1" s="58"/>
      <c r="B1" s="64" t="s">
        <v>0</v>
      </c>
      <c r="C1" s="58"/>
      <c r="D1" s="58"/>
      <c r="E1" s="58"/>
      <c r="F1" s="58"/>
      <c r="G1" s="58"/>
      <c r="H1" s="58"/>
      <c r="I1" s="58"/>
      <c r="J1" s="58"/>
      <c r="K1" s="58"/>
    </row>
    <row r="2" spans="1:11" x14ac:dyDescent="0.3">
      <c r="A2" s="58"/>
      <c r="B2" s="64" t="s">
        <v>275</v>
      </c>
      <c r="C2" s="58"/>
      <c r="D2" s="58"/>
      <c r="E2" s="58"/>
      <c r="F2" s="58"/>
      <c r="G2" s="58"/>
      <c r="H2" s="58"/>
      <c r="I2" s="58"/>
      <c r="J2" s="58"/>
      <c r="K2" s="58"/>
    </row>
    <row r="3" spans="1:11" x14ac:dyDescent="0.3">
      <c r="A3" s="58"/>
      <c r="B3" s="65"/>
      <c r="C3" s="58"/>
      <c r="D3" s="58"/>
      <c r="E3" s="58"/>
      <c r="F3" s="58"/>
      <c r="G3" s="58"/>
      <c r="H3" s="58"/>
      <c r="I3" s="58"/>
      <c r="J3" s="58"/>
      <c r="K3" s="58"/>
    </row>
    <row r="4" spans="1:11" x14ac:dyDescent="0.3">
      <c r="A4" s="58"/>
      <c r="B4" s="64"/>
      <c r="C4" s="58"/>
      <c r="D4" s="58"/>
      <c r="E4" s="58"/>
      <c r="F4" s="58"/>
      <c r="G4" s="58"/>
      <c r="H4" s="58"/>
      <c r="I4" s="58"/>
      <c r="J4" s="58"/>
      <c r="K4" s="58"/>
    </row>
    <row r="5" spans="1:11" ht="29.25" customHeight="1" x14ac:dyDescent="0.3">
      <c r="A5" s="58"/>
      <c r="B5" s="371" t="s">
        <v>276</v>
      </c>
      <c r="C5" s="371"/>
      <c r="D5" s="371"/>
      <c r="E5" s="371"/>
      <c r="F5" s="371"/>
      <c r="G5" s="371"/>
      <c r="H5" s="58"/>
      <c r="I5" s="58"/>
      <c r="J5" s="58"/>
      <c r="K5" s="58"/>
    </row>
    <row r="6" spans="1:11" x14ac:dyDescent="0.3">
      <c r="A6" s="58"/>
      <c r="B6" s="371"/>
      <c r="C6" s="371"/>
      <c r="D6" s="371"/>
      <c r="E6" s="371"/>
      <c r="F6" s="371"/>
      <c r="G6" s="371"/>
      <c r="H6" s="58"/>
      <c r="I6" s="58"/>
      <c r="J6" s="58"/>
      <c r="K6" s="58"/>
    </row>
    <row r="7" spans="1:11" x14ac:dyDescent="0.3">
      <c r="A7" s="58"/>
      <c r="B7" s="371"/>
      <c r="C7" s="371"/>
      <c r="D7" s="371"/>
      <c r="E7" s="371"/>
      <c r="F7" s="371"/>
      <c r="G7" s="371"/>
      <c r="H7" s="58"/>
      <c r="I7" s="58"/>
      <c r="J7" s="58"/>
      <c r="K7" s="58"/>
    </row>
    <row r="8" spans="1:11" x14ac:dyDescent="0.3">
      <c r="A8" s="58"/>
      <c r="B8" s="371"/>
      <c r="C8" s="371"/>
      <c r="D8" s="371"/>
      <c r="E8" s="371"/>
      <c r="F8" s="371"/>
      <c r="G8" s="371"/>
      <c r="H8" s="58"/>
      <c r="I8" s="58"/>
      <c r="J8" s="58"/>
      <c r="K8" s="58"/>
    </row>
    <row r="9" spans="1:11" ht="42" customHeight="1" x14ac:dyDescent="0.3">
      <c r="A9" s="58"/>
      <c r="B9" s="371"/>
      <c r="C9" s="371"/>
      <c r="D9" s="371"/>
      <c r="E9" s="371"/>
      <c r="F9" s="371"/>
      <c r="G9" s="371"/>
      <c r="H9" s="58"/>
      <c r="I9" s="58"/>
      <c r="J9" s="58"/>
      <c r="K9" s="58"/>
    </row>
    <row r="10" spans="1:11" x14ac:dyDescent="0.3">
      <c r="A10" s="58"/>
      <c r="B10" s="63"/>
      <c r="C10" s="58"/>
      <c r="D10" s="58"/>
      <c r="E10" s="58"/>
      <c r="F10" s="58"/>
      <c r="G10" s="58"/>
      <c r="H10" s="58"/>
      <c r="I10" s="58"/>
      <c r="J10" s="58"/>
      <c r="K10" s="58"/>
    </row>
    <row r="11" spans="1:11" ht="17.399999999999999" x14ac:dyDescent="0.3">
      <c r="A11" s="58"/>
      <c r="B11" s="66" t="s">
        <v>277</v>
      </c>
      <c r="C11" s="66"/>
      <c r="D11" s="67"/>
      <c r="E11" s="67"/>
      <c r="F11" s="67"/>
      <c r="G11" s="67"/>
      <c r="H11" s="58"/>
      <c r="I11" s="58"/>
      <c r="J11" s="58"/>
      <c r="K11" s="58"/>
    </row>
    <row r="12" spans="1:11" ht="17.399999999999999" x14ac:dyDescent="0.3">
      <c r="A12" s="58"/>
      <c r="B12" s="218" t="str">
        <f>'1- Ex Ante Results'!B19</f>
        <v>CY2024 Q1</v>
      </c>
      <c r="C12" s="68"/>
      <c r="D12" s="67"/>
      <c r="E12" s="67"/>
      <c r="F12" s="67"/>
      <c r="G12" s="67"/>
      <c r="H12" s="58"/>
      <c r="I12" s="58"/>
      <c r="J12" s="58"/>
      <c r="K12" s="58"/>
    </row>
    <row r="13" spans="1:11" s="10" customFormat="1" ht="41.4" x14ac:dyDescent="0.3">
      <c r="A13" s="63"/>
      <c r="B13" s="9" t="s">
        <v>116</v>
      </c>
      <c r="C13" s="3" t="s">
        <v>278</v>
      </c>
      <c r="D13" s="3" t="s">
        <v>279</v>
      </c>
      <c r="E13" s="3" t="s">
        <v>280</v>
      </c>
      <c r="F13" s="3" t="s">
        <v>281</v>
      </c>
      <c r="G13" s="3" t="s">
        <v>282</v>
      </c>
      <c r="H13" s="63"/>
      <c r="I13" s="63"/>
      <c r="J13" s="63"/>
      <c r="K13" s="63"/>
    </row>
    <row r="14" spans="1:11" x14ac:dyDescent="0.3">
      <c r="A14" s="58"/>
      <c r="B14" s="40" t="s">
        <v>131</v>
      </c>
      <c r="C14" s="46">
        <v>27356150.450000003</v>
      </c>
      <c r="D14" s="47">
        <v>6949809.1399999997</v>
      </c>
      <c r="E14" s="47">
        <f>C14+D14</f>
        <v>34305959.590000004</v>
      </c>
      <c r="F14" s="47">
        <v>0</v>
      </c>
      <c r="G14" s="47">
        <f>SUM(E14,F14)</f>
        <v>34305959.590000004</v>
      </c>
      <c r="H14" s="58"/>
      <c r="I14" s="58"/>
      <c r="J14" s="58"/>
      <c r="K14" s="58"/>
    </row>
    <row r="15" spans="1:11" s="10" customFormat="1" x14ac:dyDescent="0.3">
      <c r="A15" s="63"/>
      <c r="B15" s="40" t="s">
        <v>134</v>
      </c>
      <c r="C15" s="46">
        <v>52071860.044945925</v>
      </c>
      <c r="D15" s="47">
        <v>11471615</v>
      </c>
      <c r="E15" s="47">
        <f t="shared" ref="E15:E25" si="0">C15+D15</f>
        <v>63543475.044945925</v>
      </c>
      <c r="F15" s="47">
        <v>0</v>
      </c>
      <c r="G15" s="47">
        <f t="shared" ref="G15:G25" si="1">SUM(E15,F15)</f>
        <v>63543475.044945925</v>
      </c>
      <c r="H15" s="63"/>
      <c r="I15" s="63"/>
      <c r="J15" s="63"/>
      <c r="K15" s="63"/>
    </row>
    <row r="16" spans="1:11" x14ac:dyDescent="0.3">
      <c r="A16" s="58"/>
      <c r="B16" s="40" t="s">
        <v>137</v>
      </c>
      <c r="C16" s="46">
        <v>75691132.849999994</v>
      </c>
      <c r="D16" s="47">
        <v>28659010.5</v>
      </c>
      <c r="E16" s="47">
        <f t="shared" si="0"/>
        <v>104350143.34999999</v>
      </c>
      <c r="F16" s="47">
        <v>0</v>
      </c>
      <c r="G16" s="47">
        <f t="shared" si="1"/>
        <v>104350143.34999999</v>
      </c>
      <c r="H16" s="58"/>
      <c r="I16" s="58"/>
      <c r="J16" s="58"/>
      <c r="K16" s="58"/>
    </row>
    <row r="17" spans="1:11" x14ac:dyDescent="0.3">
      <c r="A17" s="58"/>
      <c r="B17" s="31" t="s">
        <v>147</v>
      </c>
      <c r="C17" s="117">
        <f>SUM(C14:C16)</f>
        <v>155119143.34494591</v>
      </c>
      <c r="D17" s="117">
        <f>SUM(D14:D16)</f>
        <v>47080434.640000001</v>
      </c>
      <c r="E17" s="117">
        <f t="shared" si="0"/>
        <v>202199577.98494589</v>
      </c>
      <c r="F17" s="117">
        <f>SUM(F14:F16)</f>
        <v>0</v>
      </c>
      <c r="G17" s="117">
        <f t="shared" si="1"/>
        <v>202199577.98494589</v>
      </c>
      <c r="H17" s="58"/>
      <c r="I17" s="58"/>
      <c r="J17" s="58"/>
      <c r="K17" s="58"/>
    </row>
    <row r="18" spans="1:11" x14ac:dyDescent="0.3">
      <c r="A18" s="58"/>
      <c r="B18" s="40" t="s">
        <v>148</v>
      </c>
      <c r="C18" s="46">
        <v>106315194.5</v>
      </c>
      <c r="D18" s="47">
        <v>35049987</v>
      </c>
      <c r="E18" s="47">
        <f t="shared" si="0"/>
        <v>141365181.5</v>
      </c>
      <c r="F18" s="47">
        <v>0</v>
      </c>
      <c r="G18" s="47">
        <f t="shared" si="1"/>
        <v>141365181.5</v>
      </c>
      <c r="H18" s="58"/>
      <c r="I18" s="58"/>
      <c r="J18" s="58"/>
      <c r="K18" s="58"/>
    </row>
    <row r="19" spans="1:11" x14ac:dyDescent="0.3">
      <c r="A19" s="58"/>
      <c r="B19" s="40" t="s">
        <v>149</v>
      </c>
      <c r="C19" s="46">
        <v>107354963.67</v>
      </c>
      <c r="D19" s="47">
        <v>33565649.329999998</v>
      </c>
      <c r="E19" s="47">
        <f t="shared" si="0"/>
        <v>140920613</v>
      </c>
      <c r="F19" s="47">
        <v>31329</v>
      </c>
      <c r="G19" s="47">
        <f t="shared" si="1"/>
        <v>140951942</v>
      </c>
      <c r="H19" s="58"/>
      <c r="I19" s="58"/>
      <c r="J19" s="58"/>
      <c r="K19" s="58"/>
    </row>
    <row r="20" spans="1:11" x14ac:dyDescent="0.3">
      <c r="A20" s="58"/>
      <c r="B20" s="40" t="s">
        <v>151</v>
      </c>
      <c r="C20" s="46">
        <v>124096016.16999999</v>
      </c>
      <c r="D20" s="47">
        <v>31563417</v>
      </c>
      <c r="E20" s="47">
        <f t="shared" si="0"/>
        <v>155659433.16999999</v>
      </c>
      <c r="F20" s="47">
        <v>29469183.289999999</v>
      </c>
      <c r="G20" s="118">
        <f t="shared" si="1"/>
        <v>185128616.45999998</v>
      </c>
      <c r="H20" s="58"/>
      <c r="I20" s="58"/>
      <c r="J20" s="58"/>
      <c r="K20" s="58"/>
    </row>
    <row r="21" spans="1:11" x14ac:dyDescent="0.3">
      <c r="A21" s="58"/>
      <c r="B21" s="31" t="s">
        <v>153</v>
      </c>
      <c r="C21" s="117">
        <f>SUM(C18:C20)</f>
        <v>337766174.34000003</v>
      </c>
      <c r="D21" s="117">
        <f>SUM(D18:D20)</f>
        <v>100179053.33</v>
      </c>
      <c r="E21" s="117">
        <f t="shared" si="0"/>
        <v>437945227.67000002</v>
      </c>
      <c r="F21" s="117">
        <f>SUM(F18:F20)</f>
        <v>29500512.289999999</v>
      </c>
      <c r="G21" s="119">
        <f t="shared" si="1"/>
        <v>467445739.96000004</v>
      </c>
      <c r="H21" s="58"/>
      <c r="I21" s="58"/>
      <c r="J21" s="58"/>
      <c r="K21" s="58"/>
    </row>
    <row r="22" spans="1:11" x14ac:dyDescent="0.3">
      <c r="A22" s="58"/>
      <c r="B22" s="40" t="s">
        <v>154</v>
      </c>
      <c r="C22" s="47">
        <v>128288585</v>
      </c>
      <c r="D22" s="47">
        <v>33728435</v>
      </c>
      <c r="E22" s="47">
        <f t="shared" si="0"/>
        <v>162017020</v>
      </c>
      <c r="F22" s="120">
        <v>39150326.559999995</v>
      </c>
      <c r="G22" s="47">
        <f t="shared" si="1"/>
        <v>201167346.56</v>
      </c>
      <c r="H22" s="58"/>
      <c r="I22" s="58"/>
      <c r="J22" s="58"/>
      <c r="K22" s="58"/>
    </row>
    <row r="23" spans="1:11" x14ac:dyDescent="0.3">
      <c r="A23" s="58"/>
      <c r="B23" s="40" t="s">
        <v>155</v>
      </c>
      <c r="C23" s="47">
        <v>108343594</v>
      </c>
      <c r="D23" s="47">
        <v>3670970</v>
      </c>
      <c r="E23" s="47">
        <f t="shared" si="0"/>
        <v>112014564</v>
      </c>
      <c r="F23" s="120">
        <v>87103873</v>
      </c>
      <c r="G23" s="47">
        <f t="shared" si="1"/>
        <v>199118437</v>
      </c>
      <c r="H23" s="58"/>
      <c r="I23" s="58"/>
      <c r="J23" s="58"/>
      <c r="K23" s="58"/>
    </row>
    <row r="24" spans="1:11" x14ac:dyDescent="0.3">
      <c r="A24" s="58"/>
      <c r="B24" s="40" t="s">
        <v>156</v>
      </c>
      <c r="C24" s="47">
        <v>222451927.53999999</v>
      </c>
      <c r="D24" s="47">
        <v>57854489</v>
      </c>
      <c r="E24" s="47">
        <f t="shared" si="0"/>
        <v>280306416.53999996</v>
      </c>
      <c r="F24" s="120">
        <v>159497825.46000001</v>
      </c>
      <c r="G24" s="118">
        <f t="shared" si="1"/>
        <v>439804242</v>
      </c>
      <c r="H24" s="58"/>
      <c r="I24" s="58"/>
      <c r="J24" s="58"/>
      <c r="K24" s="58"/>
    </row>
    <row r="25" spans="1:11" x14ac:dyDescent="0.3">
      <c r="A25" s="58"/>
      <c r="B25" s="31" t="s">
        <v>157</v>
      </c>
      <c r="C25" s="117">
        <f>SUM(C22:C24)</f>
        <v>459084106.53999996</v>
      </c>
      <c r="D25" s="117">
        <f>SUM(D22:D24)</f>
        <v>95253894</v>
      </c>
      <c r="E25" s="117">
        <f t="shared" si="0"/>
        <v>554338000.53999996</v>
      </c>
      <c r="F25" s="121">
        <f>SUM(F22:F24)</f>
        <v>285752025.01999998</v>
      </c>
      <c r="G25" s="117">
        <f t="shared" si="1"/>
        <v>840090025.55999994</v>
      </c>
      <c r="H25" s="58"/>
      <c r="I25" s="58"/>
      <c r="J25" s="58"/>
      <c r="K25" s="58"/>
    </row>
    <row r="26" spans="1:11" s="10" customFormat="1" ht="38.25" customHeight="1" x14ac:dyDescent="0.3">
      <c r="B26" s="9" t="s">
        <v>116</v>
      </c>
      <c r="C26" s="3" t="s">
        <v>283</v>
      </c>
      <c r="D26" s="3" t="s">
        <v>284</v>
      </c>
      <c r="E26" s="16" t="s">
        <v>13</v>
      </c>
      <c r="F26" s="69"/>
      <c r="G26" s="70"/>
      <c r="H26" s="63"/>
      <c r="I26" s="63"/>
      <c r="J26" s="63"/>
      <c r="K26" s="63"/>
    </row>
    <row r="27" spans="1:11" x14ac:dyDescent="0.3">
      <c r="A27" s="373" t="s">
        <v>158</v>
      </c>
      <c r="B27" s="27">
        <v>2018</v>
      </c>
      <c r="C27" s="122">
        <v>352988359</v>
      </c>
      <c r="D27" s="123">
        <v>351334190</v>
      </c>
      <c r="E27" s="124">
        <f>C27/D27</f>
        <v>1.0047082494305493</v>
      </c>
      <c r="F27" s="71"/>
      <c r="G27" s="72"/>
      <c r="H27" s="58"/>
      <c r="I27" s="58"/>
      <c r="J27" s="58"/>
      <c r="K27" s="58"/>
    </row>
    <row r="28" spans="1:11" x14ac:dyDescent="0.3">
      <c r="A28" s="374"/>
      <c r="B28" s="27">
        <v>2019</v>
      </c>
      <c r="C28" s="122">
        <v>351381796</v>
      </c>
      <c r="D28" s="123">
        <v>351334190</v>
      </c>
      <c r="E28" s="124">
        <f>IF(C28=0,"N/A",C28/D28)</f>
        <v>1.0001355006183714</v>
      </c>
      <c r="F28" s="71"/>
      <c r="G28" s="72"/>
      <c r="H28" s="58"/>
      <c r="I28" s="58"/>
      <c r="J28" s="58"/>
      <c r="K28" s="58"/>
    </row>
    <row r="29" spans="1:11" x14ac:dyDescent="0.3">
      <c r="A29" s="374"/>
      <c r="B29" s="27">
        <v>2020</v>
      </c>
      <c r="C29" s="122">
        <v>346480330</v>
      </c>
      <c r="D29" s="123">
        <v>351334190</v>
      </c>
      <c r="E29" s="124">
        <f>IF(C29=0,"N/A",C29/D29)</f>
        <v>0.98618449288980381</v>
      </c>
      <c r="F29" s="71"/>
      <c r="G29" s="72"/>
      <c r="H29" s="58"/>
      <c r="I29" s="58"/>
      <c r="J29" s="58"/>
      <c r="K29" s="58"/>
    </row>
    <row r="30" spans="1:11" x14ac:dyDescent="0.3">
      <c r="A30" s="374"/>
      <c r="B30" s="27">
        <v>2021</v>
      </c>
      <c r="C30" s="122">
        <v>351037751.65463001</v>
      </c>
      <c r="D30" s="123">
        <v>351334190</v>
      </c>
      <c r="E30" s="124">
        <f>IF(C30=0,"N/A",C30/D30)</f>
        <v>0.99915624965116545</v>
      </c>
      <c r="F30" s="71"/>
      <c r="G30" s="72"/>
      <c r="H30" s="58"/>
      <c r="I30" s="58"/>
      <c r="J30" s="58"/>
      <c r="K30" s="58"/>
    </row>
    <row r="31" spans="1:11" x14ac:dyDescent="0.3">
      <c r="A31" s="375"/>
      <c r="B31" s="31" t="s">
        <v>159</v>
      </c>
      <c r="C31" s="125">
        <f>SUM(C27:C30)</f>
        <v>1401888236.6546299</v>
      </c>
      <c r="D31" s="125">
        <f>SUM(D27:D30)</f>
        <v>1405336760</v>
      </c>
      <c r="E31" s="126">
        <f>IF(C31=0,"N/A",C31/D31)</f>
        <v>0.99754612314747249</v>
      </c>
      <c r="F31" s="71"/>
      <c r="G31" s="72"/>
      <c r="H31" s="58"/>
      <c r="I31" s="58"/>
      <c r="J31" s="58"/>
      <c r="K31" s="58"/>
    </row>
    <row r="32" spans="1:11" x14ac:dyDescent="0.3">
      <c r="A32" s="373" t="s">
        <v>160</v>
      </c>
      <c r="B32" s="27">
        <v>2022</v>
      </c>
      <c r="C32" s="122">
        <v>399377042</v>
      </c>
      <c r="D32" s="123">
        <v>427470991</v>
      </c>
      <c r="E32" s="124">
        <f>C32/D32</f>
        <v>0.93427870056333251</v>
      </c>
      <c r="F32" s="72"/>
      <c r="G32" s="72"/>
      <c r="H32" s="58"/>
      <c r="I32" s="58"/>
      <c r="J32" s="58"/>
      <c r="K32" s="58"/>
    </row>
    <row r="33" spans="1:11" x14ac:dyDescent="0.3">
      <c r="A33" s="374"/>
      <c r="B33" s="27">
        <v>2023</v>
      </c>
      <c r="C33" s="122">
        <v>415623217.35973656</v>
      </c>
      <c r="D33" s="123">
        <v>439746496.2964471</v>
      </c>
      <c r="E33" s="124">
        <f>IF(C33=0,"N/A",C33/D33)</f>
        <v>0.94514276034061162</v>
      </c>
      <c r="F33" s="58"/>
      <c r="G33" s="58"/>
      <c r="H33" s="58"/>
      <c r="I33" s="58"/>
      <c r="J33" s="58"/>
      <c r="K33" s="58"/>
    </row>
    <row r="34" spans="1:11" x14ac:dyDescent="0.3">
      <c r="A34" s="374"/>
      <c r="B34" s="27">
        <v>2024</v>
      </c>
      <c r="C34" s="122">
        <f>'2- Costs'!$C$31</f>
        <v>80006648.349999994</v>
      </c>
      <c r="D34" s="123">
        <f>'2- Costs'!$D$31</f>
        <v>437772939</v>
      </c>
      <c r="E34" s="124">
        <f>IF(C34=0,"N/A",C34/D34)</f>
        <v>0.18275832337366105</v>
      </c>
      <c r="F34" s="58"/>
      <c r="G34" s="58"/>
      <c r="H34" s="58"/>
      <c r="I34" s="58"/>
      <c r="J34" s="58"/>
      <c r="K34" s="58"/>
    </row>
    <row r="35" spans="1:11" x14ac:dyDescent="0.3">
      <c r="A35" s="374"/>
      <c r="B35" s="27">
        <v>2025</v>
      </c>
      <c r="C35" s="122">
        <v>0</v>
      </c>
      <c r="D35" s="123">
        <v>423304298.49758613</v>
      </c>
      <c r="E35" s="124" t="str">
        <f>IF(C35=0,"N/A",C35/D35)</f>
        <v>N/A</v>
      </c>
      <c r="F35" s="58"/>
      <c r="G35" s="58"/>
      <c r="H35" s="58"/>
      <c r="I35" s="58"/>
      <c r="J35" s="58"/>
      <c r="K35" s="58"/>
    </row>
    <row r="36" spans="1:11" x14ac:dyDescent="0.3">
      <c r="A36" s="375"/>
      <c r="B36" s="31" t="s">
        <v>163</v>
      </c>
      <c r="C36" s="125">
        <f>SUM(C32:C35)</f>
        <v>895006907.70973659</v>
      </c>
      <c r="D36" s="125">
        <f>SUM(D32:D35)</f>
        <v>1728294724.7940331</v>
      </c>
      <c r="E36" s="126">
        <f>IF(C36=0,"N/A",C36/D36)</f>
        <v>0.51785548776491097</v>
      </c>
      <c r="F36" s="58"/>
      <c r="G36" s="58"/>
      <c r="H36" s="58"/>
      <c r="I36" s="58"/>
      <c r="J36" s="58"/>
      <c r="K36" s="58"/>
    </row>
    <row r="37" spans="1:11" x14ac:dyDescent="0.3">
      <c r="A37" s="63"/>
      <c r="B37" s="63"/>
      <c r="C37" s="58"/>
      <c r="D37" s="58"/>
      <c r="E37" s="58"/>
      <c r="F37" s="58"/>
      <c r="G37" s="58"/>
      <c r="H37" s="58"/>
      <c r="I37" s="58"/>
      <c r="J37" s="58"/>
      <c r="K37" s="58"/>
    </row>
    <row r="38" spans="1:11" x14ac:dyDescent="0.3">
      <c r="A38" s="58"/>
      <c r="B38" s="63"/>
      <c r="C38" s="58"/>
      <c r="D38" s="58"/>
      <c r="E38" s="58"/>
      <c r="F38" s="58"/>
      <c r="G38" s="58"/>
      <c r="H38" s="58"/>
      <c r="I38" s="58"/>
      <c r="J38" s="58"/>
      <c r="K38" s="58"/>
    </row>
    <row r="39" spans="1:11" x14ac:dyDescent="0.3">
      <c r="A39" s="58"/>
      <c r="B39" s="63"/>
      <c r="C39" s="58"/>
      <c r="D39" s="58"/>
      <c r="E39" s="58"/>
      <c r="F39" s="58"/>
      <c r="G39" s="58"/>
      <c r="H39" s="58"/>
      <c r="I39" s="58"/>
      <c r="J39" s="58"/>
      <c r="K39" s="58"/>
    </row>
    <row r="40" spans="1:11" x14ac:dyDescent="0.3">
      <c r="A40" s="58"/>
      <c r="B40" s="63"/>
      <c r="C40" s="58"/>
      <c r="D40" s="58"/>
      <c r="E40" s="58"/>
      <c r="F40" s="58"/>
      <c r="G40" s="58"/>
      <c r="H40" s="58"/>
      <c r="I40" s="58"/>
      <c r="J40" s="58"/>
      <c r="K40" s="58"/>
    </row>
    <row r="41" spans="1:11" x14ac:dyDescent="0.3">
      <c r="A41" s="58"/>
      <c r="B41" s="63"/>
      <c r="C41" s="58"/>
      <c r="D41" s="58"/>
      <c r="E41" s="58"/>
      <c r="F41" s="58"/>
      <c r="G41" s="58"/>
      <c r="H41" s="58"/>
      <c r="I41" s="58"/>
      <c r="J41" s="58"/>
      <c r="K41" s="58"/>
    </row>
    <row r="42" spans="1:11" x14ac:dyDescent="0.3">
      <c r="A42" s="58"/>
      <c r="B42" s="63"/>
      <c r="C42" s="58"/>
      <c r="D42" s="58"/>
      <c r="E42" s="58"/>
      <c r="F42" s="58"/>
      <c r="G42" s="58"/>
      <c r="H42" s="58"/>
      <c r="I42" s="58"/>
      <c r="J42" s="58"/>
      <c r="K42" s="58"/>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6036ecd-8164-441f-a01a-9502deb9fecc">
      <UserInfo>
        <DisplayName>Borggren, Erica J:(Exelon)</DisplayName>
        <AccountId>84</AccountId>
        <AccountType/>
      </UserInfo>
      <UserInfo>
        <DisplayName>Vogt, Scott:(ComEd)</DisplayName>
        <AccountId>262</AccountId>
        <AccountType/>
      </UserInfo>
    </SharedWithUsers>
    <Note xmlns="34179d51-dc0c-413e-aa1e-3fce419c532c" xsi:nil="true"/>
    <SubmissionDeadline xmlns="34179d51-dc0c-413e-aa1e-3fce419c532c" xsi:nil="true"/>
    <GroupBy xmlns="34179d51-dc0c-413e-aa1e-3fce419c53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14" ma:contentTypeDescription="Create a new document." ma:contentTypeScope="" ma:versionID="e1409b309f0e72c7370bea2d232ee587">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25a67ee73ca2392e58fafd65512d8f2e"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SubmissionDeadline" minOccurs="0"/>
                <xsd:element ref="ns2:MediaServiceObjectDetectorVersions" minOccurs="0"/>
                <xsd:element ref="ns2:Note" minOccurs="0"/>
                <xsd:element ref="ns2:GroupBy" minOccurs="0"/>
                <xsd:element ref="ns2:MediaServiceSearchPropertie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ubmissionDeadline" ma:index="14" nillable="true" ma:displayName="Submission Deadline" ma:description="ICC Filing deadline" ma:format="DateOnly" ma:internalName="SubmissionDeadline">
      <xsd:simpleType>
        <xsd:restriction base="dms:DateTim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Note" ma:index="16" nillable="true" ma:displayName="Note" ma:format="Dropdown" ma:internalName="Note">
      <xsd:simpleType>
        <xsd:restriction base="dms:Text">
          <xsd:maxLength value="255"/>
        </xsd:restriction>
      </xsd:simpleType>
    </xsd:element>
    <xsd:element name="GroupBy" ma:index="17" nillable="true" ma:displayName="Group By" ma:format="Dropdown" ma:internalName="GroupBy">
      <xsd:simpleType>
        <xsd:restriction base="dms:Text">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65358-A200-4181-99F2-5390B7D0CBB5}">
  <ds:schemaRefs>
    <ds:schemaRef ds:uri="http://purl.org/dc/terms/"/>
    <ds:schemaRef ds:uri="http://purl.org/dc/elements/1.1/"/>
    <ds:schemaRef ds:uri="http://schemas.microsoft.com/office/infopath/2007/PartnerControls"/>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2006/documentManagement/types"/>
    <ds:schemaRef ds:uri="36036ecd-8164-441f-a01a-9502deb9fecc"/>
    <ds:schemaRef ds:uri="34179d51-dc0c-413e-aa1e-3fce419c532c"/>
  </ds:schemaRefs>
</ds:datastoreItem>
</file>

<file path=customXml/itemProps2.xml><?xml version="1.0" encoding="utf-8"?>
<ds:datastoreItem xmlns:ds="http://schemas.openxmlformats.org/officeDocument/2006/customXml" ds:itemID="{F529F8FE-F440-4691-AC28-F26C094DC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Ex Ante Results</vt:lpstr>
      <vt:lpstr>LE Mapping</vt:lpstr>
      <vt:lpstr>2- Costs</vt:lpstr>
      <vt:lpstr>3- Energy</vt:lpstr>
      <vt:lpstr>4- Other</vt:lpstr>
      <vt:lpstr>5- CPAS</vt:lpstr>
      <vt:lpstr>6- Historical Costs</vt:lpstr>
      <vt:lpstr>'1- Ex Ante Results'!Print_Area</vt:lpstr>
      <vt:lpstr>'6- Historical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Lee, Abbey Rose:(ComEd)</cp:lastModifiedBy>
  <cp:revision/>
  <dcterms:created xsi:type="dcterms:W3CDTF">2020-03-11T14:31:19Z</dcterms:created>
  <dcterms:modified xsi:type="dcterms:W3CDTF">2024-05-13T19:37:51Z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0x01010068D7298ED617D146A3AF46250AE2AF4E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c968b3d1-e05f-4796-9c23-acaf26d588cb_Enabled">
    <vt:lpwstr>true</vt:lpwstr>
  </property>
  <property fmtid="{D5CDD505-2E9C-101B-9397-08002B2CF9AE}" pid="6" name="MSIP_Label_c968b3d1-e05f-4796-9c23-acaf26d588cb_SetDate">
    <vt:lpwstr>2022-01-28T15:50:21Z</vt:lpwstr>
  </property>
  <property fmtid="{D5CDD505-2E9C-101B-9397-08002B2CF9AE}" pid="7" name="MSIP_Label_c968b3d1-e05f-4796-9c23-acaf26d588cb_Method">
    <vt:lpwstr>Standard</vt:lpwstr>
  </property>
  <property fmtid="{D5CDD505-2E9C-101B-9397-08002B2CF9AE}" pid="8" name="MSIP_Label_c968b3d1-e05f-4796-9c23-acaf26d588cb_Name">
    <vt:lpwstr>Company Confidential Information</vt:lpwstr>
  </property>
  <property fmtid="{D5CDD505-2E9C-101B-9397-08002B2CF9AE}" pid="9" name="MSIP_Label_c968b3d1-e05f-4796-9c23-acaf26d588cb_SiteId">
    <vt:lpwstr>600d01fc-055f-49c6-868f-3ecfcc791773</vt:lpwstr>
  </property>
  <property fmtid="{D5CDD505-2E9C-101B-9397-08002B2CF9AE}" pid="10" name="MSIP_Label_c968b3d1-e05f-4796-9c23-acaf26d588cb_ActionId">
    <vt:lpwstr>2c1ec06e-b615-464f-be7b-4ddee875247d</vt:lpwstr>
  </property>
  <property fmtid="{D5CDD505-2E9C-101B-9397-08002B2CF9AE}" pid="11" name="MSIP_Label_c968b3d1-e05f-4796-9c23-acaf26d588cb_ContentBits">
    <vt:lpwstr>0</vt:lpwstr>
  </property>
  <property fmtid="{D5CDD505-2E9C-101B-9397-08002B2CF9AE}" pid="12" name="Order">
    <vt:r8>7700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