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3/"/>
    </mc:Choice>
  </mc:AlternateContent>
  <xr:revisionPtr revIDLastSave="0" documentId="8_{EE4DDAA7-839F-47E9-BE68-94A120F949E3}" xr6:coauthVersionLast="47" xr6:coauthVersionMax="47" xr10:uidLastSave="{00000000-0000-0000-0000-000000000000}"/>
  <bookViews>
    <workbookView xWindow="28680" yWindow="-120" windowWidth="29040" windowHeight="15720" activeTab="5" xr2:uid="{7D229D66-900C-4347-B141-1069A3B0C045}"/>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Results'!$B$20:$M$116</definedName>
    <definedName name="_xlnm._FilterDatabase" localSheetId="2" hidden="1">'3- Energy'!$E$31:$E$32</definedName>
    <definedName name="_xlnm.Print_Area" localSheetId="0">'1- Ex Ante Results'!$A$1:$M$125</definedName>
    <definedName name="_xlnm.Print_Area" localSheetId="5">'6- Historical Costs'!$A$1:$G$31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9" l="1"/>
  <c r="M85" i="9" l="1"/>
  <c r="M88" i="9"/>
  <c r="M89" i="9"/>
  <c r="M90" i="9"/>
  <c r="M91" i="9"/>
  <c r="M92" i="9"/>
  <c r="M93" i="9"/>
  <c r="G114" i="9"/>
  <c r="L104" i="9" l="1"/>
  <c r="L109" i="9"/>
  <c r="L99" i="9"/>
  <c r="L88" i="9"/>
  <c r="L68" i="9"/>
  <c r="L53" i="9"/>
  <c r="C22" i="2" l="1"/>
  <c r="C23" i="2"/>
  <c r="H109" i="9"/>
  <c r="H99" i="9"/>
  <c r="H104" i="9"/>
  <c r="H88" i="9"/>
  <c r="H68" i="9"/>
  <c r="H53" i="9"/>
  <c r="F104" i="9" l="1"/>
  <c r="F79" i="9" s="1"/>
  <c r="F102" i="9"/>
  <c r="F99" i="9"/>
  <c r="F97" i="9"/>
  <c r="F95" i="9"/>
  <c r="E55" i="9"/>
  <c r="E37" i="9"/>
  <c r="F34" i="9"/>
  <c r="F33" i="9"/>
  <c r="F32" i="9"/>
  <c r="F31" i="9"/>
  <c r="F30" i="9"/>
  <c r="D34" i="9"/>
  <c r="D32" i="9"/>
  <c r="D31" i="9"/>
  <c r="C102" i="9"/>
  <c r="C75" i="9" s="1"/>
  <c r="C78" i="9"/>
  <c r="C77" i="9"/>
  <c r="C76" i="9"/>
  <c r="C71" i="9"/>
  <c r="C57" i="9"/>
  <c r="C69" i="9" s="1"/>
  <c r="C39" i="9"/>
  <c r="C55" i="9" s="1"/>
  <c r="C34" i="9"/>
  <c r="C33" i="9"/>
  <c r="C32" i="9"/>
  <c r="C31" i="9"/>
  <c r="C30" i="9"/>
  <c r="C29" i="9"/>
  <c r="C28" i="9"/>
  <c r="C27" i="9"/>
  <c r="C26" i="9"/>
  <c r="C25" i="9"/>
  <c r="C24" i="9"/>
  <c r="C23" i="9"/>
  <c r="G43" i="9"/>
  <c r="E43" i="9"/>
  <c r="C104" i="9"/>
  <c r="C79" i="9" s="1"/>
  <c r="C22" i="9" l="1"/>
  <c r="C99" i="9" l="1"/>
  <c r="C73" i="9" s="1"/>
  <c r="C97" i="9"/>
  <c r="F88" i="9"/>
  <c r="C88" i="9"/>
  <c r="C74" i="9" s="1"/>
  <c r="C72" i="9" l="1"/>
  <c r="C107" i="9"/>
  <c r="I93" i="9" l="1"/>
  <c r="J93" i="9" s="1"/>
  <c r="D79" i="9" l="1"/>
  <c r="C95" i="9"/>
  <c r="C112" i="9"/>
  <c r="E114" i="9"/>
  <c r="E93" i="9"/>
  <c r="B10" i="2" l="1"/>
  <c r="G35" i="9" l="1"/>
  <c r="G36" i="9"/>
  <c r="I34" i="9"/>
  <c r="H34" i="9"/>
  <c r="J34" i="9"/>
  <c r="H33" i="9"/>
  <c r="G34" i="9"/>
  <c r="M50" i="9"/>
  <c r="M49" i="9"/>
  <c r="M48" i="9"/>
  <c r="M47" i="9"/>
  <c r="M46" i="9"/>
  <c r="M45" i="9"/>
  <c r="M44" i="9"/>
  <c r="M42" i="9"/>
  <c r="M41" i="9"/>
  <c r="M40" i="9"/>
  <c r="M54" i="9"/>
  <c r="M53" i="9"/>
  <c r="M52" i="9"/>
  <c r="M51" i="9"/>
  <c r="M63" i="9"/>
  <c r="M62" i="9"/>
  <c r="M61" i="9"/>
  <c r="M60" i="9"/>
  <c r="M59" i="9"/>
  <c r="M58" i="9"/>
  <c r="M64" i="9"/>
  <c r="M65" i="9"/>
  <c r="M66" i="9"/>
  <c r="M67" i="9"/>
  <c r="M68" i="9"/>
  <c r="M102" i="9"/>
  <c r="M103" i="9"/>
  <c r="M105" i="9"/>
  <c r="M106" i="9"/>
  <c r="M94" i="9"/>
  <c r="H107" i="9"/>
  <c r="K88" i="9"/>
  <c r="K109" i="9"/>
  <c r="K112" i="9" s="1"/>
  <c r="M104" i="9"/>
  <c r="K104" i="9"/>
  <c r="K99" i="9"/>
  <c r="K107" i="9" s="1"/>
  <c r="L107" i="9"/>
  <c r="I94" i="9"/>
  <c r="J94" i="9" s="1"/>
  <c r="K95" i="9"/>
  <c r="M34" i="9" l="1"/>
  <c r="L95" i="9" l="1"/>
  <c r="H95" i="9"/>
  <c r="D88" i="9"/>
  <c r="D95" i="9" s="1"/>
  <c r="D29" i="9"/>
  <c r="D112" i="9"/>
  <c r="D107" i="9"/>
  <c r="I104" i="9" l="1"/>
  <c r="I105" i="9"/>
  <c r="J105" i="9" s="1"/>
  <c r="G104" i="9"/>
  <c r="G105" i="9"/>
  <c r="E104" i="9"/>
  <c r="E105" i="9"/>
  <c r="E106" i="9"/>
  <c r="G94" i="9"/>
  <c r="G62" i="9"/>
  <c r="G46" i="9"/>
  <c r="E62" i="9"/>
  <c r="E46" i="9"/>
  <c r="E94" i="9"/>
  <c r="E34" i="9" l="1"/>
  <c r="E79" i="9"/>
  <c r="J104" i="9"/>
  <c r="G79" i="9"/>
  <c r="G40" i="9"/>
  <c r="F32" i="3"/>
  <c r="D33" i="8"/>
  <c r="Q14" i="4"/>
  <c r="Q13" i="4"/>
  <c r="Q15" i="4"/>
  <c r="Q16" i="4"/>
  <c r="L33" i="9" l="1"/>
  <c r="M33" i="9" s="1"/>
  <c r="K33" i="9"/>
  <c r="I33" i="9"/>
  <c r="D33" i="9"/>
  <c r="E33" i="9" s="1"/>
  <c r="F29" i="9"/>
  <c r="G29" i="9" s="1"/>
  <c r="F28" i="9"/>
  <c r="F27" i="9"/>
  <c r="F26" i="9"/>
  <c r="F25" i="9"/>
  <c r="F24" i="9"/>
  <c r="F23" i="9"/>
  <c r="E67" i="9"/>
  <c r="G67" i="9"/>
  <c r="J67" i="9"/>
  <c r="E52" i="9"/>
  <c r="G52" i="9"/>
  <c r="J52" i="9"/>
  <c r="E115" i="9"/>
  <c r="F107" i="9"/>
  <c r="G33" i="9" l="1"/>
  <c r="J33" i="9"/>
  <c r="D78" i="9"/>
  <c r="D77" i="9"/>
  <c r="D76" i="9"/>
  <c r="D75" i="9"/>
  <c r="D74" i="9"/>
  <c r="D81" i="9" s="1"/>
  <c r="D72" i="9"/>
  <c r="D71" i="9"/>
  <c r="D73" i="9"/>
  <c r="D80" i="9"/>
  <c r="G84" i="9" l="1"/>
  <c r="L79" i="9"/>
  <c r="K80" i="9"/>
  <c r="K79" i="9"/>
  <c r="L80" i="9"/>
  <c r="H80" i="9"/>
  <c r="H57" i="9"/>
  <c r="H39" i="9"/>
  <c r="H112" i="9"/>
  <c r="M80" i="9" l="1"/>
  <c r="H69" i="9"/>
  <c r="H55" i="9"/>
  <c r="C13" i="2" s="1"/>
  <c r="I92" i="9"/>
  <c r="J92" i="9" s="1"/>
  <c r="E92" i="9"/>
  <c r="F92" i="9" s="1"/>
  <c r="B12" i="8" l="1"/>
  <c r="B15" i="7"/>
  <c r="B14" i="7"/>
  <c r="B10" i="4"/>
  <c r="B30" i="2"/>
  <c r="B12" i="3"/>
  <c r="G92" i="9" l="1"/>
  <c r="G51" i="9"/>
  <c r="G110" i="9"/>
  <c r="G115" i="9" l="1"/>
  <c r="G113" i="9"/>
  <c r="G111" i="9"/>
  <c r="G109" i="9"/>
  <c r="G106" i="9"/>
  <c r="G103" i="9"/>
  <c r="G102" i="9"/>
  <c r="G101" i="9"/>
  <c r="G100" i="9"/>
  <c r="G99" i="9"/>
  <c r="G98" i="9"/>
  <c r="G91" i="9"/>
  <c r="G90" i="9"/>
  <c r="G89" i="9"/>
  <c r="G88" i="9"/>
  <c r="G85" i="9"/>
  <c r="G83" i="9"/>
  <c r="G68" i="9"/>
  <c r="G66" i="9"/>
  <c r="G65" i="9"/>
  <c r="G64" i="9"/>
  <c r="G63" i="9"/>
  <c r="G61" i="9"/>
  <c r="G60" i="9"/>
  <c r="G59" i="9"/>
  <c r="G58" i="9"/>
  <c r="G54" i="9"/>
  <c r="G53" i="9"/>
  <c r="G50" i="9"/>
  <c r="G49" i="9"/>
  <c r="G48" i="9"/>
  <c r="G47" i="9"/>
  <c r="G45" i="9"/>
  <c r="G44" i="9"/>
  <c r="G42" i="9"/>
  <c r="G41" i="9"/>
  <c r="G97" i="9"/>
  <c r="I106" i="9"/>
  <c r="J106" i="9" l="1"/>
  <c r="I103" i="9" l="1"/>
  <c r="I102" i="9"/>
  <c r="I101" i="9"/>
  <c r="I100" i="9"/>
  <c r="I99" i="9"/>
  <c r="I98" i="9"/>
  <c r="I97" i="9"/>
  <c r="I91" i="9"/>
  <c r="I78" i="9" s="1"/>
  <c r="I90" i="9"/>
  <c r="I89" i="9"/>
  <c r="I88" i="9"/>
  <c r="I85" i="9"/>
  <c r="I84" i="9"/>
  <c r="I83" i="9"/>
  <c r="I65" i="9"/>
  <c r="I63" i="9"/>
  <c r="I61" i="9"/>
  <c r="I60" i="9"/>
  <c r="I59" i="9"/>
  <c r="I58" i="9"/>
  <c r="I50" i="9"/>
  <c r="I48" i="9"/>
  <c r="I47" i="9"/>
  <c r="I45" i="9"/>
  <c r="I44" i="9"/>
  <c r="I41" i="9"/>
  <c r="I40" i="9"/>
  <c r="I25" i="9"/>
  <c r="I107" i="9" l="1"/>
  <c r="I95" i="9"/>
  <c r="I80" i="9" s="1"/>
  <c r="I76" i="9"/>
  <c r="I27" i="9"/>
  <c r="I26" i="9"/>
  <c r="I75" i="9"/>
  <c r="I23" i="9"/>
  <c r="I74" i="9"/>
  <c r="I24" i="9"/>
  <c r="D21" i="3" l="1"/>
  <c r="E113" i="9" l="1"/>
  <c r="E110" i="9"/>
  <c r="E109" i="9"/>
  <c r="E50" i="9"/>
  <c r="E51" i="9"/>
  <c r="E53" i="9"/>
  <c r="E54" i="9"/>
  <c r="E112" i="9" l="1"/>
  <c r="F112" i="9" s="1"/>
  <c r="E18" i="7" l="1"/>
  <c r="P12" i="4" l="1"/>
  <c r="I36" i="9"/>
  <c r="F34" i="3"/>
  <c r="F33" i="3"/>
  <c r="F31" i="3"/>
  <c r="F35" i="3" s="1"/>
  <c r="C21" i="2"/>
  <c r="C26" i="2" s="1"/>
  <c r="L36" i="9" l="1"/>
  <c r="H36" i="9"/>
  <c r="K36" i="9"/>
  <c r="L112" i="9"/>
  <c r="I112" i="9"/>
  <c r="M111" i="9"/>
  <c r="M36" i="9" l="1"/>
  <c r="D23" i="9"/>
  <c r="L71" i="9" l="1"/>
  <c r="L72" i="9"/>
  <c r="L74" i="9"/>
  <c r="L75" i="9"/>
  <c r="L76" i="9"/>
  <c r="L78" i="9"/>
  <c r="K71" i="9"/>
  <c r="K72" i="9"/>
  <c r="K74" i="9"/>
  <c r="K75" i="9"/>
  <c r="K76" i="9"/>
  <c r="K78" i="9"/>
  <c r="E90" i="9"/>
  <c r="I71" i="9"/>
  <c r="H78" i="9"/>
  <c r="H76" i="9"/>
  <c r="H75" i="9"/>
  <c r="H74" i="9"/>
  <c r="H72" i="9"/>
  <c r="H71" i="9"/>
  <c r="K23" i="9"/>
  <c r="K24" i="9"/>
  <c r="K25" i="9"/>
  <c r="D24" i="9"/>
  <c r="M74" i="9" l="1"/>
  <c r="M75" i="9"/>
  <c r="M78" i="9"/>
  <c r="M76" i="9"/>
  <c r="M72" i="9"/>
  <c r="F74" i="9" l="1"/>
  <c r="F78" i="9"/>
  <c r="F76" i="9"/>
  <c r="G76" i="9" s="1"/>
  <c r="F75" i="9"/>
  <c r="F72" i="9"/>
  <c r="F71" i="9"/>
  <c r="E78" i="9"/>
  <c r="E76" i="9"/>
  <c r="E75" i="9"/>
  <c r="E72" i="9"/>
  <c r="L25" i="9"/>
  <c r="H25" i="9"/>
  <c r="G25" i="9"/>
  <c r="G24" i="9"/>
  <c r="D25" i="9"/>
  <c r="E25" i="9" s="1"/>
  <c r="L29" i="9"/>
  <c r="K29" i="9"/>
  <c r="H29" i="9"/>
  <c r="E83" i="9"/>
  <c r="J83" i="9"/>
  <c r="M101" i="9"/>
  <c r="J101" i="9"/>
  <c r="E101" i="9"/>
  <c r="M100" i="9"/>
  <c r="J100" i="9"/>
  <c r="E100" i="9"/>
  <c r="M98" i="9"/>
  <c r="J98" i="9"/>
  <c r="E98" i="9"/>
  <c r="M25" i="9" l="1"/>
  <c r="G72" i="9"/>
  <c r="G75" i="9"/>
  <c r="G71" i="9"/>
  <c r="G78" i="9"/>
  <c r="M29" i="9"/>
  <c r="G74" i="9"/>
  <c r="J71" i="9"/>
  <c r="E74" i="9"/>
  <c r="E71" i="9"/>
  <c r="M83" i="9"/>
  <c r="G112" i="9" l="1"/>
  <c r="M109" i="9"/>
  <c r="J109" i="9"/>
  <c r="J102" i="9"/>
  <c r="E102" i="9"/>
  <c r="M99" i="9"/>
  <c r="E99" i="9"/>
  <c r="M97" i="9"/>
  <c r="I72" i="9"/>
  <c r="E97" i="9"/>
  <c r="E103" i="9"/>
  <c r="E91" i="9"/>
  <c r="E85" i="9"/>
  <c r="M84" i="9"/>
  <c r="E84" i="9"/>
  <c r="E88" i="9"/>
  <c r="E89" i="9"/>
  <c r="J68" i="9"/>
  <c r="E68" i="9"/>
  <c r="J66" i="9"/>
  <c r="E66" i="9"/>
  <c r="J64" i="9"/>
  <c r="E64" i="9"/>
  <c r="J63" i="9"/>
  <c r="E63" i="9"/>
  <c r="E65" i="9"/>
  <c r="J61" i="9"/>
  <c r="E61" i="9"/>
  <c r="J60" i="9"/>
  <c r="E60" i="9"/>
  <c r="J59" i="9"/>
  <c r="E59" i="9"/>
  <c r="E58" i="9"/>
  <c r="J53" i="9"/>
  <c r="J51" i="9"/>
  <c r="J42" i="9"/>
  <c r="E42" i="9"/>
  <c r="J49" i="9"/>
  <c r="E49" i="9"/>
  <c r="J48" i="9"/>
  <c r="E48" i="9"/>
  <c r="I29" i="9"/>
  <c r="E47" i="9"/>
  <c r="J50" i="9"/>
  <c r="J45" i="9"/>
  <c r="E45" i="9"/>
  <c r="E44" i="9"/>
  <c r="J41" i="9"/>
  <c r="E41" i="9"/>
  <c r="E40" i="9"/>
  <c r="E36" i="9"/>
  <c r="E35" i="9"/>
  <c r="L31" i="9"/>
  <c r="K31" i="9"/>
  <c r="I31" i="9"/>
  <c r="H31" i="9"/>
  <c r="L30" i="9"/>
  <c r="L73" i="9" s="1"/>
  <c r="K30" i="9"/>
  <c r="K73" i="9" s="1"/>
  <c r="H30" i="9"/>
  <c r="D30" i="9"/>
  <c r="K28" i="9"/>
  <c r="H28" i="9"/>
  <c r="L27" i="9"/>
  <c r="K27" i="9"/>
  <c r="H27" i="9"/>
  <c r="M27" i="9" s="1"/>
  <c r="G27" i="9"/>
  <c r="D27" i="9"/>
  <c r="E27" i="9" s="1"/>
  <c r="L26" i="9"/>
  <c r="K26" i="9"/>
  <c r="H26" i="9"/>
  <c r="G26" i="9"/>
  <c r="D26" i="9"/>
  <c r="L24" i="9"/>
  <c r="H24" i="9"/>
  <c r="E24" i="9"/>
  <c r="L23" i="9"/>
  <c r="H23" i="9"/>
  <c r="G23" i="9"/>
  <c r="E23" i="9"/>
  <c r="M31" i="9" l="1"/>
  <c r="M26" i="9"/>
  <c r="M24" i="9"/>
  <c r="M23" i="9"/>
  <c r="H73" i="9"/>
  <c r="M73" i="9" s="1"/>
  <c r="M30" i="9"/>
  <c r="E107" i="9"/>
  <c r="E31" i="9"/>
  <c r="L28" i="9"/>
  <c r="M28" i="9" s="1"/>
  <c r="G31" i="9"/>
  <c r="E30" i="9"/>
  <c r="E73" i="9"/>
  <c r="G30" i="9"/>
  <c r="F73" i="9"/>
  <c r="F81" i="9" s="1"/>
  <c r="J112" i="9"/>
  <c r="D28" i="9"/>
  <c r="E28" i="9" s="1"/>
  <c r="G28" i="9"/>
  <c r="J25" i="9"/>
  <c r="J40" i="9"/>
  <c r="E26" i="9"/>
  <c r="J91" i="9"/>
  <c r="J78" i="9" s="1"/>
  <c r="J103" i="9"/>
  <c r="J76" i="9" s="1"/>
  <c r="J99" i="9"/>
  <c r="J24" i="9" s="1"/>
  <c r="I73" i="9"/>
  <c r="J84" i="9"/>
  <c r="J97" i="9"/>
  <c r="J88" i="9"/>
  <c r="J85" i="9"/>
  <c r="J89" i="9"/>
  <c r="J90" i="9"/>
  <c r="I30" i="9"/>
  <c r="I28" i="9" s="1"/>
  <c r="J27" i="9"/>
  <c r="J30" i="9"/>
  <c r="J58" i="9"/>
  <c r="J54" i="9"/>
  <c r="J36" i="9" s="1"/>
  <c r="J47" i="9"/>
  <c r="J29" i="9" s="1"/>
  <c r="J31" i="9"/>
  <c r="J65" i="9"/>
  <c r="J28" i="9" s="1"/>
  <c r="M112" i="9"/>
  <c r="J44" i="9"/>
  <c r="J26" i="9" s="1"/>
  <c r="M71" i="9"/>
  <c r="G73" i="9" l="1"/>
  <c r="J107" i="9"/>
  <c r="J95" i="9"/>
  <c r="J80" i="9" s="1"/>
  <c r="J23" i="9"/>
  <c r="J73" i="9"/>
  <c r="J72" i="9"/>
  <c r="J74" i="9"/>
  <c r="J75" i="9" s="1"/>
  <c r="G26" i="3" l="1"/>
  <c r="E35" i="3"/>
  <c r="E27" i="8"/>
  <c r="E30" i="8"/>
  <c r="E29" i="8"/>
  <c r="E28" i="8"/>
  <c r="E34"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F77" i="9" l="1"/>
  <c r="F57" i="9"/>
  <c r="F39" i="9"/>
  <c r="F55" i="9" s="1"/>
  <c r="I79" i="9"/>
  <c r="H79" i="9"/>
  <c r="J79" i="9"/>
  <c r="C80" i="9"/>
  <c r="K77" i="9"/>
  <c r="K81" i="9" s="1"/>
  <c r="K32" i="9"/>
  <c r="I77" i="9"/>
  <c r="I32" i="9"/>
  <c r="H77" i="9"/>
  <c r="H32" i="9"/>
  <c r="E95" i="9"/>
  <c r="D57" i="9"/>
  <c r="D69" i="9" s="1"/>
  <c r="D39" i="9"/>
  <c r="D55" i="9" s="1"/>
  <c r="L35" i="9"/>
  <c r="K39" i="9"/>
  <c r="K55" i="9" s="1"/>
  <c r="K57" i="9"/>
  <c r="K69" i="9" s="1"/>
  <c r="K35" i="9"/>
  <c r="L57" i="9"/>
  <c r="L39" i="9"/>
  <c r="L77" i="9"/>
  <c r="L32" i="9"/>
  <c r="J32" i="9"/>
  <c r="J77" i="9"/>
  <c r="I39" i="9"/>
  <c r="I57" i="9"/>
  <c r="I69" i="9" s="1"/>
  <c r="I35" i="9"/>
  <c r="J39" i="9"/>
  <c r="E80" i="9"/>
  <c r="F80" i="9" s="1"/>
  <c r="G80" i="9" s="1"/>
  <c r="E77" i="9"/>
  <c r="E32" i="9"/>
  <c r="J35" i="9"/>
  <c r="H35" i="9"/>
  <c r="C14" i="2"/>
  <c r="C16" i="2"/>
  <c r="M35" i="9" l="1"/>
  <c r="I81" i="9"/>
  <c r="L55" i="9"/>
  <c r="M39" i="9"/>
  <c r="I55" i="9"/>
  <c r="J55" i="9" s="1"/>
  <c r="H81" i="9"/>
  <c r="M79" i="9"/>
  <c r="L69" i="9"/>
  <c r="M69" i="9" s="1"/>
  <c r="M57" i="9"/>
  <c r="M32" i="9"/>
  <c r="C81" i="9"/>
  <c r="L81" i="9"/>
  <c r="M77" i="9"/>
  <c r="F69" i="9"/>
  <c r="G69" i="9" s="1"/>
  <c r="F22" i="9"/>
  <c r="F37" i="9" s="1"/>
  <c r="F116" i="9" s="1"/>
  <c r="E29" i="9"/>
  <c r="J81" i="9"/>
  <c r="E81" i="9"/>
  <c r="J57" i="9"/>
  <c r="J69" i="9" s="1"/>
  <c r="M95" i="9"/>
  <c r="C37" i="9"/>
  <c r="C116" i="9" s="1"/>
  <c r="G107" i="9"/>
  <c r="G95" i="9"/>
  <c r="G32" i="9"/>
  <c r="G57" i="9"/>
  <c r="C15" i="2"/>
  <c r="I22" i="9"/>
  <c r="I37" i="9" s="1"/>
  <c r="K22" i="9"/>
  <c r="K37" i="9" s="1"/>
  <c r="K116" i="9" s="1"/>
  <c r="D22" i="9"/>
  <c r="E57" i="9"/>
  <c r="L22" i="9"/>
  <c r="L37" i="9" s="1"/>
  <c r="L116" i="9" s="1"/>
  <c r="H22" i="9"/>
  <c r="M107" i="9"/>
  <c r="G39" i="9"/>
  <c r="G77" i="9"/>
  <c r="E39" i="9"/>
  <c r="M81" i="9" l="1"/>
  <c r="G81" i="9"/>
  <c r="M22" i="9"/>
  <c r="H37" i="9"/>
  <c r="H116" i="9" s="1"/>
  <c r="D37" i="9"/>
  <c r="D116" i="9" s="1"/>
  <c r="D32" i="3"/>
  <c r="I116" i="9"/>
  <c r="J22" i="9"/>
  <c r="J37" i="9" s="1"/>
  <c r="J116" i="9" s="1"/>
  <c r="E28" i="7"/>
  <c r="E29" i="7"/>
  <c r="E36" i="7" s="1"/>
  <c r="E38" i="7" s="1"/>
  <c r="E39" i="7" s="1"/>
  <c r="G55" i="9"/>
  <c r="G22" i="9"/>
  <c r="C19" i="2"/>
  <c r="C27" i="2" s="1"/>
  <c r="M55" i="9"/>
  <c r="E69" i="9"/>
  <c r="E22" i="9"/>
  <c r="E116" i="9" s="1"/>
  <c r="G31" i="3"/>
  <c r="D35" i="3" l="1"/>
  <c r="G35" i="3" s="1"/>
  <c r="R12" i="4"/>
  <c r="C32" i="2"/>
  <c r="M116" i="9"/>
  <c r="E30" i="7"/>
  <c r="M37" i="9"/>
  <c r="G37" i="9"/>
  <c r="G116" i="9"/>
  <c r="R16" i="4" l="1"/>
  <c r="R15" i="4"/>
  <c r="R13" i="4"/>
  <c r="R14" i="4"/>
  <c r="E32" i="2"/>
  <c r="C33" i="8"/>
  <c r="E33" i="8" s="1"/>
  <c r="E32" i="8"/>
  <c r="C36" i="8" l="1"/>
  <c r="E36" i="8" s="1"/>
</calcChain>
</file>

<file path=xl/sharedStrings.xml><?xml version="1.0" encoding="utf-8"?>
<sst xmlns="http://schemas.openxmlformats.org/spreadsheetml/2006/main" count="449" uniqueCount="322">
  <si>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</si>
  <si>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</si>
  <si>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</si>
  <si>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</si>
  <si>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</si>
  <si>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 xml:space="preserve"> Section 8-103B/8-104
(EEPS) Program</t>
  </si>
  <si>
    <t>Net Energy Savings Achieved
(MWh)</t>
  </si>
  <si>
    <t>Approved Net Energy Savings Goal (MWh)**</t>
  </si>
  <si>
    <t>Implementation Plan Savings Goal
(MWh)</t>
  </si>
  <si>
    <t>% Savings Achieved Compared to Implementation Plan Savings Goal</t>
  </si>
  <si>
    <t>Program Costs YTD</t>
  </si>
  <si>
    <t>Incentive Costs YTD***</t>
  </si>
  <si>
    <t>Non-Incentive Costs YTD***</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</si>
  <si>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</si>
  <si>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</si>
  <si>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</si>
  <si>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</si>
  <si>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</si>
  <si>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</si>
  <si>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</si>
  <si>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</si>
  <si>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</si>
  <si>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</si>
  <si>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</si>
  <si>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</si>
  <si>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</si>
  <si>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</si>
  <si>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</si>
  <si>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N/A</t>
  </si>
  <si>
    <t>Business Outreach</t>
  </si>
  <si>
    <t>Business General</t>
  </si>
  <si>
    <t>C&amp;I Programs Subtotal</t>
  </si>
  <si>
    <t>Incentives - Private</t>
  </si>
  <si>
    <t>Standard - Private</t>
  </si>
  <si>
    <t>Custom - Private</t>
  </si>
  <si>
    <t>Small Business - Private</t>
  </si>
  <si>
    <t>Midstream Upstream - Private</t>
  </si>
  <si>
    <t>Midstream/Upstream Private - Electrification</t>
  </si>
  <si>
    <t>Industrial Systems - Private</t>
  </si>
  <si>
    <t>Retro-commissioning - Private</t>
  </si>
  <si>
    <t xml:space="preserve">Strategic Energy Management - Private </t>
  </si>
  <si>
    <t>New Construction - Private</t>
  </si>
  <si>
    <t>Facility Assessment - Private</t>
  </si>
  <si>
    <t>Commercial Foodservice - Private</t>
  </si>
  <si>
    <t>Private Sector Outreach</t>
  </si>
  <si>
    <t>Private Sector General</t>
  </si>
  <si>
    <t>C&amp;I Programs - Private Sector Total</t>
  </si>
  <si>
    <t>Incentives - Public</t>
  </si>
  <si>
    <t>Standard - Public</t>
  </si>
  <si>
    <t>Custom - Public</t>
  </si>
  <si>
    <t>Small Business - Public</t>
  </si>
  <si>
    <t>Midstream/Upstream - Public</t>
  </si>
  <si>
    <t>Midstream/Upstream Public - Electrification</t>
  </si>
  <si>
    <t>Retro-commissioning - Public</t>
  </si>
  <si>
    <t>Strategic Energy Management - Public</t>
  </si>
  <si>
    <t>New Construction - Public</t>
  </si>
  <si>
    <t>Facility Assessments - Public</t>
  </si>
  <si>
    <t>Commercial Foodservice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</si>
  <si>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</si>
  <si>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</si>
  <si>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</si>
  <si>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</si>
  <si>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</si>
  <si>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</si>
  <si>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</si>
  <si>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</si>
  <si>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</si>
  <si>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</si>
  <si>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</si>
  <si>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</si>
  <si>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Behavior - Home Energy Report</t>
  </si>
  <si>
    <t>Home Energy Savings - Market Rate Assessment</t>
  </si>
  <si>
    <t>Multi-Family Energy Savings - Market Rate</t>
  </si>
  <si>
    <t>Retail - Market Rate (includes Marketplace 2.0 Non-Lighting)</t>
  </si>
  <si>
    <t>Product Distribution - Market Rate</t>
  </si>
  <si>
    <t>Residential General</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</si>
  <si>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</si>
  <si>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</si>
  <si>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</si>
  <si>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</si>
  <si>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</si>
  <si>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</si>
  <si>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</si>
  <si>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</si>
  <si>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</si>
  <si>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Whole Home Electrification (Single and Multi Family - IE)</t>
  </si>
  <si>
    <t>Affordable Housing New Construction Electrification</t>
  </si>
  <si>
    <t>IE General</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</si>
  <si>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</si>
  <si>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</si>
  <si>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</si>
  <si>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</si>
  <si>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</si>
  <si>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</si>
  <si>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Other Fuel (Therm)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</si>
  <si>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</si>
  <si>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</si>
  <si>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</si>
  <si>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</si>
  <si>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</si>
  <si>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</si>
  <si>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</si>
  <si>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</si>
  <si>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</si>
  <si>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</si>
  <si>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</si>
  <si>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</si>
  <si>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Program Costs by Sector</t>
  </si>
  <si>
    <t>C&amp;I Programs Private Sector</t>
  </si>
  <si>
    <t xml:space="preserve">C&amp;I Programs Public Sector </t>
  </si>
  <si>
    <t>Residential (Market Rate) Programs</t>
  </si>
  <si>
    <t>Market Transformation Programs</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</si>
  <si>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</si>
  <si>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</si>
  <si>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</si>
  <si>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</si>
  <si>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</si>
  <si>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</si>
  <si>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</si>
  <si>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</si>
  <si>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</si>
  <si>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</si>
  <si>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</si>
  <si>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</si>
  <si>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</si>
  <si>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</si>
  <si>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</si>
  <si>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</si>
  <si>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</si>
  <si>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</si>
  <si>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</si>
  <si>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</si>
  <si>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</si>
  <si>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</si>
  <si>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</si>
  <si>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</si>
  <si>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</si>
  <si>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</si>
  <si>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</si>
  <si>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</si>
  <si>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</si>
  <si>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</si>
  <si>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</si>
  <si>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</si>
  <si>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</si>
  <si>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</si>
  <si>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</si>
  <si>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</si>
  <si>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</si>
  <si>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</si>
  <si>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</si>
  <si>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</si>
  <si>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</si>
  <si>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</si>
  <si>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</si>
  <si>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</si>
  <si>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</si>
  <si>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</si>
  <si>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</si>
  <si>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</si>
  <si>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</si>
  <si>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</si>
  <si>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</si>
  <si>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</si>
  <si>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</si>
  <si>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</si>
  <si>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</si>
  <si>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</si>
  <si>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</si>
  <si>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</si>
  <si>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</si>
  <si>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</si>
  <si>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</si>
  <si>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</si>
  <si>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</si>
  <si>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</si>
  <si>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</si>
  <si>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</si>
  <si>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</si>
  <si>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</si>
  <si>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</si>
  <si>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</si>
  <si>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</si>
  <si>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</si>
  <si>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</si>
  <si>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</si>
  <si>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</si>
  <si>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</si>
  <si>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</si>
  <si>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</si>
  <si>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</si>
  <si>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</si>
  <si>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</si>
  <si>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</si>
  <si>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</si>
  <si>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</si>
  <si>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</si>
  <si>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</si>
  <si>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</si>
  <si>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</si>
  <si>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</si>
  <si>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</si>
  <si>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</si>
  <si>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</si>
  <si>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</si>
  <si>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</si>
  <si>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</si>
  <si>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</si>
  <si>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</si>
  <si>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</si>
  <si>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</si>
  <si>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</si>
  <si>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</si>
  <si>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</si>
  <si>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</si>
  <si>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</si>
  <si>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</si>
  <si>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</si>
  <si>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</si>
  <si>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</si>
  <si>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</si>
  <si>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</si>
  <si>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</si>
  <si>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</si>
  <si>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</si>
  <si>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</si>
  <si>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</si>
  <si>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</si>
  <si>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</si>
  <si>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</si>
  <si>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</si>
  <si>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</si>
  <si>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</si>
  <si>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</si>
  <si>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</si>
  <si>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</si>
  <si>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</si>
  <si>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</si>
  <si>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</si>
  <si>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</si>
  <si>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</si>
  <si>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</si>
  <si>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</si>
  <si>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</si>
  <si>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</si>
  <si>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</si>
  <si>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</si>
  <si>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</si>
  <si>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r>
      <t xml:space="preserve">= g * b </t>
    </r>
    <r>
      <rPr>
        <i/>
        <sz val="8"/>
        <rFont val="Century Gothic"/>
        <family val="2"/>
      </rPr>
      <t>**See footnote</t>
    </r>
  </si>
  <si>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</si>
  <si>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</si>
  <si>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</si>
  <si>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</si>
  <si>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</si>
  <si>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</si>
  <si>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</si>
  <si>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</si>
  <si>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</si>
  <si>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</si>
  <si>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</si>
  <si>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</si>
  <si>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</si>
  <si>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</si>
  <si>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</si>
  <si>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</si>
  <si>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</si>
  <si>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</si>
  <si>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</si>
  <si>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</si>
  <si>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</si>
  <si>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r>
      <t xml:space="preserve">= o * b    </t>
    </r>
    <r>
      <rPr>
        <i/>
        <sz val="8"/>
        <color theme="1"/>
        <rFont val="Century Gothic"/>
        <family val="2"/>
      </rPr>
      <t>**See footnote</t>
    </r>
  </si>
  <si>
    <t>q</t>
  </si>
  <si>
    <r>
      <t xml:space="preserve">= c - p    </t>
    </r>
    <r>
      <rPr>
        <i/>
        <sz val="8"/>
        <color theme="1"/>
        <rFont val="Century Gothic"/>
        <family val="2"/>
      </rPr>
      <t>**See footnote</t>
    </r>
  </si>
  <si>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</si>
  <si>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</si>
  <si>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</si>
  <si>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</si>
  <si>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</si>
  <si>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</si>
  <si>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</si>
  <si>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</si>
  <si>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</si>
  <si>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</si>
  <si>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</si>
  <si>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</si>
  <si>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</si>
  <si>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</si>
  <si>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</si>
  <si>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</si>
  <si>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</si>
  <si>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</si>
  <si>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</si>
  <si>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</si>
  <si>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</si>
  <si>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</si>
  <si>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</si>
  <si>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</si>
  <si>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</si>
  <si>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All-Electric New Construction - Electrification</t>
  </si>
  <si>
    <t>Net Energy Savings Achieved YTD
(MWh)</t>
  </si>
  <si>
    <t>All-Electric New Construction</t>
  </si>
  <si>
    <t>2023
Actual Costs YTD</t>
  </si>
  <si>
    <t>2023
Approved Budget</t>
  </si>
  <si>
    <t>2012-2017 Legacy Savings Expiring in Current Year (MWh)**</t>
  </si>
  <si>
    <t>Previous Year's CPAS Goal (MWh)**</t>
  </si>
  <si>
    <t>Current Year Applicable Annual Incremental Goal (MWh)**</t>
  </si>
  <si>
    <t>*Savings from Measures Installed post-2017 Expiring in Current Year per Guidehouse's 5/12/2023 final evaluation report.</t>
  </si>
  <si>
    <t>**Calculations overwritten due to baseline variances between Revised Plan 6's CY2022 and CY2023 from different opt-out customers</t>
  </si>
  <si>
    <t>Contractor/Midstream Rebates Electrification</t>
  </si>
  <si>
    <t>Incentives - Custom - Private - Electrification</t>
  </si>
  <si>
    <t>Residential and Income Eligible Programs Subtotal</t>
  </si>
  <si>
    <t>C&amp;I Private Sector Programs</t>
  </si>
  <si>
    <t>C&amp;I Public Sector Programs</t>
  </si>
  <si>
    <t>Residential Market Rate Programs</t>
  </si>
  <si>
    <t>CY2023 Q3</t>
  </si>
  <si>
    <t xml:space="preserve"> 2023
Actual Costs YTD</t>
  </si>
  <si>
    <t>2023
Approved Budget*****</t>
  </si>
  <si>
    <t>2023 Original Plan 
Budget****</t>
  </si>
  <si>
    <t>2023 Original Plan 
Savings Goal
(MWh)*</t>
  </si>
  <si>
    <t>Additional/Other Claimable Savings******</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</si>
  <si>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t>
  </si>
  <si>
    <t>Final (updated 11-10-2023)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</si>
</sst>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7">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name val="Century Gothic"/>
      <family val="2"/>
    </font>
    <font>
      <i/>
      <sz val="8"/>
      <color theme="1"/>
      <name val="Century Gothic"/>
      <family val="2"/>
    </font>
    <font>
      <u/>
      <sz val="9"/>
      <color theme="10"/>
      <name val="Century Gothic"/>
      <family val="2"/>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10">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9" fillId="0" borderId="0"/>
    <xf numFmtId="0" fontId="29" fillId="0" borderId="0"/>
  </cellStyleXfs>
  <cellXfs count="329">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9" fontId="5" fillId="0" borderId="14"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8"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5"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6"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6"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7" fillId="13" borderId="0" xfId="0" applyNumberFormat="1" applyFont="1" applyFill="1"/>
    <xf numFmtId="164" fontId="0" fillId="13" borderId="0" xfId="2" applyNumberFormat="1" applyFont="1" applyFill="1" applyBorder="1"/>
    <xf numFmtId="165" fontId="0" fillId="13" borderId="0" xfId="1" applyNumberFormat="1" applyFont="1" applyFill="1"/>
    <xf numFmtId="164" fontId="26" fillId="13" borderId="0" xfId="0" applyNumberFormat="1" applyFont="1" applyFill="1" applyAlignment="1">
      <alignment horizontal="center"/>
    </xf>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40"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3" xfId="2" applyNumberFormat="1" applyFont="1" applyFill="1" applyBorder="1" applyAlignment="1">
      <alignment horizontal="center" vertical="center"/>
    </xf>
    <xf numFmtId="164" fontId="11" fillId="4" borderId="13"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3" fontId="35" fillId="13" borderId="0" xfId="0" applyNumberFormat="1" applyFont="1" applyFill="1"/>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4" applyNumberFormat="1" applyFont="1" applyFill="1" applyBorder="1" applyAlignment="1">
      <alignment horizontal="center"/>
    </xf>
    <xf numFmtId="9" fontId="3" fillId="13" borderId="0" xfId="1" applyFont="1" applyFill="1" applyBorder="1" applyAlignment="1">
      <alignment horizontal="center"/>
    </xf>
    <xf numFmtId="10" fontId="0" fillId="13" borderId="0" xfId="0" applyNumberFormat="1" applyFill="1"/>
    <xf numFmtId="0" fontId="25" fillId="13" borderId="0" xfId="0" applyFont="1" applyFill="1" applyAlignment="1">
      <alignment horizontal="center"/>
    </xf>
    <xf numFmtId="0" fontId="28"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1" fontId="0" fillId="13" borderId="0" xfId="0" applyNumberFormat="1" applyFill="1"/>
    <xf numFmtId="165" fontId="36"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3" fontId="41"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3" borderId="0" xfId="1" applyFont="1" applyFill="1"/>
    <xf numFmtId="43" fontId="26" fillId="13" borderId="0" xfId="4" applyFont="1" applyFill="1" applyAlignment="1">
      <alignment horizontal="center" vertical="center"/>
    </xf>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164" fontId="18" fillId="13" borderId="0" xfId="0" applyNumberFormat="1" applyFont="1" applyFill="1"/>
    <xf numFmtId="3" fontId="31"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3" fontId="2" fillId="0" borderId="1" xfId="0" applyNumberFormat="1" applyFont="1" applyBorder="1" applyAlignment="1">
      <alignment horizontal="center" wrapText="1"/>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0" borderId="1" xfId="2" applyNumberFormat="1" applyFont="1" applyFill="1" applyBorder="1" applyAlignment="1">
      <alignment vertical="center"/>
    </xf>
    <xf numFmtId="164" fontId="2" fillId="0" borderId="1" xfId="2" applyNumberFormat="1" applyFont="1" applyFill="1" applyBorder="1" applyAlignment="1"/>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164" fontId="2" fillId="0" borderId="1" xfId="0" applyNumberFormat="1" applyFont="1" applyBorder="1" applyAlignment="1">
      <alignment wrapText="1"/>
    </xf>
    <xf numFmtId="0" fontId="2" fillId="0" borderId="1" xfId="0" applyFont="1" applyBorder="1" applyAlignment="1">
      <alignment horizontal="center"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42" fillId="13" borderId="0" xfId="0" applyFont="1" applyFill="1" applyAlignment="1">
      <alignment horizontal="left" vertical="center"/>
    </xf>
    <xf numFmtId="0" fontId="43" fillId="13" borderId="0" xfId="0" applyFont="1" applyFill="1" applyAlignment="1">
      <alignment horizontal="left" vertical="top"/>
    </xf>
    <xf numFmtId="0" fontId="24" fillId="13" borderId="0" xfId="0" applyFont="1" applyFill="1" applyAlignment="1">
      <alignment vertical="top"/>
    </xf>
    <xf numFmtId="3" fontId="32" fillId="13" borderId="0" xfId="0" applyNumberFormat="1" applyFont="1" applyFill="1" applyAlignment="1">
      <alignment wrapText="1"/>
    </xf>
    <xf numFmtId="164" fontId="7" fillId="0" borderId="13" xfId="2" applyNumberFormat="1" applyFont="1" applyFill="1" applyBorder="1"/>
    <xf numFmtId="164" fontId="7" fillId="0" borderId="15" xfId="2" applyNumberFormat="1" applyFont="1" applyFill="1" applyBorder="1"/>
    <xf numFmtId="164" fontId="7" fillId="0" borderId="14"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46" fillId="0" borderId="1" xfId="6" applyNumberFormat="1" applyFont="1" applyBorder="1" applyAlignment="1" applyProtection="1">
      <alignment horizontal="center" vertical="center" wrapText="1"/>
    </xf>
    <xf numFmtId="164" fontId="2" fillId="0" borderId="1"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5" fontId="29" fillId="13" borderId="0" xfId="4" applyNumberFormat="1" applyFont="1" applyFill="1"/>
    <xf numFmtId="165" fontId="29" fillId="13" borderId="0" xfId="4" applyNumberFormat="1" applyFont="1" applyFill="1" applyAlignment="1">
      <alignment wrapText="1"/>
    </xf>
    <xf numFmtId="165" fontId="29" fillId="13" borderId="0" xfId="4" applyNumberFormat="1" applyFont="1" applyFill="1" applyAlignment="1">
      <alignment horizontal="center" wrapText="1"/>
    </xf>
    <xf numFmtId="165" fontId="29" fillId="13" borderId="0" xfId="4" applyNumberFormat="1" applyFont="1" applyFill="1" applyAlignment="1">
      <alignment horizontal="right" vertical="center"/>
    </xf>
    <xf numFmtId="165" fontId="29" fillId="0" borderId="0" xfId="4" applyNumberFormat="1" applyFont="1"/>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5"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2"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39" fillId="16" borderId="8" xfId="0" applyFont="1" applyFill="1" applyBorder="1" applyAlignment="1">
      <alignment horizontal="center" vertical="center" textRotation="90"/>
    </xf>
    <xf numFmtId="0" fontId="39" fillId="16" borderId="12" xfId="0" applyFont="1" applyFill="1" applyBorder="1" applyAlignment="1">
      <alignment horizontal="center" vertical="center" textRotation="90"/>
    </xf>
    <xf numFmtId="0" fontId="39" fillId="16" borderId="11" xfId="0" applyFont="1" applyFill="1" applyBorder="1" applyAlignment="1">
      <alignment horizontal="center" vertical="center" textRotation="90"/>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0" borderId="1" xfId="0" applyFont="1" applyFill="1" applyBorder="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Z136"/>
  <sheetViews>
    <sheetView topLeftCell="B23" zoomScaleNormal="100" workbookViewId="0">
      <selection activeCell="B8" sqref="B8:M16"/>
    </sheetView>
  </sheetViews>
  <sheetFormatPr defaultColWidth="9.1796875" defaultRowHeight="22.5" customHeight="1"/>
  <cols>
    <col min="1" max="1" width="6" customWidth="1"/>
    <col min="2" max="2" width="53" customWidth="1"/>
    <col min="3" max="3" width="17.1796875" customWidth="1"/>
    <col min="4" max="4" width="17.26953125" customWidth="1"/>
    <col min="5" max="5" width="15.54296875" customWidth="1"/>
    <col min="6" max="6" width="14.6328125" customWidth="1"/>
    <col min="7" max="7" width="17" style="3" customWidth="1"/>
    <col min="8" max="8" width="14.54296875" customWidth="1"/>
    <col min="9" max="12" width="15.54296875" customWidth="1"/>
    <col min="13" max="13" width="14.26953125" customWidth="1"/>
    <col min="14" max="14" width="15.26953125" style="263" customWidth="1"/>
    <col min="15" max="15" width="24.54296875" customWidth="1"/>
    <col min="16" max="17" width="14" customWidth="1"/>
    <col min="18" max="18" width="18.26953125" customWidth="1"/>
    <col min="19" max="19" width="17.54296875" customWidth="1"/>
    <col min="20" max="20" width="10.54296875" bestFit="1" customWidth="1"/>
    <col min="21" max="21" width="17" bestFit="1" customWidth="1"/>
    <col min="22" max="22" width="13.26953125" bestFit="1" customWidth="1"/>
  </cols>
  <sheetData>
    <row r="1" spans="1:26" ht="22.5" customHeight="1">
      <c r="A1" s="65"/>
      <c r="B1" s="72" t="s">
        <v>0</v>
      </c>
      <c r="C1" s="72"/>
      <c r="D1" s="72"/>
      <c r="E1" s="72"/>
      <c r="F1" s="65"/>
      <c r="G1" s="104"/>
      <c r="H1" s="65"/>
      <c r="I1" s="65"/>
      <c r="J1" s="65"/>
      <c r="K1" s="65"/>
      <c r="L1" s="65"/>
      <c r="M1" s="65"/>
      <c r="N1" s="259"/>
      <c r="O1" s="65"/>
      <c r="P1" s="65"/>
      <c r="Q1" s="65"/>
      <c r="R1" s="65"/>
      <c r="S1" s="65"/>
      <c r="T1" s="65"/>
      <c r="U1" s="65"/>
      <c r="V1" s="65"/>
      <c r="W1" s="65"/>
      <c r="X1" s="65"/>
      <c r="Y1" s="65"/>
      <c r="Z1" s="65"/>
    </row>
    <row r="2" spans="1:26" ht="22.5" customHeight="1">
      <c r="A2" s="65"/>
      <c r="B2" s="72" t="s">
        <v>1</v>
      </c>
      <c r="C2" s="72"/>
      <c r="D2" s="72"/>
      <c r="E2" s="72"/>
      <c r="F2" s="65"/>
      <c r="G2" s="104"/>
      <c r="H2" s="65"/>
      <c r="I2" s="65"/>
      <c r="J2" s="65"/>
      <c r="K2" s="65"/>
      <c r="L2" s="65"/>
      <c r="M2" s="65"/>
      <c r="N2" s="259"/>
      <c r="O2" s="65"/>
      <c r="P2" s="65"/>
      <c r="Q2" s="65"/>
      <c r="R2" s="65"/>
      <c r="S2" s="65"/>
      <c r="T2" s="65"/>
      <c r="U2" s="65"/>
      <c r="V2" s="65"/>
      <c r="W2" s="65"/>
      <c r="X2" s="65"/>
      <c r="Y2" s="65"/>
      <c r="Z2" s="65"/>
    </row>
    <row r="3" spans="1:26" ht="22.5" customHeight="1">
      <c r="A3" s="65"/>
      <c r="B3" s="72" t="s">
        <v>321</v>
      </c>
      <c r="C3" s="72"/>
      <c r="D3" s="72"/>
      <c r="E3" s="72"/>
      <c r="F3" s="65"/>
      <c r="G3" s="104"/>
      <c r="H3" s="65"/>
      <c r="I3" s="65"/>
      <c r="J3" s="65"/>
      <c r="K3" s="65"/>
      <c r="L3" s="65"/>
      <c r="M3" s="65"/>
      <c r="N3" s="259"/>
      <c r="O3" s="65"/>
      <c r="P3" s="65"/>
      <c r="Q3" s="65"/>
      <c r="R3" s="65"/>
      <c r="S3" s="65"/>
      <c r="T3" s="65"/>
      <c r="U3" s="65"/>
      <c r="V3" s="65"/>
      <c r="W3" s="65"/>
      <c r="X3" s="65"/>
      <c r="Y3" s="65"/>
      <c r="Z3" s="65"/>
    </row>
    <row r="4" spans="1:26" ht="22.5" customHeight="1">
      <c r="A4" s="65"/>
      <c r="B4" s="72"/>
      <c r="C4" s="72"/>
      <c r="D4" s="72"/>
      <c r="E4" s="72"/>
      <c r="F4" s="65"/>
      <c r="G4" s="104"/>
      <c r="H4" s="65"/>
      <c r="I4" s="65"/>
      <c r="J4" s="65"/>
      <c r="K4" s="65"/>
      <c r="L4" s="65"/>
      <c r="M4" s="65"/>
      <c r="N4" s="259"/>
      <c r="O4" s="65"/>
      <c r="P4" s="65"/>
      <c r="Q4" s="65"/>
      <c r="R4" s="65"/>
      <c r="S4" s="65"/>
      <c r="T4" s="65"/>
      <c r="U4" s="65"/>
      <c r="V4" s="65"/>
      <c r="W4" s="65"/>
      <c r="X4" s="65"/>
      <c r="Y4" s="65"/>
      <c r="Z4" s="65"/>
    </row>
    <row r="5" spans="1:26" ht="22.5" customHeight="1">
      <c r="A5" s="65"/>
      <c r="B5" s="270" t="s">
        <v>2</v>
      </c>
      <c r="C5" s="271"/>
      <c r="D5" s="271"/>
      <c r="E5" s="271"/>
      <c r="F5" s="271"/>
      <c r="G5" s="271"/>
      <c r="H5" s="271"/>
      <c r="I5" s="271"/>
      <c r="J5" s="271"/>
      <c r="K5" s="271"/>
      <c r="L5" s="271"/>
      <c r="M5" s="272"/>
      <c r="N5" s="259"/>
      <c r="O5" s="65"/>
      <c r="P5" s="65"/>
      <c r="Q5" s="65"/>
      <c r="R5" s="65"/>
      <c r="S5" s="65"/>
      <c r="T5" s="65"/>
      <c r="U5" s="65"/>
      <c r="V5" s="65"/>
      <c r="W5" s="65"/>
      <c r="X5" s="65"/>
      <c r="Y5" s="65"/>
      <c r="Z5" s="65"/>
    </row>
    <row r="6" spans="1:26" ht="45" customHeight="1">
      <c r="A6" s="65"/>
      <c r="B6" s="273"/>
      <c r="C6" s="274"/>
      <c r="D6" s="274"/>
      <c r="E6" s="274"/>
      <c r="F6" s="274"/>
      <c r="G6" s="274"/>
      <c r="H6" s="274"/>
      <c r="I6" s="274"/>
      <c r="J6" s="274"/>
      <c r="K6" s="274"/>
      <c r="L6" s="274"/>
      <c r="M6" s="275"/>
      <c r="N6" s="259"/>
      <c r="O6" s="65"/>
      <c r="P6" s="65"/>
      <c r="Q6" s="65"/>
      <c r="R6" s="65"/>
      <c r="S6" s="65"/>
      <c r="T6" s="65"/>
      <c r="U6" s="65"/>
      <c r="V6" s="65"/>
      <c r="W6" s="65"/>
      <c r="X6" s="65"/>
      <c r="Y6" s="65"/>
      <c r="Z6" s="65"/>
    </row>
    <row r="7" spans="1:26" ht="22.5" customHeight="1">
      <c r="A7" s="65"/>
      <c r="B7" s="147"/>
      <c r="C7" s="72"/>
      <c r="D7" s="72"/>
      <c r="E7" s="72"/>
      <c r="F7" s="65"/>
      <c r="G7" s="104"/>
      <c r="H7" s="65"/>
      <c r="I7" s="65"/>
      <c r="J7" s="65"/>
      <c r="K7" s="65"/>
      <c r="L7" s="65"/>
      <c r="M7" s="65"/>
      <c r="N7" s="259"/>
      <c r="O7" s="65"/>
      <c r="P7" s="65"/>
      <c r="Q7" s="65"/>
      <c r="R7" s="65"/>
      <c r="S7" s="65"/>
      <c r="T7" s="65"/>
      <c r="U7" s="65"/>
      <c r="V7" s="65"/>
      <c r="W7" s="65"/>
      <c r="X7" s="65"/>
      <c r="Y7" s="65"/>
      <c r="Z7" s="65"/>
    </row>
    <row r="8" spans="1:26" ht="7.5" customHeight="1">
      <c r="A8" s="65"/>
      <c r="B8" s="276" t="s">
        <v>3</v>
      </c>
      <c r="C8" s="276"/>
      <c r="D8" s="276"/>
      <c r="E8" s="276"/>
      <c r="F8" s="276"/>
      <c r="G8" s="276"/>
      <c r="H8" s="276"/>
      <c r="I8" s="276"/>
      <c r="J8" s="276"/>
      <c r="K8" s="276"/>
      <c r="L8" s="276"/>
      <c r="M8" s="276"/>
      <c r="N8" s="259"/>
      <c r="O8" s="65"/>
      <c r="P8" s="65"/>
      <c r="Q8" s="65"/>
      <c r="R8" s="65"/>
      <c r="S8" s="65"/>
      <c r="T8" s="65"/>
      <c r="U8" s="65"/>
      <c r="V8" s="65"/>
      <c r="W8" s="65"/>
      <c r="X8" s="65"/>
      <c r="Y8" s="65"/>
      <c r="Z8" s="65"/>
    </row>
    <row r="9" spans="1:26" ht="15.75" customHeight="1">
      <c r="A9" s="65"/>
      <c r="B9" s="276"/>
      <c r="C9" s="276"/>
      <c r="D9" s="276"/>
      <c r="E9" s="276"/>
      <c r="F9" s="276"/>
      <c r="G9" s="276"/>
      <c r="H9" s="276"/>
      <c r="I9" s="276"/>
      <c r="J9" s="276"/>
      <c r="K9" s="276"/>
      <c r="L9" s="276"/>
      <c r="M9" s="276"/>
      <c r="N9" s="259"/>
      <c r="O9" s="65"/>
      <c r="P9" s="65"/>
      <c r="Q9" s="65"/>
      <c r="R9" s="65"/>
      <c r="S9" s="65"/>
      <c r="T9" s="65"/>
      <c r="U9" s="65"/>
      <c r="V9" s="65"/>
      <c r="W9" s="65"/>
      <c r="X9" s="65"/>
      <c r="Y9" s="65"/>
      <c r="Z9" s="65"/>
    </row>
    <row r="10" spans="1:26" ht="10.5" customHeight="1">
      <c r="A10" s="65"/>
      <c r="B10" s="276"/>
      <c r="C10" s="276"/>
      <c r="D10" s="276"/>
      <c r="E10" s="276"/>
      <c r="F10" s="276"/>
      <c r="G10" s="276"/>
      <c r="H10" s="276"/>
      <c r="I10" s="276"/>
      <c r="J10" s="276"/>
      <c r="K10" s="276"/>
      <c r="L10" s="276"/>
      <c r="M10" s="276"/>
      <c r="N10" s="259"/>
      <c r="O10" s="65"/>
      <c r="P10" s="65"/>
      <c r="Q10" s="65"/>
      <c r="R10" s="65"/>
      <c r="S10" s="65"/>
      <c r="T10" s="65"/>
      <c r="U10" s="65"/>
      <c r="V10" s="65"/>
      <c r="W10" s="65"/>
      <c r="X10" s="65"/>
      <c r="Y10" s="65"/>
      <c r="Z10" s="65"/>
    </row>
    <row r="11" spans="1:26" ht="22.5" customHeight="1">
      <c r="A11" s="65"/>
      <c r="B11" s="276"/>
      <c r="C11" s="276"/>
      <c r="D11" s="276"/>
      <c r="E11" s="276"/>
      <c r="F11" s="276"/>
      <c r="G11" s="276"/>
      <c r="H11" s="276"/>
      <c r="I11" s="276"/>
      <c r="J11" s="276"/>
      <c r="K11" s="276"/>
      <c r="L11" s="276"/>
      <c r="M11" s="276"/>
      <c r="N11" s="259"/>
      <c r="O11" s="65"/>
      <c r="P11" s="65"/>
      <c r="Q11" s="65"/>
      <c r="R11" s="65"/>
      <c r="S11" s="65"/>
      <c r="T11" s="65"/>
      <c r="U11" s="65"/>
      <c r="V11" s="65"/>
      <c r="W11" s="65"/>
      <c r="X11" s="65"/>
      <c r="Y11" s="65"/>
      <c r="Z11" s="65"/>
    </row>
    <row r="12" spans="1:26" ht="22.5" customHeight="1">
      <c r="A12" s="65"/>
      <c r="B12" s="276"/>
      <c r="C12" s="276"/>
      <c r="D12" s="276"/>
      <c r="E12" s="276"/>
      <c r="F12" s="276"/>
      <c r="G12" s="276"/>
      <c r="H12" s="276"/>
      <c r="I12" s="276"/>
      <c r="J12" s="276"/>
      <c r="K12" s="276"/>
      <c r="L12" s="276"/>
      <c r="M12" s="276"/>
      <c r="N12" s="259"/>
      <c r="O12" s="65"/>
      <c r="P12" s="65"/>
      <c r="Q12" s="65"/>
      <c r="R12" s="65"/>
      <c r="S12" s="65"/>
      <c r="T12" s="65"/>
      <c r="U12" s="65"/>
      <c r="V12" s="65"/>
      <c r="W12" s="65"/>
      <c r="X12" s="65"/>
      <c r="Y12" s="65"/>
      <c r="Z12" s="65"/>
    </row>
    <row r="13" spans="1:26" ht="22.5" customHeight="1">
      <c r="A13" s="65"/>
      <c r="B13" s="276"/>
      <c r="C13" s="276"/>
      <c r="D13" s="276"/>
      <c r="E13" s="276"/>
      <c r="F13" s="276"/>
      <c r="G13" s="276"/>
      <c r="H13" s="276"/>
      <c r="I13" s="276"/>
      <c r="J13" s="276"/>
      <c r="K13" s="276"/>
      <c r="L13" s="276"/>
      <c r="M13" s="276"/>
      <c r="N13" s="259"/>
      <c r="O13" s="65"/>
      <c r="P13" s="65"/>
      <c r="Q13" s="65"/>
      <c r="R13" s="65"/>
      <c r="S13" s="65"/>
      <c r="T13" s="65"/>
      <c r="U13" s="65"/>
      <c r="V13" s="65"/>
      <c r="W13" s="65"/>
      <c r="X13" s="65"/>
      <c r="Y13" s="65"/>
      <c r="Z13" s="65"/>
    </row>
    <row r="14" spans="1:26" ht="27.75" customHeight="1">
      <c r="A14" s="65"/>
      <c r="B14" s="276"/>
      <c r="C14" s="276"/>
      <c r="D14" s="276"/>
      <c r="E14" s="276"/>
      <c r="F14" s="276"/>
      <c r="G14" s="276"/>
      <c r="H14" s="276"/>
      <c r="I14" s="276"/>
      <c r="J14" s="276"/>
      <c r="K14" s="276"/>
      <c r="L14" s="276"/>
      <c r="M14" s="276"/>
      <c r="N14" s="259"/>
      <c r="O14" s="65"/>
      <c r="P14" s="65"/>
      <c r="Q14" s="65"/>
      <c r="R14" s="65"/>
      <c r="S14" s="65"/>
      <c r="T14" s="65"/>
      <c r="U14" s="65"/>
      <c r="V14" s="65"/>
      <c r="W14" s="65"/>
      <c r="X14" s="65"/>
      <c r="Y14" s="65"/>
      <c r="Z14" s="65"/>
    </row>
    <row r="15" spans="1:26" ht="18" customHeight="1">
      <c r="A15" s="65"/>
      <c r="B15" s="276"/>
      <c r="C15" s="276"/>
      <c r="D15" s="276"/>
      <c r="E15" s="276"/>
      <c r="F15" s="276"/>
      <c r="G15" s="276"/>
      <c r="H15" s="276"/>
      <c r="I15" s="276"/>
      <c r="J15" s="276"/>
      <c r="K15" s="276"/>
      <c r="L15" s="276"/>
      <c r="M15" s="276"/>
      <c r="N15" s="259"/>
      <c r="O15" s="65"/>
      <c r="P15" s="65"/>
      <c r="Q15" s="65"/>
      <c r="R15" s="65"/>
      <c r="S15" s="65"/>
      <c r="T15" s="65"/>
      <c r="U15" s="65"/>
      <c r="V15" s="65"/>
      <c r="W15" s="65"/>
      <c r="X15" s="65"/>
      <c r="Y15" s="65"/>
      <c r="Z15" s="65"/>
    </row>
    <row r="16" spans="1:26" ht="7.5" customHeight="1">
      <c r="A16" s="65"/>
      <c r="B16" s="276"/>
      <c r="C16" s="276"/>
      <c r="D16" s="276"/>
      <c r="E16" s="276"/>
      <c r="F16" s="276"/>
      <c r="G16" s="276"/>
      <c r="H16" s="276"/>
      <c r="I16" s="276"/>
      <c r="J16" s="276"/>
      <c r="K16" s="276"/>
      <c r="L16" s="276"/>
      <c r="M16" s="276"/>
      <c r="N16" s="259"/>
      <c r="O16" s="163"/>
      <c r="P16" s="65"/>
      <c r="Q16" s="65"/>
      <c r="R16" s="65"/>
      <c r="S16" s="65"/>
      <c r="T16" s="65"/>
      <c r="U16" s="65"/>
      <c r="V16" s="65"/>
      <c r="W16" s="65"/>
      <c r="X16" s="65"/>
      <c r="Y16" s="65"/>
      <c r="Z16" s="65"/>
    </row>
    <row r="17" spans="1:26" ht="22.5" customHeight="1">
      <c r="A17" s="65"/>
      <c r="B17" s="96"/>
      <c r="C17" s="96"/>
      <c r="D17" s="96"/>
      <c r="E17" s="96"/>
      <c r="F17" s="96"/>
      <c r="G17" s="96"/>
      <c r="H17" s="96"/>
      <c r="I17" s="96"/>
      <c r="J17" s="96"/>
      <c r="K17" s="96"/>
      <c r="L17" s="96"/>
      <c r="M17" s="96"/>
      <c r="N17" s="259"/>
      <c r="O17" s="65"/>
      <c r="P17" s="65"/>
      <c r="Q17" s="65"/>
      <c r="R17" s="65"/>
      <c r="S17" s="65"/>
      <c r="T17" s="65"/>
      <c r="U17" s="65"/>
      <c r="V17" s="65"/>
      <c r="W17" s="65"/>
      <c r="X17" s="65"/>
      <c r="Y17" s="65"/>
      <c r="Z17" s="65"/>
    </row>
    <row r="18" spans="1:26" ht="22.5" customHeight="1">
      <c r="A18" s="65"/>
      <c r="B18" s="243" t="s">
        <v>4</v>
      </c>
      <c r="C18" s="96"/>
      <c r="D18" s="241"/>
      <c r="E18" s="241"/>
      <c r="F18" s="241"/>
      <c r="G18" s="241"/>
      <c r="H18" s="241"/>
      <c r="I18" s="241"/>
      <c r="J18" s="241"/>
      <c r="K18" s="241"/>
      <c r="L18" s="241"/>
      <c r="M18" s="241"/>
      <c r="N18" s="259"/>
      <c r="O18" s="65"/>
      <c r="P18" s="65"/>
      <c r="Q18" s="65"/>
      <c r="R18" s="65"/>
      <c r="S18" s="65"/>
      <c r="T18" s="65"/>
      <c r="U18" s="65"/>
      <c r="V18" s="65"/>
      <c r="W18" s="65"/>
      <c r="X18" s="65"/>
      <c r="Y18" s="65"/>
      <c r="Z18" s="65"/>
    </row>
    <row r="19" spans="1:26" ht="19.5" customHeight="1">
      <c r="A19" s="65"/>
      <c r="B19" s="244" t="s">
        <v>314</v>
      </c>
      <c r="C19" s="96"/>
      <c r="D19" s="96"/>
      <c r="E19" s="96"/>
      <c r="F19" s="96"/>
      <c r="G19" s="96"/>
      <c r="H19" s="241"/>
      <c r="I19" s="96"/>
      <c r="J19" s="96"/>
      <c r="K19" s="96"/>
      <c r="L19" s="241"/>
      <c r="M19" s="96"/>
      <c r="N19" s="259"/>
      <c r="O19" s="65"/>
      <c r="P19" s="164"/>
      <c r="Q19" s="164"/>
      <c r="R19" s="65"/>
      <c r="S19" s="65"/>
      <c r="T19" s="65"/>
      <c r="U19" s="65"/>
      <c r="V19" s="65"/>
      <c r="W19" s="65"/>
      <c r="X19" s="65"/>
      <c r="Y19" s="65"/>
      <c r="Z19" s="65"/>
    </row>
    <row r="20" spans="1:26" s="20" customFormat="1" ht="66.75" customHeight="1">
      <c r="A20" s="189"/>
      <c r="B20" s="19" t="s">
        <v>5</v>
      </c>
      <c r="C20" s="19" t="s">
        <v>299</v>
      </c>
      <c r="D20" s="19" t="s">
        <v>318</v>
      </c>
      <c r="E20" s="19" t="s">
        <v>7</v>
      </c>
      <c r="F20" s="19" t="s">
        <v>8</v>
      </c>
      <c r="G20" s="53" t="s">
        <v>9</v>
      </c>
      <c r="H20" s="19" t="s">
        <v>10</v>
      </c>
      <c r="I20" s="19" t="s">
        <v>11</v>
      </c>
      <c r="J20" s="19" t="s">
        <v>12</v>
      </c>
      <c r="K20" s="19" t="s">
        <v>317</v>
      </c>
      <c r="L20" s="19" t="s">
        <v>316</v>
      </c>
      <c r="M20" s="19" t="s">
        <v>13</v>
      </c>
      <c r="N20" s="260"/>
      <c r="O20" s="165"/>
      <c r="P20" s="165"/>
      <c r="Q20" s="165"/>
      <c r="R20" s="148"/>
      <c r="S20" s="148"/>
      <c r="T20" s="148"/>
      <c r="U20" s="148"/>
      <c r="V20" s="148"/>
      <c r="W20" s="148"/>
      <c r="X20" s="148"/>
      <c r="Y20" s="148"/>
      <c r="Z20" s="148"/>
    </row>
    <row r="21" spans="1:26" ht="20.25" customHeight="1">
      <c r="A21" s="189"/>
      <c r="B21" s="16" t="s">
        <v>14</v>
      </c>
      <c r="C21" s="63"/>
      <c r="D21" s="63"/>
      <c r="E21" s="63"/>
      <c r="F21" s="63"/>
      <c r="G21" s="206"/>
      <c r="H21" s="17"/>
      <c r="I21" s="17"/>
      <c r="J21" s="17"/>
      <c r="K21" s="17"/>
      <c r="L21" s="17"/>
      <c r="M21" s="18"/>
      <c r="N21" s="259"/>
      <c r="O21" s="246"/>
      <c r="P21" s="199"/>
      <c r="Q21" s="199"/>
      <c r="R21" s="65"/>
      <c r="S21" s="65"/>
      <c r="T21" s="65"/>
      <c r="U21" s="65"/>
      <c r="V21" s="65"/>
      <c r="W21" s="65"/>
      <c r="X21" s="65"/>
      <c r="Y21" s="65"/>
      <c r="Z21" s="65"/>
    </row>
    <row r="22" spans="1:26" ht="15" customHeight="1">
      <c r="A22" s="189"/>
      <c r="B22" s="1" t="s">
        <v>15</v>
      </c>
      <c r="C22" s="207">
        <f t="shared" ref="C22:D24" si="0">C39+C57</f>
        <v>120131.63453859999</v>
      </c>
      <c r="D22" s="207">
        <f t="shared" si="0"/>
        <v>207613.82050801269</v>
      </c>
      <c r="E22" s="207">
        <f t="shared" ref="E22:E32" si="1">D22</f>
        <v>207613.82050801269</v>
      </c>
      <c r="F22" s="208">
        <f>F39+F57</f>
        <v>216562.30205860001</v>
      </c>
      <c r="G22" s="85">
        <f t="shared" ref="G22:G69" si="2">IF(AND(ISNUMBER(F22)=TRUE,F22&lt;&gt;0),C22/F22,"N/A")</f>
        <v>0.55472089738911867</v>
      </c>
      <c r="H22" s="223">
        <f t="shared" ref="H22:L24" si="3">H39+H57</f>
        <v>43201605.88000001</v>
      </c>
      <c r="I22" s="224">
        <f t="shared" si="3"/>
        <v>27649027.763200004</v>
      </c>
      <c r="J22" s="224">
        <f t="shared" si="3"/>
        <v>15552578.116800003</v>
      </c>
      <c r="K22" s="224">
        <f t="shared" si="3"/>
        <v>66646988.12191356</v>
      </c>
      <c r="L22" s="224">
        <f t="shared" si="3"/>
        <v>71363570.266623333</v>
      </c>
      <c r="M22" s="86">
        <f t="shared" ref="M22:M36" si="4">IFERROR(H22/L22,"N/A")</f>
        <v>0.60537338194534474</v>
      </c>
      <c r="N22" s="260"/>
      <c r="O22" s="166"/>
      <c r="P22" s="65"/>
      <c r="Q22" s="65"/>
      <c r="R22" s="65"/>
      <c r="S22" s="65"/>
      <c r="T22" s="65"/>
      <c r="U22" s="65"/>
      <c r="V22" s="65"/>
      <c r="W22" s="65"/>
      <c r="X22" s="65"/>
      <c r="Y22" s="65"/>
      <c r="Z22" s="65"/>
    </row>
    <row r="23" spans="1:26" ht="15" customHeight="1">
      <c r="A23" s="189"/>
      <c r="B23" s="196" t="s">
        <v>16</v>
      </c>
      <c r="C23" s="207">
        <f t="shared" si="0"/>
        <v>112791.0912</v>
      </c>
      <c r="D23" s="207">
        <f t="shared" si="0"/>
        <v>195313.82051207568</v>
      </c>
      <c r="E23" s="207">
        <f t="shared" si="1"/>
        <v>195313.82051207568</v>
      </c>
      <c r="F23" s="208">
        <f>F40+F58</f>
        <v>202768.75872000001</v>
      </c>
      <c r="G23" s="85">
        <f t="shared" si="2"/>
        <v>0.55625477964162773</v>
      </c>
      <c r="H23" s="223">
        <f t="shared" si="3"/>
        <v>38362642.510000005</v>
      </c>
      <c r="I23" s="224">
        <f t="shared" si="3"/>
        <v>24552091.206400003</v>
      </c>
      <c r="J23" s="224">
        <f t="shared" si="3"/>
        <v>13810551.303600002</v>
      </c>
      <c r="K23" s="224">
        <f t="shared" si="3"/>
        <v>58450001.323866665</v>
      </c>
      <c r="L23" s="224">
        <f t="shared" si="3"/>
        <v>63845527.900000006</v>
      </c>
      <c r="M23" s="86">
        <f t="shared" si="4"/>
        <v>0.60086655670052036</v>
      </c>
      <c r="N23" s="260"/>
      <c r="O23" s="167"/>
      <c r="P23" s="65"/>
      <c r="Q23" s="65"/>
      <c r="R23" s="65"/>
      <c r="S23" s="65"/>
      <c r="T23" s="65"/>
      <c r="U23" s="65"/>
      <c r="V23" s="65"/>
      <c r="W23" s="65"/>
      <c r="X23" s="65"/>
      <c r="Y23" s="65"/>
      <c r="Z23" s="65"/>
    </row>
    <row r="24" spans="1:26" ht="15" customHeight="1">
      <c r="A24" s="189"/>
      <c r="B24" s="196" t="s">
        <v>17</v>
      </c>
      <c r="C24" s="207">
        <f t="shared" si="0"/>
        <v>7107.0577450000001</v>
      </c>
      <c r="D24" s="207">
        <f t="shared" si="0"/>
        <v>12299.999995937018</v>
      </c>
      <c r="E24" s="207">
        <f t="shared" si="1"/>
        <v>12299.999995937018</v>
      </c>
      <c r="F24" s="208">
        <f>F41+F59</f>
        <v>13560.057745</v>
      </c>
      <c r="G24" s="85">
        <f t="shared" si="2"/>
        <v>0.52411707078611702</v>
      </c>
      <c r="H24" s="223">
        <f t="shared" si="3"/>
        <v>4838963.37</v>
      </c>
      <c r="I24" s="224">
        <f t="shared" si="3"/>
        <v>3096936.5568000004</v>
      </c>
      <c r="J24" s="224">
        <f t="shared" si="3"/>
        <v>1742026.8132</v>
      </c>
      <c r="K24" s="224">
        <f t="shared" si="3"/>
        <v>8196986.7980468944</v>
      </c>
      <c r="L24" s="224">
        <f t="shared" si="3"/>
        <v>7518042.3666233253</v>
      </c>
      <c r="M24" s="86">
        <f t="shared" si="4"/>
        <v>0.64364672796774702</v>
      </c>
      <c r="N24" s="260"/>
      <c r="O24" s="246"/>
      <c r="P24" s="199"/>
      <c r="Q24" s="199"/>
      <c r="R24" s="65"/>
      <c r="S24" s="65"/>
      <c r="T24" s="65"/>
      <c r="U24" s="65"/>
      <c r="V24" s="65"/>
      <c r="W24" s="65"/>
      <c r="X24" s="65"/>
      <c r="Y24" s="65"/>
      <c r="Z24" s="65"/>
    </row>
    <row r="25" spans="1:26" ht="15" customHeight="1">
      <c r="A25" s="189"/>
      <c r="B25" s="196" t="s">
        <v>18</v>
      </c>
      <c r="C25" s="207">
        <f>C42</f>
        <v>233.48559359999999</v>
      </c>
      <c r="D25" s="207">
        <f>D42</f>
        <v>0</v>
      </c>
      <c r="E25" s="207">
        <f t="shared" si="1"/>
        <v>0</v>
      </c>
      <c r="F25" s="208">
        <f>F42</f>
        <v>233.48559359999999</v>
      </c>
      <c r="G25" s="85">
        <f t="shared" si="2"/>
        <v>1</v>
      </c>
      <c r="H25" s="223">
        <f>H42</f>
        <v>0</v>
      </c>
      <c r="I25" s="224">
        <f>I42</f>
        <v>0</v>
      </c>
      <c r="J25" s="224">
        <f>J42</f>
        <v>0</v>
      </c>
      <c r="K25" s="224">
        <f>K42</f>
        <v>0</v>
      </c>
      <c r="L25" s="224">
        <f>L42</f>
        <v>0</v>
      </c>
      <c r="M25" s="86" t="str">
        <f t="shared" si="4"/>
        <v>N/A</v>
      </c>
      <c r="N25" s="260"/>
      <c r="O25" s="166"/>
      <c r="P25" s="65"/>
      <c r="Q25" s="65"/>
      <c r="R25" s="65"/>
      <c r="S25" s="65"/>
      <c r="T25" s="65"/>
      <c r="U25" s="65"/>
      <c r="V25" s="65"/>
      <c r="W25" s="65"/>
      <c r="X25" s="65"/>
      <c r="Y25" s="65"/>
      <c r="Z25" s="65"/>
    </row>
    <row r="26" spans="1:26" ht="15" customHeight="1">
      <c r="A26" s="189"/>
      <c r="B26" s="1" t="s">
        <v>19</v>
      </c>
      <c r="C26" s="207">
        <f>C44+C60</f>
        <v>186870.96899999998</v>
      </c>
      <c r="D26" s="207">
        <f>D44+D60</f>
        <v>231506.66690477796</v>
      </c>
      <c r="E26" s="207">
        <f t="shared" si="1"/>
        <v>231506.66690477796</v>
      </c>
      <c r="F26" s="208">
        <f>F44+F60</f>
        <v>212542.99099999998</v>
      </c>
      <c r="G26" s="85">
        <f t="shared" si="2"/>
        <v>0.87921492080630403</v>
      </c>
      <c r="H26" s="223">
        <f t="shared" ref="H26:L27" si="5">H44+H60</f>
        <v>75409659.200000018</v>
      </c>
      <c r="I26" s="224">
        <f t="shared" si="5"/>
        <v>48262181.888000011</v>
      </c>
      <c r="J26" s="224">
        <f t="shared" si="5"/>
        <v>27147477.312000003</v>
      </c>
      <c r="K26" s="224">
        <f t="shared" si="5"/>
        <v>89100189.00999999</v>
      </c>
      <c r="L26" s="224">
        <f t="shared" si="5"/>
        <v>89105094.660000026</v>
      </c>
      <c r="M26" s="86">
        <f t="shared" si="4"/>
        <v>0.84630019739883633</v>
      </c>
      <c r="N26" s="260"/>
      <c r="O26" s="167"/>
      <c r="P26" s="65"/>
      <c r="Q26" s="65"/>
      <c r="R26" s="65"/>
      <c r="S26" s="65"/>
      <c r="T26" s="65"/>
      <c r="U26" s="65"/>
      <c r="V26" s="65"/>
      <c r="W26" s="65"/>
      <c r="X26" s="65"/>
      <c r="Y26" s="65"/>
      <c r="Z26" s="65"/>
    </row>
    <row r="27" spans="1:26" ht="15" customHeight="1">
      <c r="A27" s="189"/>
      <c r="B27" s="1" t="s">
        <v>20</v>
      </c>
      <c r="C27" s="207">
        <f>C45+C61</f>
        <v>73405</v>
      </c>
      <c r="D27" s="207">
        <f>D45+D61</f>
        <v>77308</v>
      </c>
      <c r="E27" s="207">
        <f t="shared" si="1"/>
        <v>77308</v>
      </c>
      <c r="F27" s="208">
        <f>F45+F61</f>
        <v>80125.279072647812</v>
      </c>
      <c r="G27" s="85">
        <f t="shared" si="2"/>
        <v>0.9161278543996747</v>
      </c>
      <c r="H27" s="223">
        <f t="shared" si="5"/>
        <v>13851071.437236551</v>
      </c>
      <c r="I27" s="224">
        <f t="shared" si="5"/>
        <v>8864685.7198313922</v>
      </c>
      <c r="J27" s="224">
        <f t="shared" si="5"/>
        <v>4986385.7174051581</v>
      </c>
      <c r="K27" s="224">
        <f t="shared" si="5"/>
        <v>17286351.735536687</v>
      </c>
      <c r="L27" s="224">
        <f t="shared" si="5"/>
        <v>17617144.207234096</v>
      </c>
      <c r="M27" s="86">
        <f t="shared" si="4"/>
        <v>0.78622682963274548</v>
      </c>
      <c r="N27" s="260"/>
      <c r="O27" s="246"/>
      <c r="P27" s="199"/>
      <c r="Q27" s="199"/>
      <c r="R27" s="65"/>
      <c r="S27" s="65"/>
      <c r="T27" s="65"/>
      <c r="U27" s="65"/>
      <c r="V27" s="65"/>
      <c r="W27" s="65"/>
      <c r="X27" s="65"/>
      <c r="Y27" s="65"/>
      <c r="Z27" s="65"/>
    </row>
    <row r="28" spans="1:26" ht="15" customHeight="1">
      <c r="A28" s="189"/>
      <c r="B28" s="1" t="s">
        <v>21</v>
      </c>
      <c r="C28" s="207">
        <f>C50+C65</f>
        <v>4759.630079999999</v>
      </c>
      <c r="D28" s="207">
        <f>D50+D65</f>
        <v>11118.268993199999</v>
      </c>
      <c r="E28" s="207">
        <f t="shared" si="1"/>
        <v>11118.268993199999</v>
      </c>
      <c r="F28" s="207">
        <f>F50+F65</f>
        <v>9080.630079999999</v>
      </c>
      <c r="G28" s="85">
        <f t="shared" si="2"/>
        <v>0.52415196281181398</v>
      </c>
      <c r="H28" s="224">
        <f>H50+H65</f>
        <v>2653676.1900000004</v>
      </c>
      <c r="I28" s="224">
        <f>I50+I65</f>
        <v>1698352.7616000003</v>
      </c>
      <c r="J28" s="224">
        <f>J50+J65</f>
        <v>955323.42840000009</v>
      </c>
      <c r="K28" s="224">
        <f>K50+K65</f>
        <v>4982644.335323832</v>
      </c>
      <c r="L28" s="224">
        <f>L50+L65</f>
        <v>4241161.578023877</v>
      </c>
      <c r="M28" s="86">
        <f t="shared" si="4"/>
        <v>0.62569561219981906</v>
      </c>
      <c r="N28" s="260"/>
      <c r="O28" s="166"/>
      <c r="P28" s="65"/>
      <c r="Q28" s="65"/>
      <c r="R28" s="65"/>
      <c r="S28" s="65"/>
      <c r="T28" s="65"/>
      <c r="U28" s="65"/>
      <c r="V28" s="65"/>
      <c r="W28" s="65"/>
      <c r="X28" s="65"/>
      <c r="Y28" s="65"/>
      <c r="Z28" s="65"/>
    </row>
    <row r="29" spans="1:26" ht="15" customHeight="1">
      <c r="A29" s="189"/>
      <c r="B29" s="1" t="s">
        <v>22</v>
      </c>
      <c r="C29" s="207">
        <f>C47</f>
        <v>16591</v>
      </c>
      <c r="D29" s="207">
        <f>D47</f>
        <v>52142</v>
      </c>
      <c r="E29" s="207">
        <f t="shared" si="1"/>
        <v>52142</v>
      </c>
      <c r="F29" s="207">
        <f>F47</f>
        <v>44454</v>
      </c>
      <c r="G29" s="85">
        <f>IF(AND(ISNUMBER(F29)=TRUE,F29&lt;&gt;0),C29/F29,"N/A")</f>
        <v>0.37321725828946778</v>
      </c>
      <c r="H29" s="224">
        <f>H47</f>
        <v>5782862.2300000004</v>
      </c>
      <c r="I29" s="224">
        <f>I47</f>
        <v>3701031.8272000002</v>
      </c>
      <c r="J29" s="224">
        <f>J47</f>
        <v>2081830.4028000003</v>
      </c>
      <c r="K29" s="224">
        <f>K47</f>
        <v>15640915</v>
      </c>
      <c r="L29" s="224">
        <f>L47</f>
        <v>13417696.23</v>
      </c>
      <c r="M29" s="86">
        <f t="shared" si="4"/>
        <v>0.4309877143492315</v>
      </c>
      <c r="N29" s="259"/>
      <c r="O29" s="167"/>
      <c r="P29" s="65"/>
      <c r="Q29" s="65"/>
      <c r="R29" s="65"/>
      <c r="S29" s="65"/>
      <c r="T29" s="65"/>
      <c r="U29" s="65"/>
      <c r="V29" s="65"/>
      <c r="W29" s="65"/>
      <c r="X29" s="65"/>
      <c r="Y29" s="65"/>
      <c r="Z29" s="65"/>
    </row>
    <row r="30" spans="1:26" ht="15" customHeight="1">
      <c r="A30" s="189"/>
      <c r="B30" s="1" t="s">
        <v>23</v>
      </c>
      <c r="C30" s="207">
        <f>C48+C63</f>
        <v>21409.451051</v>
      </c>
      <c r="D30" s="207">
        <f>D48+D63</f>
        <v>48588.684000000008</v>
      </c>
      <c r="E30" s="207">
        <f t="shared" si="1"/>
        <v>48588.684000000008</v>
      </c>
      <c r="F30" s="207">
        <f>F48+F63</f>
        <v>47699.808051</v>
      </c>
      <c r="G30" s="85">
        <f t="shared" si="2"/>
        <v>0.44883725796358132</v>
      </c>
      <c r="H30" s="224">
        <f t="shared" ref="H30:L31" si="6">H48+H63</f>
        <v>8556252.5300000012</v>
      </c>
      <c r="I30" s="224">
        <f t="shared" si="6"/>
        <v>5476001.6192000005</v>
      </c>
      <c r="J30" s="224">
        <f t="shared" si="6"/>
        <v>3080250.9108000002</v>
      </c>
      <c r="K30" s="224">
        <f t="shared" si="6"/>
        <v>16960819</v>
      </c>
      <c r="L30" s="224">
        <f t="shared" si="6"/>
        <v>16715480.449999999</v>
      </c>
      <c r="M30" s="86">
        <f t="shared" si="4"/>
        <v>0.51187595568035271</v>
      </c>
      <c r="N30" s="260"/>
      <c r="O30" s="246"/>
      <c r="P30" s="199"/>
      <c r="Q30" s="199"/>
      <c r="R30" s="65"/>
      <c r="S30" s="65"/>
      <c r="T30" s="65"/>
      <c r="U30" s="65"/>
      <c r="V30" s="65"/>
      <c r="W30" s="65"/>
      <c r="X30" s="65"/>
      <c r="Y30" s="65"/>
      <c r="Z30" s="65"/>
    </row>
    <row r="31" spans="1:26" ht="15" customHeight="1">
      <c r="A31" s="189"/>
      <c r="B31" s="1" t="s">
        <v>24</v>
      </c>
      <c r="C31" s="207">
        <f>C49+C64</f>
        <v>10038.627</v>
      </c>
      <c r="D31" s="207">
        <f>D49+D64</f>
        <v>41777</v>
      </c>
      <c r="E31" s="207">
        <f t="shared" si="1"/>
        <v>41777</v>
      </c>
      <c r="F31" s="207">
        <f>F49+F64</f>
        <v>40173.627</v>
      </c>
      <c r="G31" s="85">
        <f t="shared" si="2"/>
        <v>0.24988102269182716</v>
      </c>
      <c r="H31" s="224">
        <f t="shared" si="6"/>
        <v>5252580.7699999996</v>
      </c>
      <c r="I31" s="224">
        <f t="shared" si="6"/>
        <v>0</v>
      </c>
      <c r="J31" s="224">
        <f t="shared" si="6"/>
        <v>5252580.7699999996</v>
      </c>
      <c r="K31" s="224">
        <f t="shared" si="6"/>
        <v>8668708</v>
      </c>
      <c r="L31" s="224">
        <f t="shared" si="6"/>
        <v>8481976.6999999993</v>
      </c>
      <c r="M31" s="86">
        <f t="shared" si="4"/>
        <v>0.61926375841140902</v>
      </c>
      <c r="N31" s="260"/>
      <c r="O31" s="166"/>
      <c r="P31" s="65"/>
      <c r="Q31" s="65"/>
      <c r="R31" s="65"/>
      <c r="S31" s="65"/>
      <c r="T31" s="65"/>
      <c r="U31" s="65"/>
      <c r="V31" s="65"/>
      <c r="W31" s="65"/>
      <c r="X31" s="65"/>
      <c r="Y31" s="65"/>
      <c r="Z31" s="65"/>
    </row>
    <row r="32" spans="1:26" ht="15" customHeight="1">
      <c r="A32" s="189"/>
      <c r="B32" s="1" t="s">
        <v>25</v>
      </c>
      <c r="C32" s="207">
        <f>C51+C66</f>
        <v>362.12099999999998</v>
      </c>
      <c r="D32" s="207">
        <f>D51+D66</f>
        <v>3729.0283999999992</v>
      </c>
      <c r="E32" s="207">
        <f t="shared" si="1"/>
        <v>3729.0283999999992</v>
      </c>
      <c r="F32" s="207">
        <f>F51+F66</f>
        <v>4107.1210000000001</v>
      </c>
      <c r="G32" s="85">
        <f t="shared" si="2"/>
        <v>8.8169060517087269E-2</v>
      </c>
      <c r="H32" s="224">
        <f t="shared" ref="H32:L33" si="7">H51+H66</f>
        <v>962030.69000000018</v>
      </c>
      <c r="I32" s="224">
        <f t="shared" si="7"/>
        <v>0</v>
      </c>
      <c r="J32" s="224">
        <f t="shared" si="7"/>
        <v>962030.69000000018</v>
      </c>
      <c r="K32" s="224">
        <f t="shared" si="7"/>
        <v>1783286.78</v>
      </c>
      <c r="L32" s="224">
        <f t="shared" si="7"/>
        <v>1382998.9100000001</v>
      </c>
      <c r="M32" s="86">
        <f t="shared" si="4"/>
        <v>0.69561203775641445</v>
      </c>
      <c r="N32" s="260"/>
      <c r="O32" s="167"/>
      <c r="P32" s="65"/>
      <c r="Q32" s="65"/>
      <c r="R32" s="65"/>
      <c r="S32" s="65"/>
      <c r="T32" s="65"/>
      <c r="U32" s="65"/>
      <c r="V32" s="65"/>
      <c r="W32" s="65"/>
      <c r="X32" s="65"/>
      <c r="Y32" s="65"/>
      <c r="Z32" s="65"/>
    </row>
    <row r="33" spans="1:26" ht="15" customHeight="1">
      <c r="A33" s="189"/>
      <c r="B33" s="1" t="s">
        <v>26</v>
      </c>
      <c r="C33" s="207">
        <f>C52+C67</f>
        <v>832.78</v>
      </c>
      <c r="D33" s="207">
        <f>D52+D67</f>
        <v>1056.3744000000002</v>
      </c>
      <c r="E33" s="207">
        <f>D33</f>
        <v>1056.3744000000002</v>
      </c>
      <c r="F33" s="207">
        <f>F52+F67</f>
        <v>1249.78</v>
      </c>
      <c r="G33" s="85">
        <f t="shared" ref="G33:G36" si="8">IF(AND(ISNUMBER(F33)=TRUE,F33&lt;&gt;0),C33/F33,"N/A")</f>
        <v>0.66634127606458737</v>
      </c>
      <c r="H33" s="224">
        <f t="shared" si="7"/>
        <v>298490.74</v>
      </c>
      <c r="I33" s="224">
        <f t="shared" si="7"/>
        <v>0</v>
      </c>
      <c r="J33" s="224">
        <f t="shared" si="7"/>
        <v>298490.74</v>
      </c>
      <c r="K33" s="224">
        <f t="shared" si="7"/>
        <v>422549.99995199987</v>
      </c>
      <c r="L33" s="224">
        <f t="shared" si="7"/>
        <v>449748.45449999993</v>
      </c>
      <c r="M33" s="86">
        <f t="shared" si="4"/>
        <v>0.66368374813392506</v>
      </c>
      <c r="N33" s="260"/>
      <c r="O33" s="246"/>
      <c r="P33" s="199"/>
      <c r="Q33" s="199"/>
      <c r="R33" s="65"/>
      <c r="S33" s="65"/>
      <c r="T33" s="65"/>
      <c r="U33" s="65"/>
      <c r="V33" s="65"/>
      <c r="W33" s="65"/>
      <c r="X33" s="65"/>
      <c r="Y33" s="65"/>
      <c r="Z33" s="65"/>
    </row>
    <row r="34" spans="1:26" ht="15" customHeight="1">
      <c r="A34" s="189"/>
      <c r="B34" s="1" t="s">
        <v>27</v>
      </c>
      <c r="C34" s="207">
        <f>C46+C62+C43</f>
        <v>2010</v>
      </c>
      <c r="D34" s="207">
        <f>D46+D62</f>
        <v>6955</v>
      </c>
      <c r="E34" s="207">
        <f>E46+E62</f>
        <v>6955</v>
      </c>
      <c r="F34" s="207">
        <f>F46+F62+F43</f>
        <v>4716</v>
      </c>
      <c r="G34" s="85">
        <f t="shared" si="8"/>
        <v>0.4262086513994911</v>
      </c>
      <c r="H34" s="224">
        <f>H53+H68</f>
        <v>5757550.1399999987</v>
      </c>
      <c r="I34" s="224">
        <f>I46+I62</f>
        <v>0</v>
      </c>
      <c r="J34" s="224">
        <f t="shared" ref="J34" si="9">J46+J62</f>
        <v>0</v>
      </c>
      <c r="K34" s="258" t="s">
        <v>28</v>
      </c>
      <c r="L34" s="258" t="s">
        <v>28</v>
      </c>
      <c r="M34" s="86" t="str">
        <f t="shared" si="4"/>
        <v>N/A</v>
      </c>
      <c r="N34" s="260"/>
      <c r="O34" s="166"/>
      <c r="P34" s="65"/>
      <c r="Q34" s="65"/>
      <c r="R34" s="65"/>
      <c r="S34" s="65"/>
      <c r="T34" s="65"/>
      <c r="U34" s="65"/>
      <c r="V34" s="65"/>
      <c r="W34" s="65"/>
      <c r="X34" s="65"/>
      <c r="Y34" s="65"/>
      <c r="Z34" s="65"/>
    </row>
    <row r="35" spans="1:26" ht="15" customHeight="1">
      <c r="A35" s="189"/>
      <c r="B35" s="1" t="s">
        <v>29</v>
      </c>
      <c r="C35" s="83" t="s">
        <v>28</v>
      </c>
      <c r="D35" s="83" t="s">
        <v>28</v>
      </c>
      <c r="E35" s="83" t="str">
        <f>D35</f>
        <v>N/A</v>
      </c>
      <c r="F35" s="83" t="s">
        <v>28</v>
      </c>
      <c r="G35" s="85" t="str">
        <f t="shared" si="8"/>
        <v>N/A</v>
      </c>
      <c r="H35" s="224">
        <f t="shared" ref="H35:L35" si="10">H53+H68</f>
        <v>5757550.1399999987</v>
      </c>
      <c r="I35" s="224">
        <f t="shared" si="10"/>
        <v>0</v>
      </c>
      <c r="J35" s="224">
        <f t="shared" si="10"/>
        <v>5757550.1399999987</v>
      </c>
      <c r="K35" s="224">
        <f t="shared" si="10"/>
        <v>14443030.01</v>
      </c>
      <c r="L35" s="224">
        <f t="shared" si="10"/>
        <v>7960181.5069331164</v>
      </c>
      <c r="M35" s="86">
        <f t="shared" si="4"/>
        <v>0.72329382627586047</v>
      </c>
      <c r="N35" s="260"/>
      <c r="O35" s="167"/>
      <c r="P35" s="65"/>
      <c r="Q35" s="65"/>
      <c r="R35" s="65"/>
      <c r="S35" s="65"/>
      <c r="T35" s="65"/>
      <c r="U35" s="65"/>
      <c r="V35" s="65"/>
      <c r="W35" s="65"/>
      <c r="X35" s="65"/>
      <c r="Y35" s="65"/>
      <c r="Z35" s="65"/>
    </row>
    <row r="36" spans="1:26" ht="14.5">
      <c r="A36" s="189"/>
      <c r="B36" s="1" t="s">
        <v>30</v>
      </c>
      <c r="C36" s="83" t="s">
        <v>28</v>
      </c>
      <c r="D36" s="83" t="s">
        <v>28</v>
      </c>
      <c r="E36" s="83" t="str">
        <f>D36</f>
        <v>N/A</v>
      </c>
      <c r="F36" s="83" t="s">
        <v>28</v>
      </c>
      <c r="G36" s="85" t="str">
        <f t="shared" si="8"/>
        <v>N/A</v>
      </c>
      <c r="H36" s="224">
        <f>H54</f>
        <v>8785.52</v>
      </c>
      <c r="I36" s="224">
        <f>I54</f>
        <v>0</v>
      </c>
      <c r="J36" s="224">
        <f>J54</f>
        <v>8785.52</v>
      </c>
      <c r="K36" s="224">
        <f>K54</f>
        <v>50000</v>
      </c>
      <c r="L36" s="224">
        <f>L54</f>
        <v>17325.52</v>
      </c>
      <c r="M36" s="86">
        <f t="shared" si="4"/>
        <v>0.50708550161842181</v>
      </c>
      <c r="N36" s="260"/>
      <c r="O36" s="246"/>
      <c r="P36" s="199"/>
      <c r="Q36" s="199"/>
      <c r="R36" s="65"/>
      <c r="S36" s="65"/>
      <c r="T36" s="65"/>
      <c r="U36" s="65"/>
      <c r="V36" s="65"/>
      <c r="W36" s="65"/>
      <c r="X36" s="65"/>
      <c r="Y36" s="65"/>
      <c r="Z36" s="65"/>
    </row>
    <row r="37" spans="1:26" ht="20.25" customHeight="1">
      <c r="A37" s="189"/>
      <c r="B37" s="2" t="s">
        <v>31</v>
      </c>
      <c r="C37" s="209">
        <f>SUM(C22,C26:C36)</f>
        <v>436411.21266959992</v>
      </c>
      <c r="D37" s="209">
        <f>SUM(D22,D26:D36)</f>
        <v>681794.84320599062</v>
      </c>
      <c r="E37" s="209">
        <f>SUM(E22,E26:E36)</f>
        <v>681794.84320599062</v>
      </c>
      <c r="F37" s="209">
        <f>SUM(F22,F26:F36)</f>
        <v>660711.53826224781</v>
      </c>
      <c r="G37" s="84">
        <f t="shared" si="2"/>
        <v>0.66051701445598299</v>
      </c>
      <c r="H37" s="225">
        <f>SUM(H22,H26:H36)</f>
        <v>167492115.46723658</v>
      </c>
      <c r="I37" s="225">
        <f>SUM(I22,I26:I36)</f>
        <v>95651281.579031408</v>
      </c>
      <c r="J37" s="225">
        <f>SUM(J22,J26:J36)</f>
        <v>66083283.74820517</v>
      </c>
      <c r="K37" s="225">
        <f>SUM(K22,K26:K36)</f>
        <v>235985481.99272606</v>
      </c>
      <c r="L37" s="225">
        <f>SUM(L22,L26:L36)</f>
        <v>230752378.48331439</v>
      </c>
      <c r="M37" s="195">
        <f>H37/L37</f>
        <v>0.72585217352092368</v>
      </c>
      <c r="N37" s="259"/>
      <c r="O37" s="166"/>
      <c r="P37" s="65"/>
      <c r="Q37" s="65"/>
      <c r="R37" s="65"/>
      <c r="S37" s="65"/>
      <c r="T37" s="65"/>
      <c r="U37" s="65"/>
      <c r="V37" s="65"/>
      <c r="W37" s="65"/>
      <c r="X37" s="65"/>
      <c r="Y37" s="65"/>
      <c r="Z37" s="65"/>
    </row>
    <row r="38" spans="1:26" ht="20.25" customHeight="1">
      <c r="A38" s="189"/>
      <c r="B38" s="202" t="s">
        <v>311</v>
      </c>
      <c r="C38" s="216"/>
      <c r="D38" s="216"/>
      <c r="E38" s="216"/>
      <c r="F38" s="216"/>
      <c r="G38" s="216"/>
      <c r="H38" s="203"/>
      <c r="I38" s="203"/>
      <c r="J38" s="203"/>
      <c r="K38" s="203"/>
      <c r="L38" s="203"/>
      <c r="M38" s="204"/>
      <c r="N38" s="260"/>
      <c r="O38" s="167"/>
      <c r="P38" s="65"/>
      <c r="Q38" s="65"/>
      <c r="R38" s="65"/>
      <c r="S38" s="65"/>
      <c r="T38" s="65"/>
      <c r="U38" s="65"/>
      <c r="V38" s="65"/>
      <c r="W38" s="65"/>
      <c r="X38" s="65"/>
      <c r="Y38" s="65"/>
      <c r="Z38" s="65"/>
    </row>
    <row r="39" spans="1:26" ht="14.5">
      <c r="A39" s="189"/>
      <c r="B39" s="1" t="s">
        <v>32</v>
      </c>
      <c r="C39" s="83">
        <f>SUM(C40:C42)</f>
        <v>103435.86079359999</v>
      </c>
      <c r="D39" s="83">
        <f>D40+D41+D42</f>
        <v>167535.27904342263</v>
      </c>
      <c r="E39" s="210">
        <f t="shared" ref="E39:E51" si="11">D39</f>
        <v>167535.27904342263</v>
      </c>
      <c r="F39" s="210">
        <f>SUM(F40:F42)</f>
        <v>181307.83743360001</v>
      </c>
      <c r="G39" s="85">
        <f t="shared" si="2"/>
        <v>0.57049856342520822</v>
      </c>
      <c r="H39" s="224">
        <f>SUM(H40:H42)</f>
        <v>35192326.180000007</v>
      </c>
      <c r="I39" s="224">
        <f>SUM(I40:I42)</f>
        <v>22523088.755200002</v>
      </c>
      <c r="J39" s="224">
        <f>SUM(J40:J42)</f>
        <v>12669237.424800003</v>
      </c>
      <c r="K39" s="224">
        <f>SUM(K40:K42)</f>
        <v>53208834.819222674</v>
      </c>
      <c r="L39" s="224">
        <f>SUM(L40:L42)</f>
        <v>57961945.374422565</v>
      </c>
      <c r="M39" s="86">
        <f t="shared" ref="M39:M50" si="12">IFERROR(H39/L39,"N/A")</f>
        <v>0.60716261251523951</v>
      </c>
      <c r="N39" s="261"/>
      <c r="O39" s="167"/>
      <c r="P39" s="65"/>
      <c r="Q39" s="65"/>
      <c r="R39" s="65"/>
      <c r="S39" s="65"/>
      <c r="T39" s="65"/>
      <c r="U39" s="65"/>
      <c r="V39" s="65"/>
      <c r="W39" s="65"/>
      <c r="X39" s="65"/>
      <c r="Y39" s="65"/>
      <c r="Z39" s="65"/>
    </row>
    <row r="40" spans="1:26" ht="14.5">
      <c r="A40" s="189"/>
      <c r="B40" s="196" t="s">
        <v>33</v>
      </c>
      <c r="C40" s="212">
        <v>96763.081919999997</v>
      </c>
      <c r="D40" s="211">
        <v>156342.27904748562</v>
      </c>
      <c r="E40" s="210">
        <f t="shared" si="11"/>
        <v>156342.27904748562</v>
      </c>
      <c r="F40" s="213">
        <v>168609.05856</v>
      </c>
      <c r="G40" s="86">
        <f>IF(AND(ISNUMBER(F40)=TRUE,F40&lt;&gt;0),C40/F40,"N/A")</f>
        <v>0.5738901737925699</v>
      </c>
      <c r="H40" s="226">
        <v>30831947.870000005</v>
      </c>
      <c r="I40" s="224">
        <f>H40*0.64</f>
        <v>19732446.636800002</v>
      </c>
      <c r="J40" s="224">
        <f t="shared" ref="J40:J66" si="13">H40-I40</f>
        <v>11099501.233200002</v>
      </c>
      <c r="K40" s="226">
        <v>45879736</v>
      </c>
      <c r="L40" s="226">
        <v>51211493.690000005</v>
      </c>
      <c r="M40" s="86">
        <f t="shared" si="12"/>
        <v>0.60205132966118724</v>
      </c>
      <c r="N40" s="260"/>
      <c r="O40" s="246"/>
      <c r="P40" s="199"/>
      <c r="Q40" s="199"/>
      <c r="R40" s="65"/>
      <c r="S40" s="65"/>
      <c r="T40" s="65"/>
      <c r="U40" s="65"/>
      <c r="V40" s="65"/>
      <c r="W40" s="65"/>
      <c r="X40" s="65"/>
      <c r="Y40" s="65"/>
      <c r="Z40" s="65"/>
    </row>
    <row r="41" spans="1:26" ht="14.5">
      <c r="A41" s="189"/>
      <c r="B41" s="196" t="s">
        <v>34</v>
      </c>
      <c r="C41" s="212">
        <v>6439.2932799999999</v>
      </c>
      <c r="D41" s="211">
        <v>11192.999995937018</v>
      </c>
      <c r="E41" s="210">
        <f t="shared" si="11"/>
        <v>11192.999995937018</v>
      </c>
      <c r="F41" s="213">
        <v>12465.29328</v>
      </c>
      <c r="G41" s="86">
        <f t="shared" si="2"/>
        <v>0.51657775997389133</v>
      </c>
      <c r="H41" s="226">
        <v>4360378.3100000005</v>
      </c>
      <c r="I41" s="224">
        <f>H41*0.64</f>
        <v>2790642.1184000005</v>
      </c>
      <c r="J41" s="224">
        <f t="shared" si="13"/>
        <v>1569736.1916</v>
      </c>
      <c r="K41" s="226">
        <v>7329098.8192226756</v>
      </c>
      <c r="L41" s="226">
        <v>6750451.6844225572</v>
      </c>
      <c r="M41" s="86">
        <f t="shared" si="12"/>
        <v>0.64593874807845442</v>
      </c>
      <c r="N41" s="260"/>
      <c r="O41" s="166"/>
      <c r="P41" s="65"/>
      <c r="Q41" s="65"/>
      <c r="R41" s="65"/>
      <c r="S41" s="65"/>
      <c r="T41" s="65"/>
      <c r="U41" s="65"/>
      <c r="V41" s="65"/>
      <c r="W41" s="65"/>
      <c r="X41" s="65"/>
      <c r="Y41" s="65"/>
      <c r="Z41" s="65"/>
    </row>
    <row r="42" spans="1:26" ht="14.5">
      <c r="A42" s="189"/>
      <c r="B42" s="196" t="s">
        <v>18</v>
      </c>
      <c r="C42" s="212">
        <v>233.48559359999999</v>
      </c>
      <c r="D42" s="213">
        <v>0</v>
      </c>
      <c r="E42" s="210">
        <f t="shared" si="11"/>
        <v>0</v>
      </c>
      <c r="F42" s="213">
        <v>233.48559359999999</v>
      </c>
      <c r="G42" s="86">
        <f t="shared" si="2"/>
        <v>1</v>
      </c>
      <c r="H42" s="226">
        <v>0</v>
      </c>
      <c r="I42" s="224">
        <v>0</v>
      </c>
      <c r="J42" s="224">
        <f t="shared" si="13"/>
        <v>0</v>
      </c>
      <c r="K42" s="226">
        <v>0</v>
      </c>
      <c r="L42" s="226">
        <v>0</v>
      </c>
      <c r="M42" s="86" t="str">
        <f t="shared" si="12"/>
        <v>N/A</v>
      </c>
      <c r="N42" s="260"/>
      <c r="O42" s="167"/>
      <c r="P42" s="65"/>
      <c r="Q42" s="65"/>
      <c r="R42" s="65"/>
      <c r="S42" s="65"/>
      <c r="T42" s="65"/>
      <c r="U42" s="65"/>
      <c r="V42" s="65"/>
      <c r="W42" s="65"/>
      <c r="X42" s="65"/>
      <c r="Y42" s="65"/>
      <c r="Z42" s="65"/>
    </row>
    <row r="43" spans="1:26" ht="14.5">
      <c r="A43" s="189"/>
      <c r="B43" s="1" t="s">
        <v>309</v>
      </c>
      <c r="C43" s="212">
        <v>52</v>
      </c>
      <c r="D43" s="213" t="s">
        <v>28</v>
      </c>
      <c r="E43" s="210" t="str">
        <f t="shared" si="11"/>
        <v>N/A</v>
      </c>
      <c r="F43" s="213">
        <v>52</v>
      </c>
      <c r="G43" s="86">
        <f t="shared" si="2"/>
        <v>1</v>
      </c>
      <c r="H43" s="226">
        <v>0</v>
      </c>
      <c r="I43" s="224">
        <v>0</v>
      </c>
      <c r="J43" s="224">
        <v>0</v>
      </c>
      <c r="K43" s="257">
        <v>0</v>
      </c>
      <c r="L43" s="257">
        <v>0</v>
      </c>
      <c r="M43" s="86" t="str">
        <f t="shared" si="12"/>
        <v>N/A</v>
      </c>
      <c r="N43" s="260"/>
      <c r="O43" s="167"/>
      <c r="P43" s="65"/>
      <c r="Q43" s="65"/>
      <c r="R43" s="65"/>
      <c r="S43" s="65"/>
      <c r="T43" s="65"/>
      <c r="U43" s="65"/>
      <c r="V43" s="65"/>
      <c r="W43" s="65"/>
      <c r="X43" s="65"/>
      <c r="Y43" s="65"/>
      <c r="Z43" s="65"/>
    </row>
    <row r="44" spans="1:26" ht="14.5">
      <c r="A44" s="189"/>
      <c r="B44" s="1" t="s">
        <v>35</v>
      </c>
      <c r="C44" s="212">
        <v>158438.81899999999</v>
      </c>
      <c r="D44" s="211">
        <v>182869.85501612417</v>
      </c>
      <c r="E44" s="210">
        <f t="shared" si="11"/>
        <v>182869.85501612417</v>
      </c>
      <c r="F44" s="213">
        <v>178033.59399999998</v>
      </c>
      <c r="G44" s="86">
        <f t="shared" si="2"/>
        <v>0.88993776646445732</v>
      </c>
      <c r="H44" s="226">
        <v>62633433.780000016</v>
      </c>
      <c r="I44" s="224">
        <f>H44*0.64</f>
        <v>40085397.619200014</v>
      </c>
      <c r="J44" s="224">
        <f t="shared" si="13"/>
        <v>22548036.160800003</v>
      </c>
      <c r="K44" s="226">
        <v>70008904.489999995</v>
      </c>
      <c r="L44" s="226">
        <v>73527372.800000027</v>
      </c>
      <c r="M44" s="86">
        <f t="shared" si="12"/>
        <v>0.85183832081648914</v>
      </c>
      <c r="N44" s="260"/>
      <c r="O44" s="246"/>
      <c r="P44" s="199"/>
      <c r="Q44" s="199"/>
      <c r="R44" s="65"/>
      <c r="S44" s="65"/>
      <c r="T44" s="65"/>
      <c r="U44" s="65"/>
      <c r="V44" s="65"/>
      <c r="W44" s="65"/>
      <c r="X44" s="65"/>
      <c r="Y44" s="65"/>
      <c r="Z44" s="65"/>
    </row>
    <row r="45" spans="1:26" ht="14.5">
      <c r="A45" s="189"/>
      <c r="B45" s="1" t="s">
        <v>36</v>
      </c>
      <c r="C45" s="212">
        <v>62464</v>
      </c>
      <c r="D45" s="211">
        <v>61847</v>
      </c>
      <c r="E45" s="210">
        <f t="shared" si="11"/>
        <v>61847</v>
      </c>
      <c r="F45" s="213">
        <v>68090.541754557693</v>
      </c>
      <c r="G45" s="86">
        <f t="shared" si="2"/>
        <v>0.91736676475802781</v>
      </c>
      <c r="H45" s="226">
        <v>11663766.527236551</v>
      </c>
      <c r="I45" s="224">
        <f>H45*0.64</f>
        <v>7464810.5774313929</v>
      </c>
      <c r="J45" s="224">
        <f t="shared" si="13"/>
        <v>4198955.9498051582</v>
      </c>
      <c r="K45" s="226">
        <v>13829081.388429349</v>
      </c>
      <c r="L45" s="226">
        <v>14824601.662746202</v>
      </c>
      <c r="M45" s="86">
        <f t="shared" si="12"/>
        <v>0.7867844811336322</v>
      </c>
      <c r="N45" s="260"/>
      <c r="O45" s="166"/>
      <c r="P45" s="65"/>
      <c r="Q45" s="65"/>
      <c r="R45" s="65"/>
      <c r="S45" s="65"/>
      <c r="T45" s="65"/>
      <c r="U45" s="65"/>
      <c r="V45" s="65"/>
      <c r="W45" s="65"/>
      <c r="X45" s="65"/>
      <c r="Y45" s="65"/>
      <c r="Z45" s="65"/>
    </row>
    <row r="46" spans="1:26" ht="14.5">
      <c r="A46" s="189"/>
      <c r="B46" s="1" t="s">
        <v>37</v>
      </c>
      <c r="C46" s="212">
        <v>1824</v>
      </c>
      <c r="D46" s="211">
        <v>5564</v>
      </c>
      <c r="E46" s="210">
        <f t="shared" si="11"/>
        <v>5564</v>
      </c>
      <c r="F46" s="213">
        <v>3988</v>
      </c>
      <c r="G46" s="86">
        <f t="shared" si="2"/>
        <v>0.45737211634904712</v>
      </c>
      <c r="H46" s="257">
        <v>0</v>
      </c>
      <c r="I46" s="224">
        <v>0</v>
      </c>
      <c r="J46" s="224">
        <v>0</v>
      </c>
      <c r="K46" s="257">
        <v>0</v>
      </c>
      <c r="L46" s="257">
        <v>0</v>
      </c>
      <c r="M46" s="86" t="str">
        <f t="shared" si="12"/>
        <v>N/A</v>
      </c>
      <c r="N46" s="260"/>
      <c r="O46" s="167"/>
      <c r="P46" s="65"/>
      <c r="Q46" s="65"/>
      <c r="R46" s="65"/>
      <c r="S46" s="65"/>
      <c r="T46" s="65"/>
      <c r="U46" s="65"/>
      <c r="V46" s="65"/>
      <c r="W46" s="65"/>
      <c r="X46" s="65"/>
      <c r="Y46" s="65"/>
      <c r="Z46" s="65"/>
    </row>
    <row r="47" spans="1:26" ht="14.5">
      <c r="A47" s="189"/>
      <c r="B47" s="1" t="s">
        <v>38</v>
      </c>
      <c r="C47" s="212">
        <v>16591</v>
      </c>
      <c r="D47" s="213">
        <v>52142</v>
      </c>
      <c r="E47" s="210">
        <f t="shared" si="11"/>
        <v>52142</v>
      </c>
      <c r="F47" s="213">
        <v>44454</v>
      </c>
      <c r="G47" s="86">
        <f t="shared" si="2"/>
        <v>0.37321725828946778</v>
      </c>
      <c r="H47" s="226">
        <v>5782862.2300000004</v>
      </c>
      <c r="I47" s="224">
        <f>H47*0.64</f>
        <v>3701031.8272000002</v>
      </c>
      <c r="J47" s="224">
        <f t="shared" si="13"/>
        <v>2081830.4028000003</v>
      </c>
      <c r="K47" s="226">
        <v>15640915</v>
      </c>
      <c r="L47" s="226">
        <v>13417696.23</v>
      </c>
      <c r="M47" s="86">
        <f t="shared" si="12"/>
        <v>0.4309877143492315</v>
      </c>
      <c r="N47" s="260"/>
      <c r="O47" s="246"/>
      <c r="P47" s="199"/>
      <c r="Q47" s="199"/>
      <c r="R47" s="65"/>
      <c r="S47" s="65"/>
      <c r="T47" s="65"/>
      <c r="U47" s="65"/>
      <c r="V47" s="65"/>
      <c r="W47" s="65"/>
      <c r="X47" s="65"/>
      <c r="Y47" s="65"/>
      <c r="Z47" s="65"/>
    </row>
    <row r="48" spans="1:26" ht="14.5">
      <c r="A48" s="189"/>
      <c r="B48" s="1" t="s">
        <v>39</v>
      </c>
      <c r="C48" s="212">
        <v>10659.449349999999</v>
      </c>
      <c r="D48" s="213">
        <v>35392.454000000005</v>
      </c>
      <c r="E48" s="210">
        <f t="shared" si="11"/>
        <v>35392.454000000005</v>
      </c>
      <c r="F48" s="213">
        <v>30034.469349999999</v>
      </c>
      <c r="G48" s="86">
        <f t="shared" si="2"/>
        <v>0.35490719765288609</v>
      </c>
      <c r="H48" s="226">
        <v>5053390.78</v>
      </c>
      <c r="I48" s="224">
        <f>H48*0.64</f>
        <v>3234170.0992000001</v>
      </c>
      <c r="J48" s="224">
        <f t="shared" si="13"/>
        <v>1819220.6808000002</v>
      </c>
      <c r="K48" s="226">
        <v>12533723</v>
      </c>
      <c r="L48" s="226">
        <v>10956886.85</v>
      </c>
      <c r="M48" s="86">
        <f t="shared" si="12"/>
        <v>0.46120680528885816</v>
      </c>
      <c r="N48" s="260"/>
      <c r="O48" s="166"/>
      <c r="P48" s="65"/>
      <c r="Q48" s="65"/>
      <c r="R48" s="65"/>
      <c r="S48" s="65"/>
      <c r="T48" s="65"/>
      <c r="U48" s="65"/>
      <c r="V48" s="65"/>
      <c r="W48" s="65"/>
      <c r="X48" s="65"/>
      <c r="Y48" s="65"/>
      <c r="Z48" s="65"/>
    </row>
    <row r="49" spans="1:26" ht="14.5">
      <c r="A49" s="189"/>
      <c r="B49" s="1" t="s">
        <v>40</v>
      </c>
      <c r="C49" s="212">
        <v>7019.7039999999997</v>
      </c>
      <c r="D49" s="213">
        <v>33434</v>
      </c>
      <c r="E49" s="210">
        <f t="shared" si="11"/>
        <v>33434</v>
      </c>
      <c r="F49" s="213">
        <v>33504.703999999998</v>
      </c>
      <c r="G49" s="86">
        <f t="shared" si="2"/>
        <v>0.20951398346930628</v>
      </c>
      <c r="H49" s="226">
        <v>4318167.84</v>
      </c>
      <c r="I49" s="224">
        <v>0</v>
      </c>
      <c r="J49" s="224">
        <f t="shared" si="13"/>
        <v>4318167.84</v>
      </c>
      <c r="K49" s="226">
        <v>7138978</v>
      </c>
      <c r="L49" s="226">
        <v>7090436.7699999996</v>
      </c>
      <c r="M49" s="86">
        <f t="shared" si="12"/>
        <v>0.60901295365475772</v>
      </c>
      <c r="N49" s="260"/>
      <c r="O49" s="167"/>
      <c r="P49" s="65"/>
      <c r="Q49" s="65"/>
      <c r="R49" s="65"/>
      <c r="S49" s="65"/>
      <c r="T49" s="65"/>
      <c r="U49" s="65"/>
      <c r="V49" s="65"/>
      <c r="W49" s="65"/>
      <c r="X49" s="65"/>
      <c r="Y49" s="65"/>
      <c r="Z49" s="65"/>
    </row>
    <row r="50" spans="1:26" ht="14.5">
      <c r="A50" s="189"/>
      <c r="B50" s="1" t="s">
        <v>41</v>
      </c>
      <c r="C50" s="212">
        <v>4166.6519979999994</v>
      </c>
      <c r="D50" s="213">
        <v>9459</v>
      </c>
      <c r="E50" s="210">
        <f t="shared" si="11"/>
        <v>9459</v>
      </c>
      <c r="F50" s="213">
        <v>7657.6519979999994</v>
      </c>
      <c r="G50" s="86">
        <f t="shared" si="2"/>
        <v>0.54411613365144196</v>
      </c>
      <c r="H50" s="226">
        <v>2261600.4400000004</v>
      </c>
      <c r="I50" s="224">
        <f>H50*0.64</f>
        <v>1447424.2816000003</v>
      </c>
      <c r="J50" s="224">
        <f t="shared" si="13"/>
        <v>814176.15840000007</v>
      </c>
      <c r="K50" s="226">
        <v>4185420.002496846</v>
      </c>
      <c r="L50" s="226">
        <v>3514197.0966410553</v>
      </c>
      <c r="M50" s="86">
        <f t="shared" si="12"/>
        <v>0.64356106894564524</v>
      </c>
      <c r="N50" s="260"/>
      <c r="O50" s="246"/>
      <c r="P50" s="199"/>
      <c r="Q50" s="199"/>
      <c r="R50" s="65"/>
      <c r="S50" s="65"/>
      <c r="T50" s="65"/>
      <c r="U50" s="65"/>
      <c r="V50" s="65"/>
      <c r="W50" s="65"/>
      <c r="X50" s="65"/>
      <c r="Y50" s="65"/>
      <c r="Z50" s="65"/>
    </row>
    <row r="51" spans="1:26" ht="14.5">
      <c r="A51" s="189"/>
      <c r="B51" s="1" t="s">
        <v>42</v>
      </c>
      <c r="C51" s="212">
        <v>112.29600000000001</v>
      </c>
      <c r="D51" s="213">
        <v>2830.6946999999991</v>
      </c>
      <c r="E51" s="210">
        <f t="shared" si="11"/>
        <v>2830.6946999999991</v>
      </c>
      <c r="F51" s="213">
        <v>2857.2960000000003</v>
      </c>
      <c r="G51" s="86">
        <f t="shared" si="2"/>
        <v>3.9301493439951617E-2</v>
      </c>
      <c r="H51" s="226">
        <v>635650.97000000009</v>
      </c>
      <c r="I51" s="224">
        <v>0</v>
      </c>
      <c r="J51" s="224">
        <f t="shared" si="13"/>
        <v>635650.97000000009</v>
      </c>
      <c r="K51" s="226">
        <v>1176974.31</v>
      </c>
      <c r="L51" s="226">
        <v>915666.97000000009</v>
      </c>
      <c r="M51" s="86">
        <f t="shared" ref="M51:M54" si="14">IFERROR(H51/L51,"N/A")</f>
        <v>0.69419449518857279</v>
      </c>
      <c r="N51" s="260"/>
      <c r="O51" s="166"/>
      <c r="P51" s="65"/>
      <c r="Q51" s="65"/>
      <c r="R51" s="65"/>
      <c r="S51" s="65"/>
      <c r="T51" s="65"/>
      <c r="U51" s="65"/>
      <c r="V51" s="65"/>
      <c r="W51" s="65"/>
      <c r="X51" s="65"/>
      <c r="Y51" s="65"/>
      <c r="Z51" s="65"/>
    </row>
    <row r="52" spans="1:26" ht="14.5">
      <c r="A52" s="189"/>
      <c r="B52" s="1" t="s">
        <v>43</v>
      </c>
      <c r="C52" s="212">
        <v>796.31</v>
      </c>
      <c r="D52" s="213">
        <v>984.83665511889865</v>
      </c>
      <c r="E52" s="210">
        <f t="shared" ref="E52" si="15">D52</f>
        <v>984.83665511889865</v>
      </c>
      <c r="F52" s="213">
        <v>1192.46</v>
      </c>
      <c r="G52" s="86">
        <f t="shared" ref="G52" si="16">IF(AND(ISNUMBER(F52)=TRUE,F52&lt;&gt;0),C52/F52,"N/A")</f>
        <v>0.66778759874545046</v>
      </c>
      <c r="H52" s="226">
        <v>282567.74</v>
      </c>
      <c r="I52" s="224">
        <v>0</v>
      </c>
      <c r="J52" s="224">
        <f t="shared" ref="J52" si="17">H52-I52</f>
        <v>282567.74</v>
      </c>
      <c r="K52" s="226">
        <v>422549.99995199987</v>
      </c>
      <c r="L52" s="226">
        <v>428269.51449999993</v>
      </c>
      <c r="M52" s="86">
        <f t="shared" si="14"/>
        <v>0.65978952606490049</v>
      </c>
      <c r="N52" s="260"/>
      <c r="O52" s="167"/>
      <c r="P52" s="65"/>
      <c r="Q52" s="65"/>
      <c r="R52" s="65"/>
      <c r="S52" s="65"/>
      <c r="T52" s="65"/>
      <c r="U52" s="65"/>
      <c r="V52" s="65"/>
      <c r="W52" s="65"/>
      <c r="X52" s="65"/>
      <c r="Y52" s="65"/>
      <c r="Z52" s="65"/>
    </row>
    <row r="53" spans="1:26" ht="14.5">
      <c r="A53" s="189"/>
      <c r="B53" s="1" t="s">
        <v>44</v>
      </c>
      <c r="C53" s="212" t="s">
        <v>28</v>
      </c>
      <c r="D53" s="212" t="s">
        <v>28</v>
      </c>
      <c r="E53" s="210" t="str">
        <f>D53</f>
        <v>N/A</v>
      </c>
      <c r="F53" s="212" t="s">
        <v>28</v>
      </c>
      <c r="G53" s="83" t="str">
        <f>IF(AND(ISNUMBER(F53)=TRUE,F53&lt;&gt;0),C53/F53,"N/A")</f>
        <v>N/A</v>
      </c>
      <c r="H53" s="226">
        <f>4323588.52+6656.47</f>
        <v>4330244.9899999993</v>
      </c>
      <c r="I53" s="224">
        <v>0</v>
      </c>
      <c r="J53" s="224">
        <f>H53-I53</f>
        <v>4330244.9899999993</v>
      </c>
      <c r="K53" s="226">
        <v>10232585.68</v>
      </c>
      <c r="L53" s="226">
        <f>6045728.2+25879.7456933116</f>
        <v>6071607.9456933122</v>
      </c>
      <c r="M53" s="86">
        <f t="shared" si="14"/>
        <v>0.71319575122954215</v>
      </c>
      <c r="N53" s="260"/>
      <c r="O53" s="246"/>
      <c r="P53" s="199"/>
      <c r="Q53" s="199"/>
      <c r="R53" s="65"/>
      <c r="S53" s="65"/>
      <c r="T53" s="65"/>
      <c r="U53" s="65"/>
      <c r="V53" s="65"/>
      <c r="W53" s="65"/>
      <c r="X53" s="65"/>
      <c r="Y53" s="65"/>
      <c r="Z53" s="65"/>
    </row>
    <row r="54" spans="1:26" ht="14.5">
      <c r="A54" s="189"/>
      <c r="B54" s="1" t="s">
        <v>45</v>
      </c>
      <c r="C54" s="212" t="s">
        <v>28</v>
      </c>
      <c r="D54" s="212" t="s">
        <v>28</v>
      </c>
      <c r="E54" s="210" t="str">
        <f>D54</f>
        <v>N/A</v>
      </c>
      <c r="F54" s="212" t="s">
        <v>28</v>
      </c>
      <c r="G54" s="83" t="str">
        <f>IF(AND(ISNUMBER(F54)=TRUE,F54&lt;&gt;0),C54/F54,"N/A")</f>
        <v>N/A</v>
      </c>
      <c r="H54" s="226">
        <v>8785.52</v>
      </c>
      <c r="I54" s="224">
        <v>0</v>
      </c>
      <c r="J54" s="224">
        <f>H54-I54</f>
        <v>8785.52</v>
      </c>
      <c r="K54" s="226">
        <v>50000</v>
      </c>
      <c r="L54" s="226">
        <v>17325.52</v>
      </c>
      <c r="M54" s="86">
        <f t="shared" si="14"/>
        <v>0.50708550161842181</v>
      </c>
      <c r="N54" s="260"/>
      <c r="O54" s="166"/>
      <c r="P54" s="65"/>
      <c r="Q54" s="65"/>
      <c r="R54" s="65"/>
      <c r="S54" s="65"/>
      <c r="T54" s="65"/>
      <c r="U54" s="65"/>
      <c r="V54" s="65"/>
      <c r="W54" s="65"/>
      <c r="X54" s="65"/>
      <c r="Y54" s="65"/>
      <c r="Z54" s="65"/>
    </row>
    <row r="55" spans="1:26" ht="20.25" customHeight="1">
      <c r="A55" s="189"/>
      <c r="B55" s="40" t="s">
        <v>46</v>
      </c>
      <c r="C55" s="233">
        <f>SUM(C39,C43:C54)</f>
        <v>365560.09114159999</v>
      </c>
      <c r="D55" s="233">
        <f>SUM(D39,D43:D54)</f>
        <v>552059.11941466574</v>
      </c>
      <c r="E55" s="233">
        <f>SUM(E39,E43:E54)</f>
        <v>552059.11941466574</v>
      </c>
      <c r="F55" s="233">
        <f>SUM(F39,F43:F54)</f>
        <v>551172.55453615764</v>
      </c>
      <c r="G55" s="234">
        <f t="shared" si="2"/>
        <v>0.66324073674031014</v>
      </c>
      <c r="H55" s="235">
        <f>SUM(H39,H44:H54)</f>
        <v>132162796.99723656</v>
      </c>
      <c r="I55" s="235">
        <f>SUM(I39,I44:I54)</f>
        <v>78455923.159831405</v>
      </c>
      <c r="J55" s="235">
        <f>H55-I55</f>
        <v>53706873.83740516</v>
      </c>
      <c r="K55" s="235">
        <f>SUM(K39,K44:K54)</f>
        <v>188427966.69010085</v>
      </c>
      <c r="L55" s="235">
        <f>SUM(L39,L44:L54)</f>
        <v>188726006.73400316</v>
      </c>
      <c r="M55" s="87">
        <f>H55/L55</f>
        <v>0.70028926741141351</v>
      </c>
      <c r="N55" s="260"/>
      <c r="O55" s="167"/>
      <c r="P55" s="65"/>
      <c r="Q55" s="65"/>
      <c r="R55" s="65"/>
      <c r="S55" s="65"/>
      <c r="T55" s="65"/>
      <c r="U55" s="65"/>
      <c r="V55" s="65"/>
      <c r="W55" s="65"/>
      <c r="X55" s="65"/>
      <c r="Y55" s="65"/>
      <c r="Z55" s="65"/>
    </row>
    <row r="56" spans="1:26" ht="20.25" customHeight="1">
      <c r="A56" s="189"/>
      <c r="B56" s="202" t="s">
        <v>312</v>
      </c>
      <c r="C56" s="216"/>
      <c r="D56" s="216"/>
      <c r="E56" s="216"/>
      <c r="F56" s="216"/>
      <c r="G56" s="216"/>
      <c r="H56" s="203"/>
      <c r="I56" s="203"/>
      <c r="J56" s="203"/>
      <c r="K56" s="203"/>
      <c r="L56" s="203"/>
      <c r="M56" s="204"/>
      <c r="N56" s="260"/>
      <c r="O56" s="167"/>
      <c r="P56" s="65"/>
      <c r="Q56" s="65"/>
      <c r="R56" s="65"/>
      <c r="S56" s="65"/>
      <c r="T56" s="65"/>
      <c r="U56" s="65"/>
      <c r="V56" s="65"/>
      <c r="W56" s="65"/>
      <c r="X56" s="65"/>
      <c r="Y56" s="65"/>
      <c r="Z56" s="65"/>
    </row>
    <row r="57" spans="1:26" ht="14.5">
      <c r="A57" s="189"/>
      <c r="B57" s="1" t="s">
        <v>47</v>
      </c>
      <c r="C57" s="207">
        <f>SUM(C58:C59)</f>
        <v>16695.773744999999</v>
      </c>
      <c r="D57" s="207">
        <f>D58+D59</f>
        <v>40078.54146459006</v>
      </c>
      <c r="E57" s="207">
        <f t="shared" ref="E57:E66" si="18">D57</f>
        <v>40078.54146459006</v>
      </c>
      <c r="F57" s="207">
        <f>SUM(F58:F59)</f>
        <v>35254.464625000001</v>
      </c>
      <c r="G57" s="86">
        <f t="shared" si="2"/>
        <v>0.47357898985538766</v>
      </c>
      <c r="H57" s="224">
        <f>SUM(H58:H59)</f>
        <v>8009279.6999999993</v>
      </c>
      <c r="I57" s="224">
        <f>SUM(I58:I59)</f>
        <v>5125939.0080000004</v>
      </c>
      <c r="J57" s="224">
        <f t="shared" si="13"/>
        <v>2883340.6919999989</v>
      </c>
      <c r="K57" s="224">
        <f>SUM(K58:K59)</f>
        <v>13438153.302690886</v>
      </c>
      <c r="L57" s="224">
        <f>SUM(L58:L59)</f>
        <v>13401624.892200768</v>
      </c>
      <c r="M57" s="86">
        <f t="shared" ref="M57:M63" si="19">IFERROR(H57/L57,"N/A")</f>
        <v>0.59763497071620719</v>
      </c>
      <c r="N57" s="260"/>
      <c r="O57" s="246"/>
      <c r="P57" s="199"/>
      <c r="Q57" s="199"/>
      <c r="R57" s="65"/>
      <c r="S57" s="65"/>
      <c r="T57" s="65"/>
      <c r="U57" s="65"/>
      <c r="V57" s="65"/>
      <c r="W57" s="65"/>
      <c r="X57" s="65"/>
      <c r="Y57" s="65"/>
      <c r="Z57" s="65"/>
    </row>
    <row r="58" spans="1:26" ht="14.5">
      <c r="A58" s="189"/>
      <c r="B58" s="196" t="s">
        <v>48</v>
      </c>
      <c r="C58" s="211">
        <v>16028.009279999998</v>
      </c>
      <c r="D58" s="211">
        <v>38971.54146459006</v>
      </c>
      <c r="E58" s="207">
        <f t="shared" si="18"/>
        <v>38971.54146459006</v>
      </c>
      <c r="F58" s="213">
        <v>34159.70016</v>
      </c>
      <c r="G58" s="86">
        <f t="shared" si="2"/>
        <v>0.46920813721802873</v>
      </c>
      <c r="H58" s="226">
        <v>7530694.6399999997</v>
      </c>
      <c r="I58" s="224">
        <f t="shared" ref="I58:I63" si="20">H58*0.64</f>
        <v>4819644.5696</v>
      </c>
      <c r="J58" s="224">
        <f t="shared" si="13"/>
        <v>2711050.0703999996</v>
      </c>
      <c r="K58" s="226">
        <v>12570265.323866667</v>
      </c>
      <c r="L58" s="226">
        <v>12634034.209999999</v>
      </c>
      <c r="M58" s="86">
        <f t="shared" si="19"/>
        <v>0.59606413239243561</v>
      </c>
      <c r="N58" s="260"/>
      <c r="O58" s="166"/>
      <c r="P58" s="65"/>
      <c r="Q58" s="65"/>
      <c r="R58" s="65"/>
      <c r="S58" s="65"/>
      <c r="T58" s="65"/>
      <c r="U58" s="65"/>
      <c r="V58" s="65"/>
      <c r="W58" s="65"/>
      <c r="X58" s="65"/>
      <c r="Y58" s="65"/>
      <c r="Z58" s="65"/>
    </row>
    <row r="59" spans="1:26" ht="14.5">
      <c r="A59" s="189"/>
      <c r="B59" s="196" t="s">
        <v>49</v>
      </c>
      <c r="C59" s="211">
        <v>667.76446499999997</v>
      </c>
      <c r="D59" s="211">
        <v>1106.9999999999995</v>
      </c>
      <c r="E59" s="207">
        <f t="shared" si="18"/>
        <v>1106.9999999999995</v>
      </c>
      <c r="F59" s="213">
        <v>1094.764465</v>
      </c>
      <c r="G59" s="86">
        <f t="shared" si="2"/>
        <v>0.6099617646979435</v>
      </c>
      <c r="H59" s="226">
        <v>478585.06</v>
      </c>
      <c r="I59" s="224">
        <f t="shared" si="20"/>
        <v>306294.43839999998</v>
      </c>
      <c r="J59" s="224">
        <f t="shared" si="13"/>
        <v>172290.62160000001</v>
      </c>
      <c r="K59" s="226">
        <v>867887.97882421874</v>
      </c>
      <c r="L59" s="226">
        <v>767590.68220076838</v>
      </c>
      <c r="M59" s="86">
        <f t="shared" si="19"/>
        <v>0.6234899290698046</v>
      </c>
      <c r="N59" s="260"/>
      <c r="O59" s="167"/>
      <c r="P59" s="65"/>
      <c r="Q59" s="65"/>
      <c r="R59" s="65"/>
      <c r="S59" s="65"/>
      <c r="T59" s="65"/>
      <c r="U59" s="65"/>
      <c r="V59" s="65"/>
      <c r="W59" s="65"/>
      <c r="X59" s="65"/>
      <c r="Y59" s="65"/>
      <c r="Z59" s="65"/>
    </row>
    <row r="60" spans="1:26" ht="14.5">
      <c r="A60" s="189"/>
      <c r="B60" s="1" t="s">
        <v>50</v>
      </c>
      <c r="C60" s="211">
        <v>28432.149999999998</v>
      </c>
      <c r="D60" s="211">
        <v>48636.811888653792</v>
      </c>
      <c r="E60" s="207">
        <f t="shared" si="18"/>
        <v>48636.811888653792</v>
      </c>
      <c r="F60" s="213">
        <v>34509.396999999997</v>
      </c>
      <c r="G60" s="86">
        <f t="shared" si="2"/>
        <v>0.82389587972226808</v>
      </c>
      <c r="H60" s="226">
        <v>12776225.420000002</v>
      </c>
      <c r="I60" s="224">
        <f t="shared" si="20"/>
        <v>8176784.2688000016</v>
      </c>
      <c r="J60" s="224">
        <f t="shared" si="13"/>
        <v>4599441.1512000002</v>
      </c>
      <c r="K60" s="226">
        <v>19091284.519999996</v>
      </c>
      <c r="L60" s="226">
        <v>15577721.860000001</v>
      </c>
      <c r="M60" s="86">
        <f t="shared" si="19"/>
        <v>0.82016006800111152</v>
      </c>
      <c r="N60" s="260"/>
      <c r="O60" s="246"/>
      <c r="P60" s="199"/>
      <c r="Q60" s="199"/>
      <c r="R60" s="65"/>
      <c r="S60" s="65"/>
      <c r="T60" s="65"/>
      <c r="U60" s="65"/>
      <c r="V60" s="65"/>
      <c r="W60" s="65"/>
      <c r="X60" s="65"/>
      <c r="Y60" s="65"/>
      <c r="Z60" s="65"/>
    </row>
    <row r="61" spans="1:26" ht="14.5">
      <c r="A61" s="189"/>
      <c r="B61" s="1" t="s">
        <v>51</v>
      </c>
      <c r="C61" s="211">
        <v>10941</v>
      </c>
      <c r="D61" s="211">
        <v>15461</v>
      </c>
      <c r="E61" s="207">
        <f t="shared" si="18"/>
        <v>15461</v>
      </c>
      <c r="F61" s="213">
        <v>12034.737318090116</v>
      </c>
      <c r="G61" s="86">
        <f t="shared" si="2"/>
        <v>0.90911830568615271</v>
      </c>
      <c r="H61" s="226">
        <v>2187304.9099999997</v>
      </c>
      <c r="I61" s="224">
        <f t="shared" si="20"/>
        <v>1399875.1423999998</v>
      </c>
      <c r="J61" s="224">
        <f t="shared" si="13"/>
        <v>787429.7675999999</v>
      </c>
      <c r="K61" s="226">
        <v>3457270.3471073378</v>
      </c>
      <c r="L61" s="226">
        <v>2792542.544487895</v>
      </c>
      <c r="M61" s="86">
        <f t="shared" si="19"/>
        <v>0.78326645884677626</v>
      </c>
      <c r="N61" s="260"/>
      <c r="O61" s="166"/>
      <c r="P61" s="65"/>
      <c r="Q61" s="65"/>
      <c r="R61" s="65"/>
      <c r="S61" s="65"/>
      <c r="T61" s="65"/>
      <c r="U61" s="65"/>
      <c r="V61" s="65"/>
      <c r="W61" s="65"/>
      <c r="X61" s="65"/>
      <c r="Y61" s="65"/>
      <c r="Z61" s="65"/>
    </row>
    <row r="62" spans="1:26" ht="14.5">
      <c r="A62" s="189"/>
      <c r="B62" s="1" t="s">
        <v>52</v>
      </c>
      <c r="C62" s="211">
        <v>134</v>
      </c>
      <c r="D62" s="211">
        <v>1391</v>
      </c>
      <c r="E62" s="207">
        <f t="shared" si="18"/>
        <v>1391</v>
      </c>
      <c r="F62" s="213">
        <v>676</v>
      </c>
      <c r="G62" s="86">
        <f t="shared" si="2"/>
        <v>0.19822485207100593</v>
      </c>
      <c r="H62" s="257">
        <v>0</v>
      </c>
      <c r="I62" s="224">
        <v>0</v>
      </c>
      <c r="J62" s="224">
        <v>0</v>
      </c>
      <c r="K62" s="226">
        <v>0</v>
      </c>
      <c r="L62" s="257">
        <v>0</v>
      </c>
      <c r="M62" s="86" t="str">
        <f t="shared" si="19"/>
        <v>N/A</v>
      </c>
      <c r="N62" s="260"/>
      <c r="O62" s="167"/>
      <c r="P62" s="65"/>
      <c r="Q62" s="65"/>
      <c r="R62" s="65"/>
      <c r="S62" s="65"/>
      <c r="T62" s="65"/>
      <c r="U62" s="65"/>
      <c r="V62" s="65"/>
      <c r="W62" s="65"/>
      <c r="X62" s="65"/>
      <c r="Y62" s="65"/>
      <c r="Z62" s="65"/>
    </row>
    <row r="63" spans="1:26" ht="14.5">
      <c r="A63" s="189"/>
      <c r="B63" s="1" t="s">
        <v>53</v>
      </c>
      <c r="C63" s="211">
        <v>10750.001701000001</v>
      </c>
      <c r="D63" s="211">
        <v>13196.23</v>
      </c>
      <c r="E63" s="207">
        <f t="shared" si="18"/>
        <v>13196.23</v>
      </c>
      <c r="F63" s="213">
        <v>17665.338701000004</v>
      </c>
      <c r="G63" s="86">
        <f t="shared" si="2"/>
        <v>0.60853640470485071</v>
      </c>
      <c r="H63" s="226">
        <v>3502861.75</v>
      </c>
      <c r="I63" s="224">
        <f t="shared" si="20"/>
        <v>2241831.52</v>
      </c>
      <c r="J63" s="224">
        <f t="shared" si="13"/>
        <v>1261030.23</v>
      </c>
      <c r="K63" s="226">
        <v>4427096</v>
      </c>
      <c r="L63" s="226">
        <v>5758593.5999999996</v>
      </c>
      <c r="M63" s="86">
        <f t="shared" si="19"/>
        <v>0.60828424322216457</v>
      </c>
      <c r="N63" s="260"/>
      <c r="O63" s="246"/>
      <c r="P63" s="199"/>
      <c r="Q63" s="199"/>
      <c r="R63" s="65"/>
      <c r="S63" s="65"/>
      <c r="T63" s="65"/>
      <c r="U63" s="65"/>
      <c r="V63" s="65"/>
      <c r="W63" s="65"/>
      <c r="X63" s="65"/>
      <c r="Y63" s="65"/>
      <c r="Z63" s="65"/>
    </row>
    <row r="64" spans="1:26" ht="14.5">
      <c r="A64" s="189"/>
      <c r="B64" s="1" t="s">
        <v>54</v>
      </c>
      <c r="C64" s="211">
        <v>3018.9230000000002</v>
      </c>
      <c r="D64" s="211">
        <v>8343</v>
      </c>
      <c r="E64" s="207">
        <f t="shared" si="18"/>
        <v>8343</v>
      </c>
      <c r="F64" s="213">
        <v>6668.9230000000007</v>
      </c>
      <c r="G64" s="86">
        <f t="shared" si="2"/>
        <v>0.45268523868096844</v>
      </c>
      <c r="H64" s="226">
        <v>934412.93</v>
      </c>
      <c r="I64" s="224">
        <v>0</v>
      </c>
      <c r="J64" s="224">
        <f t="shared" si="13"/>
        <v>934412.93</v>
      </c>
      <c r="K64" s="226">
        <v>1529730</v>
      </c>
      <c r="L64" s="226">
        <v>1391539.9300000002</v>
      </c>
      <c r="M64" s="86">
        <f t="shared" ref="M64:M68" si="21">IFERROR(H64/L64,"N/A")</f>
        <v>0.6714955926561158</v>
      </c>
      <c r="N64" s="260"/>
      <c r="O64" s="166"/>
      <c r="P64" s="65"/>
      <c r="Q64" s="65"/>
      <c r="R64" s="65"/>
      <c r="S64" s="65"/>
      <c r="T64" s="65"/>
      <c r="U64" s="65"/>
      <c r="V64" s="65"/>
      <c r="W64" s="65"/>
      <c r="X64" s="65"/>
      <c r="Y64" s="65"/>
      <c r="Z64" s="65"/>
    </row>
    <row r="65" spans="1:26" ht="14.5">
      <c r="A65" s="189"/>
      <c r="B65" s="1" t="s">
        <v>55</v>
      </c>
      <c r="C65" s="211">
        <v>592.97808199999997</v>
      </c>
      <c r="D65" s="211">
        <v>1659.2689932000003</v>
      </c>
      <c r="E65" s="207">
        <f t="shared" si="18"/>
        <v>1659.2689932000003</v>
      </c>
      <c r="F65" s="213">
        <v>1422.9780820000001</v>
      </c>
      <c r="G65" s="86">
        <f t="shared" si="2"/>
        <v>0.41671624426327597</v>
      </c>
      <c r="H65" s="226">
        <v>392075.75000000006</v>
      </c>
      <c r="I65" s="224">
        <f>H65*0.64</f>
        <v>250928.48000000004</v>
      </c>
      <c r="J65" s="224">
        <f t="shared" si="13"/>
        <v>141147.27000000002</v>
      </c>
      <c r="K65" s="226">
        <v>797224.33282698586</v>
      </c>
      <c r="L65" s="226">
        <v>726964.48138282192</v>
      </c>
      <c r="M65" s="86">
        <f t="shared" si="21"/>
        <v>0.53933274601559478</v>
      </c>
      <c r="N65" s="260"/>
      <c r="O65" s="167"/>
      <c r="P65" s="65"/>
      <c r="Q65" s="65"/>
      <c r="R65" s="65"/>
      <c r="S65" s="65"/>
      <c r="T65" s="65"/>
      <c r="U65" s="65"/>
      <c r="V65" s="65"/>
      <c r="W65" s="65"/>
      <c r="X65" s="65"/>
      <c r="Y65" s="65"/>
      <c r="Z65" s="65"/>
    </row>
    <row r="66" spans="1:26" ht="14.5">
      <c r="A66" s="189"/>
      <c r="B66" s="1" t="s">
        <v>56</v>
      </c>
      <c r="C66" s="211">
        <v>249.82499999999999</v>
      </c>
      <c r="D66" s="211">
        <v>898.33370000000002</v>
      </c>
      <c r="E66" s="207">
        <f t="shared" si="18"/>
        <v>898.33370000000002</v>
      </c>
      <c r="F66" s="213">
        <v>1249.825</v>
      </c>
      <c r="G66" s="86">
        <f t="shared" si="2"/>
        <v>0.19988798431780447</v>
      </c>
      <c r="H66" s="226">
        <v>326379.72000000003</v>
      </c>
      <c r="I66" s="224">
        <v>0</v>
      </c>
      <c r="J66" s="224">
        <f t="shared" si="13"/>
        <v>326379.72000000003</v>
      </c>
      <c r="K66" s="226">
        <v>606312.47</v>
      </c>
      <c r="L66" s="226">
        <v>467331.94000000006</v>
      </c>
      <c r="M66" s="86">
        <f t="shared" si="21"/>
        <v>0.69838950019123447</v>
      </c>
      <c r="N66" s="260"/>
      <c r="O66" s="246"/>
      <c r="P66" s="199"/>
      <c r="Q66" s="199"/>
      <c r="R66" s="65"/>
      <c r="S66" s="65"/>
      <c r="T66" s="65"/>
      <c r="U66" s="65"/>
      <c r="V66" s="65"/>
      <c r="W66" s="65"/>
      <c r="X66" s="65"/>
      <c r="Y66" s="65"/>
      <c r="Z66" s="65"/>
    </row>
    <row r="67" spans="1:26" ht="14.5">
      <c r="A67" s="189"/>
      <c r="B67" s="1" t="s">
        <v>57</v>
      </c>
      <c r="C67" s="211">
        <v>36.47</v>
      </c>
      <c r="D67" s="211">
        <v>71.537744881101403</v>
      </c>
      <c r="E67" s="207">
        <f t="shared" ref="E67" si="22">D67</f>
        <v>71.537744881101403</v>
      </c>
      <c r="F67" s="213">
        <v>57.32</v>
      </c>
      <c r="G67" s="86">
        <f t="shared" ref="G67" si="23">IF(AND(ISNUMBER(F67)=TRUE,F67&lt;&gt;0),C67/F67,"N/A")</f>
        <v>0.63625261688764823</v>
      </c>
      <c r="H67" s="226">
        <v>15922.999999999998</v>
      </c>
      <c r="I67" s="224">
        <v>0</v>
      </c>
      <c r="J67" s="224">
        <f t="shared" ref="J67" si="24">H67-I67</f>
        <v>15922.999999999998</v>
      </c>
      <c r="K67" s="226">
        <v>0</v>
      </c>
      <c r="L67" s="226">
        <v>21478.94</v>
      </c>
      <c r="M67" s="86">
        <f t="shared" si="21"/>
        <v>0.74133081055210359</v>
      </c>
      <c r="N67" s="260"/>
      <c r="O67" s="166"/>
      <c r="P67" s="65"/>
      <c r="Q67" s="65"/>
      <c r="R67" s="65"/>
      <c r="S67" s="65"/>
      <c r="T67" s="65"/>
      <c r="U67" s="65"/>
      <c r="V67" s="65"/>
      <c r="W67" s="65"/>
      <c r="X67" s="65"/>
      <c r="Y67" s="65"/>
      <c r="Z67" s="65"/>
    </row>
    <row r="68" spans="1:26" ht="14.5">
      <c r="A68" s="189"/>
      <c r="B68" s="1" t="s">
        <v>58</v>
      </c>
      <c r="C68" s="212" t="s">
        <v>28</v>
      </c>
      <c r="D68" s="212" t="s">
        <v>28</v>
      </c>
      <c r="E68" s="83" t="str">
        <f>D68</f>
        <v>N/A</v>
      </c>
      <c r="F68" s="212" t="s">
        <v>28</v>
      </c>
      <c r="G68" s="83" t="str">
        <f>IF(AND(ISNUMBER(F68)=TRUE,F68&lt;&gt;0),C68/F68,"N/A")</f>
        <v>N/A</v>
      </c>
      <c r="H68" s="226">
        <f>1369610+57695.15</f>
        <v>1427305.15</v>
      </c>
      <c r="I68" s="224">
        <v>0</v>
      </c>
      <c r="J68" s="224">
        <f>H68-I68</f>
        <v>1427305.15</v>
      </c>
      <c r="K68" s="226">
        <v>4210444.33</v>
      </c>
      <c r="L68" s="226">
        <f>1657872.93+230700.631239804</f>
        <v>1888573.5612398039</v>
      </c>
      <c r="M68" s="86">
        <f t="shared" si="21"/>
        <v>0.75575830314123837</v>
      </c>
      <c r="N68" s="260"/>
      <c r="O68" s="167"/>
      <c r="P68" s="65"/>
      <c r="Q68" s="65"/>
      <c r="R68" s="65"/>
      <c r="S68" s="65"/>
      <c r="T68" s="65"/>
      <c r="U68" s="65"/>
      <c r="V68" s="65"/>
      <c r="W68" s="65"/>
      <c r="X68" s="65"/>
      <c r="Y68" s="65"/>
      <c r="Z68" s="65"/>
    </row>
    <row r="69" spans="1:26" ht="20.25" customHeight="1">
      <c r="A69" s="189"/>
      <c r="B69" s="40" t="s">
        <v>59</v>
      </c>
      <c r="C69" s="233">
        <f>SUM(C57,C60:C68)</f>
        <v>70851.121527999989</v>
      </c>
      <c r="D69" s="233">
        <f>SUM(D57,D60:D68)</f>
        <v>129735.72379132496</v>
      </c>
      <c r="E69" s="233">
        <f>SUM(E57,E60:E68)</f>
        <v>129735.72379132496</v>
      </c>
      <c r="F69" s="233">
        <f>SUM(F57,F60:F68)</f>
        <v>109538.98372609011</v>
      </c>
      <c r="G69" s="234">
        <f t="shared" si="2"/>
        <v>0.64681193049196228</v>
      </c>
      <c r="H69" s="235">
        <f>SUM(H57,H60:H68)</f>
        <v>29571768.329999998</v>
      </c>
      <c r="I69" s="235">
        <f>SUM(I57,I60:I68)</f>
        <v>17195358.419200003</v>
      </c>
      <c r="J69" s="235">
        <f>SUM(J57,J60:J68)</f>
        <v>12376409.910799999</v>
      </c>
      <c r="K69" s="235">
        <f>SUM(K57,K60:K68)</f>
        <v>47557515.302625202</v>
      </c>
      <c r="L69" s="235">
        <f>SUM(L57,L60:L68)</f>
        <v>42026371.749311283</v>
      </c>
      <c r="M69" s="87">
        <f>H69/L69</f>
        <v>0.70364790247410813</v>
      </c>
      <c r="N69" s="260"/>
      <c r="O69" s="246"/>
      <c r="P69" s="199"/>
      <c r="Q69" s="199"/>
      <c r="R69" s="65"/>
      <c r="S69" s="65"/>
      <c r="T69" s="65"/>
      <c r="U69" s="65"/>
      <c r="V69" s="65"/>
      <c r="W69" s="65"/>
      <c r="X69" s="65"/>
      <c r="Y69" s="65"/>
      <c r="Z69" s="65"/>
    </row>
    <row r="70" spans="1:26" ht="20.25" customHeight="1">
      <c r="A70" s="189"/>
      <c r="B70" s="16" t="s">
        <v>60</v>
      </c>
      <c r="C70" s="214"/>
      <c r="D70" s="214"/>
      <c r="E70" s="214"/>
      <c r="F70" s="214"/>
      <c r="G70" s="206"/>
      <c r="H70" s="17"/>
      <c r="I70" s="17"/>
      <c r="J70" s="17"/>
      <c r="K70" s="17"/>
      <c r="L70" s="17"/>
      <c r="M70" s="18"/>
      <c r="N70" s="260"/>
      <c r="O70" s="166"/>
      <c r="P70" s="65"/>
      <c r="Q70" s="65"/>
      <c r="R70" s="65"/>
      <c r="S70" s="65"/>
      <c r="T70" s="65"/>
      <c r="U70" s="65"/>
      <c r="V70" s="65"/>
      <c r="W70" s="65"/>
      <c r="X70" s="65"/>
      <c r="Y70" s="65"/>
      <c r="Z70" s="65"/>
    </row>
    <row r="71" spans="1:26" ht="14.5">
      <c r="A71" s="189"/>
      <c r="B71" s="1" t="s">
        <v>61</v>
      </c>
      <c r="C71" s="207">
        <f>C83</f>
        <v>48264</v>
      </c>
      <c r="D71" s="207">
        <f>D83</f>
        <v>65212</v>
      </c>
      <c r="E71" s="207">
        <f t="shared" ref="E71:F80" si="25">D71</f>
        <v>65212</v>
      </c>
      <c r="F71" s="208">
        <f>F83</f>
        <v>63561</v>
      </c>
      <c r="G71" s="85">
        <f t="shared" ref="G71:G95" si="26">IF(AND(ISNUMBER(F71)=TRUE,F71&lt;&gt;0),C71/F71,"N/A")</f>
        <v>0.75933355359418508</v>
      </c>
      <c r="H71" s="223">
        <f>H83</f>
        <v>4697066.6349999998</v>
      </c>
      <c r="I71" s="223">
        <f>I83</f>
        <v>3006122.6464</v>
      </c>
      <c r="J71" s="224">
        <f>J83</f>
        <v>1690943.9885999998</v>
      </c>
      <c r="K71" s="224">
        <f>K83</f>
        <v>6190172</v>
      </c>
      <c r="L71" s="224">
        <f>L83</f>
        <v>6257036.6349999998</v>
      </c>
      <c r="M71" s="86">
        <f t="shared" ref="M71:M80" si="27">IF(L71=0,"N/A",H71/L71)</f>
        <v>0.75068549362904602</v>
      </c>
      <c r="N71" s="260"/>
      <c r="O71" s="167"/>
      <c r="P71" s="65"/>
      <c r="Q71" s="65"/>
      <c r="R71" s="65"/>
      <c r="S71" s="65"/>
      <c r="T71" s="65"/>
      <c r="U71" s="65"/>
      <c r="V71" s="65"/>
      <c r="W71" s="65"/>
      <c r="X71" s="65"/>
      <c r="Y71" s="65"/>
      <c r="Z71" s="65"/>
    </row>
    <row r="72" spans="1:26" ht="14.5">
      <c r="A72" s="189"/>
      <c r="B72" s="1" t="s">
        <v>62</v>
      </c>
      <c r="C72" s="207">
        <f>C84+C98+C97</f>
        <v>8042</v>
      </c>
      <c r="D72" s="207">
        <f>D84+D98+D97</f>
        <v>17666</v>
      </c>
      <c r="E72" s="207">
        <f t="shared" si="25"/>
        <v>17666</v>
      </c>
      <c r="F72" s="208">
        <f>F84+F97+F98</f>
        <v>13091.100172495981</v>
      </c>
      <c r="G72" s="85">
        <f t="shared" si="26"/>
        <v>0.61431047765534685</v>
      </c>
      <c r="H72" s="223">
        <f>H84+H97+H98</f>
        <v>21463466.09</v>
      </c>
      <c r="I72" s="223">
        <f>I84+I97+I98</f>
        <v>13736618.297600001</v>
      </c>
      <c r="J72" s="224">
        <f>J84+J97+J98</f>
        <v>7726847.7923999997</v>
      </c>
      <c r="K72" s="224">
        <f>K84+K97+K98</f>
        <v>33982327</v>
      </c>
      <c r="L72" s="224">
        <f>L84+L97+L98</f>
        <v>30756308.09</v>
      </c>
      <c r="M72" s="86">
        <f t="shared" si="27"/>
        <v>0.69785573831530701</v>
      </c>
      <c r="N72" s="260"/>
      <c r="O72" s="246"/>
      <c r="P72" s="199"/>
      <c r="Q72" s="199"/>
      <c r="R72" s="65"/>
      <c r="S72" s="65"/>
      <c r="T72" s="65"/>
      <c r="U72" s="65"/>
      <c r="V72" s="65"/>
      <c r="W72" s="65"/>
      <c r="X72" s="65"/>
      <c r="Y72" s="65"/>
      <c r="Z72" s="65"/>
    </row>
    <row r="73" spans="1:26" ht="14.5">
      <c r="A73" s="189"/>
      <c r="B73" s="1" t="s">
        <v>63</v>
      </c>
      <c r="C73" s="207">
        <f>C85+C99+C100</f>
        <v>22559.4</v>
      </c>
      <c r="D73" s="207">
        <f>D85+D99+D100</f>
        <v>22355.357726289825</v>
      </c>
      <c r="E73" s="207">
        <f t="shared" si="25"/>
        <v>22355.357726289825</v>
      </c>
      <c r="F73" s="208">
        <f>F99+F100+F85</f>
        <v>28360.391590666703</v>
      </c>
      <c r="G73" s="85">
        <f t="shared" si="26"/>
        <v>0.79545446077071147</v>
      </c>
      <c r="H73" s="223">
        <f>H99+H100+H85</f>
        <v>25246473.509999998</v>
      </c>
      <c r="I73" s="223">
        <f>I99+I100+I85</f>
        <v>16157743.046399999</v>
      </c>
      <c r="J73" s="224">
        <f>J99+J100+J85</f>
        <v>9088730.4636000004</v>
      </c>
      <c r="K73" s="224">
        <f>K99+K100+K85</f>
        <v>34100000.881032407</v>
      </c>
      <c r="L73" s="224">
        <f>L99+L100+L85</f>
        <v>33403653.509999998</v>
      </c>
      <c r="M73" s="86">
        <f t="shared" si="27"/>
        <v>0.75579976610768052</v>
      </c>
      <c r="N73" s="260"/>
      <c r="O73" s="166"/>
      <c r="P73" s="65"/>
      <c r="Q73" s="65"/>
      <c r="R73" s="65"/>
      <c r="S73" s="65"/>
      <c r="T73" s="65"/>
      <c r="U73" s="65"/>
      <c r="V73" s="65"/>
      <c r="W73" s="65"/>
      <c r="X73" s="65"/>
      <c r="Y73" s="65"/>
      <c r="Z73" s="65"/>
    </row>
    <row r="74" spans="1:26" ht="14.5">
      <c r="A74" s="189"/>
      <c r="B74" s="1" t="s">
        <v>64</v>
      </c>
      <c r="C74" s="207">
        <f>C86+C87+C88+C101</f>
        <v>84656.2</v>
      </c>
      <c r="D74" s="207">
        <f>D86+D87+D101+D88</f>
        <v>175860.64743586539</v>
      </c>
      <c r="E74" s="207">
        <f t="shared" si="25"/>
        <v>175860.64743586539</v>
      </c>
      <c r="F74" s="208">
        <f>F86+F87+F88+F101</f>
        <v>159195.20000000001</v>
      </c>
      <c r="G74" s="85">
        <f t="shared" si="26"/>
        <v>0.53177608370101603</v>
      </c>
      <c r="H74" s="223">
        <f>H86+H87+H88+H101</f>
        <v>21053459.609999999</v>
      </c>
      <c r="I74" s="223">
        <f>I86+I87+I88+I101</f>
        <v>13474214.1504</v>
      </c>
      <c r="J74" s="224">
        <f>J86+J87+J88+J101</f>
        <v>7579245.4595999997</v>
      </c>
      <c r="K74" s="224">
        <f>K86+K87+K88+K101</f>
        <v>40771178.479999997</v>
      </c>
      <c r="L74" s="224">
        <f>L86+L87+L88+L101</f>
        <v>33022783.439999998</v>
      </c>
      <c r="M74" s="86">
        <f t="shared" si="27"/>
        <v>0.63754345990405714</v>
      </c>
      <c r="N74" s="260"/>
      <c r="O74" s="167"/>
      <c r="P74" s="65"/>
      <c r="Q74" s="65"/>
      <c r="R74" s="65"/>
      <c r="S74" s="65"/>
      <c r="T74" s="65"/>
      <c r="U74" s="65"/>
      <c r="V74" s="65"/>
      <c r="W74" s="65"/>
      <c r="X74" s="65"/>
      <c r="Y74" s="65"/>
      <c r="Z74" s="65"/>
    </row>
    <row r="75" spans="1:26" ht="14.5">
      <c r="A75" s="189"/>
      <c r="B75" s="1" t="s">
        <v>65</v>
      </c>
      <c r="C75" s="207">
        <f>C89+C102</f>
        <v>210669.89</v>
      </c>
      <c r="D75" s="207">
        <f>D89+D102</f>
        <v>222142.75785870999</v>
      </c>
      <c r="E75" s="207">
        <f t="shared" si="25"/>
        <v>222142.75785870999</v>
      </c>
      <c r="F75" s="207">
        <f>F89+F102</f>
        <v>273108.74</v>
      </c>
      <c r="G75" s="85">
        <f t="shared" si="26"/>
        <v>0.77137732758021593</v>
      </c>
      <c r="H75" s="224">
        <f>H89+H102</f>
        <v>13936570.590000002</v>
      </c>
      <c r="I75" s="224">
        <f>I89+I102</f>
        <v>8919405.1776000019</v>
      </c>
      <c r="J75" s="224">
        <f>J89+J102</f>
        <v>5017165.4123999998</v>
      </c>
      <c r="K75" s="224">
        <f>K89+K102</f>
        <v>17881674.019999996</v>
      </c>
      <c r="L75" s="224">
        <f>L89+L102</f>
        <v>19451307.02</v>
      </c>
      <c r="M75" s="86">
        <f t="shared" si="27"/>
        <v>0.71648504522962397</v>
      </c>
      <c r="N75" s="260"/>
      <c r="O75" s="246"/>
      <c r="P75" s="199"/>
      <c r="Q75" s="199"/>
      <c r="R75" s="65"/>
      <c r="S75" s="65"/>
      <c r="T75" s="65"/>
      <c r="U75" s="65"/>
      <c r="V75" s="65"/>
      <c r="W75" s="65"/>
      <c r="X75" s="65"/>
      <c r="Y75" s="65"/>
      <c r="Z75" s="65"/>
    </row>
    <row r="76" spans="1:26" ht="14.5">
      <c r="A76" s="189"/>
      <c r="B76" s="1" t="s">
        <v>66</v>
      </c>
      <c r="C76" s="207">
        <f>C103</f>
        <v>830</v>
      </c>
      <c r="D76" s="207">
        <f>D103</f>
        <v>1072</v>
      </c>
      <c r="E76" s="207">
        <f t="shared" si="25"/>
        <v>1072</v>
      </c>
      <c r="F76" s="207">
        <f>F103</f>
        <v>870</v>
      </c>
      <c r="G76" s="85">
        <f t="shared" si="26"/>
        <v>0.95402298850574707</v>
      </c>
      <c r="H76" s="224">
        <f>H103</f>
        <v>866886.68</v>
      </c>
      <c r="I76" s="224">
        <f>I103</f>
        <v>554807.47519999999</v>
      </c>
      <c r="J76" s="224">
        <f>J103</f>
        <v>312079.20480000007</v>
      </c>
      <c r="K76" s="224">
        <f>K103</f>
        <v>2304421</v>
      </c>
      <c r="L76" s="224">
        <f>L103</f>
        <v>1219773.2149100001</v>
      </c>
      <c r="M76" s="86">
        <f t="shared" si="27"/>
        <v>0.71069496313211189</v>
      </c>
      <c r="N76" s="260"/>
      <c r="O76" s="166"/>
      <c r="P76" s="65"/>
      <c r="Q76" s="65"/>
      <c r="R76" s="65"/>
      <c r="S76" s="65"/>
      <c r="T76" s="65"/>
      <c r="U76" s="65"/>
      <c r="V76" s="65"/>
      <c r="W76" s="65"/>
      <c r="X76" s="65"/>
      <c r="Y76" s="65"/>
      <c r="Z76" s="65"/>
    </row>
    <row r="77" spans="1:26" ht="14.5">
      <c r="A77" s="189"/>
      <c r="B77" s="1" t="s">
        <v>67</v>
      </c>
      <c r="C77" s="207">
        <f>C90</f>
        <v>81</v>
      </c>
      <c r="D77" s="207">
        <f>D90</f>
        <v>1077</v>
      </c>
      <c r="E77" s="207">
        <f t="shared" si="25"/>
        <v>1077</v>
      </c>
      <c r="F77" s="207">
        <f>F90</f>
        <v>218</v>
      </c>
      <c r="G77" s="85">
        <f t="shared" si="26"/>
        <v>0.37155963302752293</v>
      </c>
      <c r="H77" s="224">
        <f t="shared" ref="H77:L78" si="28">H90</f>
        <v>142314.46</v>
      </c>
      <c r="I77" s="224">
        <f t="shared" si="28"/>
        <v>91081.254399999991</v>
      </c>
      <c r="J77" s="224">
        <f t="shared" si="28"/>
        <v>51233.205600000001</v>
      </c>
      <c r="K77" s="224">
        <f t="shared" si="28"/>
        <v>735000</v>
      </c>
      <c r="L77" s="224">
        <f t="shared" si="28"/>
        <v>406582.97</v>
      </c>
      <c r="M77" s="86">
        <f t="shared" si="27"/>
        <v>0.35002562945516386</v>
      </c>
      <c r="N77" s="260"/>
      <c r="O77" s="167"/>
      <c r="P77" s="65"/>
      <c r="Q77" s="65"/>
      <c r="R77" s="65"/>
      <c r="S77" s="65"/>
      <c r="T77" s="65"/>
      <c r="U77" s="65"/>
      <c r="V77" s="65"/>
      <c r="W77" s="65"/>
      <c r="X77" s="65"/>
      <c r="Y77" s="65"/>
      <c r="Z77" s="65"/>
    </row>
    <row r="78" spans="1:26" ht="14.5">
      <c r="A78" s="189"/>
      <c r="B78" s="1" t="s">
        <v>68</v>
      </c>
      <c r="C78" s="207">
        <f>C91</f>
        <v>9560</v>
      </c>
      <c r="D78" s="207">
        <f>D91</f>
        <v>2676</v>
      </c>
      <c r="E78" s="207">
        <f t="shared" si="25"/>
        <v>2676</v>
      </c>
      <c r="F78" s="207">
        <f>F91</f>
        <v>9560</v>
      </c>
      <c r="G78" s="85">
        <f t="shared" si="26"/>
        <v>1</v>
      </c>
      <c r="H78" s="224">
        <f t="shared" si="28"/>
        <v>2536900.5799999996</v>
      </c>
      <c r="I78" s="224">
        <f>I91</f>
        <v>1623616.3711999997</v>
      </c>
      <c r="J78" s="224">
        <f>J91</f>
        <v>913284.20879999991</v>
      </c>
      <c r="K78" s="224">
        <f t="shared" si="28"/>
        <v>2833952</v>
      </c>
      <c r="L78" s="224">
        <f t="shared" si="28"/>
        <v>2637160.8899999997</v>
      </c>
      <c r="M78" s="86">
        <f t="shared" si="27"/>
        <v>0.9619817242170613</v>
      </c>
      <c r="N78" s="260"/>
      <c r="O78" s="246"/>
      <c r="P78" s="199"/>
      <c r="Q78" s="199"/>
      <c r="R78" s="65"/>
      <c r="S78" s="65"/>
      <c r="T78" s="65"/>
      <c r="U78" s="65"/>
      <c r="V78" s="65"/>
      <c r="W78" s="65"/>
      <c r="X78" s="65"/>
      <c r="Y78" s="65"/>
      <c r="Z78" s="65"/>
    </row>
    <row r="79" spans="1:26" ht="14.5">
      <c r="A79" s="189"/>
      <c r="B79" s="1" t="s">
        <v>27</v>
      </c>
      <c r="C79" s="207">
        <f>IF(AND(C94&lt;&gt;"N/A",C104&lt;&gt;"N/A",C105&lt;&gt;"N/A"),C94+C104+C105+C93,"N/A")</f>
        <v>17172</v>
      </c>
      <c r="D79" s="207">
        <f>D94+D104+D105+D93</f>
        <v>16585</v>
      </c>
      <c r="E79" s="207">
        <f t="shared" ref="E79" si="29">E94+E104+E105</f>
        <v>16585</v>
      </c>
      <c r="F79" s="207">
        <f>F94+F104+F105+F93</f>
        <v>21114.585190046189</v>
      </c>
      <c r="G79" s="85">
        <f>IF(AND(ISNUMBER(F79)=TRUE,F79&lt;&gt;0),C79/F79,"N/A")</f>
        <v>0.81327669217462073</v>
      </c>
      <c r="H79" s="224">
        <f>H94+H104</f>
        <v>8028788.290000001</v>
      </c>
      <c r="I79" s="224">
        <f>I94+I104</f>
        <v>5138424.5056000007</v>
      </c>
      <c r="J79" s="224">
        <f>J94+J104</f>
        <v>2890363.7844000002</v>
      </c>
      <c r="K79" s="224">
        <f>K94+K104</f>
        <v>9853105.8022386692</v>
      </c>
      <c r="L79" s="224">
        <f>L94+L104</f>
        <v>10282544.81109223</v>
      </c>
      <c r="M79" s="86">
        <f t="shared" si="27"/>
        <v>0.78081724295905786</v>
      </c>
      <c r="N79" s="260"/>
      <c r="O79" s="166"/>
      <c r="P79" s="65"/>
      <c r="Q79" s="65"/>
      <c r="R79" s="65"/>
      <c r="S79" s="65"/>
      <c r="T79" s="65"/>
      <c r="U79" s="65"/>
      <c r="V79" s="65"/>
      <c r="W79" s="65"/>
      <c r="X79" s="65"/>
      <c r="Y79" s="65"/>
      <c r="Z79" s="65"/>
    </row>
    <row r="80" spans="1:26" ht="14.5">
      <c r="A80" s="189"/>
      <c r="B80" s="1" t="s">
        <v>69</v>
      </c>
      <c r="C80" s="207" t="str">
        <f>IF(AND(C95&lt;&gt;"N/A",C106&lt;&gt;"N/A"),C95+C106,"N/A")</f>
        <v>N/A</v>
      </c>
      <c r="D80" s="207" t="str">
        <f>IF(AND(D95&lt;&gt;"N/A",D106&lt;&gt;"N/A"),D95+D106,"N/A")</f>
        <v>N/A</v>
      </c>
      <c r="E80" s="207" t="str">
        <f t="shared" si="25"/>
        <v>N/A</v>
      </c>
      <c r="F80" s="207" t="str">
        <f t="shared" si="25"/>
        <v>N/A</v>
      </c>
      <c r="G80" s="85" t="str">
        <f t="shared" si="26"/>
        <v>N/A</v>
      </c>
      <c r="H80" s="224">
        <f>H92+H106</f>
        <v>2508157.71</v>
      </c>
      <c r="I80" s="224">
        <f>I95+I106</f>
        <v>18410917.551999997</v>
      </c>
      <c r="J80" s="224">
        <f>J95+J106</f>
        <v>10356141.123</v>
      </c>
      <c r="K80" s="224">
        <f>K92+K106</f>
        <v>4920685.9499999993</v>
      </c>
      <c r="L80" s="224">
        <f>L92+L106</f>
        <v>3779052.39</v>
      </c>
      <c r="M80" s="86">
        <f t="shared" si="27"/>
        <v>0.66370016902570639</v>
      </c>
      <c r="N80" s="260"/>
      <c r="O80" s="167"/>
      <c r="P80" s="65"/>
      <c r="Q80" s="65"/>
      <c r="R80" s="65"/>
      <c r="S80" s="65"/>
      <c r="T80" s="65"/>
      <c r="U80" s="65"/>
      <c r="V80" s="65"/>
      <c r="W80" s="65"/>
      <c r="X80" s="65"/>
      <c r="Y80" s="65"/>
      <c r="Z80" s="65"/>
    </row>
    <row r="81" spans="1:26" ht="20.25" customHeight="1">
      <c r="A81" s="189"/>
      <c r="B81" s="2" t="s">
        <v>310</v>
      </c>
      <c r="C81" s="209">
        <f>SUM(C71:C80)</f>
        <v>401834.49</v>
      </c>
      <c r="D81" s="209">
        <f>SUM(D71:D79)</f>
        <v>524646.76302086527</v>
      </c>
      <c r="E81" s="209">
        <f>SUM(E71:E79)</f>
        <v>524646.76302086527</v>
      </c>
      <c r="F81" s="209">
        <f>SUM(F71:F79)</f>
        <v>569079.01695320895</v>
      </c>
      <c r="G81" s="84">
        <f t="shared" si="26"/>
        <v>0.70611369955508274</v>
      </c>
      <c r="H81" s="225">
        <f>SUM(H71:H80)</f>
        <v>100480084.155</v>
      </c>
      <c r="I81" s="225">
        <f>SUM(I71:I80)</f>
        <v>81112950.476799995</v>
      </c>
      <c r="J81" s="225">
        <f>SUM(,J71:J80)</f>
        <v>45626034.643199995</v>
      </c>
      <c r="K81" s="225">
        <f>SUM(,K71:K80)</f>
        <v>153572517.13327107</v>
      </c>
      <c r="L81" s="225">
        <f>SUM(,L71:L80)</f>
        <v>141216202.97100222</v>
      </c>
      <c r="M81" s="195">
        <f>H81/L81</f>
        <v>0.71153367702170056</v>
      </c>
      <c r="N81" s="260"/>
      <c r="O81" s="246"/>
      <c r="P81" s="199"/>
      <c r="Q81" s="199"/>
      <c r="R81" s="65"/>
      <c r="S81" s="65"/>
      <c r="T81" s="65"/>
      <c r="U81" s="65"/>
      <c r="V81" s="65"/>
      <c r="W81" s="65"/>
      <c r="X81" s="65"/>
      <c r="Y81" s="65"/>
      <c r="Z81" s="65"/>
    </row>
    <row r="82" spans="1:26" ht="20.25" customHeight="1">
      <c r="A82" s="189"/>
      <c r="B82" s="202" t="s">
        <v>313</v>
      </c>
      <c r="C82" s="216"/>
      <c r="D82" s="216"/>
      <c r="E82" s="216"/>
      <c r="F82" s="216"/>
      <c r="G82" s="216"/>
      <c r="H82" s="203"/>
      <c r="I82" s="203"/>
      <c r="J82" s="203"/>
      <c r="K82" s="203"/>
      <c r="L82" s="203"/>
      <c r="M82" s="204"/>
      <c r="N82" s="260"/>
      <c r="O82" s="246"/>
      <c r="P82" s="199"/>
      <c r="Q82" s="199"/>
      <c r="R82" s="65"/>
      <c r="S82" s="65"/>
      <c r="T82" s="65"/>
      <c r="U82" s="65"/>
      <c r="V82" s="65"/>
      <c r="W82" s="65"/>
      <c r="X82" s="65"/>
      <c r="Y82" s="65"/>
      <c r="Z82" s="65"/>
    </row>
    <row r="83" spans="1:26" ht="14.5">
      <c r="A83" s="189"/>
      <c r="B83" s="1" t="s">
        <v>70</v>
      </c>
      <c r="C83" s="212">
        <v>48264</v>
      </c>
      <c r="D83" s="213">
        <v>65212</v>
      </c>
      <c r="E83" s="210">
        <f t="shared" ref="E83:E94" si="30">D83</f>
        <v>65212</v>
      </c>
      <c r="F83" s="213">
        <v>63561</v>
      </c>
      <c r="G83" s="86">
        <f t="shared" si="26"/>
        <v>0.75933355359418508</v>
      </c>
      <c r="H83" s="226">
        <v>4697066.6349999998</v>
      </c>
      <c r="I83" s="224">
        <f t="shared" ref="I83:I90" si="31">H83*0.64</f>
        <v>3006122.6464</v>
      </c>
      <c r="J83" s="224">
        <f t="shared" ref="J83:J90" si="32">H83-I83</f>
        <v>1690943.9885999998</v>
      </c>
      <c r="K83" s="226">
        <v>6190172</v>
      </c>
      <c r="L83" s="226">
        <v>6257036.6349999998</v>
      </c>
      <c r="M83" s="86">
        <f t="shared" ref="M83:M94" si="33">IF(L83=0,"N/A",H83/L83)</f>
        <v>0.75068549362904602</v>
      </c>
      <c r="N83" s="260"/>
      <c r="O83" s="166"/>
      <c r="P83" s="65"/>
      <c r="Q83" s="65"/>
      <c r="R83" s="65"/>
      <c r="S83" s="65"/>
      <c r="T83" s="65"/>
      <c r="U83" s="65"/>
      <c r="V83" s="65"/>
      <c r="W83" s="65"/>
      <c r="X83" s="65"/>
      <c r="Y83" s="65"/>
      <c r="Z83" s="65"/>
    </row>
    <row r="84" spans="1:26" ht="14.5">
      <c r="A84" s="189"/>
      <c r="B84" s="1" t="s">
        <v>71</v>
      </c>
      <c r="C84" s="212">
        <v>242</v>
      </c>
      <c r="D84" s="213">
        <v>1462</v>
      </c>
      <c r="E84" s="210">
        <f t="shared" si="30"/>
        <v>1462</v>
      </c>
      <c r="F84" s="213">
        <v>593</v>
      </c>
      <c r="G84" s="86">
        <f>IF(AND(ISNUMBER(F84)=TRUE,F84&lt;&gt;0),C84/F84,"N/A")</f>
        <v>0.40809443507588533</v>
      </c>
      <c r="H84" s="226">
        <v>861568</v>
      </c>
      <c r="I84" s="224">
        <f t="shared" si="31"/>
        <v>551403.52000000002</v>
      </c>
      <c r="J84" s="224">
        <f t="shared" si="32"/>
        <v>310164.47999999998</v>
      </c>
      <c r="K84" s="226">
        <v>2166000</v>
      </c>
      <c r="L84" s="226">
        <v>1116871</v>
      </c>
      <c r="M84" s="86">
        <f t="shared" si="33"/>
        <v>0.7714122759029467</v>
      </c>
      <c r="N84" s="260"/>
      <c r="O84" s="167"/>
      <c r="P84" s="65"/>
      <c r="Q84" s="65"/>
      <c r="R84" s="65"/>
      <c r="S84" s="65"/>
      <c r="T84" s="65"/>
      <c r="U84" s="65"/>
      <c r="V84" s="65"/>
      <c r="W84" s="65"/>
      <c r="X84" s="65"/>
      <c r="Y84" s="65"/>
      <c r="Z84" s="65"/>
    </row>
    <row r="85" spans="1:26" ht="14.5">
      <c r="A85" s="189"/>
      <c r="B85" s="1" t="s">
        <v>72</v>
      </c>
      <c r="C85" s="212">
        <v>5290.4</v>
      </c>
      <c r="D85" s="213">
        <v>5881.0269962898255</v>
      </c>
      <c r="E85" s="210">
        <f t="shared" si="30"/>
        <v>5881.0269962898255</v>
      </c>
      <c r="F85" s="213">
        <v>5347.9</v>
      </c>
      <c r="G85" s="86">
        <f t="shared" si="26"/>
        <v>0.98924811608294849</v>
      </c>
      <c r="H85" s="226">
        <v>3564303.9399999995</v>
      </c>
      <c r="I85" s="224">
        <f t="shared" si="31"/>
        <v>2281154.5215999996</v>
      </c>
      <c r="J85" s="224">
        <f t="shared" si="32"/>
        <v>1283149.4183999998</v>
      </c>
      <c r="K85" s="226">
        <v>4700001.3867912702</v>
      </c>
      <c r="L85" s="226">
        <v>3849659.9399999995</v>
      </c>
      <c r="M85" s="86">
        <f t="shared" si="33"/>
        <v>0.92587501118345528</v>
      </c>
      <c r="N85" s="260"/>
      <c r="O85" s="246"/>
      <c r="P85" s="199"/>
      <c r="Q85" s="199"/>
      <c r="R85" s="65"/>
      <c r="S85" s="65"/>
      <c r="T85" s="65"/>
      <c r="U85" s="65"/>
      <c r="V85" s="65"/>
      <c r="W85" s="65"/>
      <c r="X85" s="65"/>
      <c r="Y85" s="65"/>
      <c r="Z85" s="65"/>
    </row>
    <row r="86" spans="1:26" ht="14.5" hidden="1"/>
    <row r="87" spans="1:26" ht="14.5" hidden="1"/>
    <row r="88" spans="1:26" ht="26">
      <c r="A88" s="189"/>
      <c r="B88" s="1" t="s">
        <v>73</v>
      </c>
      <c r="C88" s="212">
        <f>4778.2+13997</f>
        <v>18775.2</v>
      </c>
      <c r="D88" s="213">
        <f>44427.1603677007+7223.9</f>
        <v>51651.060367700702</v>
      </c>
      <c r="E88" s="210">
        <f t="shared" si="30"/>
        <v>51651.060367700702</v>
      </c>
      <c r="F88" s="213">
        <f>7222.2+30484</f>
        <v>37706.199999999997</v>
      </c>
      <c r="G88" s="86">
        <f t="shared" si="26"/>
        <v>0.49793402676482917</v>
      </c>
      <c r="H88" s="226">
        <f>6418531.26+2032639.02+-1600.99</f>
        <v>8449569.2899999991</v>
      </c>
      <c r="I88" s="224">
        <f t="shared" si="31"/>
        <v>5407724.3455999997</v>
      </c>
      <c r="J88" s="224">
        <f t="shared" si="32"/>
        <v>3041844.9443999995</v>
      </c>
      <c r="K88" s="226">
        <f>19172553.99+4385866.5</f>
        <v>23558420.489999998</v>
      </c>
      <c r="L88" s="226">
        <f>9153848.26+4041517.86+-140</f>
        <v>13195226.119999999</v>
      </c>
      <c r="M88" s="86">
        <f t="shared" si="33"/>
        <v>0.64035047320583538</v>
      </c>
      <c r="N88" s="260"/>
      <c r="O88" s="185"/>
      <c r="P88" s="65"/>
      <c r="Q88" s="65"/>
      <c r="R88" s="65"/>
      <c r="S88" s="65"/>
      <c r="T88" s="65"/>
      <c r="U88" s="65"/>
      <c r="V88" s="65"/>
      <c r="W88" s="65"/>
      <c r="X88" s="65"/>
      <c r="Y88" s="65"/>
      <c r="Z88" s="65"/>
    </row>
    <row r="89" spans="1:26" ht="14.5">
      <c r="A89" s="189"/>
      <c r="B89" s="1" t="s">
        <v>74</v>
      </c>
      <c r="C89" s="212">
        <v>3366.8900000000003</v>
      </c>
      <c r="D89" s="213">
        <v>5427.3499999999995</v>
      </c>
      <c r="E89" s="210">
        <f t="shared" si="30"/>
        <v>5427.3499999999995</v>
      </c>
      <c r="F89" s="213">
        <v>5427</v>
      </c>
      <c r="G89" s="86">
        <f t="shared" si="26"/>
        <v>0.62039616731159031</v>
      </c>
      <c r="H89" s="226">
        <v>1145016.57</v>
      </c>
      <c r="I89" s="224">
        <f t="shared" si="31"/>
        <v>732810.60480000009</v>
      </c>
      <c r="J89" s="224">
        <f t="shared" si="32"/>
        <v>412205.96519999998</v>
      </c>
      <c r="K89" s="226">
        <v>1860136.74</v>
      </c>
      <c r="L89" s="226">
        <v>1857970.86</v>
      </c>
      <c r="M89" s="86">
        <f t="shared" si="33"/>
        <v>0.61627262012064066</v>
      </c>
      <c r="N89" s="260"/>
      <c r="O89" s="198"/>
      <c r="P89" s="199"/>
      <c r="Q89" s="199"/>
      <c r="R89" s="65"/>
      <c r="S89" s="65"/>
      <c r="T89" s="65"/>
      <c r="U89" s="65"/>
      <c r="V89" s="65"/>
      <c r="W89" s="65"/>
      <c r="X89" s="65"/>
      <c r="Y89" s="65"/>
      <c r="Z89" s="65"/>
    </row>
    <row r="90" spans="1:26" ht="14.5">
      <c r="A90" s="189"/>
      <c r="B90" s="1" t="s">
        <v>300</v>
      </c>
      <c r="C90" s="212">
        <v>81</v>
      </c>
      <c r="D90" s="213">
        <v>1077</v>
      </c>
      <c r="E90" s="210">
        <f t="shared" si="30"/>
        <v>1077</v>
      </c>
      <c r="F90" s="213">
        <v>218</v>
      </c>
      <c r="G90" s="86">
        <f t="shared" si="26"/>
        <v>0.37155963302752293</v>
      </c>
      <c r="H90" s="226">
        <v>142314.46</v>
      </c>
      <c r="I90" s="224">
        <f t="shared" si="31"/>
        <v>91081.254399999991</v>
      </c>
      <c r="J90" s="224">
        <f t="shared" si="32"/>
        <v>51233.205600000001</v>
      </c>
      <c r="K90" s="226">
        <v>735000</v>
      </c>
      <c r="L90" s="226">
        <v>406582.97</v>
      </c>
      <c r="M90" s="86">
        <f t="shared" si="33"/>
        <v>0.35002562945516386</v>
      </c>
      <c r="N90" s="260"/>
      <c r="O90" s="185"/>
      <c r="P90" s="65"/>
      <c r="Q90" s="65"/>
      <c r="R90" s="65"/>
      <c r="S90" s="65"/>
      <c r="T90" s="65"/>
      <c r="U90" s="65"/>
      <c r="V90" s="65"/>
      <c r="W90" s="65"/>
      <c r="X90" s="65"/>
      <c r="Y90" s="65"/>
      <c r="Z90" s="65"/>
    </row>
    <row r="91" spans="1:26" ht="14.5">
      <c r="A91" s="189"/>
      <c r="B91" s="1" t="s">
        <v>68</v>
      </c>
      <c r="C91" s="212">
        <v>9560</v>
      </c>
      <c r="D91" s="213">
        <v>2676</v>
      </c>
      <c r="E91" s="210">
        <f t="shared" si="30"/>
        <v>2676</v>
      </c>
      <c r="F91" s="213">
        <v>9560</v>
      </c>
      <c r="G91" s="86">
        <f t="shared" si="26"/>
        <v>1</v>
      </c>
      <c r="H91" s="226">
        <v>2536900.5799999996</v>
      </c>
      <c r="I91" s="224">
        <f>H91*0.64</f>
        <v>1623616.3711999997</v>
      </c>
      <c r="J91" s="224">
        <f>H91-I91</f>
        <v>913284.20879999991</v>
      </c>
      <c r="K91" s="226">
        <v>2833952</v>
      </c>
      <c r="L91" s="226">
        <v>2637160.8899999997</v>
      </c>
      <c r="M91" s="86">
        <f t="shared" si="33"/>
        <v>0.9619817242170613</v>
      </c>
      <c r="N91" s="260"/>
      <c r="O91" s="167"/>
      <c r="P91" s="65"/>
      <c r="Q91" s="65"/>
      <c r="R91" s="112"/>
      <c r="S91" s="65"/>
      <c r="T91" s="65"/>
      <c r="U91" s="65"/>
      <c r="V91" s="65"/>
      <c r="W91" s="65"/>
      <c r="X91" s="65"/>
      <c r="Y91" s="65"/>
      <c r="Z91" s="65"/>
    </row>
    <row r="92" spans="1:26" ht="14.5">
      <c r="A92" s="189"/>
      <c r="B92" s="1" t="s">
        <v>75</v>
      </c>
      <c r="C92" s="212" t="s">
        <v>28</v>
      </c>
      <c r="D92" s="212" t="s">
        <v>28</v>
      </c>
      <c r="E92" s="210" t="str">
        <f t="shared" si="30"/>
        <v>N/A</v>
      </c>
      <c r="F92" s="213" t="str">
        <f>E92</f>
        <v>N/A</v>
      </c>
      <c r="G92" s="86" t="str">
        <f t="shared" si="26"/>
        <v>N/A</v>
      </c>
      <c r="H92" s="226">
        <v>1314377.2100000002</v>
      </c>
      <c r="I92" s="224">
        <f>H92*0.64</f>
        <v>841201.41440000013</v>
      </c>
      <c r="J92" s="224">
        <f>H92-I92</f>
        <v>473175.79560000007</v>
      </c>
      <c r="K92" s="226">
        <v>1638849.02</v>
      </c>
      <c r="L92" s="226">
        <v>1487734.5500000003</v>
      </c>
      <c r="M92" s="86">
        <f t="shared" si="33"/>
        <v>0.88347562406210167</v>
      </c>
      <c r="N92" s="260"/>
      <c r="O92" s="167"/>
      <c r="P92" s="65"/>
      <c r="Q92" s="65"/>
      <c r="R92" s="112"/>
      <c r="S92" s="65"/>
      <c r="T92" s="65"/>
      <c r="U92" s="65"/>
      <c r="V92" s="65"/>
      <c r="W92" s="65"/>
      <c r="X92" s="65"/>
      <c r="Y92" s="65"/>
      <c r="Z92" s="65"/>
    </row>
    <row r="93" spans="1:26" ht="14.5">
      <c r="A93" s="189"/>
      <c r="B93" s="1" t="s">
        <v>298</v>
      </c>
      <c r="C93" s="212">
        <v>358</v>
      </c>
      <c r="D93" s="212">
        <v>0</v>
      </c>
      <c r="E93" s="210">
        <f t="shared" si="30"/>
        <v>0</v>
      </c>
      <c r="F93" s="213">
        <v>761</v>
      </c>
      <c r="G93" s="86"/>
      <c r="H93" s="226">
        <v>200668.69</v>
      </c>
      <c r="I93" s="224">
        <f>H93*0.64</f>
        <v>128427.96160000001</v>
      </c>
      <c r="J93" s="224">
        <f>H93-I93</f>
        <v>72240.728399999993</v>
      </c>
      <c r="K93" s="226">
        <v>0</v>
      </c>
      <c r="L93" s="226">
        <v>290428.54000000004</v>
      </c>
      <c r="M93" s="86">
        <f t="shared" si="33"/>
        <v>0.69093998131175394</v>
      </c>
      <c r="N93" s="260"/>
      <c r="O93" s="167"/>
      <c r="P93" s="65"/>
      <c r="Q93" s="65"/>
      <c r="R93" s="112"/>
      <c r="S93" s="65"/>
      <c r="T93" s="65"/>
      <c r="U93" s="65"/>
      <c r="V93" s="65"/>
      <c r="W93" s="65"/>
      <c r="X93" s="65"/>
      <c r="Y93" s="65"/>
      <c r="Z93" s="65"/>
    </row>
    <row r="94" spans="1:26" ht="14.5">
      <c r="A94" s="189"/>
      <c r="B94" s="1" t="s">
        <v>308</v>
      </c>
      <c r="C94" s="212">
        <v>13896</v>
      </c>
      <c r="D94" s="212">
        <v>8865</v>
      </c>
      <c r="E94" s="210">
        <f t="shared" si="30"/>
        <v>8865</v>
      </c>
      <c r="F94" s="213">
        <v>13896</v>
      </c>
      <c r="G94" s="86">
        <f t="shared" si="26"/>
        <v>1</v>
      </c>
      <c r="H94" s="226">
        <v>4661492.8000000007</v>
      </c>
      <c r="I94" s="224">
        <f>H94*0.64</f>
        <v>2983355.3920000005</v>
      </c>
      <c r="J94" s="224">
        <f>H94-I94</f>
        <v>1678137.4080000003</v>
      </c>
      <c r="K94" s="226">
        <v>1429540</v>
      </c>
      <c r="L94" s="226">
        <v>4907224.3499999996</v>
      </c>
      <c r="M94" s="86">
        <f t="shared" si="33"/>
        <v>0.94992453320378578</v>
      </c>
      <c r="N94" s="260"/>
      <c r="O94" s="167"/>
      <c r="P94" s="65"/>
      <c r="Q94" s="65"/>
      <c r="R94" s="112"/>
      <c r="S94" s="65"/>
      <c r="T94" s="65"/>
      <c r="U94" s="65"/>
      <c r="V94" s="65"/>
      <c r="W94" s="65"/>
      <c r="X94" s="65"/>
      <c r="Y94" s="65"/>
      <c r="Z94" s="65"/>
    </row>
    <row r="95" spans="1:26" ht="20.25" customHeight="1">
      <c r="A95" s="189"/>
      <c r="B95" s="40" t="s">
        <v>76</v>
      </c>
      <c r="C95" s="215">
        <f>SUM(C83:C94)</f>
        <v>99833.49</v>
      </c>
      <c r="D95" s="209">
        <f>SUM(D83:D94)</f>
        <v>142251.43736399052</v>
      </c>
      <c r="E95" s="209">
        <f>SUM(E83:E94)</f>
        <v>142251.43736399052</v>
      </c>
      <c r="F95" s="209">
        <f>SUM(F83:F94)</f>
        <v>137070.09999999998</v>
      </c>
      <c r="G95" s="84">
        <f t="shared" si="26"/>
        <v>0.72833893022621288</v>
      </c>
      <c r="H95" s="225">
        <f>SUM(H83:H94)</f>
        <v>27573278.175000001</v>
      </c>
      <c r="I95" s="225">
        <f>SUM(I83:I94)</f>
        <v>17646898.031999998</v>
      </c>
      <c r="J95" s="225">
        <f>SUM(J83:J94)</f>
        <v>9926380.1429999992</v>
      </c>
      <c r="K95" s="225">
        <f>SUM(K83:K94)</f>
        <v>45112071.636791274</v>
      </c>
      <c r="L95" s="225">
        <f>SUM(L83:L94)</f>
        <v>36005895.854999997</v>
      </c>
      <c r="M95" s="195">
        <f>H95/L95</f>
        <v>0.76579897597995772</v>
      </c>
      <c r="N95" s="260"/>
      <c r="O95" s="169"/>
      <c r="P95" s="65"/>
      <c r="Q95" s="65"/>
      <c r="R95" s="65"/>
      <c r="S95" s="65"/>
      <c r="T95" s="65"/>
      <c r="U95" s="65"/>
      <c r="V95" s="65"/>
      <c r="W95" s="65"/>
      <c r="X95" s="65"/>
      <c r="Y95" s="65"/>
      <c r="Z95" s="65"/>
    </row>
    <row r="96" spans="1:26" ht="20.25" customHeight="1">
      <c r="A96" s="189"/>
      <c r="B96" s="202" t="s">
        <v>77</v>
      </c>
      <c r="C96" s="216"/>
      <c r="D96" s="216"/>
      <c r="E96" s="216"/>
      <c r="F96" s="216"/>
      <c r="G96" s="216"/>
      <c r="H96" s="203"/>
      <c r="I96" s="203"/>
      <c r="J96" s="203"/>
      <c r="K96" s="203"/>
      <c r="L96" s="203"/>
      <c r="M96" s="204"/>
      <c r="N96" s="260"/>
      <c r="O96" s="65"/>
      <c r="P96" s="65"/>
      <c r="Q96" s="65"/>
      <c r="R96" s="65"/>
      <c r="S96" s="65"/>
      <c r="T96" s="65"/>
      <c r="U96" s="65"/>
      <c r="V96" s="65"/>
      <c r="W96" s="65"/>
      <c r="X96" s="65"/>
      <c r="Y96" s="65"/>
      <c r="Z96" s="65"/>
    </row>
    <row r="97" spans="1:26" ht="14.5">
      <c r="A97" s="189"/>
      <c r="B97" s="1" t="s">
        <v>78</v>
      </c>
      <c r="C97" s="212">
        <f>3401+887</f>
        <v>4288</v>
      </c>
      <c r="D97" s="217">
        <v>5834</v>
      </c>
      <c r="E97" s="218">
        <f t="shared" ref="E97:E106" si="34">D97</f>
        <v>5834</v>
      </c>
      <c r="F97" s="213">
        <f>4672+2556.10017249598</f>
        <v>7228.1001724959806</v>
      </c>
      <c r="G97" s="88">
        <f t="shared" ref="G97:G107" si="35">IF(AND(ISNUMBER(F97)=TRUE,F97&lt;&gt;0),C97/F97,"N/A")</f>
        <v>0.59324025645307066</v>
      </c>
      <c r="H97" s="227">
        <v>18562610.68</v>
      </c>
      <c r="I97" s="228">
        <f t="shared" ref="I97:I106" si="36">H97*0.64</f>
        <v>11880070.835200001</v>
      </c>
      <c r="J97" s="228">
        <f t="shared" ref="J97:J106" si="37">H97-I97</f>
        <v>6682539.8447999991</v>
      </c>
      <c r="K97" s="226">
        <v>26734994</v>
      </c>
      <c r="L97" s="227">
        <v>26809711.68</v>
      </c>
      <c r="M97" s="88">
        <f t="shared" ref="M97:M106" si="38">H97/L97</f>
        <v>0.69238382350257333</v>
      </c>
      <c r="N97" s="260"/>
      <c r="O97" s="168"/>
      <c r="P97" s="65"/>
      <c r="Q97" s="65"/>
      <c r="R97" s="65"/>
      <c r="S97" s="65"/>
      <c r="T97" s="65"/>
      <c r="U97" s="65"/>
      <c r="V97" s="65"/>
      <c r="W97" s="65"/>
      <c r="X97" s="65"/>
      <c r="Y97" s="65"/>
      <c r="Z97" s="65"/>
    </row>
    <row r="98" spans="1:26" ht="14.5">
      <c r="A98" s="189"/>
      <c r="B98" s="1" t="s">
        <v>79</v>
      </c>
      <c r="C98" s="212">
        <v>3512</v>
      </c>
      <c r="D98" s="217">
        <v>10370</v>
      </c>
      <c r="E98" s="218">
        <f t="shared" si="34"/>
        <v>10370</v>
      </c>
      <c r="F98" s="213">
        <v>5270</v>
      </c>
      <c r="G98" s="88">
        <f t="shared" si="35"/>
        <v>0.66641366223908916</v>
      </c>
      <c r="H98" s="227">
        <v>2039287.41</v>
      </c>
      <c r="I98" s="228">
        <f t="shared" si="36"/>
        <v>1305143.9424000001</v>
      </c>
      <c r="J98" s="228">
        <f t="shared" si="37"/>
        <v>734143.46759999986</v>
      </c>
      <c r="K98" s="226">
        <v>5081333</v>
      </c>
      <c r="L98" s="227">
        <v>2829725.41</v>
      </c>
      <c r="M98" s="88">
        <f t="shared" si="38"/>
        <v>0.72066618294246432</v>
      </c>
      <c r="N98" s="260"/>
      <c r="O98" s="167"/>
      <c r="P98" s="65"/>
      <c r="Q98" s="65"/>
      <c r="R98" s="65"/>
      <c r="S98" s="65"/>
      <c r="T98" s="65"/>
      <c r="U98" s="65"/>
      <c r="V98" s="65"/>
      <c r="W98" s="65"/>
      <c r="X98" s="65"/>
      <c r="Y98" s="65"/>
      <c r="Z98" s="65"/>
    </row>
    <row r="99" spans="1:26" ht="14.5">
      <c r="A99" s="189"/>
      <c r="B99" s="1" t="s">
        <v>80</v>
      </c>
      <c r="C99" s="212">
        <f>31+15816</f>
        <v>15847</v>
      </c>
      <c r="D99" s="217">
        <v>16000.955079999996</v>
      </c>
      <c r="E99" s="218">
        <f t="shared" si="34"/>
        <v>16000.955079999996</v>
      </c>
      <c r="F99" s="213">
        <f>1469.843576+19917.1176666667</f>
        <v>21386.961242666701</v>
      </c>
      <c r="G99" s="88">
        <f t="shared" si="35"/>
        <v>0.74096547986375205</v>
      </c>
      <c r="H99" s="227">
        <f>15864291.73+2984000</f>
        <v>18848291.73</v>
      </c>
      <c r="I99" s="228">
        <f t="shared" si="36"/>
        <v>12062906.7072</v>
      </c>
      <c r="J99" s="228">
        <f t="shared" si="37"/>
        <v>6785385.0228000004</v>
      </c>
      <c r="K99" s="226">
        <f>25517499.638412+2365000</f>
        <v>27882499.638411999</v>
      </c>
      <c r="L99" s="227">
        <f>22503385.73+4040000</f>
        <v>26543385.73</v>
      </c>
      <c r="M99" s="88">
        <f t="shared" si="38"/>
        <v>0.71009372812215088</v>
      </c>
      <c r="N99" s="260"/>
      <c r="O99" s="167"/>
      <c r="P99" s="65"/>
      <c r="Q99" s="65"/>
      <c r="R99" s="65"/>
      <c r="S99" s="65"/>
      <c r="T99" s="65"/>
      <c r="U99" s="65"/>
      <c r="V99" s="65"/>
      <c r="W99" s="65"/>
      <c r="X99" s="65"/>
      <c r="Y99" s="65"/>
      <c r="Z99" s="65"/>
    </row>
    <row r="100" spans="1:26" ht="14.5">
      <c r="A100" s="189"/>
      <c r="B100" s="1" t="s">
        <v>81</v>
      </c>
      <c r="C100" s="212">
        <v>1422</v>
      </c>
      <c r="D100" s="217">
        <v>473.37565000000006</v>
      </c>
      <c r="E100" s="218">
        <f t="shared" si="34"/>
        <v>473.37565000000006</v>
      </c>
      <c r="F100" s="213">
        <v>1625.5303480000002</v>
      </c>
      <c r="G100" s="88">
        <f t="shared" si="35"/>
        <v>0.87479141915103742</v>
      </c>
      <c r="H100" s="227">
        <v>2833877.84</v>
      </c>
      <c r="I100" s="228">
        <f t="shared" si="36"/>
        <v>1813681.8176</v>
      </c>
      <c r="J100" s="228">
        <f t="shared" si="37"/>
        <v>1020196.0223999999</v>
      </c>
      <c r="K100" s="226">
        <v>1517499.8558291339</v>
      </c>
      <c r="L100" s="227">
        <v>3010607.84</v>
      </c>
      <c r="M100" s="88">
        <f t="shared" si="38"/>
        <v>0.94129756866639924</v>
      </c>
      <c r="N100" s="260"/>
      <c r="O100" s="167"/>
      <c r="P100" s="65"/>
      <c r="Q100" s="65"/>
      <c r="R100" s="65"/>
      <c r="S100" s="65"/>
      <c r="T100" s="65"/>
      <c r="U100" s="65"/>
      <c r="V100" s="65"/>
      <c r="W100" s="65"/>
      <c r="X100" s="65"/>
      <c r="Y100" s="65"/>
      <c r="Z100" s="65"/>
    </row>
    <row r="101" spans="1:26" ht="14.5">
      <c r="A101" s="189"/>
      <c r="B101" s="82" t="s">
        <v>82</v>
      </c>
      <c r="C101" s="212">
        <v>65881</v>
      </c>
      <c r="D101" s="217">
        <v>124209.58706816469</v>
      </c>
      <c r="E101" s="218">
        <f t="shared" si="34"/>
        <v>124209.58706816469</v>
      </c>
      <c r="F101" s="213">
        <v>121489</v>
      </c>
      <c r="G101" s="88">
        <f t="shared" si="35"/>
        <v>0.54227954794261213</v>
      </c>
      <c r="H101" s="227">
        <v>12603890.32</v>
      </c>
      <c r="I101" s="228">
        <f t="shared" si="36"/>
        <v>8066489.8048</v>
      </c>
      <c r="J101" s="228">
        <f t="shared" si="37"/>
        <v>4537400.5152000003</v>
      </c>
      <c r="K101" s="226">
        <v>17212757.989999998</v>
      </c>
      <c r="L101" s="227">
        <v>19827557.32</v>
      </c>
      <c r="M101" s="88">
        <f t="shared" si="38"/>
        <v>0.6356753944312894</v>
      </c>
      <c r="N101" s="260"/>
      <c r="O101" s="167"/>
      <c r="P101" s="65"/>
      <c r="Q101" s="65"/>
      <c r="R101" s="65"/>
      <c r="S101" s="65"/>
      <c r="T101" s="65"/>
      <c r="U101" s="65"/>
      <c r="V101" s="65"/>
      <c r="W101" s="65"/>
      <c r="X101" s="65"/>
      <c r="Y101" s="65"/>
      <c r="Z101" s="65"/>
    </row>
    <row r="102" spans="1:26" ht="14.5">
      <c r="A102" s="189"/>
      <c r="B102" s="1" t="s">
        <v>83</v>
      </c>
      <c r="C102" s="212">
        <f>6712+176465+24126</f>
        <v>207303</v>
      </c>
      <c r="D102" s="217">
        <v>216715.40785870998</v>
      </c>
      <c r="E102" s="218">
        <f t="shared" si="34"/>
        <v>216715.40785870998</v>
      </c>
      <c r="F102" s="213">
        <f>9243.85+217668.66+40769.23</f>
        <v>267681.74</v>
      </c>
      <c r="G102" s="88">
        <f t="shared" si="35"/>
        <v>0.77443833113158933</v>
      </c>
      <c r="H102" s="227">
        <v>12791554.020000001</v>
      </c>
      <c r="I102" s="228">
        <f t="shared" si="36"/>
        <v>8186594.5728000011</v>
      </c>
      <c r="J102" s="228">
        <f t="shared" si="37"/>
        <v>4604959.4472000003</v>
      </c>
      <c r="K102" s="226">
        <v>16021537.279999997</v>
      </c>
      <c r="L102" s="227">
        <v>17593336.16</v>
      </c>
      <c r="M102" s="88">
        <f t="shared" si="38"/>
        <v>0.72706812986855363</v>
      </c>
      <c r="N102" s="260"/>
      <c r="O102" s="167"/>
      <c r="P102" s="65"/>
      <c r="Q102" s="65"/>
      <c r="R102" s="65"/>
      <c r="S102" s="65"/>
      <c r="T102" s="65"/>
      <c r="U102" s="65"/>
      <c r="V102" s="65"/>
      <c r="W102" s="65"/>
      <c r="X102" s="65"/>
      <c r="Y102" s="65"/>
      <c r="Z102" s="65"/>
    </row>
    <row r="103" spans="1:26" ht="14.5">
      <c r="A103" s="189"/>
      <c r="B103" s="1" t="s">
        <v>84</v>
      </c>
      <c r="C103" s="212">
        <v>830</v>
      </c>
      <c r="D103" s="217">
        <v>1072</v>
      </c>
      <c r="E103" s="218">
        <f t="shared" si="34"/>
        <v>1072</v>
      </c>
      <c r="F103" s="213">
        <v>870</v>
      </c>
      <c r="G103" s="88">
        <f t="shared" si="35"/>
        <v>0.95402298850574707</v>
      </c>
      <c r="H103" s="227">
        <v>866886.68</v>
      </c>
      <c r="I103" s="228">
        <f t="shared" si="36"/>
        <v>554807.47519999999</v>
      </c>
      <c r="J103" s="228">
        <f t="shared" si="37"/>
        <v>312079.20480000007</v>
      </c>
      <c r="K103" s="226">
        <v>2304421</v>
      </c>
      <c r="L103" s="227">
        <v>1219773.2149100001</v>
      </c>
      <c r="M103" s="88">
        <f t="shared" si="38"/>
        <v>0.71069496313211189</v>
      </c>
      <c r="N103" s="260"/>
      <c r="O103" s="167"/>
      <c r="P103" s="65"/>
      <c r="Q103" s="65"/>
      <c r="R103" s="65"/>
      <c r="S103" s="65"/>
      <c r="T103" s="65"/>
      <c r="U103" s="65"/>
      <c r="V103" s="65"/>
      <c r="W103" s="65"/>
      <c r="X103" s="65"/>
      <c r="Y103" s="65"/>
      <c r="Z103" s="65"/>
    </row>
    <row r="104" spans="1:26" ht="14.5">
      <c r="A104" s="189"/>
      <c r="B104" s="1" t="s">
        <v>85</v>
      </c>
      <c r="C104" s="212">
        <f>-1+1723</f>
        <v>1722</v>
      </c>
      <c r="D104" s="217">
        <v>6443</v>
      </c>
      <c r="E104" s="218">
        <f t="shared" si="34"/>
        <v>6443</v>
      </c>
      <c r="F104" s="213">
        <f>1544.58047766+3265.06878238619</f>
        <v>4809.6492600461897</v>
      </c>
      <c r="G104" s="88">
        <f t="shared" si="35"/>
        <v>0.35803026518059711</v>
      </c>
      <c r="H104" s="227">
        <f>512169.81+2855125.68</f>
        <v>3367295.49</v>
      </c>
      <c r="I104" s="228">
        <f t="shared" ref="I104:I105" si="39">H104*0.64</f>
        <v>2155069.1136000003</v>
      </c>
      <c r="J104" s="228">
        <f t="shared" ref="J104:J105" si="40">H104-I104</f>
        <v>1212226.3764</v>
      </c>
      <c r="K104" s="226">
        <f>3551417.80223867+4872148</f>
        <v>8423565.8022386692</v>
      </c>
      <c r="L104" s="227">
        <f>1452329.91435773+3922990.5467345</f>
        <v>5375320.4610922299</v>
      </c>
      <c r="M104" s="88">
        <f t="shared" si="38"/>
        <v>0.62643623098813128</v>
      </c>
      <c r="N104" s="260"/>
      <c r="O104" s="167"/>
      <c r="P104" s="65"/>
      <c r="Q104" s="65"/>
      <c r="R104" s="65"/>
      <c r="S104" s="65"/>
      <c r="T104" s="65"/>
      <c r="U104" s="65"/>
      <c r="V104" s="65"/>
      <c r="W104" s="65"/>
      <c r="X104" s="65"/>
      <c r="Y104" s="65"/>
      <c r="Z104" s="65"/>
    </row>
    <row r="105" spans="1:26" ht="14.5">
      <c r="A105" s="189"/>
      <c r="B105" s="1" t="s">
        <v>86</v>
      </c>
      <c r="C105" s="212">
        <v>1196</v>
      </c>
      <c r="D105" s="217">
        <v>1277</v>
      </c>
      <c r="E105" s="218">
        <f t="shared" si="34"/>
        <v>1277</v>
      </c>
      <c r="F105" s="213">
        <v>1647.9359300000001</v>
      </c>
      <c r="G105" s="88">
        <f t="shared" si="35"/>
        <v>0.72575637088026834</v>
      </c>
      <c r="H105" s="227">
        <v>822564.97999999986</v>
      </c>
      <c r="I105" s="228">
        <f t="shared" si="39"/>
        <v>526441.58719999995</v>
      </c>
      <c r="J105" s="228">
        <f t="shared" si="40"/>
        <v>296123.39279999991</v>
      </c>
      <c r="K105" s="226">
        <v>0</v>
      </c>
      <c r="L105" s="227">
        <v>996338.74489999993</v>
      </c>
      <c r="M105" s="88">
        <f t="shared" si="38"/>
        <v>0.82558766705650766</v>
      </c>
      <c r="N105" s="260"/>
      <c r="O105" s="167"/>
      <c r="P105" s="65"/>
      <c r="Q105" s="65"/>
      <c r="R105" s="65"/>
      <c r="S105" s="65"/>
      <c r="T105" s="65"/>
      <c r="U105" s="65"/>
      <c r="V105" s="65"/>
      <c r="W105" s="65"/>
      <c r="X105" s="65"/>
      <c r="Y105" s="65"/>
      <c r="Z105" s="65"/>
    </row>
    <row r="106" spans="1:26" ht="14.5">
      <c r="A106" s="189"/>
      <c r="B106" s="1" t="s">
        <v>87</v>
      </c>
      <c r="C106" s="212" t="s">
        <v>28</v>
      </c>
      <c r="D106" s="212" t="s">
        <v>28</v>
      </c>
      <c r="E106" s="218" t="str">
        <f t="shared" si="34"/>
        <v>N/A</v>
      </c>
      <c r="F106" s="213" t="s">
        <v>28</v>
      </c>
      <c r="G106" s="88" t="str">
        <f t="shared" si="35"/>
        <v>N/A</v>
      </c>
      <c r="H106" s="227">
        <v>1193780.5</v>
      </c>
      <c r="I106" s="228">
        <f t="shared" si="36"/>
        <v>764019.52</v>
      </c>
      <c r="J106" s="228">
        <f t="shared" si="37"/>
        <v>429760.98</v>
      </c>
      <c r="K106" s="226">
        <v>3281836.9299999997</v>
      </c>
      <c r="L106" s="227">
        <v>2291317.84</v>
      </c>
      <c r="M106" s="88">
        <f t="shared" si="38"/>
        <v>0.52100170441652915</v>
      </c>
      <c r="N106" s="260"/>
      <c r="O106" s="167"/>
      <c r="P106" s="65"/>
      <c r="Q106" s="65"/>
      <c r="R106" s="65"/>
      <c r="S106" s="65"/>
      <c r="T106" s="65"/>
      <c r="U106" s="65"/>
      <c r="V106" s="65"/>
      <c r="W106" s="65"/>
      <c r="X106" s="65"/>
      <c r="Y106" s="65"/>
      <c r="Z106" s="65"/>
    </row>
    <row r="107" spans="1:26" ht="20.25" customHeight="1">
      <c r="A107" s="189"/>
      <c r="B107" s="40" t="s">
        <v>88</v>
      </c>
      <c r="C107" s="219">
        <f>SUM(C97:C106)</f>
        <v>302001</v>
      </c>
      <c r="D107" s="220">
        <f>SUM(D97:D106)</f>
        <v>382395.32565687469</v>
      </c>
      <c r="E107" s="220">
        <f>SUM(E97:E106)</f>
        <v>382395.32565687469</v>
      </c>
      <c r="F107" s="220">
        <f>SUM(F97:F106)</f>
        <v>432008.91695320886</v>
      </c>
      <c r="G107" s="90">
        <f t="shared" si="35"/>
        <v>0.69906195948429906</v>
      </c>
      <c r="H107" s="225">
        <f>SUM(H97:H106)</f>
        <v>73930039.650000006</v>
      </c>
      <c r="I107" s="229">
        <f>SUM(I97:I106)</f>
        <v>47315225.376000009</v>
      </c>
      <c r="J107" s="229">
        <f>SUM(J97:J106)</f>
        <v>26614814.274</v>
      </c>
      <c r="K107" s="229">
        <f>SUM(K97:K106)</f>
        <v>108460445.49647981</v>
      </c>
      <c r="L107" s="229">
        <f>SUM(L97:L106)</f>
        <v>106497074.40090223</v>
      </c>
      <c r="M107" s="194">
        <f>H107/L107</f>
        <v>0.69419784595860867</v>
      </c>
      <c r="N107" s="260"/>
      <c r="O107" s="170"/>
      <c r="P107" s="65"/>
      <c r="Q107" s="65"/>
      <c r="R107" s="65"/>
      <c r="S107" s="65"/>
      <c r="T107" s="65"/>
      <c r="U107" s="65"/>
      <c r="V107" s="65"/>
      <c r="W107" s="65"/>
      <c r="X107" s="65"/>
      <c r="Y107" s="65"/>
      <c r="Z107" s="65"/>
    </row>
    <row r="108" spans="1:26" ht="20.25" customHeight="1">
      <c r="A108" s="189"/>
      <c r="B108" s="16" t="s">
        <v>89</v>
      </c>
      <c r="C108" s="221"/>
      <c r="D108" s="221"/>
      <c r="E108" s="221"/>
      <c r="F108" s="221"/>
      <c r="G108" s="221"/>
      <c r="H108" s="17"/>
      <c r="I108" s="17"/>
      <c r="J108" s="17"/>
      <c r="K108" s="17"/>
      <c r="L108" s="17"/>
      <c r="M108" s="236"/>
      <c r="N108" s="260"/>
      <c r="O108" s="65"/>
      <c r="P108" s="65"/>
      <c r="Q108" s="65"/>
      <c r="R108" s="65"/>
      <c r="S108" s="65"/>
      <c r="T108" s="65"/>
      <c r="U108" s="65"/>
      <c r="V108" s="65"/>
      <c r="W108" s="65"/>
      <c r="X108" s="65"/>
      <c r="Y108" s="65"/>
      <c r="Z108" s="65"/>
    </row>
    <row r="109" spans="1:26" ht="14.5">
      <c r="A109" s="189"/>
      <c r="B109" s="64" t="s">
        <v>90</v>
      </c>
      <c r="C109" s="205">
        <v>0</v>
      </c>
      <c r="D109" s="205">
        <v>15915.3954112713</v>
      </c>
      <c r="E109" s="222">
        <f>D109</f>
        <v>15915.3954112713</v>
      </c>
      <c r="F109" s="205">
        <v>15915.3954112713</v>
      </c>
      <c r="G109" s="88">
        <f t="shared" ref="G109:G116" si="41">IF(AND(ISNUMBER(F109)=TRUE,F109&lt;&gt;0),C109/F109,"N/A")</f>
        <v>0</v>
      </c>
      <c r="H109" s="227">
        <f>17020+7717839.17+12194+39488.02</f>
        <v>7786541.1899999995</v>
      </c>
      <c r="I109" s="230">
        <v>0</v>
      </c>
      <c r="J109" s="228">
        <f>H109-I109</f>
        <v>7786541.1899999995</v>
      </c>
      <c r="K109" s="226">
        <f>0+9399100+2000000+0</f>
        <v>11399100</v>
      </c>
      <c r="L109" s="227">
        <f>17020+10562772.771+29694+46988.02</f>
        <v>10656474.790999999</v>
      </c>
      <c r="M109" s="88">
        <f>H109/L109</f>
        <v>0.7306863988995852</v>
      </c>
      <c r="N109" s="260"/>
      <c r="O109" s="65"/>
      <c r="P109" s="65"/>
      <c r="Q109" s="65"/>
      <c r="R109" s="65"/>
      <c r="S109" s="65"/>
      <c r="T109" s="65"/>
      <c r="U109" s="65"/>
      <c r="V109" s="65"/>
      <c r="W109" s="65"/>
      <c r="X109" s="65"/>
      <c r="Y109" s="65"/>
      <c r="Z109" s="65"/>
    </row>
    <row r="110" spans="1:26" ht="14.5">
      <c r="A110" s="189"/>
      <c r="B110" s="64" t="s">
        <v>91</v>
      </c>
      <c r="C110" s="205">
        <v>13932</v>
      </c>
      <c r="D110" s="205">
        <v>114704</v>
      </c>
      <c r="E110" s="222">
        <f>D110</f>
        <v>114704</v>
      </c>
      <c r="F110" s="205">
        <v>114704</v>
      </c>
      <c r="G110" s="88">
        <f t="shared" si="41"/>
        <v>0.12146045473566745</v>
      </c>
      <c r="H110" s="232" t="s">
        <v>28</v>
      </c>
      <c r="I110" s="89" t="s">
        <v>28</v>
      </c>
      <c r="J110" s="89" t="s">
        <v>28</v>
      </c>
      <c r="K110" s="232" t="s">
        <v>28</v>
      </c>
      <c r="L110" s="232" t="s">
        <v>28</v>
      </c>
      <c r="M110" s="193" t="s">
        <v>28</v>
      </c>
      <c r="N110" s="260"/>
      <c r="O110" s="65"/>
      <c r="P110" s="65"/>
      <c r="Q110" s="65"/>
      <c r="R110" s="65"/>
      <c r="S110" s="65"/>
      <c r="T110" s="65"/>
      <c r="U110" s="65"/>
      <c r="V110" s="65"/>
      <c r="W110" s="65"/>
      <c r="X110" s="65"/>
      <c r="Y110" s="65"/>
      <c r="Z110" s="65"/>
    </row>
    <row r="111" spans="1:26" ht="14.5">
      <c r="A111" s="189"/>
      <c r="B111" s="64" t="s">
        <v>92</v>
      </c>
      <c r="C111" s="205" t="s">
        <v>28</v>
      </c>
      <c r="D111" s="205" t="s">
        <v>28</v>
      </c>
      <c r="E111" s="89" t="s">
        <v>28</v>
      </c>
      <c r="F111" s="205" t="s">
        <v>28</v>
      </c>
      <c r="G111" s="89" t="str">
        <f t="shared" si="41"/>
        <v>N/A</v>
      </c>
      <c r="H111" s="231">
        <v>2690.52</v>
      </c>
      <c r="I111" s="230">
        <v>0</v>
      </c>
      <c r="J111" s="230">
        <v>0</v>
      </c>
      <c r="K111" s="226">
        <v>13445</v>
      </c>
      <c r="L111" s="231">
        <v>13420.52</v>
      </c>
      <c r="M111" s="88">
        <f>H111/L111</f>
        <v>0.2004780738749318</v>
      </c>
      <c r="N111" s="260"/>
      <c r="O111" s="65"/>
      <c r="P111" s="65"/>
      <c r="Q111" s="65"/>
      <c r="R111" s="65"/>
      <c r="S111" s="65"/>
      <c r="T111" s="65"/>
      <c r="U111" s="65"/>
      <c r="V111" s="65"/>
      <c r="W111" s="65"/>
      <c r="X111" s="65"/>
      <c r="Y111" s="65"/>
      <c r="Z111" s="65"/>
    </row>
    <row r="112" spans="1:26" ht="25">
      <c r="A112" s="189"/>
      <c r="B112" s="34" t="s">
        <v>93</v>
      </c>
      <c r="C112" s="220">
        <f>SUM(C109:C111)</f>
        <v>13932</v>
      </c>
      <c r="D112" s="220">
        <f>SUM(D109:D111)</f>
        <v>130619.3954112713</v>
      </c>
      <c r="E112" s="220">
        <f>D112</f>
        <v>130619.3954112713</v>
      </c>
      <c r="F112" s="220">
        <f>E112</f>
        <v>130619.3954112713</v>
      </c>
      <c r="G112" s="90">
        <f t="shared" si="41"/>
        <v>0.10666103572240078</v>
      </c>
      <c r="H112" s="238">
        <f>SUM(H109:H111)</f>
        <v>7789231.709999999</v>
      </c>
      <c r="I112" s="238">
        <f>SUM(I109:I111)</f>
        <v>0</v>
      </c>
      <c r="J112" s="238">
        <f>SUM(J109:J111)</f>
        <v>7786541.1899999995</v>
      </c>
      <c r="K112" s="238">
        <f>SUM(K109:K111)</f>
        <v>11412545</v>
      </c>
      <c r="L112" s="238">
        <f>SUM(L109:L111)</f>
        <v>10669895.310999999</v>
      </c>
      <c r="M112" s="194">
        <f>H112/L112</f>
        <v>0.73001950656158598</v>
      </c>
      <c r="N112" s="260"/>
      <c r="O112" s="65"/>
      <c r="P112" s="65"/>
      <c r="Q112" s="65"/>
      <c r="R112" s="65"/>
      <c r="S112" s="65"/>
      <c r="T112" s="65"/>
      <c r="U112" s="65"/>
      <c r="V112" s="65"/>
      <c r="W112" s="65"/>
      <c r="X112" s="65"/>
      <c r="Y112" s="65"/>
      <c r="Z112" s="65"/>
    </row>
    <row r="113" spans="1:26" ht="20.25" customHeight="1">
      <c r="A113" s="189"/>
      <c r="B113" s="34" t="s">
        <v>94</v>
      </c>
      <c r="C113" s="219">
        <v>154685</v>
      </c>
      <c r="D113" s="220">
        <v>154685</v>
      </c>
      <c r="E113" s="220">
        <f>D113</f>
        <v>154685</v>
      </c>
      <c r="F113" s="220">
        <v>154685</v>
      </c>
      <c r="G113" s="90">
        <f t="shared" si="41"/>
        <v>1</v>
      </c>
      <c r="H113" s="238" t="s">
        <v>28</v>
      </c>
      <c r="I113" s="238" t="s">
        <v>28</v>
      </c>
      <c r="J113" s="238" t="s">
        <v>28</v>
      </c>
      <c r="K113" s="238" t="s">
        <v>28</v>
      </c>
      <c r="L113" s="238" t="s">
        <v>28</v>
      </c>
      <c r="M113" s="194" t="s">
        <v>28</v>
      </c>
      <c r="N113" s="260"/>
      <c r="O113" s="65"/>
      <c r="P113" s="65"/>
      <c r="Q113" s="65"/>
      <c r="R113" s="65"/>
      <c r="S113" s="65"/>
      <c r="T113" s="65"/>
      <c r="U113" s="65"/>
      <c r="V113" s="65"/>
      <c r="W113" s="65"/>
      <c r="X113" s="65"/>
      <c r="Y113" s="65"/>
      <c r="Z113" s="65"/>
    </row>
    <row r="114" spans="1:26" ht="20.25" customHeight="1">
      <c r="A114" s="189"/>
      <c r="B114" s="34" t="s">
        <v>319</v>
      </c>
      <c r="C114" s="219">
        <v>0</v>
      </c>
      <c r="D114" s="220">
        <v>0</v>
      </c>
      <c r="E114" s="220">
        <f>D114</f>
        <v>0</v>
      </c>
      <c r="F114" s="220">
        <v>1035</v>
      </c>
      <c r="G114" s="90">
        <f t="shared" si="41"/>
        <v>0</v>
      </c>
      <c r="H114" s="238" t="s">
        <v>28</v>
      </c>
      <c r="I114" s="238" t="s">
        <v>28</v>
      </c>
      <c r="J114" s="238" t="s">
        <v>28</v>
      </c>
      <c r="K114" s="238" t="s">
        <v>28</v>
      </c>
      <c r="L114" s="238" t="s">
        <v>28</v>
      </c>
      <c r="M114" s="194" t="s">
        <v>28</v>
      </c>
      <c r="N114" s="260"/>
      <c r="O114" s="65"/>
      <c r="P114" s="65"/>
      <c r="Q114" s="65"/>
      <c r="R114" s="65"/>
      <c r="S114" s="65"/>
      <c r="T114" s="65"/>
      <c r="U114" s="65"/>
      <c r="V114" s="65"/>
      <c r="W114" s="65"/>
      <c r="X114" s="65"/>
      <c r="Y114" s="65"/>
      <c r="Z114" s="65"/>
    </row>
    <row r="115" spans="1:26" ht="20.25" customHeight="1">
      <c r="A115" s="189"/>
      <c r="B115" s="34" t="s">
        <v>95</v>
      </c>
      <c r="C115" s="219">
        <v>0</v>
      </c>
      <c r="D115" s="220">
        <v>53000</v>
      </c>
      <c r="E115" s="220">
        <f>D115</f>
        <v>53000</v>
      </c>
      <c r="F115" s="220">
        <v>83736</v>
      </c>
      <c r="G115" s="90">
        <f t="shared" si="41"/>
        <v>0</v>
      </c>
      <c r="H115" s="238" t="s">
        <v>28</v>
      </c>
      <c r="I115" s="238" t="s">
        <v>28</v>
      </c>
      <c r="J115" s="238" t="s">
        <v>28</v>
      </c>
      <c r="K115" s="238" t="s">
        <v>28</v>
      </c>
      <c r="L115" s="238" t="s">
        <v>28</v>
      </c>
      <c r="M115" s="194" t="s">
        <v>28</v>
      </c>
      <c r="N115" s="260"/>
      <c r="O115" s="112"/>
      <c r="P115" s="65"/>
      <c r="Q115" s="65"/>
      <c r="R115" s="65"/>
      <c r="S115" s="65"/>
      <c r="T115" s="65"/>
      <c r="U115" s="65"/>
      <c r="V115" s="65"/>
      <c r="W115" s="65"/>
      <c r="X115" s="65"/>
      <c r="Y115" s="65"/>
      <c r="Z115" s="65"/>
    </row>
    <row r="116" spans="1:26" s="192" customFormat="1" ht="25.25" customHeight="1">
      <c r="A116" s="189"/>
      <c r="B116" s="190" t="s">
        <v>96</v>
      </c>
      <c r="C116" s="237">
        <f>SUM(C112:C115,C81,C37)</f>
        <v>1006862.7026695999</v>
      </c>
      <c r="D116" s="237">
        <f>SUM(D37,D95,D107,D112,D115,D113,D114)</f>
        <v>1544746.0016381273</v>
      </c>
      <c r="E116" s="237">
        <f>SUM(E37,E95,E107,E112,E115,E113)</f>
        <v>1544746.0016381273</v>
      </c>
      <c r="F116" s="237">
        <f>SUM(F37,F95,F107,F112,F115,F113,F114)</f>
        <v>1599865.9506267279</v>
      </c>
      <c r="G116" s="188">
        <f t="shared" si="41"/>
        <v>0.62934191597438138</v>
      </c>
      <c r="H116" s="239">
        <f>SUM(H37,H95,H107,H112,H115,H113)</f>
        <v>276784665.00223655</v>
      </c>
      <c r="I116" s="239">
        <f>SUM(I37,I95,I107,I112,I115,I113)</f>
        <v>160613404.98703143</v>
      </c>
      <c r="J116" s="239">
        <f>SUM(J37,J95,J107,J112,J115,J113)</f>
        <v>110411019.35520516</v>
      </c>
      <c r="K116" s="239">
        <f>SUM(K37,K95,K107,K112,K115,K113)</f>
        <v>400970544.12599713</v>
      </c>
      <c r="L116" s="239">
        <f>SUM(L37,L95,L107,L112,L115,L113)</f>
        <v>383925244.05021662</v>
      </c>
      <c r="M116" s="188">
        <f>H116/L116</f>
        <v>0.72093374762831097</v>
      </c>
      <c r="N116" s="262"/>
      <c r="O116" s="191"/>
      <c r="P116" s="189"/>
      <c r="Q116" s="189"/>
      <c r="R116" s="189"/>
      <c r="S116" s="189"/>
      <c r="T116" s="189"/>
      <c r="U116" s="189"/>
      <c r="V116" s="189"/>
      <c r="W116" s="189"/>
      <c r="X116" s="189"/>
      <c r="Y116" s="189"/>
      <c r="Z116" s="189"/>
    </row>
    <row r="117" spans="1:26" ht="22.5" customHeight="1">
      <c r="A117" s="65"/>
      <c r="B117" s="149"/>
      <c r="C117" s="150"/>
      <c r="D117" s="201"/>
      <c r="E117" s="151"/>
      <c r="F117" s="152"/>
      <c r="G117" s="153"/>
      <c r="H117" s="154"/>
      <c r="I117" s="155"/>
      <c r="J117" s="155"/>
      <c r="K117" s="154"/>
      <c r="L117" s="154"/>
      <c r="M117" s="156"/>
      <c r="N117" s="259"/>
      <c r="O117" s="157"/>
      <c r="P117" s="65"/>
      <c r="Q117" s="65"/>
      <c r="R117" s="65"/>
      <c r="S117" s="65"/>
      <c r="T117" s="65"/>
      <c r="U117" s="65"/>
      <c r="V117" s="65"/>
      <c r="W117" s="65"/>
      <c r="X117" s="65"/>
      <c r="Y117" s="65"/>
      <c r="Z117" s="65"/>
    </row>
    <row r="118" spans="1:26" ht="22.5" customHeight="1">
      <c r="A118" s="65"/>
      <c r="B118" s="158"/>
      <c r="C118" s="158"/>
      <c r="D118" s="173"/>
      <c r="E118" s="151"/>
      <c r="F118" s="159"/>
      <c r="G118" s="160"/>
      <c r="H118" s="197"/>
      <c r="I118" s="155"/>
      <c r="J118" s="155"/>
      <c r="K118" s="155"/>
      <c r="L118" s="155"/>
      <c r="M118" s="156"/>
      <c r="N118" s="259"/>
      <c r="O118" s="161"/>
      <c r="P118" s="65"/>
      <c r="Q118" s="65"/>
      <c r="R118" s="65"/>
      <c r="S118" s="65"/>
      <c r="T118" s="65"/>
      <c r="U118" s="65"/>
      <c r="V118" s="65"/>
      <c r="W118" s="65"/>
      <c r="X118" s="65"/>
      <c r="Y118" s="65"/>
      <c r="Z118" s="65"/>
    </row>
    <row r="119" spans="1:26" ht="22.5" customHeight="1">
      <c r="A119" s="65"/>
      <c r="B119" s="150" t="s">
        <v>97</v>
      </c>
      <c r="C119" s="150"/>
      <c r="D119" s="200"/>
      <c r="E119" s="200"/>
      <c r="F119" s="65"/>
      <c r="G119" s="162"/>
      <c r="H119" s="65"/>
      <c r="I119" s="65"/>
      <c r="J119" s="65"/>
      <c r="K119" s="65"/>
      <c r="L119" s="104"/>
      <c r="M119" s="65"/>
      <c r="N119" s="259"/>
      <c r="O119" s="65"/>
      <c r="P119" s="65"/>
      <c r="Q119" s="65"/>
      <c r="R119" s="65"/>
      <c r="S119" s="65"/>
      <c r="T119" s="65"/>
      <c r="U119" s="65"/>
      <c r="V119" s="65"/>
      <c r="W119" s="65"/>
      <c r="X119" s="65"/>
      <c r="Y119" s="65"/>
      <c r="Z119" s="65"/>
    </row>
    <row r="120" spans="1:26" ht="27.5" customHeight="1">
      <c r="A120" s="65"/>
      <c r="B120" s="269" t="s">
        <v>98</v>
      </c>
      <c r="C120" s="269"/>
      <c r="D120" s="269"/>
      <c r="E120" s="269"/>
      <c r="F120" s="269"/>
      <c r="G120" s="269"/>
      <c r="H120" s="269"/>
      <c r="I120" s="269"/>
      <c r="J120" s="269"/>
      <c r="K120" s="269"/>
      <c r="L120" s="269"/>
      <c r="M120" s="269"/>
      <c r="N120" s="259"/>
      <c r="O120" s="65"/>
      <c r="P120" s="65"/>
      <c r="Q120" s="65"/>
      <c r="R120" s="65"/>
      <c r="S120" s="65"/>
      <c r="T120" s="65"/>
      <c r="U120" s="65"/>
      <c r="V120" s="65"/>
      <c r="W120" s="65"/>
      <c r="X120" s="65"/>
      <c r="Y120" s="65"/>
      <c r="Z120" s="65"/>
    </row>
    <row r="121" spans="1:26" ht="30.75" customHeight="1">
      <c r="A121" s="65"/>
      <c r="B121" s="269" t="s">
        <v>99</v>
      </c>
      <c r="C121" s="269"/>
      <c r="D121" s="269"/>
      <c r="E121" s="269"/>
      <c r="F121" s="269"/>
      <c r="G121" s="269"/>
      <c r="H121" s="269"/>
      <c r="I121" s="269"/>
      <c r="J121" s="269"/>
      <c r="K121" s="269"/>
      <c r="L121" s="269"/>
      <c r="M121" s="269"/>
      <c r="N121" s="259"/>
      <c r="O121" s="65"/>
      <c r="P121" s="65"/>
      <c r="Q121" s="65"/>
      <c r="R121" s="65"/>
      <c r="S121" s="65"/>
      <c r="T121" s="65"/>
      <c r="U121" s="65"/>
      <c r="V121" s="65"/>
      <c r="W121" s="65"/>
      <c r="X121" s="65"/>
      <c r="Y121" s="65"/>
      <c r="Z121" s="65"/>
    </row>
    <row r="122" spans="1:26" ht="34.5" customHeight="1">
      <c r="A122" s="65"/>
      <c r="B122" s="269" t="s">
        <v>100</v>
      </c>
      <c r="C122" s="269"/>
      <c r="D122" s="269"/>
      <c r="E122" s="269"/>
      <c r="F122" s="269"/>
      <c r="G122" s="269"/>
      <c r="H122" s="269"/>
      <c r="I122" s="269"/>
      <c r="J122" s="269"/>
      <c r="K122" s="269"/>
      <c r="L122" s="269"/>
      <c r="M122" s="269"/>
      <c r="N122" s="259"/>
      <c r="O122" s="65"/>
      <c r="P122" s="65"/>
      <c r="Q122" s="65"/>
      <c r="R122" s="65"/>
      <c r="S122" s="65"/>
      <c r="T122" s="65"/>
      <c r="U122" s="65"/>
      <c r="V122" s="65"/>
      <c r="W122" s="65"/>
      <c r="X122" s="65"/>
      <c r="Y122" s="65"/>
      <c r="Z122" s="65"/>
    </row>
    <row r="123" spans="1:26" ht="22.5" customHeight="1">
      <c r="A123" s="65"/>
      <c r="B123" s="277" t="s">
        <v>101</v>
      </c>
      <c r="C123" s="278"/>
      <c r="D123" s="278"/>
      <c r="E123" s="278"/>
      <c r="F123" s="278"/>
      <c r="G123" s="278"/>
      <c r="H123" s="278"/>
      <c r="I123" s="278"/>
      <c r="J123" s="278"/>
      <c r="K123" s="278"/>
      <c r="L123" s="278"/>
      <c r="M123" s="279"/>
      <c r="N123" s="259"/>
      <c r="O123" s="65"/>
      <c r="P123" s="65"/>
      <c r="Q123" s="65"/>
      <c r="R123" s="65"/>
      <c r="S123" s="65"/>
      <c r="T123" s="65"/>
      <c r="U123" s="65"/>
      <c r="V123" s="65"/>
      <c r="W123" s="65"/>
      <c r="X123" s="65"/>
      <c r="Y123" s="65"/>
      <c r="Z123" s="65"/>
    </row>
    <row r="124" spans="1:26" ht="22.5" customHeight="1">
      <c r="A124" s="65"/>
      <c r="B124" s="266" t="s">
        <v>102</v>
      </c>
      <c r="C124" s="267"/>
      <c r="D124" s="267"/>
      <c r="E124" s="267"/>
      <c r="F124" s="267"/>
      <c r="G124" s="267"/>
      <c r="H124" s="267"/>
      <c r="I124" s="267"/>
      <c r="J124" s="267"/>
      <c r="K124" s="267"/>
      <c r="L124" s="267"/>
      <c r="M124" s="268"/>
      <c r="N124" s="259"/>
      <c r="O124" s="65"/>
      <c r="P124" s="65"/>
      <c r="Q124" s="65"/>
      <c r="R124" s="65"/>
      <c r="S124" s="65"/>
      <c r="T124" s="65"/>
      <c r="U124" s="65"/>
      <c r="V124" s="65"/>
      <c r="W124" s="65"/>
      <c r="X124" s="65"/>
      <c r="Y124" s="65"/>
      <c r="Z124" s="65"/>
    </row>
    <row r="125" spans="1:26" ht="45" customHeight="1">
      <c r="A125" s="65"/>
      <c r="B125" s="266" t="s">
        <v>320</v>
      </c>
      <c r="C125" s="267"/>
      <c r="D125" s="267"/>
      <c r="E125" s="267"/>
      <c r="F125" s="267"/>
      <c r="G125" s="267"/>
      <c r="H125" s="267"/>
      <c r="I125" s="267"/>
      <c r="J125" s="267"/>
      <c r="K125" s="267"/>
      <c r="L125" s="267"/>
      <c r="M125" s="268"/>
      <c r="N125" s="259"/>
      <c r="O125" s="65"/>
      <c r="P125" s="65"/>
      <c r="Q125" s="65"/>
      <c r="R125" s="65"/>
      <c r="S125" s="65"/>
      <c r="T125" s="65"/>
      <c r="U125" s="65"/>
      <c r="V125" s="65"/>
      <c r="W125" s="65"/>
      <c r="X125" s="65"/>
      <c r="Y125" s="65"/>
      <c r="Z125" s="65"/>
    </row>
    <row r="126" spans="1:26" ht="43.5" customHeight="1">
      <c r="A126" s="65"/>
      <c r="B126" s="65"/>
      <c r="C126" s="65"/>
      <c r="D126" s="65"/>
      <c r="E126" s="65"/>
      <c r="F126" s="65"/>
      <c r="G126" s="104"/>
      <c r="H126" s="65"/>
      <c r="I126" s="65"/>
      <c r="J126" s="65"/>
      <c r="K126" s="65"/>
      <c r="L126" s="65"/>
      <c r="M126" s="65"/>
      <c r="N126" s="259"/>
      <c r="O126" s="65"/>
      <c r="P126" s="65"/>
      <c r="Q126" s="65"/>
      <c r="R126" s="65"/>
      <c r="S126" s="65"/>
      <c r="T126" s="65"/>
      <c r="U126" s="65"/>
      <c r="V126" s="65"/>
      <c r="W126" s="65"/>
      <c r="X126" s="65"/>
      <c r="Y126" s="65"/>
      <c r="Z126" s="65"/>
    </row>
    <row r="127" spans="1:26" ht="22.5" customHeight="1">
      <c r="A127" s="65"/>
      <c r="B127" s="65"/>
      <c r="C127" s="65"/>
      <c r="D127" s="65"/>
      <c r="E127" s="65"/>
      <c r="F127" s="65"/>
      <c r="G127" s="104"/>
      <c r="H127" s="65"/>
      <c r="I127" s="65"/>
      <c r="J127" s="65"/>
      <c r="K127" s="65"/>
      <c r="L127" s="65"/>
      <c r="M127" s="65"/>
      <c r="N127" s="259"/>
      <c r="O127" s="65"/>
      <c r="P127" s="65"/>
      <c r="Q127" s="65"/>
      <c r="R127" s="65"/>
      <c r="S127" s="65"/>
      <c r="T127" s="65"/>
      <c r="U127" s="65"/>
      <c r="V127" s="65"/>
      <c r="W127" s="65"/>
      <c r="X127" s="65"/>
      <c r="Y127" s="65"/>
      <c r="Z127" s="65"/>
    </row>
    <row r="128" spans="1:26" ht="22.5" customHeight="1">
      <c r="A128" s="65"/>
      <c r="B128" s="65"/>
      <c r="C128" s="65"/>
      <c r="D128" s="65"/>
      <c r="E128" s="65"/>
      <c r="F128" s="65"/>
      <c r="G128" s="104"/>
      <c r="H128" s="65"/>
      <c r="I128" s="65"/>
      <c r="J128" s="65"/>
      <c r="K128" s="65"/>
      <c r="L128" s="65"/>
      <c r="M128" s="65"/>
      <c r="N128" s="259"/>
      <c r="O128" s="65"/>
      <c r="P128" s="65"/>
      <c r="Q128" s="65"/>
      <c r="R128" s="65"/>
      <c r="S128" s="65"/>
      <c r="T128" s="65"/>
      <c r="U128" s="65"/>
      <c r="V128" s="65"/>
      <c r="W128" s="65"/>
      <c r="X128" s="65"/>
      <c r="Y128" s="65"/>
      <c r="Z128" s="65"/>
    </row>
    <row r="129" spans="1:26" ht="22.5" customHeight="1">
      <c r="A129" s="65"/>
      <c r="B129" s="65"/>
      <c r="C129" s="65"/>
      <c r="D129" s="65"/>
      <c r="E129" s="65"/>
      <c r="F129" s="65"/>
      <c r="G129" s="104"/>
      <c r="H129" s="65"/>
      <c r="I129" s="65"/>
      <c r="J129" s="65"/>
      <c r="K129" s="65"/>
      <c r="L129" s="65"/>
      <c r="M129" s="65"/>
      <c r="N129" s="259"/>
      <c r="O129" s="65"/>
      <c r="P129" s="65"/>
      <c r="Q129" s="65"/>
      <c r="R129" s="65"/>
      <c r="S129" s="65"/>
      <c r="T129" s="65"/>
      <c r="U129" s="65"/>
      <c r="V129" s="65"/>
      <c r="W129" s="65"/>
      <c r="X129" s="65"/>
      <c r="Y129" s="65"/>
      <c r="Z129" s="65"/>
    </row>
    <row r="130" spans="1:26" ht="22.5" customHeight="1">
      <c r="A130" s="65"/>
      <c r="B130" s="65"/>
      <c r="C130" s="65"/>
      <c r="D130" s="65"/>
      <c r="E130" s="65"/>
      <c r="F130" s="65"/>
      <c r="G130" s="104"/>
      <c r="H130" s="65"/>
      <c r="I130" s="65"/>
      <c r="J130" s="65"/>
      <c r="K130" s="65"/>
      <c r="L130" s="65"/>
      <c r="M130" s="65"/>
      <c r="N130" s="259"/>
      <c r="O130" s="65"/>
      <c r="P130" s="65"/>
      <c r="Q130" s="65"/>
      <c r="R130" s="65"/>
      <c r="S130" s="65"/>
      <c r="T130" s="65"/>
      <c r="U130" s="65"/>
      <c r="V130" s="65"/>
      <c r="W130" s="65"/>
      <c r="X130" s="65"/>
      <c r="Y130" s="65"/>
      <c r="Z130" s="65"/>
    </row>
    <row r="131" spans="1:26" ht="22.5" customHeight="1">
      <c r="A131" s="65"/>
      <c r="B131" s="65"/>
      <c r="C131" s="65"/>
      <c r="D131" s="65"/>
      <c r="E131" s="65"/>
      <c r="F131" s="65"/>
      <c r="G131" s="104"/>
      <c r="H131" s="65"/>
      <c r="I131" s="65"/>
      <c r="J131" s="65"/>
      <c r="K131" s="65"/>
      <c r="L131" s="65"/>
      <c r="M131" s="65"/>
      <c r="N131" s="259"/>
      <c r="O131" s="65"/>
      <c r="P131" s="65"/>
      <c r="Q131" s="65"/>
      <c r="R131" s="65"/>
      <c r="S131" s="65"/>
      <c r="T131" s="65"/>
      <c r="U131" s="65"/>
      <c r="V131" s="65"/>
      <c r="W131" s="65"/>
      <c r="X131" s="65"/>
      <c r="Y131" s="65"/>
      <c r="Z131" s="65"/>
    </row>
    <row r="132" spans="1:26" ht="22.5" customHeight="1">
      <c r="A132" s="65"/>
      <c r="B132" s="65"/>
      <c r="C132" s="65"/>
      <c r="D132" s="65"/>
      <c r="E132" s="65"/>
      <c r="F132" s="65"/>
      <c r="G132" s="104"/>
      <c r="H132" s="65"/>
      <c r="I132" s="65"/>
      <c r="J132" s="65"/>
      <c r="K132" s="65"/>
      <c r="L132" s="65"/>
      <c r="M132" s="65"/>
      <c r="N132" s="259"/>
      <c r="O132" s="65"/>
      <c r="P132" s="65"/>
      <c r="Q132" s="65"/>
      <c r="R132" s="65"/>
      <c r="S132" s="65"/>
      <c r="T132" s="65"/>
      <c r="U132" s="65"/>
      <c r="V132" s="65"/>
      <c r="W132" s="65"/>
      <c r="X132" s="65"/>
      <c r="Y132" s="65"/>
      <c r="Z132" s="65"/>
    </row>
    <row r="133" spans="1:26" ht="22.5" customHeight="1">
      <c r="A133" s="65"/>
      <c r="B133" s="65"/>
      <c r="C133" s="65"/>
      <c r="D133" s="65"/>
      <c r="E133" s="65"/>
      <c r="F133" s="65"/>
      <c r="G133" s="104"/>
      <c r="H133" s="65"/>
      <c r="I133" s="65"/>
      <c r="J133" s="65"/>
      <c r="K133" s="65"/>
      <c r="L133" s="65"/>
      <c r="M133" s="65"/>
      <c r="N133" s="259"/>
      <c r="O133" s="65"/>
      <c r="P133" s="65"/>
      <c r="Q133" s="65"/>
      <c r="R133" s="65"/>
      <c r="S133" s="65"/>
      <c r="T133" s="65"/>
      <c r="U133" s="65"/>
      <c r="V133" s="65"/>
      <c r="W133" s="65"/>
      <c r="X133" s="65"/>
      <c r="Y133" s="65"/>
      <c r="Z133" s="65"/>
    </row>
    <row r="134" spans="1:26" ht="22.5" customHeight="1">
      <c r="A134" s="65"/>
      <c r="B134" s="65"/>
      <c r="C134" s="65"/>
      <c r="D134" s="65"/>
      <c r="E134" s="65"/>
      <c r="F134" s="65"/>
      <c r="G134" s="104"/>
      <c r="H134" s="65"/>
      <c r="I134" s="65"/>
      <c r="J134" s="65"/>
      <c r="K134" s="65"/>
      <c r="L134" s="65"/>
      <c r="M134" s="65"/>
      <c r="N134" s="259"/>
      <c r="O134" s="65"/>
      <c r="P134" s="65"/>
      <c r="Q134" s="65"/>
      <c r="R134" s="65"/>
      <c r="S134" s="65"/>
      <c r="T134" s="65"/>
      <c r="U134" s="65"/>
      <c r="V134" s="65"/>
      <c r="W134" s="65"/>
      <c r="X134" s="65"/>
      <c r="Y134" s="65"/>
      <c r="Z134" s="65"/>
    </row>
    <row r="135" spans="1:26" ht="22.5" customHeight="1">
      <c r="A135" s="65"/>
      <c r="B135" s="65"/>
      <c r="C135" s="65"/>
      <c r="D135" s="65"/>
      <c r="E135" s="65"/>
      <c r="F135" s="65"/>
      <c r="G135" s="104"/>
      <c r="H135" s="65"/>
      <c r="I135" s="65"/>
      <c r="J135" s="65"/>
      <c r="K135" s="65"/>
      <c r="L135" s="65"/>
      <c r="M135" s="65"/>
      <c r="N135" s="259"/>
      <c r="O135" s="65"/>
      <c r="P135" s="65"/>
      <c r="Q135" s="65"/>
      <c r="R135" s="65"/>
      <c r="S135" s="65"/>
      <c r="T135" s="65"/>
      <c r="U135" s="65"/>
      <c r="V135" s="65"/>
      <c r="W135" s="65"/>
      <c r="X135" s="65"/>
      <c r="Y135" s="65"/>
      <c r="Z135" s="65"/>
    </row>
    <row r="136" spans="1:26" ht="22.5" customHeight="1">
      <c r="B136" s="65"/>
      <c r="C136" s="65"/>
      <c r="D136" s="65"/>
      <c r="E136" s="65"/>
      <c r="F136" s="65"/>
      <c r="G136" s="104"/>
      <c r="H136" s="65"/>
      <c r="I136" s="65"/>
      <c r="J136" s="65"/>
      <c r="K136" s="65"/>
      <c r="L136" s="65"/>
      <c r="M136" s="65"/>
      <c r="N136" s="259"/>
      <c r="O136" s="65"/>
      <c r="P136" s="65"/>
      <c r="Q136" s="65"/>
      <c r="R136" s="65"/>
      <c r="S136" s="65"/>
      <c r="T136" s="65"/>
      <c r="U136" s="65"/>
      <c r="V136" s="65"/>
      <c r="W136" s="65"/>
      <c r="X136" s="65"/>
      <c r="Y136" s="65"/>
      <c r="Z136" s="65"/>
    </row>
  </sheetData>
  <mergeCells count="8">
    <mergeCell ref="B125:M125"/>
    <mergeCell ref="B124:M124"/>
    <mergeCell ref="B120:M120"/>
    <mergeCell ref="B122:M122"/>
    <mergeCell ref="B5:M6"/>
    <mergeCell ref="B8:M16"/>
    <mergeCell ref="B123:M123"/>
    <mergeCell ref="B121:M121"/>
  </mergeCells>
  <printOptions horizontalCentered="1" headings="1"/>
  <pageMargins left="1" right="1" top="1.25" bottom="0.5" header="0.5" footer="0.5"/>
  <pageSetup paperSize="17" scale="48" orientation="portrait" r:id="rId1"/>
  <headerFooter scaleWithDoc="0">
    <oddHeader>&amp;R&amp;"Arial,Bold"ICC Docket No. 21-0155
Statewide Quarterly Report ComEd 2023 Q3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workbookViewId="0">
      <selection activeCell="D31" sqref="D31:D32"/>
    </sheetView>
  </sheetViews>
  <sheetFormatPr defaultColWidth="0" defaultRowHeight="14.5"/>
  <cols>
    <col min="1" max="1" width="3.36328125" customWidth="1"/>
    <col min="2" max="2" width="62.54296875" style="4" customWidth="1"/>
    <col min="3" max="3" width="21.36328125" style="4" customWidth="1"/>
    <col min="4" max="4" width="19.54296875" customWidth="1"/>
    <col min="5" max="5" width="19.1796875" customWidth="1"/>
    <col min="6" max="6" width="14.36328125" bestFit="1" customWidth="1"/>
    <col min="7" max="7" width="16.81640625" customWidth="1"/>
    <col min="8" max="8" width="9.1796875" customWidth="1"/>
    <col min="9" max="9" width="13.54296875" bestFit="1" customWidth="1"/>
    <col min="10" max="13" width="9.1796875" customWidth="1"/>
    <col min="14" max="14" width="0" hidden="1" customWidth="1"/>
    <col min="15" max="16384" width="9.1796875" hidden="1"/>
  </cols>
  <sheetData>
    <row r="1" spans="1:14">
      <c r="A1" s="65"/>
      <c r="B1" s="72" t="s">
        <v>0</v>
      </c>
      <c r="C1" s="98"/>
      <c r="D1" s="65"/>
      <c r="E1" s="65"/>
      <c r="F1" s="65"/>
      <c r="G1" s="65"/>
      <c r="H1" s="65"/>
      <c r="I1" s="65"/>
      <c r="J1" s="65"/>
      <c r="K1" s="65"/>
      <c r="L1" s="65"/>
      <c r="M1" s="65"/>
    </row>
    <row r="2" spans="1:14">
      <c r="A2" s="65"/>
      <c r="B2" s="72" t="s">
        <v>103</v>
      </c>
      <c r="C2" s="98"/>
      <c r="D2" s="65"/>
      <c r="E2" s="65"/>
      <c r="F2" s="65"/>
      <c r="G2" s="65"/>
      <c r="H2" s="65"/>
      <c r="I2" s="65"/>
      <c r="J2" s="65"/>
      <c r="K2" s="65"/>
      <c r="L2" s="65"/>
      <c r="M2" s="65"/>
    </row>
    <row r="3" spans="1:14">
      <c r="A3" s="65"/>
      <c r="B3" s="72"/>
      <c r="C3" s="98"/>
      <c r="D3" s="65"/>
      <c r="E3" s="65"/>
      <c r="F3" s="65"/>
      <c r="G3" s="65"/>
      <c r="H3" s="65"/>
      <c r="I3" s="65"/>
      <c r="J3" s="65"/>
      <c r="K3" s="65"/>
      <c r="L3" s="65"/>
      <c r="M3" s="65"/>
    </row>
    <row r="4" spans="1:14">
      <c r="A4" s="65"/>
      <c r="B4" s="72"/>
      <c r="C4" s="98"/>
      <c r="D4" s="65"/>
      <c r="E4" s="65"/>
      <c r="F4" s="65"/>
      <c r="G4" s="65"/>
      <c r="H4" s="65"/>
      <c r="I4" s="65"/>
      <c r="J4" s="65"/>
      <c r="K4" s="65"/>
      <c r="L4" s="65"/>
      <c r="M4" s="65"/>
    </row>
    <row r="5" spans="1:14" ht="37.5" customHeight="1">
      <c r="A5" s="65"/>
      <c r="B5" s="284" t="s">
        <v>104</v>
      </c>
      <c r="C5" s="285"/>
      <c r="D5" s="285"/>
      <c r="E5" s="286"/>
      <c r="F5" s="65"/>
      <c r="G5" s="65"/>
      <c r="H5" s="65"/>
      <c r="I5" s="65"/>
      <c r="J5" s="65"/>
      <c r="K5" s="65"/>
      <c r="L5" s="65"/>
      <c r="M5" s="65"/>
    </row>
    <row r="6" spans="1:14" ht="37.5" customHeight="1">
      <c r="A6" s="65"/>
      <c r="B6" s="287"/>
      <c r="C6" s="288"/>
      <c r="D6" s="288"/>
      <c r="E6" s="289"/>
      <c r="F6" s="65"/>
      <c r="G6" s="65"/>
      <c r="H6" s="65"/>
      <c r="I6" s="65"/>
      <c r="J6" s="65"/>
      <c r="K6" s="65"/>
      <c r="L6" s="65"/>
      <c r="M6" s="65"/>
    </row>
    <row r="7" spans="1:14" ht="18.75" customHeight="1">
      <c r="A7" s="65"/>
      <c r="B7" s="290"/>
      <c r="C7" s="291"/>
      <c r="D7" s="291"/>
      <c r="E7" s="292"/>
      <c r="F7" s="65"/>
      <c r="G7" s="65"/>
      <c r="H7" s="65"/>
      <c r="I7" s="65"/>
      <c r="J7" s="65"/>
      <c r="K7" s="65"/>
      <c r="L7" s="65"/>
      <c r="M7" s="65"/>
    </row>
    <row r="8" spans="1:14">
      <c r="A8" s="65"/>
      <c r="B8" s="98"/>
      <c r="C8" s="98"/>
      <c r="D8" s="65"/>
      <c r="E8" s="65"/>
      <c r="F8" s="65"/>
      <c r="G8" s="65"/>
      <c r="H8" s="65"/>
      <c r="I8" s="65"/>
      <c r="J8" s="65"/>
      <c r="K8" s="65"/>
      <c r="L8" s="65"/>
      <c r="M8" s="65"/>
    </row>
    <row r="9" spans="1:14">
      <c r="A9" s="65"/>
      <c r="B9" s="72" t="s">
        <v>105</v>
      </c>
      <c r="C9" s="98"/>
      <c r="D9" s="65"/>
      <c r="E9" s="65"/>
      <c r="F9" s="65"/>
      <c r="G9" s="65"/>
      <c r="H9" s="65"/>
      <c r="I9" s="65"/>
      <c r="J9" s="65"/>
      <c r="K9" s="65"/>
      <c r="L9" s="65"/>
      <c r="M9" s="65"/>
    </row>
    <row r="10" spans="1:14" ht="19.75" customHeight="1">
      <c r="A10" s="65"/>
      <c r="B10" s="245" t="str">
        <f>'1- Ex Ante Results'!B19</f>
        <v>CY2023 Q3</v>
      </c>
      <c r="C10" s="98"/>
      <c r="D10" s="65"/>
      <c r="E10" s="65"/>
      <c r="F10" s="65"/>
      <c r="G10" s="65"/>
      <c r="H10" s="65"/>
      <c r="I10" s="65"/>
      <c r="J10" s="65"/>
      <c r="K10" s="65"/>
      <c r="L10" s="65"/>
      <c r="M10" s="65"/>
    </row>
    <row r="11" spans="1:14" ht="32.75" customHeight="1">
      <c r="A11" s="65"/>
      <c r="B11" s="24" t="s">
        <v>106</v>
      </c>
      <c r="C11" s="25" t="s">
        <v>315</v>
      </c>
      <c r="D11" s="125"/>
      <c r="E11" s="125"/>
      <c r="F11" s="65"/>
      <c r="G11" s="115"/>
      <c r="H11" s="65"/>
      <c r="I11" s="65"/>
      <c r="J11" s="65"/>
      <c r="K11" s="65"/>
      <c r="L11" s="65"/>
      <c r="M11" s="65"/>
    </row>
    <row r="12" spans="1:14" s="12" customFormat="1" ht="21" customHeight="1">
      <c r="A12" s="70"/>
      <c r="B12" s="280" t="s">
        <v>107</v>
      </c>
      <c r="C12" s="281"/>
      <c r="D12" s="70"/>
      <c r="E12" s="70"/>
      <c r="F12" s="70"/>
      <c r="G12" s="70"/>
      <c r="H12" s="70"/>
      <c r="I12" s="70"/>
      <c r="J12" s="70"/>
      <c r="K12" s="70"/>
      <c r="L12" s="70"/>
      <c r="M12" s="70"/>
      <c r="N12" s="70"/>
    </row>
    <row r="13" spans="1:14">
      <c r="A13" s="65"/>
      <c r="B13" s="6" t="s">
        <v>108</v>
      </c>
      <c r="C13" s="247">
        <f>'1- Ex Ante Results'!H55</f>
        <v>132162796.99723656</v>
      </c>
      <c r="D13" s="65"/>
      <c r="E13" s="65"/>
      <c r="F13" s="65"/>
      <c r="G13" s="115"/>
      <c r="H13" s="65"/>
      <c r="I13" s="65"/>
      <c r="J13" s="65"/>
      <c r="K13" s="65"/>
      <c r="L13" s="65"/>
      <c r="M13" s="65"/>
      <c r="N13" s="65"/>
    </row>
    <row r="14" spans="1:14">
      <c r="A14" s="65"/>
      <c r="B14" s="57" t="s">
        <v>109</v>
      </c>
      <c r="C14" s="248">
        <f>'1- Ex Ante Results'!H69</f>
        <v>29571768.329999998</v>
      </c>
      <c r="D14" s="65"/>
      <c r="E14" s="65"/>
      <c r="F14" s="65"/>
      <c r="G14" s="115"/>
      <c r="H14" s="65"/>
      <c r="I14" s="65"/>
      <c r="J14" s="65"/>
      <c r="K14" s="65"/>
      <c r="L14" s="65"/>
      <c r="M14" s="65"/>
      <c r="N14" s="65"/>
    </row>
    <row r="15" spans="1:14">
      <c r="A15" s="65"/>
      <c r="B15" s="6" t="s">
        <v>110</v>
      </c>
      <c r="C15" s="249">
        <f>'1- Ex Ante Results'!H95</f>
        <v>27573278.175000001</v>
      </c>
      <c r="D15" s="65"/>
      <c r="E15" s="65"/>
      <c r="F15" s="65"/>
      <c r="G15" s="115"/>
      <c r="H15" s="65"/>
      <c r="I15" s="65"/>
      <c r="J15" s="65"/>
      <c r="K15" s="65"/>
      <c r="L15" s="65"/>
      <c r="M15" s="65"/>
      <c r="N15" s="65"/>
    </row>
    <row r="16" spans="1:14">
      <c r="A16" s="65"/>
      <c r="B16" s="6" t="s">
        <v>77</v>
      </c>
      <c r="C16" s="250">
        <f>'1- Ex Ante Results'!H107</f>
        <v>73930039.650000006</v>
      </c>
      <c r="D16" s="65"/>
      <c r="E16" s="65"/>
      <c r="F16" s="65"/>
      <c r="G16" s="65"/>
      <c r="H16" s="65"/>
      <c r="I16" s="65"/>
      <c r="J16" s="65"/>
      <c r="K16" s="65"/>
      <c r="L16" s="65"/>
      <c r="M16" s="65"/>
      <c r="N16" s="65"/>
    </row>
    <row r="17" spans="1:14">
      <c r="A17" s="65"/>
      <c r="B17" s="6" t="s">
        <v>111</v>
      </c>
      <c r="C17" s="250">
        <v>57545.539999999994</v>
      </c>
      <c r="D17" s="65"/>
      <c r="E17" s="65"/>
      <c r="F17" s="65"/>
      <c r="G17" s="65"/>
      <c r="H17" s="65"/>
      <c r="I17" s="65"/>
      <c r="J17" s="65"/>
      <c r="K17" s="65"/>
      <c r="L17" s="65"/>
      <c r="M17" s="65"/>
      <c r="N17" s="65"/>
    </row>
    <row r="18" spans="1:14" hidden="1"/>
    <row r="19" spans="1:14" s="12" customFormat="1" ht="21" customHeight="1">
      <c r="A19" s="70"/>
      <c r="B19" s="36" t="s">
        <v>112</v>
      </c>
      <c r="C19" s="37">
        <f>SUM(C13:C17)</f>
        <v>263295428.69223657</v>
      </c>
      <c r="D19" s="116"/>
      <c r="E19" s="70"/>
      <c r="F19" s="114"/>
      <c r="G19" s="70"/>
      <c r="H19" s="70"/>
      <c r="I19" s="70"/>
      <c r="J19" s="70"/>
      <c r="K19" s="70"/>
      <c r="L19" s="70"/>
      <c r="M19" s="70"/>
      <c r="N19" s="70"/>
    </row>
    <row r="20" spans="1:14" s="12" customFormat="1" ht="21" customHeight="1">
      <c r="A20" s="70"/>
      <c r="B20" s="282" t="s">
        <v>113</v>
      </c>
      <c r="C20" s="283"/>
      <c r="D20" s="117"/>
      <c r="E20" s="118"/>
      <c r="F20" s="70"/>
      <c r="G20" s="70"/>
      <c r="H20" s="70"/>
      <c r="I20" s="70"/>
      <c r="J20" s="70"/>
      <c r="K20" s="70"/>
      <c r="L20" s="70"/>
      <c r="M20" s="70"/>
      <c r="N20" s="70"/>
    </row>
    <row r="21" spans="1:14" ht="29.75" customHeight="1">
      <c r="A21" s="65"/>
      <c r="B21" s="26" t="s">
        <v>114</v>
      </c>
      <c r="C21" s="251">
        <f>'1- Ex Ante Results'!H112</f>
        <v>7789231.709999999</v>
      </c>
      <c r="D21" s="119"/>
      <c r="E21" s="120"/>
      <c r="F21" s="112"/>
      <c r="G21" s="121"/>
      <c r="H21" s="65"/>
      <c r="I21" s="65"/>
      <c r="J21" s="65"/>
      <c r="K21" s="65"/>
      <c r="L21" s="65"/>
      <c r="M21" s="65"/>
      <c r="N21" s="65"/>
    </row>
    <row r="22" spans="1:14">
      <c r="A22" s="65"/>
      <c r="B22" s="6" t="s">
        <v>115</v>
      </c>
      <c r="C22" s="251">
        <f>3236679.6+3748614.275</f>
        <v>6985293.875</v>
      </c>
      <c r="D22" s="122"/>
      <c r="E22" s="120"/>
      <c r="F22" s="65"/>
      <c r="G22" s="121"/>
      <c r="H22" s="65"/>
      <c r="I22" s="65"/>
      <c r="J22" s="65"/>
      <c r="K22" s="65"/>
      <c r="L22" s="65"/>
      <c r="M22" s="65"/>
      <c r="N22" s="65"/>
    </row>
    <row r="23" spans="1:14">
      <c r="A23" s="65"/>
      <c r="B23" s="27" t="s">
        <v>116</v>
      </c>
      <c r="C23" s="251">
        <f>3405341.55+400000</f>
        <v>3805341.55</v>
      </c>
      <c r="D23" s="119"/>
      <c r="E23" s="120"/>
      <c r="F23" s="65"/>
      <c r="G23" s="121"/>
      <c r="H23" s="65"/>
      <c r="I23" s="65"/>
      <c r="J23" s="65"/>
      <c r="K23" s="65"/>
      <c r="L23" s="65"/>
      <c r="M23" s="65"/>
      <c r="N23" s="65"/>
    </row>
    <row r="24" spans="1:14">
      <c r="A24" s="65"/>
      <c r="B24" s="6" t="s">
        <v>117</v>
      </c>
      <c r="C24" s="251">
        <v>17009305.704999983</v>
      </c>
      <c r="D24" s="105"/>
      <c r="E24" s="120"/>
      <c r="F24" s="65"/>
      <c r="G24" s="121"/>
      <c r="H24" s="65"/>
      <c r="I24" s="112"/>
      <c r="J24" s="65"/>
      <c r="K24" s="65"/>
      <c r="L24" s="65"/>
      <c r="M24" s="65"/>
      <c r="N24" s="65"/>
    </row>
    <row r="25" spans="1:14">
      <c r="A25" s="65"/>
      <c r="B25" s="6" t="s">
        <v>118</v>
      </c>
      <c r="C25" s="250">
        <v>94594.17</v>
      </c>
      <c r="D25" s="123"/>
      <c r="E25" s="120"/>
      <c r="F25" s="112"/>
      <c r="G25" s="121"/>
      <c r="H25" s="65"/>
      <c r="I25" s="65"/>
      <c r="J25" s="65"/>
      <c r="K25" s="65"/>
      <c r="L25" s="65"/>
      <c r="M25" s="65"/>
      <c r="N25" s="65"/>
    </row>
    <row r="26" spans="1:14" s="12" customFormat="1" ht="21" customHeight="1">
      <c r="A26" s="70"/>
      <c r="B26" s="36" t="s">
        <v>119</v>
      </c>
      <c r="C26" s="47">
        <f>SUM(C21:C25)</f>
        <v>35683767.009999983</v>
      </c>
      <c r="D26" s="186"/>
      <c r="E26" s="120"/>
      <c r="F26" s="114"/>
      <c r="G26" s="114"/>
      <c r="H26" s="70"/>
      <c r="I26" s="114"/>
      <c r="J26" s="70"/>
      <c r="K26" s="70"/>
      <c r="L26" s="70"/>
      <c r="M26" s="70"/>
      <c r="N26" s="70"/>
    </row>
    <row r="27" spans="1:14" s="12" customFormat="1" ht="32.75" customHeight="1">
      <c r="A27" s="70"/>
      <c r="B27" s="39" t="s">
        <v>120</v>
      </c>
      <c r="C27" s="48">
        <f>C19+C26</f>
        <v>298979195.70223653</v>
      </c>
      <c r="D27" s="187"/>
      <c r="E27" s="120"/>
      <c r="F27" s="114"/>
      <c r="G27" s="124"/>
      <c r="H27" s="70"/>
      <c r="I27" s="114"/>
      <c r="J27" s="70"/>
      <c r="K27" s="70"/>
      <c r="L27" s="70"/>
      <c r="M27" s="70"/>
      <c r="N27" s="70"/>
    </row>
    <row r="28" spans="1:14">
      <c r="A28" s="65"/>
      <c r="B28" s="101"/>
      <c r="C28" s="101"/>
      <c r="D28" s="65"/>
      <c r="E28" s="120"/>
      <c r="F28" s="112"/>
      <c r="G28" s="65"/>
      <c r="H28" s="65"/>
      <c r="I28" s="65"/>
      <c r="J28" s="65"/>
      <c r="K28" s="65"/>
      <c r="L28" s="65"/>
      <c r="M28" s="65"/>
      <c r="N28" s="65"/>
    </row>
    <row r="29" spans="1:14" s="12" customFormat="1" ht="17.75" customHeight="1">
      <c r="A29" s="70"/>
      <c r="B29" s="113"/>
      <c r="C29" s="113"/>
      <c r="D29" s="114"/>
      <c r="E29" s="114"/>
      <c r="F29" s="70"/>
      <c r="G29" s="70"/>
      <c r="H29" s="70"/>
      <c r="I29" s="70"/>
      <c r="J29" s="70"/>
      <c r="K29" s="70"/>
      <c r="L29" s="70"/>
      <c r="M29" s="70"/>
      <c r="N29" s="70"/>
    </row>
    <row r="30" spans="1:14" s="12" customFormat="1" ht="20.25" customHeight="1">
      <c r="A30" s="70"/>
      <c r="B30" s="71" t="str">
        <f>"ComEd Section 8-103B/8-104 (EEPS) Costs as of "&amp;'1- Ex Ante Results'!B19</f>
        <v>ComEd Section 8-103B/8-104 (EEPS) Costs as of CY2023 Q3</v>
      </c>
      <c r="C30" s="113"/>
      <c r="D30" s="70"/>
      <c r="E30" s="70"/>
      <c r="F30" s="70"/>
      <c r="G30" s="70"/>
      <c r="H30" s="70"/>
      <c r="I30" s="70"/>
      <c r="J30" s="70"/>
      <c r="K30" s="70"/>
      <c r="L30" s="70"/>
      <c r="M30" s="70"/>
      <c r="N30" s="70"/>
    </row>
    <row r="31" spans="1:14" ht="36" customHeight="1">
      <c r="A31" s="65"/>
      <c r="B31" s="25" t="s">
        <v>121</v>
      </c>
      <c r="C31" s="25" t="s">
        <v>301</v>
      </c>
      <c r="D31" s="25" t="s">
        <v>302</v>
      </c>
      <c r="E31" s="19" t="s">
        <v>13</v>
      </c>
      <c r="F31" s="65"/>
      <c r="G31" s="65"/>
      <c r="H31" s="65"/>
      <c r="I31" s="65"/>
      <c r="J31" s="65"/>
      <c r="K31" s="65"/>
      <c r="L31" s="65"/>
      <c r="M31" s="65"/>
      <c r="N31" s="65"/>
    </row>
    <row r="32" spans="1:14" s="12" customFormat="1" ht="35.75" customHeight="1">
      <c r="A32" s="70"/>
      <c r="B32" s="38" t="s">
        <v>120</v>
      </c>
      <c r="C32" s="49">
        <f>C27</f>
        <v>298979195.70223653</v>
      </c>
      <c r="D32" s="49">
        <v>439746496.2964471</v>
      </c>
      <c r="E32" s="240">
        <f>C32/D32</f>
        <v>0.67988988706048759</v>
      </c>
      <c r="F32" s="70"/>
      <c r="G32" s="70"/>
      <c r="H32" s="70"/>
      <c r="I32" s="70"/>
      <c r="J32" s="70"/>
      <c r="K32" s="70"/>
      <c r="L32" s="70"/>
      <c r="M32" s="70"/>
      <c r="N32" s="70"/>
    </row>
    <row r="33" spans="1:14">
      <c r="A33" s="65"/>
      <c r="B33" s="98"/>
      <c r="C33" s="98"/>
      <c r="D33" s="65"/>
      <c r="E33" s="65"/>
      <c r="F33" s="65"/>
      <c r="G33" s="65"/>
      <c r="H33" s="65"/>
      <c r="I33" s="65"/>
      <c r="J33" s="65"/>
      <c r="K33" s="65"/>
      <c r="L33" s="65"/>
      <c r="M33" s="65"/>
      <c r="N33" s="65"/>
    </row>
    <row r="34" spans="1:14">
      <c r="A34" s="65"/>
      <c r="B34" s="98"/>
      <c r="C34" s="126"/>
      <c r="D34" s="126"/>
      <c r="E34" s="65"/>
      <c r="F34" s="65"/>
      <c r="G34" s="65"/>
      <c r="H34" s="65"/>
      <c r="I34" s="65"/>
      <c r="J34" s="65"/>
      <c r="K34" s="65"/>
      <c r="L34" s="65"/>
      <c r="M34" s="65"/>
      <c r="N34" s="65"/>
    </row>
    <row r="35" spans="1:14">
      <c r="A35" s="65"/>
      <c r="B35" s="98"/>
      <c r="C35" s="98"/>
      <c r="D35" s="65"/>
      <c r="E35" s="65"/>
      <c r="F35" s="65"/>
      <c r="G35" s="65"/>
      <c r="H35" s="65"/>
      <c r="I35" s="65"/>
      <c r="J35" s="65"/>
      <c r="K35" s="65"/>
      <c r="L35" s="65"/>
      <c r="M35" s="65"/>
      <c r="N35" s="65"/>
    </row>
    <row r="36" spans="1:14">
      <c r="A36" s="65"/>
      <c r="B36" s="98"/>
      <c r="C36" s="98"/>
      <c r="D36" s="65"/>
      <c r="E36" s="65"/>
      <c r="F36" s="65"/>
      <c r="G36" s="65"/>
      <c r="H36" s="65"/>
      <c r="I36" s="65"/>
      <c r="J36" s="65"/>
      <c r="K36" s="65"/>
      <c r="L36" s="65"/>
      <c r="M36" s="65"/>
      <c r="N36" s="65"/>
    </row>
    <row r="37" spans="1:14">
      <c r="A37" s="65"/>
      <c r="B37" s="98"/>
      <c r="C37" s="98"/>
      <c r="D37" s="65"/>
      <c r="E37" s="65"/>
      <c r="F37" s="65"/>
      <c r="G37" s="65"/>
      <c r="H37" s="65"/>
      <c r="I37" s="65"/>
      <c r="J37" s="65"/>
      <c r="K37" s="65"/>
      <c r="L37" s="65"/>
      <c r="M37" s="65"/>
      <c r="N37" s="65"/>
    </row>
    <row r="38" spans="1:14">
      <c r="A38" s="65"/>
      <c r="B38" s="98"/>
      <c r="C38" s="98"/>
      <c r="D38" s="65"/>
      <c r="E38" s="65"/>
      <c r="F38" s="65"/>
      <c r="G38" s="65"/>
      <c r="H38" s="65"/>
      <c r="I38" s="65"/>
      <c r="J38" s="65"/>
      <c r="K38" s="65"/>
      <c r="L38" s="65"/>
      <c r="M38" s="65"/>
      <c r="N38" s="65"/>
    </row>
    <row r="39" spans="1:14">
      <c r="A39" s="65"/>
      <c r="B39" s="98"/>
      <c r="C39" s="98"/>
      <c r="D39" s="65"/>
      <c r="E39" s="65"/>
      <c r="F39" s="65"/>
      <c r="G39" s="65"/>
      <c r="H39" s="65"/>
      <c r="I39" s="65"/>
      <c r="J39" s="65"/>
      <c r="K39" s="65"/>
      <c r="L39" s="65"/>
      <c r="M39" s="65"/>
      <c r="N39" s="65"/>
    </row>
    <row r="40" spans="1:14">
      <c r="A40" s="65"/>
      <c r="B40" s="98"/>
      <c r="C40" s="98"/>
      <c r="D40" s="65"/>
      <c r="E40" s="65"/>
      <c r="F40" s="65"/>
      <c r="G40" s="65"/>
      <c r="H40" s="65"/>
      <c r="I40" s="65"/>
      <c r="J40" s="65"/>
      <c r="K40" s="65"/>
      <c r="L40" s="65"/>
      <c r="M40" s="65"/>
      <c r="N40" s="65"/>
    </row>
    <row r="41" spans="1:14">
      <c r="A41" s="65"/>
      <c r="B41" s="98"/>
      <c r="C41" s="98"/>
      <c r="D41" s="65"/>
      <c r="E41" s="65"/>
      <c r="F41" s="65"/>
      <c r="G41" s="65"/>
      <c r="H41" s="65"/>
      <c r="I41" s="65"/>
      <c r="J41" s="65"/>
      <c r="K41" s="65"/>
      <c r="L41" s="65"/>
      <c r="M41" s="65"/>
      <c r="N41" s="65"/>
    </row>
    <row r="42" spans="1:14">
      <c r="A42" s="65"/>
      <c r="B42" s="98"/>
      <c r="C42" s="98"/>
      <c r="D42" s="65"/>
      <c r="E42" s="65"/>
      <c r="F42" s="65"/>
      <c r="G42" s="65"/>
      <c r="H42" s="65"/>
      <c r="I42" s="65"/>
      <c r="J42" s="65"/>
      <c r="K42" s="65"/>
      <c r="L42" s="65"/>
      <c r="M42" s="65"/>
      <c r="N42" s="65"/>
    </row>
    <row r="43" spans="1:14">
      <c r="A43" s="65"/>
      <c r="B43" s="98"/>
      <c r="C43" s="98"/>
      <c r="D43" s="65"/>
      <c r="E43" s="65"/>
      <c r="F43" s="65"/>
      <c r="G43" s="65"/>
      <c r="H43" s="65"/>
      <c r="I43" s="65"/>
      <c r="J43" s="65"/>
      <c r="K43" s="65"/>
      <c r="L43" s="65"/>
      <c r="M43" s="65"/>
      <c r="N43" s="65"/>
    </row>
    <row r="44" spans="1:14">
      <c r="A44" s="65"/>
      <c r="B44" s="98"/>
      <c r="C44" s="98"/>
      <c r="D44" s="65"/>
      <c r="E44" s="65"/>
      <c r="F44" s="65"/>
      <c r="G44" s="65"/>
      <c r="H44" s="65"/>
      <c r="I44" s="65"/>
      <c r="J44" s="65"/>
      <c r="K44" s="65"/>
      <c r="L44" s="65"/>
      <c r="M44" s="65"/>
      <c r="N44" s="65"/>
    </row>
    <row r="45" spans="1:14">
      <c r="A45" s="65"/>
      <c r="B45" s="98"/>
      <c r="C45" s="98"/>
      <c r="D45" s="65"/>
      <c r="E45" s="65"/>
      <c r="F45" s="65"/>
      <c r="G45" s="65"/>
      <c r="H45" s="65"/>
      <c r="I45" s="65"/>
      <c r="J45" s="65"/>
      <c r="K45" s="65"/>
      <c r="L45" s="65"/>
      <c r="M45" s="65"/>
      <c r="N45" s="65"/>
    </row>
    <row r="46" spans="1:14">
      <c r="A46" s="65"/>
      <c r="B46" s="98"/>
      <c r="C46" s="98"/>
      <c r="D46" s="65"/>
      <c r="E46" s="65"/>
      <c r="F46" s="65"/>
      <c r="G46" s="65"/>
      <c r="H46" s="65"/>
      <c r="I46" s="65"/>
      <c r="J46" s="65"/>
      <c r="K46" s="65"/>
      <c r="L46" s="65"/>
      <c r="M46" s="65"/>
      <c r="N46" s="65"/>
    </row>
    <row r="47" spans="1:14">
      <c r="A47" s="65"/>
      <c r="B47" s="98"/>
      <c r="C47" s="98"/>
      <c r="D47" s="65"/>
      <c r="E47" s="65"/>
      <c r="F47" s="65"/>
      <c r="G47" s="65"/>
      <c r="H47" s="65"/>
      <c r="I47" s="65"/>
      <c r="J47" s="65"/>
      <c r="K47" s="65"/>
      <c r="L47" s="65"/>
      <c r="M47" s="65"/>
      <c r="N47" s="65"/>
    </row>
    <row r="48" spans="1:14">
      <c r="A48" s="65"/>
      <c r="B48" s="98"/>
      <c r="C48" s="98"/>
      <c r="D48" s="65"/>
      <c r="E48" s="65"/>
      <c r="F48" s="65"/>
      <c r="G48" s="65"/>
      <c r="H48" s="65"/>
      <c r="I48" s="65"/>
      <c r="J48" s="65"/>
      <c r="K48" s="65"/>
      <c r="L48" s="65"/>
      <c r="M48" s="65"/>
      <c r="N48" s="65"/>
    </row>
    <row r="49" spans="1:14">
      <c r="A49" s="65"/>
      <c r="B49" s="98"/>
      <c r="C49" s="98"/>
      <c r="D49" s="65"/>
      <c r="E49" s="65"/>
      <c r="F49" s="65"/>
      <c r="G49" s="65"/>
      <c r="H49" s="65"/>
      <c r="I49" s="65"/>
      <c r="J49" s="65"/>
      <c r="K49" s="65"/>
      <c r="L49" s="65"/>
      <c r="M49" s="65"/>
      <c r="N49" s="65"/>
    </row>
    <row r="50" spans="1:14">
      <c r="A50" s="65"/>
      <c r="B50" s="98"/>
      <c r="C50" s="98"/>
      <c r="D50" s="65"/>
      <c r="E50" s="65"/>
      <c r="F50" s="65"/>
      <c r="G50" s="65"/>
      <c r="H50" s="65"/>
      <c r="I50" s="65"/>
      <c r="J50" s="65"/>
      <c r="K50" s="65"/>
      <c r="L50" s="65"/>
      <c r="M50" s="65"/>
      <c r="N50" s="65"/>
    </row>
    <row r="51" spans="1:14">
      <c r="A51" s="65"/>
      <c r="B51" s="98"/>
      <c r="C51" s="98"/>
      <c r="D51" s="65"/>
      <c r="E51" s="65"/>
      <c r="F51" s="65"/>
      <c r="G51" s="65"/>
      <c r="H51" s="65"/>
      <c r="I51" s="65"/>
      <c r="J51" s="65"/>
      <c r="K51" s="65"/>
      <c r="L51" s="65"/>
      <c r="M51" s="65"/>
      <c r="N51" s="65"/>
    </row>
    <row r="52" spans="1:14">
      <c r="A52" s="65"/>
      <c r="B52" s="98"/>
      <c r="C52" s="98"/>
      <c r="D52" s="65"/>
      <c r="E52" s="65"/>
      <c r="F52" s="65"/>
      <c r="G52" s="65"/>
      <c r="H52" s="65"/>
      <c r="I52" s="65"/>
      <c r="J52" s="65"/>
      <c r="K52" s="65"/>
      <c r="L52" s="65"/>
      <c r="M52" s="65"/>
      <c r="N52" s="65"/>
    </row>
    <row r="53" spans="1:14">
      <c r="A53" s="65"/>
      <c r="B53" s="98"/>
      <c r="C53" s="98"/>
      <c r="D53" s="65"/>
      <c r="E53" s="65"/>
      <c r="F53" s="65"/>
      <c r="G53" s="65"/>
      <c r="H53" s="65"/>
      <c r="I53" s="65"/>
      <c r="J53" s="65"/>
      <c r="K53" s="65"/>
      <c r="L53" s="65"/>
      <c r="M53" s="65"/>
      <c r="N53" s="65"/>
    </row>
    <row r="54" spans="1:14">
      <c r="A54" s="65"/>
      <c r="B54" s="98"/>
      <c r="C54" s="98"/>
      <c r="D54" s="65"/>
      <c r="E54" s="65"/>
      <c r="F54" s="65"/>
      <c r="G54" s="65"/>
      <c r="H54" s="65"/>
      <c r="I54" s="65"/>
      <c r="J54" s="65"/>
      <c r="K54" s="65"/>
      <c r="L54" s="65"/>
      <c r="M54" s="65"/>
      <c r="N54" s="65"/>
    </row>
    <row r="55" spans="1:14">
      <c r="A55" s="65"/>
      <c r="B55" s="98"/>
      <c r="C55" s="98"/>
      <c r="D55" s="65"/>
      <c r="E55" s="65"/>
      <c r="F55" s="65"/>
      <c r="G55" s="65"/>
      <c r="H55" s="65"/>
      <c r="I55" s="65"/>
      <c r="J55" s="65"/>
      <c r="K55" s="65"/>
      <c r="L55" s="65"/>
      <c r="M55" s="65"/>
      <c r="N55" s="65"/>
    </row>
    <row r="56" spans="1:14">
      <c r="A56" s="65"/>
      <c r="B56" s="98"/>
      <c r="C56" s="98"/>
      <c r="D56" s="65"/>
      <c r="E56" s="65"/>
      <c r="F56" s="65"/>
      <c r="G56" s="65"/>
      <c r="H56" s="65"/>
      <c r="I56" s="65"/>
      <c r="J56" s="65"/>
      <c r="K56" s="65"/>
      <c r="L56" s="65"/>
      <c r="M56" s="65"/>
      <c r="N56" s="65"/>
    </row>
    <row r="57" spans="1:14">
      <c r="A57" s="65"/>
      <c r="B57" s="98"/>
      <c r="C57" s="98"/>
      <c r="D57" s="65"/>
      <c r="E57" s="65"/>
      <c r="F57" s="65"/>
      <c r="G57" s="65"/>
      <c r="H57" s="65"/>
      <c r="I57" s="65"/>
      <c r="J57" s="65"/>
      <c r="K57" s="65"/>
      <c r="L57" s="65"/>
      <c r="M57" s="65"/>
      <c r="N57" s="65"/>
    </row>
    <row r="58" spans="1:14">
      <c r="A58" s="65"/>
      <c r="B58" s="98"/>
      <c r="C58" s="98"/>
      <c r="D58" s="65"/>
      <c r="E58" s="65"/>
      <c r="F58" s="65"/>
      <c r="G58" s="65"/>
      <c r="H58" s="65"/>
      <c r="I58" s="65"/>
      <c r="J58" s="65"/>
      <c r="K58" s="65"/>
      <c r="L58" s="65"/>
      <c r="M58" s="65"/>
      <c r="N58" s="65"/>
    </row>
    <row r="59" spans="1:14">
      <c r="A59" s="65"/>
      <c r="B59" s="98"/>
      <c r="C59" s="98"/>
      <c r="D59" s="65"/>
      <c r="E59" s="65"/>
      <c r="F59" s="65"/>
      <c r="G59" s="65"/>
      <c r="H59" s="65"/>
      <c r="I59" s="65"/>
      <c r="J59" s="65"/>
      <c r="K59" s="65"/>
      <c r="L59" s="65"/>
      <c r="M59" s="65"/>
      <c r="N59" s="65"/>
    </row>
    <row r="60" spans="1:14">
      <c r="A60" s="65"/>
      <c r="B60" s="98"/>
      <c r="C60" s="98"/>
      <c r="D60" s="65"/>
      <c r="E60" s="65"/>
      <c r="F60" s="65"/>
      <c r="G60" s="65"/>
      <c r="H60" s="65"/>
      <c r="I60" s="65"/>
      <c r="J60" s="65"/>
      <c r="K60" s="65"/>
      <c r="L60" s="65"/>
      <c r="M60" s="65"/>
      <c r="N60" s="65"/>
    </row>
    <row r="61" spans="1:14">
      <c r="A61" s="65"/>
      <c r="B61" s="98"/>
      <c r="C61" s="98"/>
      <c r="D61" s="65"/>
      <c r="E61" s="65"/>
      <c r="F61" s="65"/>
      <c r="G61" s="65"/>
      <c r="H61" s="65"/>
      <c r="I61" s="65"/>
      <c r="J61" s="65"/>
      <c r="K61" s="65"/>
      <c r="L61" s="65"/>
      <c r="M61" s="65"/>
      <c r="N61" s="65"/>
    </row>
    <row r="62" spans="1:14">
      <c r="A62" s="65"/>
    </row>
    <row r="63" spans="1:14">
      <c r="A63" s="65"/>
    </row>
    <row r="64" spans="1:14">
      <c r="A64" s="65"/>
    </row>
    <row r="65" spans="1:1">
      <c r="A65" s="65"/>
    </row>
    <row r="66" spans="1:1">
      <c r="A66" s="65"/>
    </row>
    <row r="67" spans="1:1">
      <c r="A67" s="65"/>
    </row>
    <row r="68" spans="1:1">
      <c r="A68" s="65"/>
    </row>
    <row r="69" spans="1:1">
      <c r="A69" s="65"/>
    </row>
    <row r="70" spans="1:1">
      <c r="A70" s="65"/>
    </row>
    <row r="71" spans="1:1">
      <c r="A71" s="65"/>
    </row>
    <row r="72" spans="1:1">
      <c r="A72" s="65"/>
    </row>
    <row r="73" spans="1:1">
      <c r="A73" s="65"/>
    </row>
    <row r="74" spans="1:1">
      <c r="A74" s="65"/>
    </row>
    <row r="75" spans="1:1">
      <c r="A75" s="65"/>
    </row>
    <row r="76" spans="1:1">
      <c r="A76" s="65"/>
    </row>
    <row r="77" spans="1:1">
      <c r="A77" s="65"/>
    </row>
    <row r="78" spans="1:1">
      <c r="A78" s="65"/>
    </row>
    <row r="79" spans="1:1">
      <c r="A79" s="65"/>
    </row>
    <row r="80" spans="1:1">
      <c r="A80" s="65"/>
    </row>
    <row r="81" spans="1:1">
      <c r="A81" s="65"/>
    </row>
    <row r="82" spans="1:1">
      <c r="A82" s="65"/>
    </row>
    <row r="83" spans="1:1">
      <c r="A83" s="65"/>
    </row>
    <row r="84" spans="1:1">
      <c r="A84" s="65"/>
    </row>
    <row r="85" spans="1:1">
      <c r="A85" s="65"/>
    </row>
    <row r="86" spans="1:1">
      <c r="A86" s="65"/>
    </row>
    <row r="87" spans="1:1">
      <c r="A87" s="65"/>
    </row>
    <row r="88" spans="1:1">
      <c r="A88" s="65"/>
    </row>
    <row r="89" spans="1:1">
      <c r="A89" s="65"/>
    </row>
    <row r="90" spans="1:1">
      <c r="A90" s="65"/>
    </row>
    <row r="91" spans="1:1">
      <c r="A91" s="65"/>
    </row>
    <row r="92" spans="1:1">
      <c r="A92" s="65"/>
    </row>
    <row r="93" spans="1:1">
      <c r="A93" s="65"/>
    </row>
    <row r="94" spans="1:1">
      <c r="A94" s="65"/>
    </row>
    <row r="95" spans="1:1">
      <c r="A95" s="65"/>
    </row>
    <row r="96" spans="1:1">
      <c r="A96" s="65"/>
    </row>
    <row r="97" spans="1:1">
      <c r="A97" s="65"/>
    </row>
    <row r="98" spans="1:1">
      <c r="A98" s="65"/>
    </row>
    <row r="99" spans="1:1">
      <c r="A99" s="65"/>
    </row>
    <row r="100" spans="1:1">
      <c r="A100" s="65"/>
    </row>
    <row r="101" spans="1:1">
      <c r="A101" s="65"/>
    </row>
    <row r="102" spans="1:1">
      <c r="A102" s="65"/>
    </row>
    <row r="103" spans="1:1">
      <c r="A103" s="65"/>
    </row>
    <row r="104" spans="1:1">
      <c r="A104" s="65"/>
    </row>
    <row r="105" spans="1:1">
      <c r="A105" s="65"/>
    </row>
    <row r="106" spans="1:1">
      <c r="A106" s="65"/>
    </row>
    <row r="107" spans="1:1">
      <c r="A107" s="65"/>
    </row>
    <row r="108" spans="1:1">
      <c r="A108" s="65"/>
    </row>
    <row r="109" spans="1:1">
      <c r="A109" s="65"/>
    </row>
    <row r="110" spans="1:1">
      <c r="A110" s="65"/>
    </row>
    <row r="111" spans="1:1">
      <c r="A111" s="65"/>
    </row>
    <row r="112" spans="1:1">
      <c r="A112" s="65"/>
    </row>
    <row r="113" spans="1:1">
      <c r="A113" s="65"/>
    </row>
    <row r="114" spans="1:1">
      <c r="A114" s="65"/>
    </row>
    <row r="115" spans="1:1">
      <c r="A115" s="65"/>
    </row>
    <row r="116" spans="1:1">
      <c r="A116" s="65"/>
    </row>
    <row r="117" spans="1:1">
      <c r="A117" s="65"/>
    </row>
    <row r="118" spans="1:1">
      <c r="A118" s="65"/>
    </row>
    <row r="119" spans="1:1">
      <c r="A119" s="65"/>
    </row>
    <row r="120" spans="1:1">
      <c r="A120" s="65"/>
    </row>
    <row r="121" spans="1:1">
      <c r="A121" s="65"/>
    </row>
    <row r="122" spans="1:1">
      <c r="A122" s="65"/>
    </row>
    <row r="123" spans="1:1">
      <c r="A123" s="65"/>
    </row>
    <row r="124" spans="1:1">
      <c r="A124" s="65"/>
    </row>
    <row r="125" spans="1:1">
      <c r="A125" s="65"/>
    </row>
    <row r="126" spans="1:1">
      <c r="A126" s="65"/>
    </row>
    <row r="127" spans="1:1">
      <c r="A127" s="65"/>
    </row>
    <row r="128" spans="1:1">
      <c r="A128" s="65"/>
    </row>
    <row r="129" spans="1:1">
      <c r="A129" s="65"/>
    </row>
    <row r="130" spans="1:1">
      <c r="A130" s="65"/>
    </row>
    <row r="131" spans="1:1">
      <c r="A131" s="65"/>
    </row>
    <row r="132" spans="1:1">
      <c r="A132" s="65"/>
    </row>
    <row r="133" spans="1:1">
      <c r="A133" s="65"/>
    </row>
    <row r="134" spans="1:1">
      <c r="A134" s="65"/>
    </row>
    <row r="135" spans="1:1">
      <c r="A135" s="65"/>
    </row>
    <row r="136" spans="1:1">
      <c r="A136" s="65"/>
    </row>
    <row r="137" spans="1:1">
      <c r="A137" s="65"/>
    </row>
    <row r="138" spans="1:1">
      <c r="A138" s="65"/>
    </row>
    <row r="139" spans="1:1">
      <c r="A139" s="65"/>
    </row>
    <row r="140" spans="1:1">
      <c r="A140" s="65"/>
    </row>
    <row r="141" spans="1:1">
      <c r="A141" s="65"/>
    </row>
    <row r="142" spans="1:1">
      <c r="A142" s="65"/>
    </row>
    <row r="143" spans="1:1">
      <c r="A143" s="65"/>
    </row>
    <row r="144" spans="1:1">
      <c r="A144" s="65"/>
    </row>
    <row r="145" spans="1:1">
      <c r="A145" s="65"/>
    </row>
    <row r="146" spans="1:1">
      <c r="A146" s="65"/>
    </row>
    <row r="147" spans="1:1">
      <c r="A147" s="65"/>
    </row>
    <row r="148" spans="1:1">
      <c r="A148" s="65"/>
    </row>
    <row r="149" spans="1:1">
      <c r="A149" s="65"/>
    </row>
    <row r="150" spans="1:1">
      <c r="A150" s="65"/>
    </row>
    <row r="151" spans="1:1">
      <c r="A151" s="65"/>
    </row>
    <row r="152" spans="1:1">
      <c r="A152" s="65"/>
    </row>
    <row r="153" spans="1:1">
      <c r="A153" s="65"/>
    </row>
    <row r="154" spans="1:1">
      <c r="A154" s="65"/>
    </row>
    <row r="155" spans="1:1">
      <c r="A155" s="65"/>
    </row>
    <row r="156" spans="1:1">
      <c r="A156" s="65"/>
    </row>
    <row r="157" spans="1:1">
      <c r="A157" s="65"/>
    </row>
    <row r="158" spans="1:1">
      <c r="A158" s="65"/>
    </row>
    <row r="159" spans="1:1">
      <c r="A159" s="65"/>
    </row>
    <row r="160" spans="1:1">
      <c r="A160" s="65"/>
    </row>
    <row r="161" spans="1:1">
      <c r="A161" s="65"/>
    </row>
    <row r="162" spans="1:1">
      <c r="A162" s="65"/>
    </row>
    <row r="163" spans="1:1">
      <c r="A163" s="65"/>
    </row>
    <row r="164" spans="1:1">
      <c r="A164" s="65"/>
    </row>
    <row r="165" spans="1:1">
      <c r="A165" s="65"/>
    </row>
    <row r="166" spans="1:1">
      <c r="A166" s="65"/>
    </row>
    <row r="167" spans="1:1">
      <c r="A167" s="65"/>
    </row>
    <row r="168" spans="1:1">
      <c r="A168" s="65"/>
    </row>
    <row r="169" spans="1:1">
      <c r="A169" s="65"/>
    </row>
    <row r="170" spans="1:1">
      <c r="A170" s="65"/>
    </row>
    <row r="171" spans="1:1">
      <c r="A171" s="65"/>
    </row>
    <row r="172" spans="1:1">
      <c r="A172" s="65"/>
    </row>
    <row r="173" spans="1:1">
      <c r="A173" s="65"/>
    </row>
    <row r="174" spans="1:1">
      <c r="A174" s="65"/>
    </row>
    <row r="175" spans="1:1">
      <c r="A175" s="65"/>
    </row>
    <row r="176" spans="1:1">
      <c r="A176" s="65"/>
    </row>
    <row r="177" spans="1:1">
      <c r="A177" s="65"/>
    </row>
    <row r="178" spans="1:1">
      <c r="A178" s="65"/>
    </row>
    <row r="179" spans="1:1">
      <c r="A179" s="65"/>
    </row>
    <row r="180" spans="1:1">
      <c r="A180" s="65"/>
    </row>
    <row r="181" spans="1:1">
      <c r="A181" s="65"/>
    </row>
    <row r="182" spans="1:1">
      <c r="A182" s="65"/>
    </row>
    <row r="183" spans="1:1">
      <c r="A183" s="65"/>
    </row>
    <row r="184" spans="1:1">
      <c r="A184" s="65"/>
    </row>
    <row r="185" spans="1:1">
      <c r="A185" s="65"/>
    </row>
    <row r="186" spans="1:1">
      <c r="A186" s="65"/>
    </row>
    <row r="187" spans="1:1">
      <c r="A187" s="65"/>
    </row>
    <row r="188" spans="1:1">
      <c r="A188" s="65"/>
    </row>
    <row r="189" spans="1:1">
      <c r="A189" s="65"/>
    </row>
    <row r="190" spans="1:1">
      <c r="A190" s="65"/>
    </row>
    <row r="191" spans="1:1">
      <c r="A191" s="65"/>
    </row>
    <row r="192" spans="1:1">
      <c r="A192" s="65"/>
    </row>
    <row r="193" spans="1:1">
      <c r="A193" s="65"/>
    </row>
    <row r="194" spans="1:1">
      <c r="A194" s="65"/>
    </row>
    <row r="195" spans="1:1">
      <c r="A195" s="65"/>
    </row>
    <row r="196" spans="1:1">
      <c r="A196" s="65"/>
    </row>
    <row r="197" spans="1:1">
      <c r="A197" s="65"/>
    </row>
    <row r="198" spans="1:1">
      <c r="A198" s="65"/>
    </row>
    <row r="199" spans="1:1">
      <c r="A199" s="65"/>
    </row>
    <row r="200" spans="1:1">
      <c r="A200" s="65"/>
    </row>
    <row r="201" spans="1:1">
      <c r="A201" s="65"/>
    </row>
    <row r="202" spans="1:1">
      <c r="A202" s="65"/>
    </row>
    <row r="203" spans="1:1">
      <c r="A203" s="65"/>
    </row>
    <row r="204" spans="1:1">
      <c r="A204" s="65"/>
    </row>
    <row r="205" spans="1:1">
      <c r="A205" s="65"/>
    </row>
    <row r="206" spans="1:1">
      <c r="A206" s="65"/>
    </row>
    <row r="207" spans="1:1">
      <c r="A207" s="65"/>
    </row>
    <row r="208" spans="1:1">
      <c r="A208" s="65"/>
    </row>
    <row r="209" spans="1:1">
      <c r="A209" s="65"/>
    </row>
    <row r="210" spans="1:1">
      <c r="A210" s="65"/>
    </row>
    <row r="211" spans="1:1">
      <c r="A211" s="65"/>
    </row>
    <row r="212" spans="1:1">
      <c r="A212" s="65"/>
    </row>
    <row r="213" spans="1:1">
      <c r="A213" s="65"/>
    </row>
    <row r="214" spans="1:1">
      <c r="A214" s="65"/>
    </row>
    <row r="215" spans="1:1">
      <c r="A215" s="65"/>
    </row>
    <row r="216" spans="1:1">
      <c r="A216" s="65"/>
    </row>
    <row r="217" spans="1:1">
      <c r="A217" s="65"/>
    </row>
    <row r="218" spans="1:1">
      <c r="A218" s="65"/>
    </row>
    <row r="219" spans="1:1">
      <c r="A219" s="65"/>
    </row>
    <row r="220" spans="1:1">
      <c r="A220" s="65"/>
    </row>
    <row r="221" spans="1:1">
      <c r="A221" s="65"/>
    </row>
    <row r="222" spans="1:1">
      <c r="A222" s="65"/>
    </row>
    <row r="223" spans="1:1">
      <c r="A223" s="65"/>
    </row>
    <row r="224" spans="1:1">
      <c r="A224" s="65"/>
    </row>
    <row r="225" spans="1:1">
      <c r="A225" s="65"/>
    </row>
    <row r="226" spans="1:1">
      <c r="A226" s="65"/>
    </row>
    <row r="227" spans="1:1">
      <c r="A227" s="65"/>
    </row>
    <row r="228" spans="1:1">
      <c r="A228" s="65"/>
    </row>
    <row r="229" spans="1:1">
      <c r="A229" s="65"/>
    </row>
    <row r="230" spans="1:1">
      <c r="A230" s="65"/>
    </row>
    <row r="231" spans="1:1">
      <c r="A231" s="65"/>
    </row>
    <row r="232" spans="1:1">
      <c r="A232" s="65"/>
    </row>
    <row r="233" spans="1:1">
      <c r="A233" s="65"/>
    </row>
    <row r="234" spans="1:1">
      <c r="A234" s="65"/>
    </row>
    <row r="235" spans="1:1">
      <c r="A235" s="65"/>
    </row>
    <row r="236" spans="1:1">
      <c r="A236" s="65"/>
    </row>
    <row r="237" spans="1:1">
      <c r="A237" s="65"/>
    </row>
    <row r="238" spans="1:1">
      <c r="A238" s="65"/>
    </row>
    <row r="239" spans="1:1">
      <c r="A239" s="65"/>
    </row>
    <row r="240" spans="1:1">
      <c r="A240" s="65"/>
    </row>
    <row r="241" spans="1:1">
      <c r="A241" s="65"/>
    </row>
    <row r="242" spans="1:1">
      <c r="A242" s="65"/>
    </row>
    <row r="243" spans="1:1">
      <c r="A243" s="65"/>
    </row>
    <row r="244" spans="1:1">
      <c r="A244" s="65"/>
    </row>
    <row r="245" spans="1:1">
      <c r="A245" s="65"/>
    </row>
    <row r="246" spans="1:1">
      <c r="A246" s="65"/>
    </row>
  </sheetData>
  <mergeCells count="3">
    <mergeCell ref="B12:C12"/>
    <mergeCell ref="B20:C20"/>
    <mergeCell ref="B5:E7"/>
  </mergeCells>
  <printOptions horizontalCentered="1" headings="1"/>
  <pageMargins left="1" right="1" top="1.25" bottom="1" header="0.5" footer="0.5"/>
  <pageSetup scale="16" orientation="portrait" r:id="rId1"/>
  <headerFooter scaleWithDoc="0">
    <oddHeader>&amp;R&amp;"Arial,Bold"ICC Docket No. 21-0155
Statewide Quarterly Report ComEd 2023 Q3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zoomScale="42" workbookViewId="0">
      <selection activeCell="J1" sqref="J1:R1048576"/>
    </sheetView>
  </sheetViews>
  <sheetFormatPr defaultColWidth="0" defaultRowHeight="14.5" zeroHeight="1"/>
  <cols>
    <col min="1" max="1" width="3.54296875" customWidth="1"/>
    <col min="2" max="2" width="18.54296875" style="12" customWidth="1"/>
    <col min="3" max="3" width="22.26953125" customWidth="1"/>
    <col min="4" max="4" width="24.26953125" customWidth="1"/>
    <col min="5" max="6" width="18.54296875" customWidth="1"/>
    <col min="7" max="7" width="19.36328125" customWidth="1"/>
    <col min="8" max="8" width="3.36328125" customWidth="1"/>
    <col min="9" max="9" width="31.54296875" customWidth="1"/>
    <col min="10" max="10" width="32.6328125" style="255" bestFit="1" customWidth="1"/>
    <col min="11" max="11" width="42.6328125" style="255" bestFit="1" customWidth="1"/>
    <col min="12" max="15" width="17.7265625" style="255" bestFit="1" customWidth="1"/>
    <col min="16" max="16" width="29.1796875" style="255" bestFit="1" customWidth="1"/>
    <col min="17" max="18" width="17.1796875" style="255" bestFit="1" customWidth="1"/>
    <col min="19" max="19" width="12.36328125" customWidth="1"/>
    <col min="20" max="20" width="9.1796875" customWidth="1"/>
    <col min="21" max="22" width="0" hidden="1" customWidth="1"/>
    <col min="23" max="16384" width="9.1796875" hidden="1"/>
  </cols>
  <sheetData>
    <row r="1" spans="1:22">
      <c r="A1" s="65"/>
      <c r="B1" s="71" t="s">
        <v>0</v>
      </c>
      <c r="C1" s="65"/>
      <c r="D1" s="65"/>
      <c r="E1" s="65"/>
      <c r="F1" s="65"/>
      <c r="G1" s="65"/>
      <c r="H1" s="65"/>
      <c r="I1" s="65"/>
      <c r="J1" s="254"/>
      <c r="K1" s="254"/>
      <c r="L1" s="254"/>
      <c r="M1" s="254"/>
      <c r="N1" s="254"/>
      <c r="O1" s="254"/>
      <c r="P1" s="254"/>
      <c r="Q1" s="254"/>
      <c r="R1" s="254"/>
      <c r="S1" s="65"/>
      <c r="T1" s="65"/>
      <c r="U1" s="65"/>
      <c r="V1" s="65"/>
    </row>
    <row r="2" spans="1:22">
      <c r="A2" s="65"/>
      <c r="B2" s="71" t="s">
        <v>122</v>
      </c>
      <c r="C2" s="65"/>
      <c r="D2" s="65"/>
      <c r="E2" s="65"/>
      <c r="F2" s="65"/>
      <c r="G2" s="65"/>
      <c r="H2" s="65"/>
      <c r="I2" s="65"/>
      <c r="J2" s="254"/>
      <c r="K2" s="254"/>
      <c r="L2" s="254"/>
      <c r="M2" s="254"/>
      <c r="N2" s="254"/>
      <c r="O2" s="254"/>
      <c r="P2" s="254"/>
      <c r="Q2" s="254"/>
      <c r="R2" s="254"/>
      <c r="S2" s="65"/>
      <c r="T2" s="65"/>
      <c r="U2" s="65"/>
      <c r="V2" s="65"/>
    </row>
    <row r="3" spans="1:22">
      <c r="A3" s="65"/>
      <c r="B3" s="71"/>
      <c r="C3" s="65"/>
      <c r="D3" s="65"/>
      <c r="E3" s="65"/>
      <c r="F3" s="65"/>
      <c r="G3" s="65"/>
      <c r="H3" s="65"/>
      <c r="I3" s="65"/>
      <c r="J3" s="254"/>
      <c r="K3" s="254"/>
      <c r="L3" s="254"/>
      <c r="M3" s="254"/>
      <c r="N3" s="254"/>
      <c r="O3" s="254"/>
      <c r="P3" s="254"/>
      <c r="Q3" s="254"/>
      <c r="R3" s="254"/>
      <c r="S3" s="65"/>
      <c r="T3" s="65"/>
      <c r="U3" s="65"/>
      <c r="V3" s="65"/>
    </row>
    <row r="4" spans="1:22">
      <c r="A4" s="65"/>
      <c r="B4" s="71"/>
      <c r="C4" s="65"/>
      <c r="D4" s="65"/>
      <c r="E4" s="65"/>
      <c r="F4" s="65"/>
      <c r="G4" s="65"/>
      <c r="H4" s="65"/>
      <c r="I4" s="65"/>
      <c r="J4" s="254"/>
      <c r="K4" s="254"/>
      <c r="L4" s="254"/>
      <c r="M4" s="254"/>
      <c r="N4" s="254"/>
      <c r="O4" s="254"/>
      <c r="P4" s="254"/>
      <c r="Q4" s="254"/>
      <c r="R4" s="254"/>
      <c r="S4" s="65"/>
      <c r="T4" s="65"/>
      <c r="U4" s="65"/>
      <c r="V4" s="65"/>
    </row>
    <row r="5" spans="1:22" ht="14.75" customHeight="1">
      <c r="A5" s="65"/>
      <c r="B5" s="297" t="s">
        <v>123</v>
      </c>
      <c r="C5" s="297"/>
      <c r="D5" s="297"/>
      <c r="E5" s="297"/>
      <c r="F5" s="297"/>
      <c r="G5" s="297"/>
      <c r="H5" s="65"/>
      <c r="I5" s="65"/>
      <c r="J5" s="254"/>
      <c r="K5" s="254"/>
      <c r="L5" s="254"/>
      <c r="M5" s="254"/>
      <c r="N5" s="254"/>
      <c r="O5" s="254"/>
      <c r="P5" s="254"/>
      <c r="Q5" s="254"/>
      <c r="R5" s="254"/>
      <c r="S5" s="65"/>
      <c r="T5" s="65"/>
      <c r="U5" s="65"/>
      <c r="V5" s="65"/>
    </row>
    <row r="6" spans="1:22">
      <c r="A6" s="65"/>
      <c r="B6" s="297"/>
      <c r="C6" s="297"/>
      <c r="D6" s="297"/>
      <c r="E6" s="297"/>
      <c r="F6" s="297"/>
      <c r="G6" s="297"/>
      <c r="H6" s="65"/>
      <c r="I6" s="65"/>
      <c r="J6" s="254"/>
      <c r="K6" s="254"/>
      <c r="L6" s="254"/>
      <c r="M6" s="254"/>
      <c r="N6" s="254"/>
      <c r="O6" s="254"/>
      <c r="P6" s="254"/>
      <c r="Q6" s="254"/>
      <c r="R6" s="254"/>
      <c r="S6" s="65"/>
      <c r="T6" s="65"/>
      <c r="U6" s="65"/>
      <c r="V6" s="65"/>
    </row>
    <row r="7" spans="1:22">
      <c r="A7" s="65"/>
      <c r="B7" s="297"/>
      <c r="C7" s="297"/>
      <c r="D7" s="297"/>
      <c r="E7" s="297"/>
      <c r="F7" s="297"/>
      <c r="G7" s="297"/>
      <c r="H7" s="65"/>
      <c r="I7" s="65"/>
      <c r="J7" s="254"/>
      <c r="K7" s="254"/>
      <c r="L7" s="254"/>
      <c r="M7" s="254"/>
      <c r="N7" s="254"/>
      <c r="O7" s="254"/>
      <c r="P7" s="254"/>
      <c r="Q7" s="254"/>
      <c r="R7" s="254"/>
      <c r="S7" s="65"/>
      <c r="T7" s="65"/>
      <c r="U7" s="65"/>
      <c r="V7" s="65"/>
    </row>
    <row r="8" spans="1:22">
      <c r="A8" s="65"/>
      <c r="B8" s="297"/>
      <c r="C8" s="297"/>
      <c r="D8" s="297"/>
      <c r="E8" s="297"/>
      <c r="F8" s="297"/>
      <c r="G8" s="297"/>
      <c r="H8" s="65"/>
      <c r="I8" s="65"/>
      <c r="J8" s="254"/>
      <c r="K8" s="254"/>
      <c r="L8" s="254"/>
      <c r="M8" s="254"/>
      <c r="N8" s="254"/>
      <c r="O8" s="254"/>
      <c r="P8" s="254"/>
      <c r="Q8" s="254"/>
      <c r="R8" s="254"/>
      <c r="S8" s="65"/>
      <c r="T8" s="65"/>
      <c r="U8" s="65"/>
      <c r="V8" s="65"/>
    </row>
    <row r="9" spans="1:22">
      <c r="A9" s="65"/>
      <c r="B9" s="297"/>
      <c r="C9" s="297"/>
      <c r="D9" s="297"/>
      <c r="E9" s="297"/>
      <c r="F9" s="297"/>
      <c r="G9" s="297"/>
      <c r="H9" s="65"/>
      <c r="I9" s="65"/>
      <c r="J9" s="254"/>
      <c r="K9" s="254"/>
      <c r="L9" s="254"/>
      <c r="M9" s="254"/>
      <c r="N9" s="254"/>
      <c r="O9" s="254"/>
      <c r="P9" s="254"/>
      <c r="Q9" s="254"/>
      <c r="R9" s="254"/>
      <c r="S9" s="65"/>
      <c r="T9" s="65"/>
      <c r="U9" s="65"/>
      <c r="V9" s="65"/>
    </row>
    <row r="10" spans="1:22">
      <c r="A10" s="65"/>
      <c r="B10" s="70"/>
      <c r="C10" s="65"/>
      <c r="D10" s="65"/>
      <c r="E10" s="65"/>
      <c r="F10" s="65"/>
      <c r="G10" s="65"/>
      <c r="H10" s="65"/>
      <c r="I10" s="65"/>
      <c r="J10" s="254"/>
      <c r="K10" s="254"/>
      <c r="L10" s="254"/>
      <c r="M10" s="254"/>
      <c r="N10" s="254"/>
      <c r="O10" s="254"/>
      <c r="P10" s="254"/>
      <c r="Q10" s="254"/>
      <c r="R10" s="254"/>
      <c r="S10" s="65"/>
      <c r="T10" s="65"/>
      <c r="U10" s="65"/>
      <c r="V10" s="65"/>
    </row>
    <row r="11" spans="1:22" ht="18">
      <c r="A11" s="65"/>
      <c r="B11" s="73" t="s">
        <v>124</v>
      </c>
      <c r="C11" s="73"/>
      <c r="D11" s="74"/>
      <c r="E11" s="74"/>
      <c r="F11" s="74"/>
      <c r="G11" s="74"/>
      <c r="H11" s="65"/>
      <c r="I11" s="141" t="s">
        <v>125</v>
      </c>
      <c r="J11" s="254"/>
      <c r="K11" s="254"/>
      <c r="L11" s="254"/>
      <c r="M11" s="254"/>
      <c r="N11" s="254"/>
      <c r="O11" s="254"/>
      <c r="P11" s="254"/>
      <c r="Q11" s="254"/>
      <c r="R11" s="254"/>
      <c r="S11" s="65"/>
      <c r="T11" s="65"/>
      <c r="U11" s="65"/>
      <c r="V11" s="65"/>
    </row>
    <row r="12" spans="1:22" ht="18" customHeight="1">
      <c r="A12" s="65"/>
      <c r="B12" s="245" t="str">
        <f>'1- Ex Ante Results'!B19</f>
        <v>CY2023 Q3</v>
      </c>
      <c r="C12" s="75"/>
      <c r="D12" s="74"/>
      <c r="E12" s="74"/>
      <c r="F12" s="74"/>
      <c r="G12" s="74"/>
      <c r="H12" s="65"/>
      <c r="I12" s="142"/>
      <c r="J12" s="254"/>
      <c r="K12" s="254"/>
      <c r="L12" s="254"/>
      <c r="M12" s="254"/>
      <c r="N12" s="254"/>
      <c r="O12" s="254"/>
      <c r="P12" s="254"/>
      <c r="Q12" s="254"/>
      <c r="R12" s="254"/>
      <c r="S12" s="65"/>
      <c r="T12" s="65"/>
      <c r="U12" s="65"/>
      <c r="V12" s="65"/>
    </row>
    <row r="13" spans="1:22" s="12" customFormat="1" ht="64" customHeight="1">
      <c r="A13" s="70"/>
      <c r="B13" s="11" t="s">
        <v>126</v>
      </c>
      <c r="C13" s="5" t="s">
        <v>127</v>
      </c>
      <c r="D13" s="5" t="s">
        <v>6</v>
      </c>
      <c r="E13" s="5" t="s">
        <v>128</v>
      </c>
      <c r="F13" s="5" t="s">
        <v>129</v>
      </c>
      <c r="G13" s="5" t="s">
        <v>130</v>
      </c>
      <c r="H13" s="70"/>
      <c r="I13" s="11" t="s">
        <v>131</v>
      </c>
      <c r="J13" s="5" t="s">
        <v>132</v>
      </c>
      <c r="K13" s="5" t="s">
        <v>133</v>
      </c>
      <c r="L13" s="5" t="s">
        <v>134</v>
      </c>
      <c r="M13" s="5" t="s">
        <v>135</v>
      </c>
      <c r="N13" s="5" t="s">
        <v>136</v>
      </c>
      <c r="O13" s="5" t="s">
        <v>137</v>
      </c>
      <c r="P13" s="5" t="s">
        <v>138</v>
      </c>
      <c r="Q13" s="5" t="s">
        <v>139</v>
      </c>
      <c r="R13" s="5" t="s">
        <v>140</v>
      </c>
      <c r="S13" s="70"/>
      <c r="T13" s="70"/>
      <c r="U13" s="70"/>
      <c r="V13" s="70"/>
    </row>
    <row r="14" spans="1:22" ht="31.5" customHeight="1">
      <c r="A14" s="65"/>
      <c r="B14" s="45" t="s">
        <v>141</v>
      </c>
      <c r="C14" s="7" t="s">
        <v>142</v>
      </c>
      <c r="D14" s="8">
        <v>163717</v>
      </c>
      <c r="E14" s="8">
        <v>148842</v>
      </c>
      <c r="F14" s="8">
        <f>E14</f>
        <v>148842</v>
      </c>
      <c r="G14" s="9">
        <f>D14/F14</f>
        <v>1.0999381894895257</v>
      </c>
      <c r="H14" s="65"/>
      <c r="I14" s="33" t="s">
        <v>143</v>
      </c>
      <c r="J14" s="264">
        <v>18636</v>
      </c>
      <c r="K14" s="264">
        <v>34038</v>
      </c>
      <c r="L14" s="264">
        <v>54130</v>
      </c>
      <c r="M14" s="264">
        <v>107640</v>
      </c>
      <c r="N14" s="264">
        <v>98944</v>
      </c>
      <c r="O14" s="264">
        <v>86439</v>
      </c>
      <c r="P14" s="264">
        <v>85124.305999999997</v>
      </c>
      <c r="Q14" s="265">
        <v>30340.597000000002</v>
      </c>
      <c r="R14" s="264">
        <v>171941.09</v>
      </c>
      <c r="S14" s="65"/>
      <c r="T14" s="65"/>
      <c r="U14" s="65"/>
      <c r="V14" s="65"/>
    </row>
    <row r="15" spans="1:22" s="12" customFormat="1" ht="31.5" customHeight="1">
      <c r="A15" s="70"/>
      <c r="B15" s="45" t="s">
        <v>144</v>
      </c>
      <c r="C15" s="7" t="s">
        <v>142</v>
      </c>
      <c r="D15" s="31">
        <v>472132</v>
      </c>
      <c r="E15" s="31">
        <v>312339</v>
      </c>
      <c r="F15" s="8">
        <f>E15</f>
        <v>312339</v>
      </c>
      <c r="G15" s="32">
        <f t="shared" ref="G15:G30" si="0">D15/F15</f>
        <v>1.5116011769263524</v>
      </c>
      <c r="H15" s="70"/>
      <c r="I15" s="29" t="s">
        <v>145</v>
      </c>
      <c r="J15" s="253" t="s">
        <v>142</v>
      </c>
      <c r="K15" s="253" t="s">
        <v>142</v>
      </c>
      <c r="L15" s="253" t="s">
        <v>142</v>
      </c>
      <c r="M15" s="253" t="s">
        <v>142</v>
      </c>
      <c r="N15" s="253" t="s">
        <v>142</v>
      </c>
      <c r="O15" s="253" t="s">
        <v>142</v>
      </c>
      <c r="P15" s="253" t="s">
        <v>146</v>
      </c>
      <c r="Q15" s="253" t="s">
        <v>146</v>
      </c>
      <c r="R15" s="253" t="s">
        <v>146</v>
      </c>
      <c r="S15" s="70"/>
      <c r="T15" s="70"/>
      <c r="U15" s="70"/>
      <c r="V15" s="70"/>
    </row>
    <row r="16" spans="1:22" ht="31.5" customHeight="1">
      <c r="A16" s="65"/>
      <c r="B16" s="45" t="s">
        <v>147</v>
      </c>
      <c r="C16" s="7" t="s">
        <v>142</v>
      </c>
      <c r="D16" s="8">
        <v>626715</v>
      </c>
      <c r="E16" s="8">
        <v>458919</v>
      </c>
      <c r="F16" s="8">
        <f>E16</f>
        <v>458919</v>
      </c>
      <c r="G16" s="9">
        <f t="shared" si="0"/>
        <v>1.3656331509482065</v>
      </c>
      <c r="H16" s="65"/>
      <c r="I16" s="41" t="s">
        <v>148</v>
      </c>
      <c r="J16" s="256" t="s">
        <v>149</v>
      </c>
      <c r="K16" s="256" t="s">
        <v>150</v>
      </c>
      <c r="L16" s="252" t="s">
        <v>151</v>
      </c>
      <c r="M16" s="252" t="s">
        <v>152</v>
      </c>
      <c r="N16" s="252" t="s">
        <v>153</v>
      </c>
      <c r="O16" s="252" t="s">
        <v>154</v>
      </c>
      <c r="P16" s="256" t="s">
        <v>155</v>
      </c>
      <c r="Q16" s="252" t="s">
        <v>156</v>
      </c>
      <c r="R16" s="252" t="s">
        <v>156</v>
      </c>
      <c r="S16" s="65"/>
      <c r="T16" s="65"/>
      <c r="U16" s="65"/>
      <c r="V16" s="65"/>
    </row>
    <row r="17" spans="1:22" ht="28">
      <c r="A17" s="65"/>
      <c r="B17" s="35" t="s">
        <v>157</v>
      </c>
      <c r="C17" s="21"/>
      <c r="D17" s="22">
        <f>SUM(D14:D16)</f>
        <v>1262564</v>
      </c>
      <c r="E17" s="22">
        <f>SUM(E14:E16)</f>
        <v>920100</v>
      </c>
      <c r="F17" s="22">
        <f>SUM(F14:F16)</f>
        <v>920100</v>
      </c>
      <c r="G17" s="23">
        <f t="shared" si="0"/>
        <v>1.3722030214107162</v>
      </c>
      <c r="H17" s="65"/>
      <c r="I17" s="171"/>
      <c r="J17" s="254"/>
      <c r="K17" s="254"/>
      <c r="L17" s="254"/>
      <c r="M17" s="254"/>
      <c r="N17" s="254"/>
      <c r="O17" s="254"/>
      <c r="P17" s="254"/>
      <c r="Q17" s="254"/>
      <c r="R17" s="254"/>
      <c r="S17" s="65"/>
      <c r="T17" s="65"/>
      <c r="U17" s="65"/>
      <c r="V17" s="65"/>
    </row>
    <row r="18" spans="1:22" ht="31.5" customHeight="1">
      <c r="A18" s="65"/>
      <c r="B18" s="45" t="s">
        <v>158</v>
      </c>
      <c r="C18" s="7" t="s">
        <v>142</v>
      </c>
      <c r="D18" s="8">
        <v>944111</v>
      </c>
      <c r="E18" s="8">
        <v>610804</v>
      </c>
      <c r="F18" s="8">
        <f>E18</f>
        <v>610804</v>
      </c>
      <c r="G18" s="9">
        <f t="shared" si="0"/>
        <v>1.5456856864067687</v>
      </c>
      <c r="H18" s="65"/>
      <c r="I18" s="171" t="s">
        <v>97</v>
      </c>
      <c r="J18" s="254"/>
      <c r="K18" s="254"/>
      <c r="L18" s="254"/>
      <c r="M18" s="254"/>
      <c r="N18" s="254"/>
      <c r="O18" s="254"/>
      <c r="P18" s="254"/>
      <c r="Q18" s="254"/>
      <c r="R18" s="254"/>
      <c r="S18" s="65"/>
      <c r="T18" s="65"/>
      <c r="U18" s="65"/>
      <c r="V18" s="65"/>
    </row>
    <row r="19" spans="1:22" ht="31.5" customHeight="1">
      <c r="A19" s="65"/>
      <c r="B19" s="45" t="s">
        <v>159</v>
      </c>
      <c r="C19" s="7" t="s">
        <v>142</v>
      </c>
      <c r="D19" s="8">
        <v>942061</v>
      </c>
      <c r="E19" s="8">
        <v>806353</v>
      </c>
      <c r="F19" s="8">
        <f>E19</f>
        <v>806353</v>
      </c>
      <c r="G19" s="9">
        <f t="shared" si="0"/>
        <v>1.1682984995405239</v>
      </c>
      <c r="H19" s="65"/>
      <c r="I19" s="266" t="s">
        <v>160</v>
      </c>
      <c r="J19" s="267"/>
      <c r="K19" s="267"/>
      <c r="L19" s="267"/>
      <c r="M19" s="267"/>
      <c r="N19" s="267"/>
      <c r="O19" s="267"/>
      <c r="P19" s="267"/>
      <c r="Q19" s="267"/>
      <c r="R19" s="268"/>
      <c r="S19" s="65"/>
      <c r="T19" s="65"/>
      <c r="U19" s="65"/>
      <c r="V19" s="65"/>
    </row>
    <row r="20" spans="1:22" ht="31.5" customHeight="1">
      <c r="A20" s="65"/>
      <c r="B20" s="45" t="s">
        <v>161</v>
      </c>
      <c r="C20" s="7" t="s">
        <v>142</v>
      </c>
      <c r="D20" s="8">
        <v>977911</v>
      </c>
      <c r="E20" s="8">
        <v>809556</v>
      </c>
      <c r="F20" s="8">
        <v>791103</v>
      </c>
      <c r="G20" s="9">
        <f t="shared" si="0"/>
        <v>1.2361361289237938</v>
      </c>
      <c r="H20" s="65"/>
      <c r="I20" s="266" t="s">
        <v>162</v>
      </c>
      <c r="J20" s="267"/>
      <c r="K20" s="267"/>
      <c r="L20" s="267"/>
      <c r="M20" s="267"/>
      <c r="N20" s="267"/>
      <c r="O20" s="267"/>
      <c r="P20" s="267"/>
      <c r="Q20" s="267"/>
      <c r="R20" s="268"/>
      <c r="S20" s="65"/>
      <c r="T20" s="65"/>
      <c r="U20" s="65"/>
      <c r="V20" s="65"/>
    </row>
    <row r="21" spans="1:22" ht="43.5" customHeight="1">
      <c r="A21" s="65"/>
      <c r="B21" s="35" t="s">
        <v>163</v>
      </c>
      <c r="C21" s="21"/>
      <c r="D21" s="22">
        <f>SUM(D18:D20)</f>
        <v>2864083</v>
      </c>
      <c r="E21" s="22">
        <f>SUM(E18:E20)</f>
        <v>2226713</v>
      </c>
      <c r="F21" s="22">
        <f>SUM(F18:F20)</f>
        <v>2208260</v>
      </c>
      <c r="G21" s="23">
        <f t="shared" si="0"/>
        <v>1.2969863150172534</v>
      </c>
      <c r="H21" s="65"/>
      <c r="I21" s="65"/>
      <c r="J21" s="254"/>
      <c r="K21" s="254"/>
      <c r="L21" s="254"/>
      <c r="M21" s="254"/>
      <c r="N21" s="254"/>
      <c r="O21" s="254"/>
      <c r="P21" s="254"/>
      <c r="Q21" s="254"/>
      <c r="R21" s="254"/>
      <c r="S21" s="65"/>
      <c r="T21" s="65"/>
      <c r="U21" s="65"/>
      <c r="V21" s="65"/>
    </row>
    <row r="22" spans="1:22" ht="31.5" customHeight="1">
      <c r="A22" s="65"/>
      <c r="B22" s="45" t="s">
        <v>164</v>
      </c>
      <c r="C22" s="7" t="s">
        <v>146</v>
      </c>
      <c r="D22" s="8">
        <v>809877.65800000005</v>
      </c>
      <c r="E22" s="8">
        <v>648029</v>
      </c>
      <c r="F22" s="55">
        <f>E22</f>
        <v>648029</v>
      </c>
      <c r="G22" s="9">
        <f t="shared" si="0"/>
        <v>1.2497552702116728</v>
      </c>
      <c r="H22" s="65"/>
      <c r="I22" s="65"/>
      <c r="J22" s="254"/>
      <c r="K22" s="254"/>
      <c r="L22" s="254"/>
      <c r="M22" s="254"/>
      <c r="N22" s="254"/>
      <c r="O22" s="254"/>
      <c r="P22" s="254"/>
      <c r="Q22" s="254"/>
      <c r="R22" s="254"/>
      <c r="S22" s="65"/>
      <c r="T22" s="65"/>
      <c r="U22" s="65"/>
      <c r="V22" s="65"/>
    </row>
    <row r="23" spans="1:22" ht="31.5" customHeight="1">
      <c r="A23" s="65"/>
      <c r="B23" s="45" t="s">
        <v>165</v>
      </c>
      <c r="C23" s="7" t="s">
        <v>146</v>
      </c>
      <c r="D23" s="8">
        <v>671027.05099999998</v>
      </c>
      <c r="E23" s="8">
        <v>541983</v>
      </c>
      <c r="F23" s="55">
        <f>E23</f>
        <v>541983</v>
      </c>
      <c r="G23" s="9">
        <f t="shared" si="0"/>
        <v>1.2380961229411254</v>
      </c>
      <c r="H23" s="65"/>
      <c r="I23" s="65"/>
      <c r="J23" s="254"/>
      <c r="K23" s="254"/>
      <c r="L23" s="254"/>
      <c r="M23" s="254"/>
      <c r="N23" s="254"/>
      <c r="O23" s="254"/>
      <c r="P23" s="254"/>
      <c r="Q23" s="254"/>
      <c r="R23" s="254"/>
      <c r="S23" s="65"/>
      <c r="T23" s="65"/>
      <c r="U23" s="65"/>
      <c r="V23" s="65"/>
    </row>
    <row r="24" spans="1:22" ht="31.5" customHeight="1">
      <c r="A24" s="65"/>
      <c r="B24" s="45" t="s">
        <v>166</v>
      </c>
      <c r="C24" s="10" t="s">
        <v>146</v>
      </c>
      <c r="D24" s="8">
        <v>1087076</v>
      </c>
      <c r="E24" s="8">
        <v>787629</v>
      </c>
      <c r="F24" s="55">
        <f>E24</f>
        <v>787629</v>
      </c>
      <c r="G24" s="9">
        <f t="shared" si="0"/>
        <v>1.3801878803345229</v>
      </c>
      <c r="H24" s="65"/>
      <c r="I24" s="65"/>
      <c r="J24" s="254"/>
      <c r="K24" s="254"/>
      <c r="L24" s="254"/>
      <c r="M24" s="254"/>
      <c r="N24" s="254"/>
      <c r="O24" s="254"/>
      <c r="P24" s="254"/>
      <c r="Q24" s="254"/>
      <c r="R24" s="254"/>
      <c r="S24" s="65"/>
      <c r="T24" s="65"/>
      <c r="U24" s="65"/>
      <c r="V24" s="65"/>
    </row>
    <row r="25" spans="1:22" ht="44.25" customHeight="1">
      <c r="A25" s="65"/>
      <c r="B25" s="35" t="s">
        <v>167</v>
      </c>
      <c r="C25" s="21"/>
      <c r="D25" s="22">
        <f>SUM(D22:D24)</f>
        <v>2567980.7089999998</v>
      </c>
      <c r="E25" s="22">
        <f>SUM(E22:E24)</f>
        <v>1977641</v>
      </c>
      <c r="F25" s="56">
        <f>SUM(F22:F24)</f>
        <v>1977641</v>
      </c>
      <c r="G25" s="23">
        <f t="shared" si="0"/>
        <v>1.298507013659203</v>
      </c>
      <c r="H25" s="65"/>
      <c r="I25" s="65"/>
      <c r="J25" s="254"/>
      <c r="K25" s="254"/>
      <c r="L25" s="254"/>
      <c r="M25" s="254"/>
      <c r="N25" s="254"/>
      <c r="O25" s="254"/>
      <c r="P25" s="254"/>
      <c r="Q25" s="254"/>
      <c r="R25" s="254"/>
      <c r="S25" s="65"/>
      <c r="T25" s="65"/>
      <c r="U25" s="65"/>
      <c r="V25" s="65"/>
    </row>
    <row r="26" spans="1:22">
      <c r="A26" s="293" t="s">
        <v>168</v>
      </c>
      <c r="B26" s="30">
        <v>2018</v>
      </c>
      <c r="C26" s="10" t="s">
        <v>146</v>
      </c>
      <c r="D26" s="8">
        <v>1859773.2879999999</v>
      </c>
      <c r="E26" s="81">
        <v>1713349</v>
      </c>
      <c r="F26" s="55">
        <f>E26</f>
        <v>1713349</v>
      </c>
      <c r="G26" s="9">
        <f>D26/F26</f>
        <v>1.0854608652411155</v>
      </c>
      <c r="H26" s="65"/>
      <c r="I26" s="65"/>
      <c r="J26" s="254"/>
      <c r="K26" s="254"/>
      <c r="L26" s="254"/>
      <c r="M26" s="254"/>
      <c r="N26" s="254"/>
      <c r="O26" s="254"/>
      <c r="P26" s="254"/>
      <c r="Q26" s="254"/>
      <c r="R26" s="254"/>
      <c r="S26" s="65"/>
      <c r="T26" s="65"/>
      <c r="U26" s="65"/>
      <c r="V26" s="65"/>
    </row>
    <row r="27" spans="1:22">
      <c r="A27" s="294"/>
      <c r="B27" s="30">
        <v>2019</v>
      </c>
      <c r="C27" s="10" t="s">
        <v>146</v>
      </c>
      <c r="D27" s="8">
        <v>1700029.4500006568</v>
      </c>
      <c r="E27" s="81">
        <v>1629672</v>
      </c>
      <c r="F27" s="55">
        <f>E27</f>
        <v>1629672</v>
      </c>
      <c r="G27" s="9">
        <f t="shared" si="0"/>
        <v>1.043172767281181</v>
      </c>
      <c r="H27" s="65"/>
      <c r="I27" s="65"/>
      <c r="J27" s="254"/>
      <c r="K27" s="254"/>
      <c r="L27" s="254"/>
      <c r="M27" s="254"/>
      <c r="N27" s="254"/>
      <c r="O27" s="254"/>
      <c r="P27" s="254"/>
      <c r="Q27" s="254"/>
      <c r="R27" s="254"/>
      <c r="S27" s="65"/>
      <c r="T27" s="65"/>
      <c r="U27" s="65"/>
      <c r="V27" s="65"/>
    </row>
    <row r="28" spans="1:22">
      <c r="A28" s="294"/>
      <c r="B28" s="30">
        <v>2020</v>
      </c>
      <c r="C28" s="10" t="s">
        <v>146</v>
      </c>
      <c r="D28" s="8">
        <v>1821166.2136200001</v>
      </c>
      <c r="E28" s="81">
        <v>1637572</v>
      </c>
      <c r="F28" s="55">
        <f>E28</f>
        <v>1637572</v>
      </c>
      <c r="G28" s="9">
        <f t="shared" si="0"/>
        <v>1.1121136741590598</v>
      </c>
      <c r="H28" s="65"/>
      <c r="I28" s="65"/>
      <c r="J28" s="254"/>
      <c r="K28" s="254"/>
      <c r="L28" s="254"/>
      <c r="M28" s="254"/>
      <c r="N28" s="254"/>
      <c r="O28" s="254"/>
      <c r="P28" s="254"/>
      <c r="Q28" s="254"/>
      <c r="R28" s="254"/>
      <c r="S28" s="65"/>
      <c r="T28" s="65"/>
      <c r="U28" s="65"/>
      <c r="V28" s="65"/>
    </row>
    <row r="29" spans="1:22">
      <c r="A29" s="294"/>
      <c r="B29" s="30">
        <v>2021</v>
      </c>
      <c r="C29" s="10" t="s">
        <v>146</v>
      </c>
      <c r="D29" s="8">
        <v>1849877.162</v>
      </c>
      <c r="E29" s="81">
        <v>1658918</v>
      </c>
      <c r="F29" s="8">
        <f>E29</f>
        <v>1658918</v>
      </c>
      <c r="G29" s="54">
        <f t="shared" si="0"/>
        <v>1.1151106697256887</v>
      </c>
      <c r="H29" s="65"/>
      <c r="I29" s="69"/>
      <c r="J29" s="254"/>
      <c r="K29" s="254"/>
      <c r="L29" s="254"/>
      <c r="M29" s="254"/>
      <c r="N29" s="254"/>
      <c r="O29" s="254"/>
      <c r="P29" s="254"/>
      <c r="Q29" s="254"/>
      <c r="R29" s="254"/>
      <c r="S29" s="65"/>
      <c r="T29" s="65"/>
      <c r="U29" s="65"/>
      <c r="V29" s="65"/>
    </row>
    <row r="30" spans="1:22" ht="42" customHeight="1">
      <c r="A30" s="295"/>
      <c r="B30" s="35" t="s">
        <v>169</v>
      </c>
      <c r="C30" s="21"/>
      <c r="D30" s="22">
        <f>SUM(D26:D29)</f>
        <v>7230846.1136206575</v>
      </c>
      <c r="E30" s="22">
        <f>SUM(E26:E29)</f>
        <v>6639511</v>
      </c>
      <c r="F30" s="22">
        <f>SUM(F26:F29)</f>
        <v>6639511</v>
      </c>
      <c r="G30" s="23">
        <f t="shared" si="0"/>
        <v>1.0890630520260689</v>
      </c>
      <c r="H30" s="65"/>
      <c r="I30" s="65"/>
      <c r="J30" s="254"/>
      <c r="K30" s="254"/>
      <c r="L30" s="254"/>
      <c r="M30" s="254"/>
      <c r="N30" s="254"/>
      <c r="O30" s="254"/>
      <c r="P30" s="254"/>
      <c r="Q30" s="254"/>
      <c r="R30" s="254"/>
      <c r="S30" s="65"/>
      <c r="T30" s="65"/>
      <c r="U30" s="65"/>
      <c r="V30" s="65"/>
    </row>
    <row r="31" spans="1:22" ht="14.75" customHeight="1">
      <c r="A31" s="293" t="s">
        <v>170</v>
      </c>
      <c r="B31" s="30">
        <v>2022</v>
      </c>
      <c r="C31" s="10" t="s">
        <v>171</v>
      </c>
      <c r="D31" s="8">
        <v>1619155</v>
      </c>
      <c r="E31" s="81">
        <v>1738072.00060309</v>
      </c>
      <c r="F31" s="55">
        <f>E31</f>
        <v>1738072.00060309</v>
      </c>
      <c r="G31" s="9">
        <f>D31/F31</f>
        <v>0.93158108492523484</v>
      </c>
      <c r="H31" s="65"/>
      <c r="I31" s="65"/>
      <c r="J31" s="254"/>
      <c r="K31" s="254"/>
      <c r="L31" s="254"/>
      <c r="M31" s="254"/>
      <c r="N31" s="254"/>
      <c r="O31" s="254"/>
      <c r="P31" s="254"/>
      <c r="Q31" s="254"/>
      <c r="R31" s="254"/>
      <c r="S31" s="65"/>
      <c r="T31" s="65"/>
      <c r="U31" s="65"/>
      <c r="V31" s="65"/>
    </row>
    <row r="32" spans="1:22">
      <c r="A32" s="294"/>
      <c r="B32" s="30">
        <v>2023</v>
      </c>
      <c r="C32" s="10" t="s">
        <v>171</v>
      </c>
      <c r="D32" s="8">
        <f>'1- Ex Ante Results'!$C$116</f>
        <v>1006862.7026695999</v>
      </c>
      <c r="E32" s="81">
        <v>1544746.0016381273</v>
      </c>
      <c r="F32" s="55">
        <f>E32</f>
        <v>1544746.0016381273</v>
      </c>
      <c r="G32" s="9">
        <v>0</v>
      </c>
      <c r="H32" s="65"/>
      <c r="I32" s="65"/>
      <c r="J32" s="254"/>
      <c r="K32" s="254"/>
      <c r="L32" s="254"/>
      <c r="M32" s="254"/>
      <c r="N32" s="254"/>
      <c r="O32" s="254"/>
      <c r="P32" s="254"/>
      <c r="Q32" s="254"/>
      <c r="R32" s="254"/>
      <c r="S32" s="65"/>
      <c r="T32" s="65"/>
      <c r="U32" s="65"/>
      <c r="V32" s="65"/>
    </row>
    <row r="33" spans="1:22">
      <c r="A33" s="294"/>
      <c r="B33" s="30">
        <v>2024</v>
      </c>
      <c r="C33" s="10" t="s">
        <v>171</v>
      </c>
      <c r="D33" s="8" t="s">
        <v>172</v>
      </c>
      <c r="E33" s="81">
        <v>1745420.9082263184</v>
      </c>
      <c r="F33" s="55">
        <f>E33</f>
        <v>1745420.9082263184</v>
      </c>
      <c r="G33" s="9">
        <v>0</v>
      </c>
      <c r="H33" s="65"/>
      <c r="I33" s="65"/>
      <c r="J33" s="254"/>
      <c r="K33" s="254"/>
      <c r="L33" s="254"/>
      <c r="M33" s="254"/>
      <c r="N33" s="254"/>
      <c r="O33" s="254"/>
      <c r="P33" s="254"/>
      <c r="Q33" s="254"/>
      <c r="R33" s="254"/>
      <c r="S33" s="65"/>
      <c r="T33" s="65"/>
      <c r="U33" s="65"/>
      <c r="V33" s="65"/>
    </row>
    <row r="34" spans="1:22">
      <c r="A34" s="294"/>
      <c r="B34" s="30">
        <v>2025</v>
      </c>
      <c r="C34" s="10" t="s">
        <v>171</v>
      </c>
      <c r="D34" s="8" t="s">
        <v>172</v>
      </c>
      <c r="E34" s="81">
        <v>1747847.8958436295</v>
      </c>
      <c r="F34" s="8">
        <f>E34</f>
        <v>1747847.8958436295</v>
      </c>
      <c r="G34" s="54">
        <v>0</v>
      </c>
      <c r="H34" s="65"/>
      <c r="I34" s="65"/>
      <c r="J34" s="254"/>
      <c r="K34" s="254"/>
      <c r="L34" s="254"/>
      <c r="M34" s="254"/>
      <c r="N34" s="254"/>
      <c r="O34" s="254"/>
      <c r="P34" s="254"/>
      <c r="Q34" s="254"/>
      <c r="R34" s="254"/>
      <c r="S34" s="65"/>
      <c r="T34" s="65"/>
      <c r="U34" s="65"/>
      <c r="V34" s="65"/>
    </row>
    <row r="35" spans="1:22" ht="42" customHeight="1">
      <c r="A35" s="295"/>
      <c r="B35" s="35" t="s">
        <v>173</v>
      </c>
      <c r="C35" s="21"/>
      <c r="D35" s="22">
        <f>SUM(D31:D34)</f>
        <v>2626017.7026696</v>
      </c>
      <c r="E35" s="22">
        <f>SUM(E31:E34)</f>
        <v>6776086.8063111659</v>
      </c>
      <c r="F35" s="22">
        <f>SUM(F31:F34)</f>
        <v>6776086.8063111659</v>
      </c>
      <c r="G35" s="23">
        <f>D35/F35</f>
        <v>0.3875419217215102</v>
      </c>
      <c r="H35" s="65"/>
      <c r="I35" s="65"/>
      <c r="J35" s="254"/>
      <c r="K35" s="254"/>
      <c r="L35" s="254"/>
      <c r="M35" s="254"/>
      <c r="N35" s="254"/>
      <c r="O35" s="254"/>
      <c r="P35" s="254"/>
      <c r="Q35" s="254"/>
      <c r="R35" s="254"/>
      <c r="S35" s="65"/>
      <c r="T35" s="65"/>
      <c r="U35" s="65"/>
      <c r="V35" s="65"/>
    </row>
    <row r="36" spans="1:22">
      <c r="A36" s="65"/>
      <c r="B36" s="70"/>
      <c r="C36" s="65"/>
      <c r="D36" s="65"/>
      <c r="E36" s="65"/>
      <c r="F36" s="65"/>
      <c r="G36" s="65"/>
      <c r="H36" s="65"/>
      <c r="I36" s="65"/>
      <c r="J36" s="254"/>
      <c r="K36" s="254"/>
      <c r="L36" s="254"/>
      <c r="M36" s="254"/>
      <c r="N36" s="254"/>
      <c r="O36" s="254"/>
      <c r="P36" s="254"/>
      <c r="Q36" s="254"/>
      <c r="R36" s="254"/>
      <c r="S36" s="65"/>
      <c r="T36" s="65"/>
      <c r="U36" s="65"/>
      <c r="V36" s="65"/>
    </row>
    <row r="37" spans="1:22">
      <c r="A37" s="65"/>
      <c r="B37" s="70"/>
      <c r="C37" s="65"/>
      <c r="D37" s="65"/>
      <c r="E37" s="65"/>
      <c r="F37" s="65"/>
      <c r="G37" s="65"/>
      <c r="H37" s="65"/>
      <c r="I37" s="65"/>
      <c r="J37" s="254"/>
      <c r="K37" s="254"/>
      <c r="L37" s="254"/>
      <c r="M37" s="254"/>
      <c r="N37" s="254"/>
      <c r="O37" s="254"/>
      <c r="P37" s="254"/>
      <c r="Q37" s="254"/>
      <c r="R37" s="254"/>
      <c r="S37" s="65"/>
      <c r="T37" s="65"/>
      <c r="U37" s="65"/>
      <c r="V37" s="65"/>
    </row>
    <row r="38" spans="1:22">
      <c r="A38" s="65"/>
      <c r="B38" s="70"/>
      <c r="C38" s="65"/>
      <c r="D38" s="65"/>
      <c r="E38" s="65"/>
      <c r="F38" s="65"/>
      <c r="G38" s="65"/>
      <c r="H38" s="65"/>
      <c r="I38" s="65"/>
      <c r="J38" s="254"/>
      <c r="K38" s="254"/>
      <c r="L38" s="254"/>
      <c r="M38" s="254"/>
      <c r="N38" s="254"/>
      <c r="O38" s="254"/>
      <c r="P38" s="254"/>
      <c r="Q38" s="254"/>
      <c r="R38" s="254"/>
      <c r="S38" s="65"/>
      <c r="T38" s="65"/>
      <c r="U38" s="65"/>
      <c r="V38" s="65"/>
    </row>
    <row r="39" spans="1:22">
      <c r="A39" s="65"/>
      <c r="B39" s="70"/>
      <c r="C39" s="65"/>
      <c r="D39" s="65"/>
      <c r="E39" s="65"/>
      <c r="F39" s="65"/>
      <c r="G39" s="65"/>
      <c r="H39" s="65"/>
      <c r="I39" s="65"/>
      <c r="J39" s="254"/>
      <c r="K39" s="254"/>
      <c r="L39" s="254"/>
      <c r="M39" s="254"/>
      <c r="N39" s="254"/>
      <c r="O39" s="254"/>
      <c r="P39" s="254"/>
      <c r="Q39" s="254"/>
      <c r="R39" s="254"/>
      <c r="S39" s="65"/>
      <c r="T39" s="65"/>
      <c r="U39" s="65"/>
      <c r="V39" s="65"/>
    </row>
    <row r="40" spans="1:22">
      <c r="A40" s="65"/>
      <c r="B40" s="70"/>
      <c r="C40" s="65"/>
      <c r="D40" s="65"/>
      <c r="E40" s="65"/>
      <c r="F40" s="65"/>
      <c r="G40" s="65"/>
      <c r="H40" s="65"/>
      <c r="I40" s="65"/>
      <c r="J40" s="254"/>
      <c r="K40" s="254"/>
      <c r="L40" s="254"/>
      <c r="M40" s="254"/>
      <c r="N40" s="254"/>
      <c r="O40" s="254"/>
      <c r="P40" s="254"/>
      <c r="Q40" s="254"/>
      <c r="R40" s="254"/>
      <c r="S40" s="65"/>
      <c r="T40" s="65"/>
      <c r="U40" s="65"/>
      <c r="V40" s="65"/>
    </row>
    <row r="41" spans="1:22">
      <c r="A41" s="65"/>
      <c r="B41" s="171" t="s">
        <v>97</v>
      </c>
      <c r="C41" s="65"/>
      <c r="D41" s="65"/>
      <c r="E41" s="65"/>
      <c r="F41" s="65"/>
      <c r="G41" s="65"/>
      <c r="H41" s="65"/>
      <c r="I41" s="65"/>
      <c r="J41" s="254"/>
      <c r="K41" s="254"/>
      <c r="L41" s="254"/>
      <c r="M41" s="254"/>
      <c r="N41" s="254"/>
      <c r="O41" s="254"/>
      <c r="P41" s="254"/>
      <c r="Q41" s="254"/>
      <c r="R41" s="254"/>
      <c r="S41" s="65"/>
      <c r="T41" s="65"/>
      <c r="U41" s="65"/>
      <c r="V41" s="65"/>
    </row>
    <row r="42" spans="1:22" s="80" customFormat="1" ht="44" customHeight="1">
      <c r="A42" s="172"/>
      <c r="B42" s="298" t="s">
        <v>174</v>
      </c>
      <c r="C42" s="298"/>
      <c r="D42" s="298"/>
      <c r="E42" s="298"/>
      <c r="F42" s="298"/>
      <c r="G42" s="298"/>
      <c r="H42" s="172"/>
      <c r="I42" s="172"/>
      <c r="J42" s="254"/>
      <c r="K42" s="254"/>
      <c r="L42" s="254"/>
      <c r="M42" s="254"/>
      <c r="N42" s="254"/>
      <c r="O42" s="254"/>
      <c r="P42" s="254"/>
      <c r="Q42" s="254"/>
      <c r="R42" s="254"/>
      <c r="S42" s="172"/>
      <c r="T42" s="172"/>
      <c r="U42" s="172"/>
      <c r="V42" s="172"/>
    </row>
    <row r="43" spans="1:22" s="80" customFormat="1" ht="44" customHeight="1">
      <c r="A43" s="172"/>
      <c r="B43" s="298" t="s">
        <v>175</v>
      </c>
      <c r="C43" s="298"/>
      <c r="D43" s="298"/>
      <c r="E43" s="298"/>
      <c r="F43" s="298"/>
      <c r="G43" s="298"/>
      <c r="H43" s="172"/>
      <c r="I43" s="172"/>
      <c r="J43" s="254"/>
      <c r="K43" s="254"/>
      <c r="L43" s="254"/>
      <c r="M43" s="254"/>
      <c r="N43" s="254"/>
      <c r="O43" s="254"/>
      <c r="P43" s="254"/>
      <c r="Q43" s="254"/>
      <c r="R43" s="254"/>
      <c r="S43" s="172"/>
      <c r="T43" s="172"/>
      <c r="U43" s="172"/>
      <c r="V43" s="172"/>
    </row>
    <row r="44" spans="1:22" s="80" customFormat="1" ht="44" customHeight="1">
      <c r="A44" s="172"/>
      <c r="B44" s="296" t="s">
        <v>176</v>
      </c>
      <c r="C44" s="296"/>
      <c r="D44" s="296"/>
      <c r="E44" s="296"/>
      <c r="F44" s="296"/>
      <c r="G44" s="296"/>
      <c r="H44" s="172"/>
      <c r="I44" s="172"/>
      <c r="J44" s="254"/>
      <c r="K44" s="254"/>
      <c r="L44" s="254"/>
      <c r="M44" s="254"/>
      <c r="N44" s="254"/>
      <c r="O44" s="254"/>
      <c r="P44" s="254"/>
      <c r="Q44" s="254"/>
      <c r="R44" s="254"/>
      <c r="S44" s="172"/>
      <c r="T44" s="172"/>
      <c r="U44" s="172"/>
      <c r="V44" s="172"/>
    </row>
    <row r="45" spans="1:22">
      <c r="A45" s="65"/>
      <c r="B45" s="70"/>
      <c r="C45" s="65"/>
      <c r="D45" s="65"/>
      <c r="E45" s="65"/>
      <c r="F45" s="65"/>
      <c r="G45" s="65"/>
      <c r="H45" s="65"/>
      <c r="I45" s="65"/>
      <c r="J45" s="254"/>
      <c r="K45" s="254"/>
      <c r="L45" s="254"/>
      <c r="M45" s="254"/>
      <c r="N45" s="254"/>
      <c r="O45" s="254"/>
      <c r="P45" s="254"/>
      <c r="Q45" s="254"/>
      <c r="R45" s="254"/>
      <c r="S45" s="65"/>
      <c r="T45" s="65"/>
      <c r="U45" s="65"/>
      <c r="V45" s="65"/>
    </row>
    <row r="46" spans="1:22">
      <c r="A46" s="65"/>
      <c r="B46" s="70"/>
      <c r="C46" s="65"/>
      <c r="D46" s="65"/>
      <c r="E46" s="65"/>
      <c r="F46" s="65"/>
      <c r="G46" s="65"/>
      <c r="H46" s="65"/>
      <c r="I46" s="65"/>
      <c r="J46" s="254"/>
      <c r="K46" s="254"/>
      <c r="L46" s="254"/>
      <c r="M46" s="254"/>
      <c r="N46" s="254"/>
      <c r="O46" s="254"/>
      <c r="P46" s="254"/>
      <c r="Q46" s="254"/>
      <c r="R46" s="254"/>
      <c r="S46" s="65"/>
      <c r="T46" s="65"/>
      <c r="U46" s="65"/>
      <c r="V46" s="65"/>
    </row>
    <row r="47" spans="1:22">
      <c r="A47" s="65"/>
      <c r="B47" s="70"/>
      <c r="C47" s="65"/>
      <c r="D47" s="65"/>
      <c r="E47" s="65"/>
      <c r="F47" s="65"/>
      <c r="G47" s="65"/>
      <c r="H47" s="65"/>
      <c r="I47" s="65"/>
      <c r="J47" s="254"/>
      <c r="K47" s="254"/>
      <c r="L47" s="254"/>
      <c r="M47" s="254"/>
      <c r="N47" s="254"/>
      <c r="O47" s="254"/>
      <c r="P47" s="254"/>
      <c r="Q47" s="254"/>
      <c r="R47" s="254"/>
      <c r="S47" s="65"/>
      <c r="T47" s="65"/>
      <c r="U47" s="65"/>
      <c r="V47" s="65"/>
    </row>
    <row r="48" spans="1:22">
      <c r="A48" s="65"/>
      <c r="B48" s="70"/>
      <c r="C48" s="65"/>
      <c r="D48" s="65"/>
      <c r="E48" s="65"/>
      <c r="F48" s="65"/>
      <c r="G48" s="65"/>
      <c r="H48" s="65"/>
      <c r="I48" s="65"/>
      <c r="J48" s="254"/>
      <c r="K48" s="254"/>
      <c r="L48" s="254"/>
      <c r="M48" s="254"/>
      <c r="N48" s="254"/>
      <c r="O48" s="254"/>
      <c r="P48" s="254"/>
      <c r="Q48" s="254"/>
      <c r="R48" s="254"/>
      <c r="S48" s="65"/>
      <c r="T48" s="65"/>
      <c r="U48" s="65"/>
      <c r="V48" s="65"/>
    </row>
    <row r="49" spans="1:22">
      <c r="A49" s="65"/>
      <c r="B49" s="70"/>
      <c r="C49" s="65"/>
      <c r="D49" s="65"/>
      <c r="E49" s="65"/>
      <c r="F49" s="65"/>
      <c r="G49" s="65"/>
      <c r="H49" s="65"/>
      <c r="I49" s="65"/>
      <c r="J49" s="254"/>
      <c r="K49" s="254"/>
      <c r="L49" s="254"/>
      <c r="M49" s="254"/>
      <c r="N49" s="254"/>
      <c r="O49" s="254"/>
      <c r="P49" s="254"/>
      <c r="Q49" s="254"/>
      <c r="R49" s="254"/>
      <c r="S49" s="65"/>
      <c r="T49" s="65"/>
      <c r="U49" s="65"/>
      <c r="V49" s="65"/>
    </row>
    <row r="50" spans="1:22">
      <c r="A50" s="65"/>
      <c r="B50" s="70"/>
      <c r="C50" s="65"/>
      <c r="D50" s="65"/>
      <c r="E50" s="65"/>
      <c r="F50" s="65"/>
      <c r="G50" s="65"/>
      <c r="H50" s="65"/>
      <c r="I50" s="65"/>
      <c r="J50" s="254"/>
      <c r="K50" s="254"/>
      <c r="L50" s="254"/>
      <c r="M50" s="254"/>
      <c r="N50" s="254"/>
      <c r="O50" s="254"/>
      <c r="P50" s="254"/>
      <c r="Q50" s="254"/>
      <c r="R50" s="254"/>
      <c r="S50" s="65"/>
      <c r="T50" s="65"/>
      <c r="U50" s="65"/>
      <c r="V50" s="65"/>
    </row>
    <row r="51" spans="1:22">
      <c r="A51" s="65"/>
      <c r="B51" s="70"/>
      <c r="C51" s="65"/>
      <c r="D51" s="65"/>
      <c r="E51" s="65"/>
      <c r="F51" s="65"/>
      <c r="G51" s="65"/>
      <c r="H51" s="65"/>
      <c r="I51" s="65"/>
      <c r="J51" s="254"/>
      <c r="K51" s="254"/>
      <c r="L51" s="254"/>
      <c r="M51" s="254"/>
      <c r="N51" s="254"/>
      <c r="O51" s="254"/>
      <c r="P51" s="254"/>
      <c r="Q51" s="254"/>
      <c r="R51" s="254"/>
      <c r="S51" s="65"/>
      <c r="T51" s="65"/>
      <c r="U51" s="65"/>
      <c r="V51" s="65"/>
    </row>
    <row r="52" spans="1:22">
      <c r="A52" s="65"/>
      <c r="B52" s="70"/>
      <c r="C52" s="65"/>
      <c r="D52" s="65"/>
      <c r="E52" s="65"/>
      <c r="F52" s="65"/>
      <c r="G52" s="65"/>
      <c r="H52" s="65"/>
      <c r="I52" s="65"/>
      <c r="J52" s="254"/>
      <c r="K52" s="254"/>
      <c r="L52" s="254"/>
      <c r="M52" s="254"/>
      <c r="N52" s="254"/>
      <c r="O52" s="254"/>
      <c r="P52" s="254"/>
      <c r="Q52" s="254"/>
      <c r="R52" s="254"/>
      <c r="S52" s="65"/>
      <c r="T52" s="65"/>
      <c r="U52" s="65"/>
      <c r="V52" s="65"/>
    </row>
    <row r="53" spans="1:22">
      <c r="A53" s="65"/>
      <c r="B53" s="70"/>
      <c r="C53" s="65"/>
      <c r="D53" s="65"/>
      <c r="E53" s="65"/>
      <c r="F53" s="65"/>
      <c r="G53" s="65"/>
      <c r="H53" s="65"/>
      <c r="I53" s="65"/>
      <c r="J53" s="254"/>
      <c r="K53" s="254"/>
      <c r="L53" s="254"/>
      <c r="M53" s="254"/>
      <c r="N53" s="254"/>
      <c r="O53" s="254"/>
      <c r="P53" s="254"/>
      <c r="Q53" s="254"/>
      <c r="R53" s="254"/>
      <c r="S53" s="65"/>
      <c r="T53" s="65"/>
      <c r="U53" s="65"/>
      <c r="V53" s="65"/>
    </row>
    <row r="54" spans="1:22" hidden="1">
      <c r="A54" s="65"/>
      <c r="B54" s="70"/>
      <c r="C54" s="65"/>
      <c r="D54" s="65"/>
      <c r="E54" s="65"/>
      <c r="F54" s="65"/>
      <c r="G54" s="65"/>
      <c r="H54" s="65"/>
      <c r="I54" s="65"/>
      <c r="J54" s="254"/>
      <c r="K54" s="254"/>
      <c r="L54" s="254"/>
      <c r="M54" s="254"/>
      <c r="N54" s="254"/>
      <c r="O54" s="254"/>
      <c r="P54" s="254"/>
      <c r="Q54" s="254"/>
      <c r="R54" s="254"/>
      <c r="S54" s="65"/>
      <c r="T54" s="65"/>
      <c r="U54" s="65"/>
      <c r="V54" s="65"/>
    </row>
    <row r="55" spans="1:22" hidden="1">
      <c r="A55" s="65"/>
      <c r="B55" s="70"/>
      <c r="C55" s="65"/>
      <c r="D55" s="65"/>
      <c r="E55" s="65"/>
      <c r="F55" s="65"/>
      <c r="G55" s="65"/>
      <c r="H55" s="65"/>
      <c r="I55" s="65"/>
      <c r="J55" s="254"/>
      <c r="K55" s="254"/>
      <c r="L55" s="254"/>
      <c r="M55" s="254"/>
      <c r="N55" s="254"/>
      <c r="O55" s="254"/>
      <c r="P55" s="254"/>
      <c r="Q55" s="254"/>
      <c r="R55" s="254"/>
      <c r="S55" s="65"/>
      <c r="T55" s="65"/>
      <c r="U55" s="65"/>
      <c r="V55" s="65"/>
    </row>
    <row r="56" spans="1:22" hidden="1">
      <c r="A56" s="65"/>
      <c r="B56" s="70"/>
      <c r="C56" s="65"/>
      <c r="D56" s="65"/>
      <c r="E56" s="65"/>
      <c r="F56" s="65"/>
      <c r="G56" s="65"/>
      <c r="H56" s="65"/>
      <c r="I56" s="65"/>
      <c r="J56" s="254"/>
      <c r="K56" s="254"/>
      <c r="L56" s="254"/>
      <c r="M56" s="254"/>
      <c r="N56" s="254"/>
      <c r="O56" s="254"/>
      <c r="P56" s="254"/>
      <c r="Q56" s="254"/>
      <c r="R56" s="254"/>
      <c r="S56" s="65"/>
      <c r="T56" s="65"/>
      <c r="U56" s="65"/>
      <c r="V56" s="65"/>
    </row>
    <row r="57" spans="1:22" hidden="1">
      <c r="A57" s="65"/>
      <c r="B57" s="70"/>
      <c r="C57" s="65"/>
      <c r="D57" s="65"/>
      <c r="E57" s="65"/>
      <c r="F57" s="65"/>
      <c r="G57" s="65"/>
      <c r="H57" s="65"/>
      <c r="I57" s="65"/>
      <c r="J57" s="254"/>
      <c r="K57" s="254"/>
      <c r="L57" s="254"/>
      <c r="M57" s="254"/>
      <c r="N57" s="254"/>
      <c r="O57" s="254"/>
      <c r="P57" s="254"/>
      <c r="Q57" s="254"/>
      <c r="R57" s="254"/>
      <c r="S57" s="65"/>
      <c r="T57" s="65"/>
      <c r="U57" s="65"/>
      <c r="V57" s="65"/>
    </row>
    <row r="58" spans="1:22" hidden="1">
      <c r="A58" s="65"/>
      <c r="B58" s="70"/>
      <c r="C58" s="65"/>
      <c r="D58" s="65"/>
      <c r="E58" s="65"/>
      <c r="F58" s="65"/>
      <c r="G58" s="65"/>
      <c r="H58" s="65"/>
      <c r="I58" s="65"/>
      <c r="J58" s="254"/>
      <c r="K58" s="254"/>
      <c r="L58" s="254"/>
      <c r="M58" s="254"/>
      <c r="N58" s="254"/>
      <c r="O58" s="254"/>
      <c r="P58" s="254"/>
      <c r="Q58" s="254"/>
      <c r="R58" s="254"/>
      <c r="S58" s="65"/>
      <c r="T58" s="65"/>
      <c r="U58" s="65"/>
      <c r="V58" s="65"/>
    </row>
    <row r="59" spans="1:22" hidden="1">
      <c r="A59" s="65"/>
      <c r="B59" s="70"/>
      <c r="C59" s="65"/>
      <c r="D59" s="65"/>
      <c r="E59" s="65"/>
      <c r="F59" s="65"/>
      <c r="G59" s="65"/>
      <c r="H59" s="65"/>
      <c r="I59" s="65"/>
      <c r="J59" s="254"/>
      <c r="K59" s="254"/>
      <c r="L59" s="254"/>
      <c r="M59" s="254"/>
      <c r="N59" s="254"/>
      <c r="O59" s="254"/>
      <c r="P59" s="254"/>
      <c r="Q59" s="254"/>
      <c r="R59" s="254"/>
      <c r="S59" s="65"/>
      <c r="T59" s="65"/>
      <c r="U59" s="65"/>
      <c r="V59" s="65"/>
    </row>
    <row r="60" spans="1:22" hidden="1">
      <c r="A60" s="65"/>
      <c r="B60" s="70"/>
      <c r="C60" s="65"/>
      <c r="D60" s="65"/>
      <c r="E60" s="65"/>
      <c r="F60" s="65"/>
      <c r="G60" s="65"/>
      <c r="H60" s="65"/>
      <c r="I60" s="65"/>
      <c r="J60" s="254"/>
      <c r="K60" s="254"/>
      <c r="L60" s="254"/>
      <c r="M60" s="254"/>
      <c r="N60" s="254"/>
      <c r="O60" s="254"/>
      <c r="P60" s="254"/>
      <c r="Q60" s="254"/>
      <c r="R60" s="254"/>
      <c r="S60" s="65"/>
      <c r="T60" s="65"/>
      <c r="U60" s="65"/>
      <c r="V60" s="65"/>
    </row>
    <row r="61" spans="1:22" hidden="1">
      <c r="A61" s="65"/>
      <c r="B61" s="70"/>
      <c r="C61" s="65"/>
      <c r="D61" s="65"/>
      <c r="E61" s="65"/>
      <c r="F61" s="65"/>
      <c r="G61" s="65"/>
      <c r="H61" s="65"/>
      <c r="I61" s="65"/>
      <c r="J61" s="254"/>
      <c r="K61" s="254"/>
      <c r="L61" s="254"/>
      <c r="M61" s="254"/>
      <c r="N61" s="254"/>
      <c r="O61" s="254"/>
      <c r="P61" s="254"/>
      <c r="Q61" s="254"/>
      <c r="R61" s="254"/>
      <c r="S61" s="65"/>
      <c r="T61" s="65"/>
      <c r="U61" s="65"/>
      <c r="V61" s="65"/>
    </row>
    <row r="62" spans="1:22" hidden="1">
      <c r="A62" s="65"/>
      <c r="B62" s="70"/>
      <c r="C62" s="65"/>
      <c r="D62" s="65"/>
      <c r="E62" s="65"/>
      <c r="F62" s="65"/>
      <c r="G62" s="65"/>
      <c r="H62" s="65"/>
      <c r="I62" s="65"/>
      <c r="J62" s="254"/>
      <c r="K62" s="254"/>
      <c r="L62" s="254"/>
      <c r="M62" s="254"/>
      <c r="N62" s="254"/>
      <c r="O62" s="254"/>
      <c r="P62" s="254"/>
      <c r="Q62" s="254"/>
      <c r="R62" s="254"/>
      <c r="S62" s="65"/>
      <c r="T62" s="65"/>
      <c r="U62" s="65"/>
      <c r="V62" s="65"/>
    </row>
    <row r="63" spans="1:22" hidden="1">
      <c r="A63" s="65"/>
      <c r="B63" s="70"/>
      <c r="C63" s="65"/>
      <c r="D63" s="65"/>
      <c r="E63" s="65"/>
      <c r="F63" s="65"/>
      <c r="G63" s="65"/>
      <c r="H63" s="65"/>
      <c r="I63" s="65"/>
      <c r="J63" s="254"/>
      <c r="K63" s="254"/>
      <c r="L63" s="254"/>
      <c r="M63" s="254"/>
      <c r="N63" s="254"/>
      <c r="O63" s="254"/>
      <c r="P63" s="254"/>
      <c r="Q63" s="254"/>
      <c r="R63" s="254"/>
      <c r="S63" s="65"/>
      <c r="T63" s="65"/>
      <c r="U63" s="65"/>
      <c r="V63" s="65"/>
    </row>
    <row r="64" spans="1:22" hidden="1">
      <c r="A64" s="65"/>
      <c r="B64" s="70"/>
      <c r="C64" s="65"/>
      <c r="D64" s="65"/>
      <c r="E64" s="65"/>
      <c r="F64" s="65"/>
      <c r="G64" s="65"/>
      <c r="H64" s="65"/>
      <c r="I64" s="65"/>
      <c r="J64" s="254"/>
      <c r="K64" s="254"/>
      <c r="L64" s="254"/>
      <c r="M64" s="254"/>
      <c r="N64" s="254"/>
      <c r="O64" s="254"/>
      <c r="P64" s="254"/>
      <c r="Q64" s="254"/>
      <c r="R64" s="254"/>
      <c r="S64" s="65"/>
      <c r="T64" s="65"/>
      <c r="U64" s="65"/>
      <c r="V64" s="65"/>
    </row>
    <row r="65" spans="1:22" hidden="1">
      <c r="A65" s="65"/>
      <c r="B65" s="70"/>
      <c r="C65" s="65"/>
      <c r="D65" s="65"/>
      <c r="E65" s="65"/>
      <c r="F65" s="65"/>
      <c r="G65" s="65"/>
      <c r="H65" s="65"/>
      <c r="I65" s="65"/>
      <c r="J65" s="254"/>
      <c r="K65" s="254"/>
      <c r="L65" s="254"/>
      <c r="M65" s="254"/>
      <c r="N65" s="254"/>
      <c r="O65" s="254"/>
      <c r="P65" s="254"/>
      <c r="Q65" s="254"/>
      <c r="R65" s="254"/>
      <c r="S65" s="65"/>
      <c r="T65" s="65"/>
      <c r="U65" s="65"/>
      <c r="V65" s="65"/>
    </row>
    <row r="66" spans="1:22" hidden="1">
      <c r="A66" s="65"/>
      <c r="B66" s="70"/>
      <c r="C66" s="65"/>
      <c r="D66" s="65"/>
      <c r="E66" s="65"/>
      <c r="F66" s="65"/>
      <c r="G66" s="65"/>
      <c r="H66" s="65"/>
      <c r="I66" s="65"/>
      <c r="J66" s="254"/>
      <c r="K66" s="254"/>
      <c r="L66" s="254"/>
      <c r="M66" s="254"/>
      <c r="N66" s="254"/>
      <c r="O66" s="254"/>
      <c r="P66" s="254"/>
      <c r="Q66" s="254"/>
      <c r="R66" s="254"/>
      <c r="S66" s="65"/>
      <c r="T66" s="65"/>
      <c r="U66" s="65"/>
      <c r="V66" s="65"/>
    </row>
    <row r="67" spans="1:22" hidden="1">
      <c r="A67" s="65"/>
      <c r="B67" s="70"/>
      <c r="C67" s="65"/>
      <c r="D67" s="65"/>
      <c r="E67" s="65"/>
      <c r="F67" s="65"/>
      <c r="G67" s="65"/>
      <c r="H67" s="65"/>
      <c r="I67" s="65"/>
      <c r="J67" s="254"/>
      <c r="K67" s="254"/>
      <c r="L67" s="254"/>
      <c r="M67" s="254"/>
      <c r="N67" s="254"/>
      <c r="O67" s="254"/>
      <c r="P67" s="254"/>
      <c r="Q67" s="254"/>
      <c r="R67" s="254"/>
      <c r="S67" s="65"/>
      <c r="T67" s="65"/>
      <c r="U67" s="65"/>
      <c r="V67" s="65"/>
    </row>
    <row r="68" spans="1:22" hidden="1">
      <c r="A68" s="65"/>
      <c r="B68" s="70"/>
      <c r="C68" s="65"/>
      <c r="D68" s="65"/>
      <c r="E68" s="65"/>
      <c r="F68" s="65"/>
      <c r="G68" s="65"/>
      <c r="H68" s="65"/>
      <c r="I68" s="65"/>
      <c r="J68" s="254"/>
      <c r="K68" s="254"/>
      <c r="L68" s="254"/>
      <c r="M68" s="254"/>
      <c r="N68" s="254"/>
      <c r="O68" s="254"/>
      <c r="P68" s="254"/>
      <c r="Q68" s="254"/>
      <c r="R68" s="254"/>
      <c r="S68" s="65"/>
      <c r="T68" s="65"/>
      <c r="U68" s="65"/>
      <c r="V68" s="65"/>
    </row>
    <row r="69" spans="1:22" hidden="1">
      <c r="A69" s="65"/>
      <c r="B69" s="70"/>
      <c r="C69" s="65"/>
      <c r="D69" s="65"/>
      <c r="E69" s="65"/>
      <c r="F69" s="65"/>
      <c r="G69" s="65"/>
      <c r="H69" s="65"/>
      <c r="I69" s="65"/>
      <c r="J69" s="254"/>
      <c r="K69" s="254"/>
      <c r="L69" s="254"/>
      <c r="M69" s="254"/>
      <c r="N69" s="254"/>
      <c r="O69" s="254"/>
      <c r="P69" s="254"/>
      <c r="Q69" s="254"/>
      <c r="R69" s="254"/>
      <c r="S69" s="65"/>
      <c r="T69" s="65"/>
      <c r="U69" s="65"/>
      <c r="V69" s="65"/>
    </row>
    <row r="70" spans="1:22" hidden="1">
      <c r="A70" s="65"/>
      <c r="B70" s="70"/>
      <c r="C70" s="65"/>
      <c r="D70" s="65"/>
      <c r="E70" s="65"/>
      <c r="F70" s="65"/>
      <c r="G70" s="65"/>
      <c r="H70" s="65"/>
      <c r="I70" s="65"/>
      <c r="J70" s="254"/>
      <c r="K70" s="254"/>
      <c r="L70" s="254"/>
      <c r="M70" s="254"/>
      <c r="N70" s="254"/>
      <c r="O70" s="254"/>
      <c r="P70" s="254"/>
      <c r="Q70" s="254"/>
      <c r="R70" s="254"/>
      <c r="S70" s="65"/>
      <c r="T70" s="65"/>
      <c r="U70" s="65"/>
      <c r="V70" s="65"/>
    </row>
    <row r="71" spans="1:22" hidden="1">
      <c r="A71" s="65"/>
      <c r="B71" s="70"/>
      <c r="C71" s="65"/>
      <c r="D71" s="65"/>
      <c r="E71" s="65"/>
      <c r="F71" s="65"/>
      <c r="G71" s="65"/>
      <c r="H71" s="65"/>
      <c r="I71" s="65"/>
      <c r="J71" s="254"/>
      <c r="K71" s="254"/>
      <c r="L71" s="254"/>
      <c r="M71" s="254"/>
      <c r="N71" s="254"/>
      <c r="O71" s="254"/>
      <c r="P71" s="254"/>
      <c r="Q71" s="254"/>
      <c r="R71" s="254"/>
      <c r="S71" s="65"/>
      <c r="T71" s="65"/>
      <c r="U71" s="65"/>
      <c r="V71" s="65"/>
    </row>
    <row r="72" spans="1:22" hidden="1">
      <c r="A72" s="65"/>
      <c r="B72" s="70"/>
      <c r="C72" s="65"/>
      <c r="D72" s="65"/>
      <c r="E72" s="65"/>
      <c r="F72" s="65"/>
      <c r="G72" s="65"/>
      <c r="H72" s="65"/>
      <c r="I72" s="65"/>
      <c r="J72" s="254"/>
      <c r="K72" s="254"/>
      <c r="L72" s="254"/>
      <c r="M72" s="254"/>
      <c r="N72" s="254"/>
      <c r="O72" s="254"/>
      <c r="P72" s="254"/>
      <c r="Q72" s="254"/>
      <c r="R72" s="254"/>
      <c r="S72" s="65"/>
      <c r="T72" s="65"/>
      <c r="U72" s="65"/>
      <c r="V72" s="65"/>
    </row>
    <row r="73" spans="1:22" hidden="1">
      <c r="A73" s="65"/>
      <c r="B73" s="70"/>
      <c r="C73" s="65"/>
      <c r="D73" s="65"/>
      <c r="E73" s="65"/>
      <c r="F73" s="65"/>
      <c r="G73" s="65"/>
      <c r="H73" s="65"/>
      <c r="I73" s="65"/>
      <c r="J73" s="254"/>
      <c r="K73" s="254"/>
      <c r="L73" s="254"/>
      <c r="M73" s="254"/>
      <c r="N73" s="254"/>
      <c r="O73" s="254"/>
      <c r="P73" s="254"/>
      <c r="Q73" s="254"/>
      <c r="R73" s="254"/>
      <c r="S73" s="65"/>
      <c r="T73" s="65"/>
      <c r="U73" s="65"/>
      <c r="V73" s="65"/>
    </row>
    <row r="74" spans="1:22" hidden="1">
      <c r="A74" s="65"/>
      <c r="B74" s="70"/>
      <c r="C74" s="65"/>
      <c r="D74" s="65"/>
      <c r="E74" s="65"/>
      <c r="F74" s="65"/>
      <c r="G74" s="65"/>
      <c r="H74" s="65"/>
      <c r="I74" s="65"/>
      <c r="J74" s="254"/>
      <c r="K74" s="254"/>
      <c r="L74" s="254"/>
      <c r="M74" s="254"/>
      <c r="N74" s="254"/>
      <c r="O74" s="254"/>
      <c r="P74" s="254"/>
      <c r="Q74" s="254"/>
      <c r="R74" s="254"/>
      <c r="S74" s="65"/>
      <c r="T74" s="65"/>
      <c r="U74" s="65"/>
      <c r="V74" s="65"/>
    </row>
    <row r="75" spans="1:22" hidden="1">
      <c r="A75" s="65"/>
      <c r="B75" s="70"/>
      <c r="C75" s="65"/>
      <c r="D75" s="65"/>
      <c r="E75" s="65"/>
      <c r="F75" s="65"/>
      <c r="G75" s="65"/>
      <c r="H75" s="65"/>
      <c r="I75" s="65"/>
      <c r="J75" s="254"/>
      <c r="K75" s="254"/>
      <c r="L75" s="254"/>
      <c r="M75" s="254"/>
      <c r="N75" s="254"/>
      <c r="O75" s="254"/>
      <c r="P75" s="254"/>
      <c r="Q75" s="254"/>
      <c r="R75" s="254"/>
      <c r="S75" s="65"/>
      <c r="T75" s="65"/>
      <c r="U75" s="65"/>
      <c r="V75" s="65"/>
    </row>
    <row r="76" spans="1:22" hidden="1">
      <c r="A76" s="65"/>
      <c r="B76" s="70"/>
      <c r="C76" s="65"/>
      <c r="D76" s="65"/>
      <c r="E76" s="65"/>
      <c r="F76" s="65"/>
      <c r="G76" s="65"/>
      <c r="H76" s="65"/>
      <c r="I76" s="65"/>
      <c r="J76" s="254"/>
      <c r="K76" s="254"/>
      <c r="L76" s="254"/>
      <c r="M76" s="254"/>
      <c r="N76" s="254"/>
      <c r="O76" s="254"/>
      <c r="P76" s="254"/>
      <c r="Q76" s="254"/>
      <c r="R76" s="254"/>
      <c r="S76" s="65"/>
      <c r="T76" s="65"/>
      <c r="U76" s="65"/>
      <c r="V76" s="65"/>
    </row>
    <row r="77" spans="1:22" hidden="1">
      <c r="A77" s="65"/>
      <c r="B77" s="70"/>
      <c r="C77" s="65"/>
      <c r="D77" s="65"/>
      <c r="E77" s="65"/>
      <c r="F77" s="65"/>
      <c r="G77" s="65"/>
      <c r="H77" s="65"/>
      <c r="I77" s="65"/>
      <c r="J77" s="254"/>
      <c r="K77" s="254"/>
      <c r="L77" s="254"/>
      <c r="M77" s="254"/>
      <c r="N77" s="254"/>
      <c r="O77" s="254"/>
      <c r="P77" s="254"/>
      <c r="Q77" s="254"/>
      <c r="R77" s="254"/>
      <c r="S77" s="65"/>
      <c r="T77" s="65"/>
      <c r="U77" s="65"/>
      <c r="V77" s="65"/>
    </row>
    <row r="78" spans="1:22" hidden="1">
      <c r="A78" s="65"/>
      <c r="B78" s="70"/>
      <c r="C78" s="65"/>
      <c r="D78" s="65"/>
      <c r="E78" s="65"/>
      <c r="F78" s="65"/>
      <c r="G78" s="65"/>
      <c r="H78" s="65"/>
      <c r="I78" s="65"/>
      <c r="J78" s="254"/>
      <c r="K78" s="254"/>
      <c r="L78" s="254"/>
      <c r="M78" s="254"/>
      <c r="N78" s="254"/>
      <c r="O78" s="254"/>
      <c r="P78" s="254"/>
      <c r="Q78" s="254"/>
      <c r="R78" s="254"/>
      <c r="S78" s="65"/>
      <c r="T78" s="65"/>
      <c r="U78" s="65"/>
      <c r="V78" s="65"/>
    </row>
    <row r="79" spans="1:22" hidden="1">
      <c r="A79" s="65"/>
      <c r="B79" s="70"/>
      <c r="C79" s="65"/>
      <c r="D79" s="65"/>
      <c r="E79" s="65"/>
      <c r="F79" s="65"/>
      <c r="G79" s="65"/>
      <c r="H79" s="65"/>
      <c r="I79" s="65"/>
      <c r="J79" s="254"/>
      <c r="K79" s="254"/>
      <c r="L79" s="254"/>
      <c r="M79" s="254"/>
      <c r="N79" s="254"/>
      <c r="O79" s="254"/>
      <c r="P79" s="254"/>
      <c r="Q79" s="254"/>
      <c r="R79" s="254"/>
      <c r="S79" s="65"/>
      <c r="T79" s="65"/>
      <c r="U79" s="65"/>
      <c r="V79" s="65"/>
    </row>
    <row r="80" spans="1:22" hidden="1">
      <c r="A80" s="65"/>
      <c r="B80" s="70"/>
      <c r="C80" s="65"/>
      <c r="D80" s="65"/>
      <c r="E80" s="65"/>
      <c r="F80" s="65"/>
      <c r="G80" s="65"/>
      <c r="H80" s="65"/>
      <c r="I80" s="65"/>
      <c r="J80" s="254"/>
      <c r="K80" s="254"/>
      <c r="L80" s="254"/>
      <c r="M80" s="254"/>
      <c r="N80" s="254"/>
      <c r="O80" s="254"/>
      <c r="P80" s="254"/>
      <c r="Q80" s="254"/>
      <c r="R80" s="254"/>
      <c r="S80" s="65"/>
      <c r="T80" s="65"/>
      <c r="U80" s="65"/>
      <c r="V80" s="65"/>
    </row>
    <row r="81" spans="1:22" hidden="1">
      <c r="A81" s="65"/>
      <c r="B81" s="70"/>
      <c r="C81" s="65"/>
      <c r="D81" s="65"/>
      <c r="E81" s="65"/>
      <c r="F81" s="65"/>
      <c r="G81" s="65"/>
      <c r="H81" s="65"/>
      <c r="I81" s="65"/>
      <c r="J81" s="254"/>
      <c r="K81" s="254"/>
      <c r="L81" s="254"/>
      <c r="M81" s="254"/>
      <c r="N81" s="254"/>
      <c r="O81" s="254"/>
      <c r="P81" s="254"/>
      <c r="Q81" s="254"/>
      <c r="R81" s="254"/>
      <c r="S81" s="65"/>
      <c r="T81" s="65"/>
      <c r="U81" s="65"/>
      <c r="V81" s="65"/>
    </row>
    <row r="82" spans="1:22" hidden="1">
      <c r="A82" s="65"/>
      <c r="B82" s="70"/>
      <c r="C82" s="65"/>
      <c r="D82" s="65"/>
      <c r="E82" s="65"/>
      <c r="F82" s="65"/>
      <c r="G82" s="65"/>
      <c r="H82" s="65"/>
      <c r="I82" s="65"/>
      <c r="J82" s="254"/>
      <c r="K82" s="254"/>
      <c r="L82" s="254"/>
      <c r="M82" s="254"/>
      <c r="N82" s="254"/>
      <c r="O82" s="254"/>
      <c r="P82" s="254"/>
      <c r="Q82" s="254"/>
      <c r="R82" s="254"/>
      <c r="S82" s="65"/>
      <c r="T82" s="65"/>
      <c r="U82" s="65"/>
      <c r="V82" s="65"/>
    </row>
    <row r="83" spans="1:22" hidden="1">
      <c r="A83" s="65"/>
      <c r="B83" s="70"/>
      <c r="C83" s="65"/>
      <c r="D83" s="65"/>
      <c r="E83" s="65"/>
      <c r="F83" s="65"/>
      <c r="G83" s="65"/>
      <c r="H83" s="65"/>
      <c r="I83" s="65"/>
      <c r="J83" s="254"/>
      <c r="K83" s="254"/>
      <c r="L83" s="254"/>
      <c r="M83" s="254"/>
      <c r="N83" s="254"/>
      <c r="O83" s="254"/>
      <c r="P83" s="254"/>
      <c r="Q83" s="254"/>
      <c r="R83" s="254"/>
      <c r="S83" s="65"/>
      <c r="T83" s="65"/>
      <c r="U83" s="65"/>
      <c r="V83" s="65"/>
    </row>
    <row r="84" spans="1:22" hidden="1">
      <c r="A84" s="65"/>
      <c r="B84" s="70"/>
      <c r="C84" s="65"/>
      <c r="D84" s="65"/>
      <c r="E84" s="65"/>
      <c r="F84" s="65"/>
      <c r="G84" s="65"/>
      <c r="H84" s="65"/>
      <c r="I84" s="65"/>
      <c r="J84" s="254"/>
      <c r="K84" s="254"/>
      <c r="L84" s="254"/>
      <c r="M84" s="254"/>
      <c r="N84" s="254"/>
      <c r="O84" s="254"/>
      <c r="P84" s="254"/>
      <c r="Q84" s="254"/>
      <c r="R84" s="254"/>
      <c r="S84" s="65"/>
      <c r="T84" s="65"/>
      <c r="U84" s="65"/>
      <c r="V84" s="65"/>
    </row>
    <row r="85" spans="1:22" hidden="1">
      <c r="A85" s="65"/>
      <c r="B85" s="70"/>
      <c r="C85" s="65"/>
      <c r="D85" s="65"/>
      <c r="E85" s="65"/>
      <c r="F85" s="65"/>
      <c r="G85" s="65"/>
      <c r="H85" s="65"/>
      <c r="I85" s="65"/>
      <c r="J85" s="254"/>
      <c r="K85" s="254"/>
      <c r="L85" s="254"/>
      <c r="M85" s="254"/>
      <c r="N85" s="254"/>
      <c r="O85" s="254"/>
      <c r="P85" s="254"/>
      <c r="Q85" s="254"/>
      <c r="R85" s="254"/>
      <c r="S85" s="65"/>
      <c r="T85" s="65"/>
      <c r="U85" s="65"/>
      <c r="V85" s="65"/>
    </row>
    <row r="86" spans="1:22" hidden="1">
      <c r="A86" s="65"/>
      <c r="B86" s="70"/>
      <c r="C86" s="65"/>
      <c r="D86" s="65"/>
      <c r="E86" s="65"/>
      <c r="F86" s="65"/>
      <c r="G86" s="65"/>
      <c r="H86" s="65"/>
      <c r="I86" s="65"/>
      <c r="J86" s="254"/>
      <c r="K86" s="254"/>
      <c r="L86" s="254"/>
      <c r="M86" s="254"/>
      <c r="N86" s="254"/>
      <c r="O86" s="254"/>
      <c r="P86" s="254"/>
      <c r="Q86" s="254"/>
      <c r="R86" s="254"/>
      <c r="S86" s="65"/>
      <c r="T86" s="65"/>
      <c r="U86" s="65"/>
      <c r="V86" s="65"/>
    </row>
    <row r="87" spans="1:22" hidden="1">
      <c r="A87" s="65"/>
      <c r="B87" s="70"/>
      <c r="C87" s="65"/>
      <c r="D87" s="65"/>
      <c r="E87" s="65"/>
      <c r="F87" s="65"/>
      <c r="G87" s="65"/>
      <c r="H87" s="65"/>
      <c r="I87" s="65"/>
      <c r="J87" s="254"/>
      <c r="K87" s="254"/>
      <c r="L87" s="254"/>
      <c r="M87" s="254"/>
      <c r="N87" s="254"/>
      <c r="O87" s="254"/>
      <c r="P87" s="254"/>
      <c r="Q87" s="254"/>
      <c r="R87" s="254"/>
      <c r="S87" s="65"/>
      <c r="T87" s="65"/>
      <c r="U87" s="65"/>
      <c r="V87" s="65"/>
    </row>
    <row r="88" spans="1:22" hidden="1">
      <c r="A88" s="65"/>
      <c r="B88" s="70"/>
      <c r="C88" s="65"/>
      <c r="D88" s="65"/>
      <c r="E88" s="65"/>
      <c r="F88" s="65"/>
      <c r="G88" s="65"/>
      <c r="H88" s="65"/>
      <c r="I88" s="65"/>
      <c r="J88" s="254"/>
      <c r="K88" s="254"/>
      <c r="L88" s="254"/>
      <c r="M88" s="254"/>
      <c r="N88" s="254"/>
      <c r="O88" s="254"/>
      <c r="P88" s="254"/>
      <c r="Q88" s="254"/>
      <c r="R88" s="254"/>
      <c r="S88" s="65"/>
      <c r="T88" s="65"/>
      <c r="U88" s="65"/>
      <c r="V88" s="65"/>
    </row>
    <row r="89" spans="1:22" hidden="1">
      <c r="A89" s="65"/>
      <c r="B89" s="70"/>
      <c r="C89" s="65"/>
      <c r="D89" s="65"/>
      <c r="E89" s="65"/>
      <c r="F89" s="65"/>
      <c r="G89" s="65"/>
      <c r="H89" s="65"/>
      <c r="I89" s="65"/>
      <c r="J89" s="254"/>
      <c r="K89" s="254"/>
      <c r="L89" s="254"/>
      <c r="M89" s="254"/>
      <c r="N89" s="254"/>
      <c r="O89" s="254"/>
      <c r="P89" s="254"/>
      <c r="Q89" s="254"/>
      <c r="R89" s="254"/>
      <c r="S89" s="65"/>
      <c r="T89" s="65"/>
      <c r="U89" s="65"/>
      <c r="V89" s="65"/>
    </row>
    <row r="90" spans="1:22" hidden="1">
      <c r="A90" s="65"/>
      <c r="B90" s="70"/>
      <c r="C90" s="65"/>
      <c r="D90" s="65"/>
      <c r="E90" s="65"/>
      <c r="F90" s="65"/>
      <c r="G90" s="65"/>
      <c r="H90" s="65"/>
      <c r="I90" s="65"/>
      <c r="J90" s="254"/>
      <c r="K90" s="254"/>
      <c r="L90" s="254"/>
      <c r="M90" s="254"/>
      <c r="N90" s="254"/>
      <c r="O90" s="254"/>
      <c r="P90" s="254"/>
      <c r="Q90" s="254"/>
      <c r="R90" s="254"/>
      <c r="S90" s="65"/>
      <c r="T90" s="65"/>
      <c r="U90" s="65"/>
      <c r="V90" s="65"/>
    </row>
    <row r="91" spans="1:22" hidden="1">
      <c r="A91" s="65"/>
      <c r="B91" s="70"/>
      <c r="C91" s="65"/>
      <c r="D91" s="65"/>
      <c r="E91" s="65"/>
      <c r="F91" s="65"/>
      <c r="G91" s="65"/>
      <c r="H91" s="65"/>
      <c r="I91" s="65"/>
      <c r="J91" s="254"/>
      <c r="K91" s="254"/>
      <c r="L91" s="254"/>
      <c r="M91" s="254"/>
      <c r="N91" s="254"/>
      <c r="O91" s="254"/>
      <c r="P91" s="254"/>
      <c r="Q91" s="254"/>
      <c r="R91" s="254"/>
      <c r="S91" s="65"/>
      <c r="T91" s="65"/>
      <c r="U91" s="65"/>
      <c r="V91" s="65"/>
    </row>
    <row r="92" spans="1:22" hidden="1">
      <c r="A92" s="65"/>
      <c r="B92" s="70"/>
      <c r="C92" s="65"/>
      <c r="D92" s="65"/>
      <c r="E92" s="65"/>
      <c r="F92" s="65"/>
      <c r="G92" s="65"/>
      <c r="H92" s="65"/>
      <c r="I92" s="65"/>
      <c r="J92" s="254"/>
      <c r="K92" s="254"/>
      <c r="L92" s="254"/>
      <c r="M92" s="254"/>
      <c r="N92" s="254"/>
      <c r="O92" s="254"/>
      <c r="P92" s="254"/>
      <c r="Q92" s="254"/>
      <c r="R92" s="254"/>
      <c r="S92" s="65"/>
      <c r="T92" s="65"/>
      <c r="U92" s="65"/>
      <c r="V92" s="65"/>
    </row>
    <row r="93" spans="1:22" hidden="1">
      <c r="A93" s="65"/>
      <c r="B93" s="70"/>
      <c r="C93" s="65"/>
      <c r="D93" s="65"/>
      <c r="E93" s="65"/>
      <c r="F93" s="65"/>
      <c r="G93" s="65"/>
      <c r="H93" s="65"/>
      <c r="I93" s="65"/>
      <c r="J93" s="254"/>
      <c r="K93" s="254"/>
      <c r="L93" s="254"/>
      <c r="M93" s="254"/>
      <c r="N93" s="254"/>
      <c r="O93" s="254"/>
      <c r="P93" s="254"/>
      <c r="Q93" s="254"/>
      <c r="R93" s="254"/>
      <c r="S93" s="65"/>
      <c r="T93" s="65"/>
      <c r="U93" s="65"/>
      <c r="V93" s="65"/>
    </row>
    <row r="94" spans="1:22" hidden="1">
      <c r="A94" s="65"/>
      <c r="B94" s="70"/>
      <c r="C94" s="65"/>
      <c r="D94" s="65"/>
      <c r="E94" s="65"/>
      <c r="F94" s="65"/>
      <c r="G94" s="65"/>
      <c r="H94" s="65"/>
      <c r="I94" s="65"/>
      <c r="J94" s="254"/>
      <c r="K94" s="254"/>
      <c r="L94" s="254"/>
      <c r="M94" s="254"/>
      <c r="N94" s="254"/>
      <c r="O94" s="254"/>
      <c r="P94" s="254"/>
      <c r="Q94" s="254"/>
      <c r="R94" s="254"/>
      <c r="S94" s="65"/>
      <c r="T94" s="65"/>
      <c r="U94" s="65"/>
      <c r="V94" s="65"/>
    </row>
    <row r="95" spans="1:22" hidden="1">
      <c r="A95" s="65"/>
      <c r="B95" s="70"/>
      <c r="C95" s="65"/>
      <c r="D95" s="65"/>
      <c r="E95" s="65"/>
      <c r="F95" s="65"/>
      <c r="G95" s="65"/>
      <c r="H95" s="65"/>
      <c r="I95" s="65"/>
      <c r="J95" s="254"/>
      <c r="K95" s="254"/>
      <c r="L95" s="254"/>
      <c r="M95" s="254"/>
      <c r="N95" s="254"/>
      <c r="O95" s="254"/>
      <c r="P95" s="254"/>
      <c r="Q95" s="254"/>
      <c r="R95" s="254"/>
      <c r="S95" s="65"/>
      <c r="T95" s="65"/>
      <c r="U95" s="65"/>
      <c r="V95" s="65"/>
    </row>
    <row r="96" spans="1:22" hidden="1">
      <c r="A96" s="65"/>
      <c r="B96" s="70"/>
      <c r="C96" s="65"/>
      <c r="D96" s="65"/>
      <c r="E96" s="65"/>
      <c r="F96" s="65"/>
      <c r="G96" s="65"/>
      <c r="H96" s="65"/>
      <c r="I96" s="65"/>
      <c r="J96" s="254"/>
      <c r="K96" s="254"/>
      <c r="L96" s="254"/>
      <c r="M96" s="254"/>
      <c r="N96" s="254"/>
      <c r="O96" s="254"/>
      <c r="P96" s="254"/>
      <c r="Q96" s="254"/>
      <c r="R96" s="254"/>
      <c r="S96" s="65"/>
      <c r="T96" s="65"/>
      <c r="U96" s="65"/>
      <c r="V96" s="65"/>
    </row>
    <row r="97" spans="1:22" hidden="1">
      <c r="A97" s="65"/>
      <c r="B97" s="70"/>
      <c r="C97" s="65"/>
      <c r="D97" s="65"/>
      <c r="E97" s="65"/>
      <c r="F97" s="65"/>
      <c r="G97" s="65"/>
      <c r="H97" s="65"/>
      <c r="I97" s="65"/>
      <c r="J97" s="254"/>
      <c r="K97" s="254"/>
      <c r="L97" s="254"/>
      <c r="M97" s="254"/>
      <c r="N97" s="254"/>
      <c r="O97" s="254"/>
      <c r="P97" s="254"/>
      <c r="Q97" s="254"/>
      <c r="R97" s="254"/>
      <c r="S97" s="65"/>
      <c r="T97" s="65"/>
      <c r="U97" s="65"/>
      <c r="V97" s="65"/>
    </row>
    <row r="98" spans="1:22" hidden="1">
      <c r="A98" s="65"/>
      <c r="B98" s="70"/>
      <c r="C98" s="65"/>
      <c r="D98" s="65"/>
      <c r="E98" s="65"/>
      <c r="F98" s="65"/>
      <c r="G98" s="65"/>
      <c r="H98" s="65"/>
      <c r="I98" s="65"/>
      <c r="J98" s="254"/>
      <c r="K98" s="254"/>
      <c r="L98" s="254"/>
      <c r="M98" s="254"/>
      <c r="N98" s="254"/>
      <c r="O98" s="254"/>
      <c r="P98" s="254"/>
      <c r="Q98" s="254"/>
      <c r="R98" s="254"/>
      <c r="S98" s="65"/>
      <c r="T98" s="65"/>
      <c r="U98" s="65"/>
      <c r="V98" s="65"/>
    </row>
    <row r="99" spans="1:22" hidden="1">
      <c r="A99" s="65"/>
      <c r="B99" s="70"/>
      <c r="C99" s="65"/>
      <c r="D99" s="65"/>
      <c r="E99" s="65"/>
      <c r="F99" s="65"/>
      <c r="G99" s="65"/>
      <c r="H99" s="65"/>
      <c r="I99" s="65"/>
      <c r="J99" s="254"/>
      <c r="K99" s="254"/>
      <c r="L99" s="254"/>
      <c r="M99" s="254"/>
      <c r="N99" s="254"/>
      <c r="O99" s="254"/>
      <c r="P99" s="254"/>
      <c r="Q99" s="254"/>
      <c r="R99" s="254"/>
      <c r="S99" s="65"/>
      <c r="T99" s="65"/>
      <c r="U99" s="65"/>
      <c r="V99" s="65"/>
    </row>
    <row r="100" spans="1:22" hidden="1">
      <c r="A100" s="65"/>
      <c r="B100" s="70"/>
      <c r="C100" s="65"/>
      <c r="D100" s="65"/>
      <c r="E100" s="65"/>
      <c r="F100" s="65"/>
      <c r="G100" s="65"/>
      <c r="H100" s="65"/>
      <c r="I100" s="65"/>
      <c r="J100" s="254"/>
      <c r="K100" s="254"/>
      <c r="L100" s="254"/>
      <c r="M100" s="254"/>
      <c r="N100" s="254"/>
      <c r="O100" s="254"/>
      <c r="P100" s="254"/>
      <c r="Q100" s="254"/>
      <c r="R100" s="254"/>
      <c r="S100" s="65"/>
      <c r="T100" s="65"/>
      <c r="U100" s="65"/>
      <c r="V100" s="65"/>
    </row>
    <row r="101" spans="1:22" hidden="1">
      <c r="A101" s="65"/>
      <c r="B101" s="70"/>
      <c r="C101" s="65"/>
      <c r="D101" s="65"/>
      <c r="E101" s="65"/>
      <c r="F101" s="65"/>
      <c r="G101" s="65"/>
      <c r="H101" s="65"/>
      <c r="I101" s="65"/>
      <c r="J101" s="254"/>
      <c r="K101" s="254"/>
      <c r="L101" s="254"/>
      <c r="M101" s="254"/>
      <c r="N101" s="254"/>
      <c r="O101" s="254"/>
      <c r="P101" s="254"/>
      <c r="Q101" s="254"/>
      <c r="R101" s="254"/>
      <c r="S101" s="65"/>
      <c r="T101" s="65"/>
      <c r="U101" s="65"/>
      <c r="V101" s="65"/>
    </row>
    <row r="102" spans="1:22" hidden="1">
      <c r="A102" s="65"/>
      <c r="B102" s="70"/>
      <c r="C102" s="65"/>
      <c r="D102" s="65"/>
      <c r="E102" s="65"/>
      <c r="F102" s="65"/>
      <c r="G102" s="65"/>
      <c r="H102" s="65"/>
      <c r="I102" s="65"/>
      <c r="J102" s="254"/>
      <c r="K102" s="254"/>
      <c r="L102" s="254"/>
      <c r="M102" s="254"/>
      <c r="N102" s="254"/>
      <c r="O102" s="254"/>
      <c r="P102" s="254"/>
      <c r="Q102" s="254"/>
      <c r="R102" s="254"/>
      <c r="S102" s="65"/>
      <c r="T102" s="65"/>
      <c r="U102" s="65"/>
      <c r="V102" s="65"/>
    </row>
    <row r="103" spans="1:22" hidden="1">
      <c r="A103" s="65"/>
      <c r="B103" s="70"/>
      <c r="C103" s="65"/>
      <c r="D103" s="65"/>
      <c r="E103" s="65"/>
      <c r="F103" s="65"/>
      <c r="G103" s="65"/>
      <c r="H103" s="65"/>
      <c r="I103" s="65"/>
      <c r="J103" s="254"/>
      <c r="K103" s="254"/>
      <c r="L103" s="254"/>
      <c r="M103" s="254"/>
      <c r="N103" s="254"/>
      <c r="O103" s="254"/>
      <c r="P103" s="254"/>
      <c r="Q103" s="254"/>
      <c r="R103" s="254"/>
      <c r="S103" s="65"/>
      <c r="T103" s="65"/>
      <c r="U103" s="65"/>
      <c r="V103" s="65"/>
    </row>
    <row r="104" spans="1:22" hidden="1">
      <c r="A104" s="65"/>
      <c r="B104" s="70"/>
      <c r="C104" s="65"/>
      <c r="D104" s="65"/>
      <c r="E104" s="65"/>
      <c r="F104" s="65"/>
      <c r="G104" s="65"/>
      <c r="H104" s="65"/>
      <c r="I104" s="65"/>
      <c r="J104" s="254"/>
      <c r="K104" s="254"/>
      <c r="L104" s="254"/>
      <c r="M104" s="254"/>
      <c r="N104" s="254"/>
      <c r="O104" s="254"/>
      <c r="P104" s="254"/>
      <c r="Q104" s="254"/>
      <c r="R104" s="254"/>
      <c r="S104" s="65"/>
      <c r="T104" s="65"/>
      <c r="U104" s="65"/>
      <c r="V104" s="65"/>
    </row>
    <row r="105" spans="1:22" hidden="1">
      <c r="A105" s="65"/>
      <c r="B105" s="70"/>
      <c r="C105" s="65"/>
      <c r="D105" s="65"/>
      <c r="E105" s="65"/>
      <c r="F105" s="65"/>
      <c r="G105" s="65"/>
      <c r="H105" s="65"/>
      <c r="I105" s="65"/>
      <c r="J105" s="254"/>
      <c r="K105" s="254"/>
      <c r="L105" s="254"/>
      <c r="M105" s="254"/>
      <c r="N105" s="254"/>
      <c r="O105" s="254"/>
      <c r="P105" s="254"/>
      <c r="Q105" s="254"/>
      <c r="R105" s="254"/>
      <c r="S105" s="65"/>
      <c r="T105" s="65"/>
      <c r="U105" s="65"/>
      <c r="V105" s="65"/>
    </row>
    <row r="106" spans="1:22" hidden="1">
      <c r="A106" s="65"/>
      <c r="B106" s="70"/>
      <c r="C106" s="65"/>
      <c r="D106" s="65"/>
      <c r="E106" s="65"/>
      <c r="F106" s="65"/>
      <c r="G106" s="65"/>
      <c r="H106" s="65"/>
      <c r="I106" s="65"/>
      <c r="J106" s="254"/>
      <c r="K106" s="254"/>
      <c r="L106" s="254"/>
      <c r="M106" s="254"/>
      <c r="N106" s="254"/>
      <c r="O106" s="254"/>
      <c r="P106" s="254"/>
      <c r="Q106" s="254"/>
      <c r="R106" s="254"/>
      <c r="S106" s="65"/>
      <c r="T106" s="65"/>
      <c r="U106" s="65"/>
      <c r="V106" s="65"/>
    </row>
    <row r="107" spans="1:22" hidden="1">
      <c r="A107" s="65"/>
      <c r="B107" s="70"/>
      <c r="C107" s="65"/>
      <c r="D107" s="65"/>
      <c r="E107" s="65"/>
      <c r="F107" s="65"/>
      <c r="G107" s="65"/>
      <c r="H107" s="65"/>
      <c r="I107" s="65"/>
      <c r="J107" s="254"/>
      <c r="K107" s="254"/>
      <c r="L107" s="254"/>
      <c r="M107" s="254"/>
      <c r="N107" s="254"/>
      <c r="O107" s="254"/>
      <c r="P107" s="254"/>
      <c r="Q107" s="254"/>
      <c r="R107" s="254"/>
      <c r="S107" s="65"/>
      <c r="T107" s="65"/>
      <c r="U107" s="65"/>
      <c r="V107" s="65"/>
    </row>
    <row r="108" spans="1:22" hidden="1">
      <c r="A108" s="65"/>
      <c r="B108" s="70"/>
      <c r="C108" s="65"/>
      <c r="D108" s="65"/>
      <c r="E108" s="65"/>
      <c r="F108" s="65"/>
      <c r="G108" s="65"/>
      <c r="H108" s="65"/>
      <c r="I108" s="65"/>
      <c r="J108" s="254"/>
      <c r="K108" s="254"/>
      <c r="L108" s="254"/>
      <c r="M108" s="254"/>
      <c r="N108" s="254"/>
      <c r="O108" s="254"/>
      <c r="P108" s="254"/>
      <c r="Q108" s="254"/>
      <c r="R108" s="254"/>
      <c r="S108" s="65"/>
      <c r="T108" s="65"/>
      <c r="U108" s="65"/>
      <c r="V108" s="65"/>
    </row>
    <row r="109" spans="1:22" hidden="1">
      <c r="A109" s="65"/>
      <c r="B109" s="70"/>
      <c r="C109" s="65"/>
      <c r="D109" s="65"/>
      <c r="E109" s="65"/>
      <c r="F109" s="65"/>
      <c r="G109" s="65"/>
      <c r="H109" s="65"/>
      <c r="I109" s="65"/>
      <c r="J109" s="254"/>
      <c r="K109" s="254"/>
      <c r="L109" s="254"/>
      <c r="M109" s="254"/>
      <c r="N109" s="254"/>
      <c r="O109" s="254"/>
      <c r="P109" s="254"/>
      <c r="Q109" s="254"/>
      <c r="R109" s="254"/>
      <c r="S109" s="65"/>
      <c r="T109" s="65"/>
      <c r="U109" s="65"/>
      <c r="V109" s="65"/>
    </row>
    <row r="110" spans="1:22" hidden="1">
      <c r="A110" s="65"/>
      <c r="B110" s="70"/>
      <c r="C110" s="65"/>
      <c r="D110" s="65"/>
      <c r="E110" s="65"/>
      <c r="F110" s="65"/>
      <c r="G110" s="65"/>
      <c r="H110" s="65"/>
      <c r="I110" s="65"/>
      <c r="J110" s="254"/>
      <c r="K110" s="254"/>
      <c r="L110" s="254"/>
      <c r="M110" s="254"/>
      <c r="N110" s="254"/>
      <c r="O110" s="254"/>
      <c r="P110" s="254"/>
      <c r="Q110" s="254"/>
      <c r="R110" s="254"/>
      <c r="S110" s="65"/>
      <c r="T110" s="65"/>
      <c r="U110" s="65"/>
      <c r="V110" s="65"/>
    </row>
    <row r="111" spans="1:22" hidden="1">
      <c r="A111" s="65"/>
      <c r="B111" s="70"/>
      <c r="C111" s="65"/>
      <c r="D111" s="65"/>
      <c r="E111" s="65"/>
      <c r="F111" s="65"/>
      <c r="G111" s="65"/>
      <c r="H111" s="65"/>
      <c r="I111" s="65"/>
      <c r="J111" s="254"/>
      <c r="K111" s="254"/>
      <c r="L111" s="254"/>
      <c r="M111" s="254"/>
      <c r="N111" s="254"/>
      <c r="O111" s="254"/>
      <c r="P111" s="254"/>
      <c r="Q111" s="254"/>
      <c r="R111" s="254"/>
      <c r="S111" s="65"/>
      <c r="T111" s="65"/>
      <c r="U111" s="65"/>
      <c r="V111" s="65"/>
    </row>
    <row r="112" spans="1:22" hidden="1">
      <c r="A112" s="65"/>
      <c r="B112" s="70"/>
      <c r="C112" s="65"/>
      <c r="D112" s="65"/>
      <c r="E112" s="65"/>
      <c r="F112" s="65"/>
      <c r="G112" s="65"/>
      <c r="H112" s="65"/>
      <c r="I112" s="65"/>
      <c r="J112" s="254"/>
      <c r="K112" s="254"/>
      <c r="L112" s="254"/>
      <c r="M112" s="254"/>
      <c r="N112" s="254"/>
      <c r="O112" s="254"/>
      <c r="P112" s="254"/>
      <c r="Q112" s="254"/>
      <c r="R112" s="254"/>
      <c r="S112" s="65"/>
      <c r="T112" s="65"/>
      <c r="U112" s="65"/>
      <c r="V112" s="65"/>
    </row>
    <row r="113" spans="1:22" hidden="1">
      <c r="A113" s="65"/>
      <c r="B113" s="70"/>
      <c r="C113" s="65"/>
      <c r="D113" s="65"/>
      <c r="E113" s="65"/>
      <c r="F113" s="65"/>
      <c r="G113" s="65"/>
      <c r="H113" s="65"/>
      <c r="I113" s="65"/>
      <c r="J113" s="254"/>
      <c r="K113" s="254"/>
      <c r="L113" s="254"/>
      <c r="M113" s="254"/>
      <c r="N113" s="254"/>
      <c r="O113" s="254"/>
      <c r="P113" s="254"/>
      <c r="Q113" s="254"/>
      <c r="R113" s="254"/>
      <c r="S113" s="65"/>
      <c r="T113" s="65"/>
      <c r="U113" s="65"/>
      <c r="V113" s="65"/>
    </row>
    <row r="114" spans="1:22" hidden="1">
      <c r="A114" s="65"/>
      <c r="B114" s="70"/>
      <c r="C114" s="65"/>
      <c r="D114" s="65"/>
      <c r="E114" s="65"/>
      <c r="F114" s="65"/>
      <c r="G114" s="65"/>
      <c r="H114" s="65"/>
      <c r="I114" s="65"/>
      <c r="J114" s="254"/>
      <c r="K114" s="254"/>
      <c r="L114" s="254"/>
      <c r="M114" s="254"/>
      <c r="N114" s="254"/>
      <c r="O114" s="254"/>
      <c r="P114" s="254"/>
      <c r="Q114" s="254"/>
      <c r="R114" s="254"/>
      <c r="S114" s="65"/>
      <c r="T114" s="65"/>
      <c r="U114" s="65"/>
      <c r="V114" s="65"/>
    </row>
    <row r="115" spans="1:22" hidden="1">
      <c r="A115" s="65"/>
      <c r="B115" s="70"/>
      <c r="C115" s="65"/>
      <c r="D115" s="65"/>
      <c r="E115" s="65"/>
      <c r="F115" s="65"/>
      <c r="G115" s="65"/>
      <c r="H115" s="65"/>
      <c r="I115" s="65"/>
      <c r="J115" s="254"/>
      <c r="K115" s="254"/>
      <c r="L115" s="254"/>
      <c r="M115" s="254"/>
      <c r="N115" s="254"/>
      <c r="O115" s="254"/>
      <c r="P115" s="254"/>
      <c r="Q115" s="254"/>
      <c r="R115" s="254"/>
      <c r="S115" s="65"/>
      <c r="T115" s="65"/>
      <c r="U115" s="65"/>
      <c r="V115" s="65"/>
    </row>
    <row r="116" spans="1:22" hidden="1">
      <c r="A116" s="65"/>
      <c r="B116" s="70"/>
      <c r="C116" s="65"/>
      <c r="D116" s="65"/>
      <c r="E116" s="65"/>
      <c r="F116" s="65"/>
      <c r="G116" s="65"/>
      <c r="H116" s="65"/>
      <c r="I116" s="65"/>
      <c r="J116" s="254"/>
      <c r="K116" s="254"/>
      <c r="L116" s="254"/>
      <c r="M116" s="254"/>
      <c r="N116" s="254"/>
      <c r="O116" s="254"/>
      <c r="P116" s="254"/>
      <c r="Q116" s="254"/>
      <c r="R116" s="254"/>
      <c r="S116" s="65"/>
      <c r="T116" s="65"/>
      <c r="U116" s="65"/>
      <c r="V116" s="65"/>
    </row>
    <row r="117" spans="1:22" hidden="1">
      <c r="A117" s="65"/>
      <c r="B117" s="70"/>
      <c r="C117" s="65"/>
      <c r="D117" s="65"/>
      <c r="E117" s="65"/>
      <c r="F117" s="65"/>
      <c r="G117" s="65"/>
      <c r="H117" s="65"/>
      <c r="I117" s="65"/>
      <c r="J117" s="254"/>
      <c r="K117" s="254"/>
      <c r="L117" s="254"/>
      <c r="M117" s="254"/>
      <c r="N117" s="254"/>
      <c r="O117" s="254"/>
      <c r="P117" s="254"/>
      <c r="Q117" s="254"/>
      <c r="R117" s="254"/>
      <c r="S117" s="65"/>
      <c r="T117" s="65"/>
      <c r="U117" s="65"/>
      <c r="V117" s="65"/>
    </row>
    <row r="118" spans="1:22" hidden="1">
      <c r="A118" s="65"/>
      <c r="B118" s="70"/>
      <c r="C118" s="65"/>
      <c r="D118" s="65"/>
      <c r="E118" s="65"/>
      <c r="F118" s="65"/>
      <c r="G118" s="65"/>
      <c r="H118" s="65"/>
      <c r="I118" s="65"/>
      <c r="J118" s="254"/>
      <c r="K118" s="254"/>
      <c r="L118" s="254"/>
      <c r="M118" s="254"/>
      <c r="N118" s="254"/>
      <c r="O118" s="254"/>
      <c r="P118" s="254"/>
      <c r="Q118" s="254"/>
      <c r="R118" s="254"/>
      <c r="S118" s="65"/>
      <c r="T118" s="65"/>
      <c r="U118" s="65"/>
      <c r="V118" s="65"/>
    </row>
    <row r="119" spans="1:22" hidden="1">
      <c r="A119" s="65"/>
      <c r="B119" s="70"/>
      <c r="C119" s="65"/>
      <c r="D119" s="65"/>
      <c r="E119" s="65"/>
      <c r="F119" s="65"/>
      <c r="G119" s="65"/>
      <c r="H119" s="65"/>
      <c r="I119" s="65"/>
      <c r="J119" s="254"/>
      <c r="K119" s="254"/>
      <c r="L119" s="254"/>
      <c r="M119" s="254"/>
      <c r="N119" s="254"/>
      <c r="O119" s="254"/>
      <c r="P119" s="254"/>
      <c r="Q119" s="254"/>
      <c r="R119" s="254"/>
      <c r="S119" s="65"/>
      <c r="T119" s="65"/>
      <c r="U119" s="65"/>
      <c r="V119" s="65"/>
    </row>
    <row r="120" spans="1:22" hidden="1">
      <c r="A120" s="65"/>
      <c r="B120" s="70"/>
      <c r="C120" s="65"/>
      <c r="D120" s="65"/>
      <c r="E120" s="65"/>
      <c r="F120" s="65"/>
      <c r="G120" s="65"/>
      <c r="H120" s="65"/>
      <c r="I120" s="65"/>
      <c r="J120" s="254"/>
      <c r="K120" s="254"/>
      <c r="L120" s="254"/>
      <c r="M120" s="254"/>
      <c r="N120" s="254"/>
      <c r="O120" s="254"/>
      <c r="P120" s="254"/>
      <c r="Q120" s="254"/>
      <c r="R120" s="254"/>
      <c r="S120" s="65"/>
      <c r="T120" s="65"/>
      <c r="U120" s="65"/>
      <c r="V120" s="65"/>
    </row>
    <row r="121" spans="1:22" hidden="1">
      <c r="A121" s="65"/>
      <c r="B121" s="70"/>
      <c r="C121" s="65"/>
      <c r="D121" s="65"/>
      <c r="E121" s="65"/>
      <c r="F121" s="65"/>
      <c r="G121" s="65"/>
      <c r="H121" s="65"/>
      <c r="I121" s="65"/>
      <c r="J121" s="254"/>
      <c r="K121" s="254"/>
      <c r="L121" s="254"/>
      <c r="M121" s="254"/>
      <c r="N121" s="254"/>
      <c r="O121" s="254"/>
      <c r="P121" s="254"/>
      <c r="Q121" s="254"/>
      <c r="R121" s="254"/>
      <c r="S121" s="65"/>
      <c r="T121" s="65"/>
      <c r="U121" s="65"/>
      <c r="V121" s="65"/>
    </row>
    <row r="122" spans="1:22" hidden="1">
      <c r="A122" s="65"/>
      <c r="B122" s="70"/>
      <c r="C122" s="65"/>
      <c r="D122" s="65"/>
      <c r="E122" s="65"/>
      <c r="F122" s="65"/>
      <c r="G122" s="65"/>
      <c r="H122" s="65"/>
      <c r="I122" s="65"/>
      <c r="J122" s="254"/>
      <c r="K122" s="254"/>
      <c r="L122" s="254"/>
      <c r="M122" s="254"/>
      <c r="N122" s="254"/>
      <c r="O122" s="254"/>
      <c r="P122" s="254"/>
      <c r="Q122" s="254"/>
      <c r="R122" s="254"/>
      <c r="S122" s="65"/>
      <c r="T122" s="65"/>
      <c r="U122" s="65"/>
      <c r="V122" s="65"/>
    </row>
    <row r="123" spans="1:22" hidden="1">
      <c r="A123" s="65"/>
      <c r="B123" s="70"/>
      <c r="C123" s="65"/>
      <c r="D123" s="65"/>
      <c r="E123" s="65"/>
      <c r="F123" s="65"/>
      <c r="G123" s="65"/>
      <c r="H123" s="65"/>
      <c r="I123" s="65"/>
      <c r="J123" s="254"/>
      <c r="K123" s="254"/>
      <c r="L123" s="254"/>
      <c r="M123" s="254"/>
      <c r="N123" s="254"/>
      <c r="O123" s="254"/>
      <c r="P123" s="254"/>
      <c r="Q123" s="254"/>
      <c r="R123" s="254"/>
      <c r="S123" s="65"/>
      <c r="T123" s="65"/>
      <c r="U123" s="65"/>
      <c r="V123" s="65"/>
    </row>
    <row r="124" spans="1:22" hidden="1">
      <c r="A124" s="65"/>
      <c r="B124" s="70"/>
      <c r="C124" s="65"/>
      <c r="D124" s="65"/>
      <c r="E124" s="65"/>
      <c r="F124" s="65"/>
      <c r="G124" s="65"/>
      <c r="H124" s="65"/>
      <c r="I124" s="65"/>
      <c r="J124" s="254"/>
      <c r="K124" s="254"/>
      <c r="L124" s="254"/>
      <c r="M124" s="254"/>
      <c r="N124" s="254"/>
      <c r="O124" s="254"/>
      <c r="P124" s="254"/>
      <c r="Q124" s="254"/>
      <c r="R124" s="254"/>
      <c r="S124" s="65"/>
      <c r="T124" s="65"/>
      <c r="U124" s="65"/>
      <c r="V124" s="65"/>
    </row>
    <row r="125" spans="1:22" hidden="1">
      <c r="A125" s="65"/>
      <c r="B125" s="70"/>
      <c r="C125" s="65"/>
      <c r="D125" s="65"/>
      <c r="E125" s="65"/>
      <c r="F125" s="65"/>
      <c r="G125" s="65"/>
      <c r="H125" s="65"/>
      <c r="I125" s="65"/>
      <c r="J125" s="254"/>
      <c r="K125" s="254"/>
      <c r="L125" s="254"/>
      <c r="M125" s="254"/>
      <c r="N125" s="254"/>
      <c r="O125" s="254"/>
      <c r="P125" s="254"/>
      <c r="Q125" s="254"/>
      <c r="R125" s="254"/>
      <c r="S125" s="65"/>
      <c r="T125" s="65"/>
      <c r="U125" s="65"/>
      <c r="V125" s="65"/>
    </row>
    <row r="126" spans="1:22" hidden="1">
      <c r="A126" s="65"/>
      <c r="B126" s="70"/>
      <c r="C126" s="65"/>
      <c r="D126" s="65"/>
      <c r="E126" s="65"/>
      <c r="F126" s="65"/>
      <c r="G126" s="65"/>
      <c r="H126" s="65"/>
      <c r="I126" s="65"/>
      <c r="J126" s="254"/>
      <c r="K126" s="254"/>
      <c r="L126" s="254"/>
      <c r="M126" s="254"/>
      <c r="N126" s="254"/>
      <c r="O126" s="254"/>
      <c r="P126" s="254"/>
      <c r="Q126" s="254"/>
      <c r="R126" s="254"/>
      <c r="S126" s="65"/>
      <c r="T126" s="65"/>
      <c r="U126" s="65"/>
      <c r="V126" s="65"/>
    </row>
    <row r="127" spans="1:22" hidden="1">
      <c r="A127" s="65"/>
      <c r="B127" s="70"/>
      <c r="C127" s="65"/>
      <c r="D127" s="65"/>
      <c r="E127" s="65"/>
      <c r="F127" s="65"/>
      <c r="G127" s="65"/>
      <c r="H127" s="65"/>
      <c r="I127" s="65"/>
      <c r="J127" s="254"/>
      <c r="K127" s="254"/>
      <c r="L127" s="254"/>
      <c r="M127" s="254"/>
      <c r="N127" s="254"/>
      <c r="O127" s="254"/>
      <c r="P127" s="254"/>
      <c r="Q127" s="254"/>
      <c r="R127" s="254"/>
      <c r="S127" s="65"/>
      <c r="T127" s="65"/>
      <c r="U127" s="65"/>
      <c r="V127" s="65"/>
    </row>
    <row r="128" spans="1:22" hidden="1">
      <c r="A128" s="65"/>
      <c r="B128" s="70"/>
      <c r="C128" s="65"/>
      <c r="D128" s="65"/>
      <c r="E128" s="65"/>
      <c r="F128" s="65"/>
      <c r="G128" s="65"/>
      <c r="H128" s="65"/>
      <c r="I128" s="65"/>
      <c r="J128" s="254"/>
      <c r="K128" s="254"/>
      <c r="L128" s="254"/>
      <c r="M128" s="254"/>
      <c r="N128" s="254"/>
      <c r="O128" s="254"/>
      <c r="P128" s="254"/>
      <c r="Q128" s="254"/>
      <c r="R128" s="254"/>
      <c r="S128" s="65"/>
      <c r="T128" s="65"/>
      <c r="U128" s="65"/>
      <c r="V128" s="65"/>
    </row>
    <row r="129" spans="1:22" hidden="1">
      <c r="A129" s="65"/>
      <c r="B129" s="70"/>
      <c r="C129" s="65"/>
      <c r="D129" s="65"/>
      <c r="E129" s="65"/>
      <c r="F129" s="65"/>
      <c r="G129" s="65"/>
      <c r="H129" s="65"/>
      <c r="I129" s="65"/>
      <c r="J129" s="254"/>
      <c r="K129" s="254"/>
      <c r="L129" s="254"/>
      <c r="M129" s="254"/>
      <c r="N129" s="254"/>
      <c r="O129" s="254"/>
      <c r="P129" s="254"/>
      <c r="Q129" s="254"/>
      <c r="R129" s="254"/>
      <c r="S129" s="65"/>
      <c r="T129" s="65"/>
      <c r="U129" s="65"/>
      <c r="V129" s="65"/>
    </row>
    <row r="130" spans="1:22" hidden="1">
      <c r="A130" s="65"/>
      <c r="B130" s="70"/>
      <c r="C130" s="65"/>
      <c r="D130" s="65"/>
      <c r="E130" s="65"/>
      <c r="F130" s="65"/>
      <c r="G130" s="65"/>
      <c r="H130" s="65"/>
      <c r="I130" s="65"/>
      <c r="J130" s="254"/>
      <c r="K130" s="254"/>
      <c r="L130" s="254"/>
      <c r="M130" s="254"/>
      <c r="N130" s="254"/>
      <c r="O130" s="254"/>
      <c r="P130" s="254"/>
      <c r="Q130" s="254"/>
      <c r="R130" s="254"/>
      <c r="S130" s="65"/>
      <c r="T130" s="65"/>
      <c r="U130" s="65"/>
      <c r="V130" s="65"/>
    </row>
    <row r="131" spans="1:22" hidden="1">
      <c r="A131" s="65"/>
      <c r="B131" s="70"/>
      <c r="C131" s="65"/>
      <c r="D131" s="65"/>
      <c r="E131" s="65"/>
      <c r="F131" s="65"/>
      <c r="G131" s="65"/>
      <c r="H131" s="65"/>
      <c r="I131" s="65"/>
      <c r="J131" s="254"/>
      <c r="K131" s="254"/>
      <c r="L131" s="254"/>
      <c r="M131" s="254"/>
      <c r="N131" s="254"/>
      <c r="O131" s="254"/>
      <c r="P131" s="254"/>
      <c r="Q131" s="254"/>
      <c r="R131" s="254"/>
      <c r="S131" s="65"/>
      <c r="T131" s="65"/>
      <c r="U131" s="65"/>
      <c r="V131" s="65"/>
    </row>
    <row r="132" spans="1:22" hidden="1">
      <c r="A132" s="65"/>
      <c r="B132" s="70"/>
      <c r="C132" s="65"/>
      <c r="D132" s="65"/>
      <c r="E132" s="65"/>
      <c r="F132" s="65"/>
      <c r="G132" s="65"/>
      <c r="H132" s="65"/>
      <c r="I132" s="65"/>
      <c r="J132" s="254"/>
      <c r="K132" s="254"/>
      <c r="L132" s="254"/>
      <c r="M132" s="254"/>
      <c r="N132" s="254"/>
      <c r="O132" s="254"/>
      <c r="P132" s="254"/>
      <c r="Q132" s="254"/>
      <c r="R132" s="254"/>
      <c r="S132" s="65"/>
      <c r="T132" s="65"/>
      <c r="U132" s="65"/>
      <c r="V132" s="65"/>
    </row>
    <row r="133" spans="1:22" hidden="1">
      <c r="A133" s="65"/>
      <c r="B133" s="70"/>
      <c r="C133" s="65"/>
      <c r="D133" s="65"/>
      <c r="E133" s="65"/>
      <c r="F133" s="65"/>
      <c r="G133" s="65"/>
      <c r="H133" s="65"/>
      <c r="I133" s="65"/>
      <c r="J133" s="254"/>
      <c r="K133" s="254"/>
      <c r="L133" s="254"/>
      <c r="M133" s="254"/>
      <c r="N133" s="254"/>
      <c r="O133" s="254"/>
      <c r="P133" s="254"/>
      <c r="Q133" s="254"/>
      <c r="R133" s="254"/>
      <c r="S133" s="65"/>
      <c r="T133" s="65"/>
      <c r="U133" s="65"/>
      <c r="V133" s="65"/>
    </row>
    <row r="134" spans="1:22" hidden="1">
      <c r="A134" s="65"/>
      <c r="B134" s="70"/>
      <c r="C134" s="65"/>
      <c r="D134" s="65"/>
      <c r="E134" s="65"/>
      <c r="F134" s="65"/>
      <c r="G134" s="65"/>
      <c r="H134" s="65"/>
      <c r="I134" s="65"/>
      <c r="J134" s="254"/>
      <c r="K134" s="254"/>
      <c r="L134" s="254"/>
      <c r="M134" s="254"/>
      <c r="N134" s="254"/>
      <c r="O134" s="254"/>
      <c r="P134" s="254"/>
      <c r="Q134" s="254"/>
      <c r="R134" s="254"/>
      <c r="S134" s="65"/>
      <c r="T134" s="65"/>
      <c r="U134" s="65"/>
      <c r="V134" s="65"/>
    </row>
    <row r="135" spans="1:22" hidden="1">
      <c r="A135" s="65"/>
      <c r="B135" s="70"/>
      <c r="C135" s="65"/>
      <c r="D135" s="65"/>
      <c r="E135" s="65"/>
      <c r="F135" s="65"/>
      <c r="G135" s="65"/>
      <c r="H135" s="65"/>
      <c r="I135" s="65"/>
      <c r="J135" s="254"/>
      <c r="K135" s="254"/>
      <c r="L135" s="254"/>
      <c r="M135" s="254"/>
      <c r="N135" s="254"/>
      <c r="O135" s="254"/>
      <c r="P135" s="254"/>
      <c r="Q135" s="254"/>
      <c r="R135" s="254"/>
      <c r="S135" s="65"/>
      <c r="T135" s="65"/>
      <c r="U135" s="65"/>
      <c r="V135" s="65"/>
    </row>
    <row r="136" spans="1:22" hidden="1">
      <c r="A136" s="65"/>
      <c r="B136" s="70"/>
      <c r="C136" s="65"/>
      <c r="D136" s="65"/>
      <c r="E136" s="65"/>
      <c r="F136" s="65"/>
      <c r="G136" s="65"/>
      <c r="H136" s="65"/>
      <c r="I136" s="65"/>
      <c r="J136" s="254"/>
      <c r="K136" s="254"/>
      <c r="L136" s="254"/>
      <c r="M136" s="254"/>
      <c r="N136" s="254"/>
      <c r="O136" s="254"/>
      <c r="P136" s="254"/>
      <c r="Q136" s="254"/>
      <c r="R136" s="254"/>
      <c r="S136" s="65"/>
      <c r="T136" s="65"/>
      <c r="U136" s="65"/>
      <c r="V136" s="65"/>
    </row>
    <row r="137" spans="1:22" hidden="1">
      <c r="A137" s="65"/>
      <c r="B137" s="70"/>
      <c r="C137" s="65"/>
      <c r="D137" s="65"/>
      <c r="E137" s="65"/>
      <c r="F137" s="65"/>
      <c r="G137" s="65"/>
      <c r="H137" s="65"/>
      <c r="I137" s="65"/>
      <c r="J137" s="254"/>
      <c r="K137" s="254"/>
      <c r="L137" s="254"/>
      <c r="M137" s="254"/>
      <c r="N137" s="254"/>
      <c r="O137" s="254"/>
      <c r="P137" s="254"/>
      <c r="Q137" s="254"/>
      <c r="R137" s="254"/>
      <c r="S137" s="65"/>
      <c r="T137" s="65"/>
      <c r="U137" s="65"/>
      <c r="V137" s="65"/>
    </row>
    <row r="138" spans="1:22" hidden="1">
      <c r="A138" s="65"/>
      <c r="B138" s="70"/>
      <c r="C138" s="65"/>
      <c r="D138" s="65"/>
      <c r="E138" s="65"/>
      <c r="F138" s="65"/>
      <c r="G138" s="65"/>
      <c r="H138" s="65"/>
      <c r="I138" s="65"/>
      <c r="J138" s="254"/>
      <c r="K138" s="254"/>
      <c r="L138" s="254"/>
      <c r="M138" s="254"/>
      <c r="N138" s="254"/>
      <c r="O138" s="254"/>
      <c r="P138" s="254"/>
      <c r="Q138" s="254"/>
      <c r="R138" s="254"/>
      <c r="S138" s="65"/>
      <c r="T138" s="65"/>
      <c r="U138" s="65"/>
      <c r="V138" s="65"/>
    </row>
    <row r="139" spans="1:22" hidden="1">
      <c r="A139" s="65"/>
      <c r="B139" s="70"/>
      <c r="C139" s="65"/>
      <c r="D139" s="65"/>
      <c r="E139" s="65"/>
      <c r="F139" s="65"/>
      <c r="G139" s="65"/>
      <c r="H139" s="65"/>
      <c r="I139" s="65"/>
      <c r="J139" s="254"/>
      <c r="K139" s="254"/>
      <c r="L139" s="254"/>
      <c r="M139" s="254"/>
      <c r="N139" s="254"/>
      <c r="O139" s="254"/>
      <c r="P139" s="254"/>
      <c r="Q139" s="254"/>
      <c r="R139" s="254"/>
      <c r="S139" s="65"/>
      <c r="T139" s="65"/>
      <c r="U139" s="65"/>
      <c r="V139" s="65"/>
    </row>
    <row r="140" spans="1:22" hidden="1">
      <c r="A140" s="65"/>
      <c r="B140" s="70"/>
      <c r="C140" s="65"/>
      <c r="D140" s="65"/>
      <c r="E140" s="65"/>
      <c r="F140" s="65"/>
      <c r="G140" s="65"/>
      <c r="H140" s="65"/>
      <c r="I140" s="65"/>
      <c r="J140" s="254"/>
      <c r="K140" s="254"/>
      <c r="L140" s="254"/>
      <c r="M140" s="254"/>
      <c r="N140" s="254"/>
      <c r="O140" s="254"/>
      <c r="P140" s="254"/>
      <c r="Q140" s="254"/>
      <c r="R140" s="254"/>
      <c r="S140" s="65"/>
      <c r="T140" s="65"/>
      <c r="U140" s="65"/>
      <c r="V140" s="65"/>
    </row>
    <row r="141" spans="1:22" hidden="1">
      <c r="A141" s="65"/>
      <c r="B141" s="70"/>
      <c r="C141" s="65"/>
      <c r="D141" s="65"/>
      <c r="E141" s="65"/>
      <c r="F141" s="65"/>
      <c r="G141" s="65"/>
      <c r="H141" s="65"/>
      <c r="I141" s="65"/>
      <c r="J141" s="254"/>
      <c r="K141" s="254"/>
      <c r="L141" s="254"/>
      <c r="M141" s="254"/>
      <c r="N141" s="254"/>
      <c r="O141" s="254"/>
      <c r="P141" s="254"/>
      <c r="Q141" s="254"/>
      <c r="R141" s="254"/>
      <c r="S141" s="65"/>
      <c r="T141" s="65"/>
      <c r="U141" s="65"/>
      <c r="V141" s="65"/>
    </row>
    <row r="142" spans="1:22" hidden="1">
      <c r="A142" s="65"/>
      <c r="B142" s="70"/>
      <c r="C142" s="65"/>
      <c r="D142" s="65"/>
      <c r="E142" s="65"/>
      <c r="F142" s="65"/>
      <c r="G142" s="65"/>
      <c r="H142" s="65"/>
      <c r="I142" s="65"/>
      <c r="J142" s="254"/>
      <c r="K142" s="254"/>
      <c r="L142" s="254"/>
      <c r="M142" s="254"/>
      <c r="N142" s="254"/>
      <c r="O142" s="254"/>
      <c r="P142" s="254"/>
      <c r="Q142" s="254"/>
      <c r="R142" s="254"/>
      <c r="S142" s="65"/>
      <c r="T142" s="65"/>
      <c r="U142" s="65"/>
      <c r="V142" s="65"/>
    </row>
    <row r="143" spans="1:22" hidden="1">
      <c r="A143" s="65"/>
      <c r="B143" s="70"/>
      <c r="C143" s="65"/>
      <c r="D143" s="65"/>
      <c r="E143" s="65"/>
      <c r="F143" s="65"/>
      <c r="G143" s="65"/>
      <c r="H143" s="65"/>
      <c r="I143" s="65"/>
      <c r="J143" s="254"/>
      <c r="K143" s="254"/>
      <c r="L143" s="254"/>
      <c r="M143" s="254"/>
      <c r="N143" s="254"/>
      <c r="O143" s="254"/>
      <c r="P143" s="254"/>
      <c r="Q143" s="254"/>
      <c r="R143" s="254"/>
      <c r="S143" s="65"/>
      <c r="T143" s="65"/>
      <c r="U143" s="65"/>
      <c r="V143" s="65"/>
    </row>
    <row r="144" spans="1:22" hidden="1">
      <c r="A144" s="65"/>
      <c r="B144" s="70"/>
      <c r="C144" s="65"/>
      <c r="D144" s="65"/>
      <c r="E144" s="65"/>
      <c r="F144" s="65"/>
      <c r="G144" s="65"/>
      <c r="H144" s="65"/>
      <c r="I144" s="65"/>
      <c r="J144" s="254"/>
      <c r="K144" s="254"/>
      <c r="L144" s="254"/>
      <c r="M144" s="254"/>
      <c r="N144" s="254"/>
      <c r="O144" s="254"/>
      <c r="P144" s="254"/>
      <c r="Q144" s="254"/>
      <c r="R144" s="254"/>
      <c r="S144" s="65"/>
      <c r="T144" s="65"/>
      <c r="U144" s="65"/>
      <c r="V144" s="65"/>
    </row>
    <row r="145" spans="1:22" hidden="1">
      <c r="A145" s="65"/>
      <c r="B145" s="70"/>
      <c r="C145" s="65"/>
      <c r="D145" s="65"/>
      <c r="E145" s="65"/>
      <c r="F145" s="65"/>
      <c r="G145" s="65"/>
      <c r="H145" s="65"/>
      <c r="I145" s="65"/>
      <c r="J145" s="254"/>
      <c r="K145" s="254"/>
      <c r="L145" s="254"/>
      <c r="M145" s="254"/>
      <c r="N145" s="254"/>
      <c r="O145" s="254"/>
      <c r="P145" s="254"/>
      <c r="Q145" s="254"/>
      <c r="R145" s="254"/>
      <c r="S145" s="65"/>
      <c r="T145" s="65"/>
      <c r="U145" s="65"/>
      <c r="V145" s="65"/>
    </row>
    <row r="146" spans="1:22" hidden="1">
      <c r="A146" s="65"/>
      <c r="B146" s="70"/>
      <c r="C146" s="65"/>
      <c r="D146" s="65"/>
      <c r="E146" s="65"/>
      <c r="F146" s="65"/>
      <c r="G146" s="65"/>
      <c r="H146" s="65"/>
      <c r="I146" s="65"/>
      <c r="J146" s="254"/>
      <c r="K146" s="254"/>
      <c r="L146" s="254"/>
      <c r="M146" s="254"/>
      <c r="N146" s="254"/>
      <c r="O146" s="254"/>
      <c r="P146" s="254"/>
      <c r="Q146" s="254"/>
      <c r="R146" s="254"/>
      <c r="S146" s="65"/>
      <c r="T146" s="65"/>
      <c r="U146" s="65"/>
      <c r="V146" s="65"/>
    </row>
    <row r="147" spans="1:22" hidden="1">
      <c r="A147" s="65"/>
      <c r="B147" s="70"/>
      <c r="C147" s="65"/>
      <c r="D147" s="65"/>
      <c r="E147" s="65"/>
      <c r="F147" s="65"/>
      <c r="G147" s="65"/>
      <c r="H147" s="65"/>
      <c r="I147" s="65"/>
      <c r="J147" s="254"/>
      <c r="K147" s="254"/>
      <c r="L147" s="254"/>
      <c r="M147" s="254"/>
      <c r="N147" s="254"/>
      <c r="O147" s="254"/>
      <c r="P147" s="254"/>
      <c r="Q147" s="254"/>
      <c r="R147" s="254"/>
      <c r="S147" s="65"/>
      <c r="T147" s="65"/>
      <c r="U147" s="65"/>
      <c r="V147" s="65"/>
    </row>
    <row r="148" spans="1:22" hidden="1">
      <c r="A148" s="65"/>
      <c r="B148" s="70"/>
      <c r="C148" s="65"/>
      <c r="D148" s="65"/>
      <c r="E148" s="65"/>
      <c r="F148" s="65"/>
      <c r="G148" s="65"/>
      <c r="H148" s="65"/>
      <c r="I148" s="65"/>
      <c r="J148" s="254"/>
      <c r="K148" s="254"/>
      <c r="L148" s="254"/>
      <c r="M148" s="254"/>
      <c r="N148" s="254"/>
      <c r="O148" s="254"/>
      <c r="P148" s="254"/>
      <c r="Q148" s="254"/>
      <c r="R148" s="254"/>
      <c r="S148" s="65"/>
      <c r="T148" s="65"/>
      <c r="U148" s="65"/>
      <c r="V148" s="65"/>
    </row>
    <row r="149" spans="1:22" hidden="1">
      <c r="A149" s="65"/>
      <c r="B149" s="70"/>
      <c r="C149" s="65"/>
      <c r="D149" s="65"/>
      <c r="E149" s="65"/>
      <c r="F149" s="65"/>
      <c r="G149" s="65"/>
      <c r="H149" s="65"/>
      <c r="I149" s="65"/>
      <c r="J149" s="254"/>
      <c r="K149" s="254"/>
      <c r="L149" s="254"/>
      <c r="M149" s="254"/>
      <c r="N149" s="254"/>
      <c r="O149" s="254"/>
      <c r="P149" s="254"/>
      <c r="Q149" s="254"/>
      <c r="R149" s="254"/>
      <c r="S149" s="65"/>
      <c r="T149" s="65"/>
      <c r="U149" s="65"/>
      <c r="V149" s="65"/>
    </row>
    <row r="150" spans="1:22" hidden="1">
      <c r="A150" s="65"/>
      <c r="B150" s="70"/>
      <c r="C150" s="65"/>
      <c r="D150" s="65"/>
      <c r="E150" s="65"/>
      <c r="F150" s="65"/>
      <c r="G150" s="65"/>
      <c r="H150" s="65"/>
      <c r="I150" s="65"/>
      <c r="J150" s="254"/>
      <c r="K150" s="254"/>
      <c r="L150" s="254"/>
      <c r="M150" s="254"/>
      <c r="N150" s="254"/>
      <c r="O150" s="254"/>
      <c r="P150" s="254"/>
      <c r="Q150" s="254"/>
      <c r="R150" s="254"/>
      <c r="S150" s="65"/>
      <c r="T150" s="65"/>
      <c r="U150" s="65"/>
      <c r="V150" s="65"/>
    </row>
    <row r="151" spans="1:22" hidden="1">
      <c r="A151" s="65"/>
      <c r="B151" s="70"/>
      <c r="C151" s="65"/>
      <c r="D151" s="65"/>
      <c r="E151" s="65"/>
      <c r="F151" s="65"/>
      <c r="G151" s="65"/>
      <c r="H151" s="65"/>
      <c r="I151" s="65"/>
      <c r="J151" s="254"/>
      <c r="K151" s="254"/>
      <c r="L151" s="254"/>
      <c r="M151" s="254"/>
      <c r="N151" s="254"/>
      <c r="O151" s="254"/>
      <c r="P151" s="254"/>
      <c r="Q151" s="254"/>
      <c r="R151" s="254"/>
      <c r="S151" s="65"/>
      <c r="T151" s="65"/>
      <c r="U151" s="65"/>
      <c r="V151" s="65"/>
    </row>
    <row r="152" spans="1:22" hidden="1">
      <c r="A152" s="65"/>
      <c r="B152" s="70"/>
      <c r="C152" s="65"/>
      <c r="D152" s="65"/>
      <c r="E152" s="65"/>
      <c r="F152" s="65"/>
      <c r="G152" s="65"/>
      <c r="H152" s="65"/>
      <c r="I152" s="65"/>
      <c r="J152" s="254"/>
      <c r="K152" s="254"/>
      <c r="L152" s="254"/>
      <c r="M152" s="254"/>
      <c r="N152" s="254"/>
      <c r="O152" s="254"/>
      <c r="P152" s="254"/>
      <c r="Q152" s="254"/>
      <c r="R152" s="254"/>
      <c r="S152" s="65"/>
      <c r="T152" s="65"/>
      <c r="U152" s="65"/>
      <c r="V152" s="65"/>
    </row>
    <row r="153" spans="1:22" hidden="1">
      <c r="A153" s="65"/>
      <c r="B153" s="70"/>
      <c r="C153" s="65"/>
      <c r="D153" s="65"/>
      <c r="E153" s="65"/>
      <c r="F153" s="65"/>
      <c r="G153" s="65"/>
      <c r="H153" s="65"/>
      <c r="I153" s="65"/>
      <c r="J153" s="254"/>
      <c r="K153" s="254"/>
      <c r="L153" s="254"/>
      <c r="M153" s="254"/>
      <c r="N153" s="254"/>
      <c r="O153" s="254"/>
      <c r="P153" s="254"/>
      <c r="Q153" s="254"/>
      <c r="R153" s="254"/>
      <c r="S153" s="65"/>
      <c r="T153" s="65"/>
      <c r="U153" s="65"/>
      <c r="V153" s="65"/>
    </row>
  </sheetData>
  <mergeCells count="8">
    <mergeCell ref="B5:G9"/>
    <mergeCell ref="B42:G42"/>
    <mergeCell ref="B43:G43"/>
    <mergeCell ref="A26:A30"/>
    <mergeCell ref="A31:A35"/>
    <mergeCell ref="I20:R20"/>
    <mergeCell ref="I19:R19"/>
    <mergeCell ref="B44:G4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32" orientation="landscape" r:id="rId4"/>
  <headerFooter scaleWithDoc="0">
    <oddHeader>&amp;R&amp;"Arial,Bold"ICC Docket No. 21-0155
Statewide Quarterly Report ComEd 2023 Q3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X58"/>
  <sheetViews>
    <sheetView topLeftCell="A6" workbookViewId="0">
      <pane xSplit="2" ySplit="2" topLeftCell="C8" activePane="bottomRight" state="frozen"/>
      <selection activeCell="A6" sqref="A6"/>
      <selection pane="topRight" activeCell="C6" sqref="C6"/>
      <selection pane="bottomLeft" activeCell="A8" sqref="A8"/>
      <selection pane="bottomRight" activeCell="R18" sqref="R18"/>
    </sheetView>
  </sheetViews>
  <sheetFormatPr defaultColWidth="0" defaultRowHeight="14.5" zeroHeight="1"/>
  <cols>
    <col min="1" max="1" width="4.36328125" customWidth="1"/>
    <col min="2" max="2" width="51.54296875" customWidth="1"/>
    <col min="3" max="3" width="13.26953125" customWidth="1"/>
    <col min="4" max="4" width="11.54296875" customWidth="1"/>
    <col min="5" max="5" width="11.1796875" customWidth="1"/>
    <col min="6" max="6" width="12" customWidth="1"/>
    <col min="7" max="7" width="13.54296875" customWidth="1"/>
    <col min="8" max="8" width="13.36328125" customWidth="1"/>
    <col min="9" max="9" width="12.6328125" customWidth="1"/>
    <col min="10" max="10" width="14.17968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 min="18" max="18" width="13.6328125" customWidth="1"/>
    <col min="19" max="23" width="9.1796875" customWidth="1"/>
    <col min="24" max="24" width="0" hidden="1" customWidth="1"/>
    <col min="25" max="16384" width="9.1796875" hidden="1"/>
  </cols>
  <sheetData>
    <row r="1" spans="1:24">
      <c r="A1" s="65"/>
      <c r="B1" s="72" t="s">
        <v>0</v>
      </c>
      <c r="C1" s="72"/>
      <c r="D1" s="65"/>
      <c r="E1" s="65"/>
      <c r="F1" s="65"/>
      <c r="G1" s="65"/>
      <c r="H1" s="65"/>
      <c r="I1" s="65"/>
      <c r="J1" s="65"/>
      <c r="K1" s="65"/>
      <c r="L1" s="65"/>
      <c r="M1" s="65"/>
      <c r="N1" s="65"/>
      <c r="O1" s="65"/>
      <c r="P1" s="65"/>
      <c r="Q1" s="65"/>
      <c r="R1" s="65"/>
      <c r="S1" s="65"/>
      <c r="T1" s="65"/>
      <c r="U1" s="65"/>
      <c r="V1" s="65"/>
      <c r="W1" s="65"/>
      <c r="X1" s="65"/>
    </row>
    <row r="2" spans="1:24">
      <c r="A2" s="65"/>
      <c r="B2" s="72" t="s">
        <v>177</v>
      </c>
      <c r="C2" s="72"/>
      <c r="D2" s="65"/>
      <c r="E2" s="65"/>
      <c r="F2" s="65"/>
      <c r="G2" s="65"/>
      <c r="H2" s="65"/>
      <c r="I2" s="65"/>
      <c r="J2" s="65"/>
      <c r="K2" s="65"/>
      <c r="L2" s="65"/>
      <c r="M2" s="65"/>
      <c r="N2" s="65"/>
      <c r="O2" s="65"/>
      <c r="P2" s="65"/>
      <c r="Q2" s="65"/>
      <c r="R2" s="65"/>
      <c r="S2" s="65"/>
      <c r="T2" s="65"/>
      <c r="U2" s="65"/>
      <c r="V2" s="65"/>
      <c r="W2" s="65"/>
      <c r="X2" s="65"/>
    </row>
    <row r="3" spans="1:24">
      <c r="A3" s="65"/>
      <c r="B3" s="72"/>
      <c r="C3" s="72"/>
      <c r="D3" s="65"/>
      <c r="E3" s="65"/>
      <c r="F3" s="65"/>
      <c r="G3" s="65"/>
      <c r="H3" s="65"/>
      <c r="I3" s="65"/>
      <c r="J3" s="65"/>
      <c r="K3" s="65"/>
      <c r="L3" s="65"/>
      <c r="M3" s="65"/>
      <c r="N3" s="65"/>
      <c r="O3" s="65"/>
      <c r="P3" s="65"/>
      <c r="Q3" s="65"/>
      <c r="R3" s="65"/>
      <c r="S3" s="65"/>
      <c r="T3" s="65"/>
      <c r="U3" s="65"/>
      <c r="V3" s="65"/>
      <c r="W3" s="65"/>
      <c r="X3" s="65"/>
    </row>
    <row r="4" spans="1:24">
      <c r="A4" s="65"/>
      <c r="B4" s="72"/>
      <c r="C4" s="72"/>
      <c r="D4" s="65"/>
      <c r="E4" s="65"/>
      <c r="F4" s="65"/>
      <c r="G4" s="65"/>
      <c r="H4" s="65"/>
      <c r="I4" s="65"/>
      <c r="J4" s="65"/>
      <c r="K4" s="65"/>
      <c r="L4" s="65"/>
      <c r="M4" s="65"/>
      <c r="N4" s="65"/>
      <c r="O4" s="65"/>
      <c r="P4" s="65"/>
      <c r="Q4" s="65"/>
      <c r="R4" s="65"/>
      <c r="S4" s="65"/>
      <c r="T4" s="65"/>
      <c r="U4" s="65"/>
      <c r="V4" s="65"/>
      <c r="W4" s="65"/>
      <c r="X4" s="65"/>
    </row>
    <row r="5" spans="1:24" ht="22.5" customHeight="1">
      <c r="A5" s="65"/>
      <c r="B5" s="276" t="s">
        <v>178</v>
      </c>
      <c r="C5" s="276"/>
      <c r="D5" s="276"/>
      <c r="E5" s="276"/>
      <c r="F5" s="276"/>
      <c r="G5" s="276"/>
      <c r="H5" s="276"/>
      <c r="I5" s="276"/>
      <c r="J5" s="276"/>
      <c r="K5" s="276"/>
      <c r="L5" s="276"/>
      <c r="M5" s="65"/>
      <c r="N5" s="65"/>
      <c r="O5" s="65"/>
      <c r="P5" s="65"/>
      <c r="Q5" s="65"/>
      <c r="R5" s="65"/>
      <c r="S5" s="65"/>
      <c r="T5" s="65"/>
      <c r="U5" s="65"/>
      <c r="V5" s="65"/>
      <c r="W5" s="65"/>
      <c r="X5" s="65"/>
    </row>
    <row r="6" spans="1:24" ht="21" customHeight="1">
      <c r="A6" s="65"/>
      <c r="B6" s="276"/>
      <c r="C6" s="276"/>
      <c r="D6" s="276"/>
      <c r="E6" s="276"/>
      <c r="F6" s="276"/>
      <c r="G6" s="276"/>
      <c r="H6" s="276"/>
      <c r="I6" s="276"/>
      <c r="J6" s="276"/>
      <c r="K6" s="276"/>
      <c r="L6" s="276"/>
      <c r="M6" s="65"/>
      <c r="N6" s="65"/>
      <c r="O6" s="65"/>
      <c r="P6" s="65"/>
      <c r="Q6" s="65"/>
      <c r="R6" s="65"/>
      <c r="S6" s="65"/>
      <c r="T6" s="65"/>
      <c r="U6" s="65"/>
      <c r="V6" s="65"/>
      <c r="W6" s="65"/>
      <c r="X6" s="65"/>
    </row>
    <row r="7" spans="1:24" ht="21" customHeight="1">
      <c r="A7" s="65"/>
      <c r="B7" s="276"/>
      <c r="C7" s="276"/>
      <c r="D7" s="276"/>
      <c r="E7" s="276"/>
      <c r="F7" s="276"/>
      <c r="G7" s="276"/>
      <c r="H7" s="276"/>
      <c r="I7" s="276"/>
      <c r="J7" s="276"/>
      <c r="K7" s="276"/>
      <c r="L7" s="276"/>
      <c r="M7" s="65"/>
      <c r="N7" s="65"/>
      <c r="O7" s="65"/>
      <c r="P7" s="65"/>
      <c r="Q7" s="65"/>
      <c r="R7" s="65"/>
      <c r="S7" s="65"/>
      <c r="T7" s="65"/>
      <c r="U7" s="65"/>
      <c r="V7" s="65"/>
      <c r="W7" s="65"/>
      <c r="X7" s="65"/>
    </row>
    <row r="8" spans="1:24">
      <c r="A8" s="65"/>
      <c r="B8" s="98"/>
      <c r="C8" s="98"/>
      <c r="D8" s="98"/>
      <c r="E8" s="98"/>
      <c r="F8" s="98"/>
      <c r="G8" s="98"/>
      <c r="H8" s="98"/>
      <c r="I8" s="98"/>
      <c r="J8" s="98"/>
      <c r="K8" s="98"/>
      <c r="L8" s="98"/>
      <c r="M8" s="98"/>
      <c r="N8" s="65"/>
      <c r="O8" s="65"/>
      <c r="P8" s="65"/>
      <c r="Q8" s="65"/>
      <c r="R8" s="65"/>
      <c r="S8" s="65"/>
      <c r="T8" s="65"/>
      <c r="U8" s="65"/>
      <c r="V8" s="65"/>
      <c r="W8" s="65"/>
      <c r="X8" s="65"/>
    </row>
    <row r="9" spans="1:24">
      <c r="A9" s="65"/>
      <c r="B9" s="141" t="s">
        <v>179</v>
      </c>
      <c r="C9" s="141"/>
      <c r="D9" s="141"/>
      <c r="E9" s="142"/>
      <c r="F9" s="142"/>
      <c r="G9" s="143"/>
      <c r="H9" s="144"/>
      <c r="I9" s="143"/>
      <c r="J9" s="143"/>
      <c r="K9" s="143"/>
      <c r="L9" s="143"/>
      <c r="M9" s="143"/>
      <c r="N9" s="65"/>
      <c r="O9" s="65"/>
      <c r="P9" s="65"/>
      <c r="Q9" s="65"/>
      <c r="R9" s="65"/>
      <c r="S9" s="65"/>
      <c r="T9" s="65"/>
      <c r="U9" s="65"/>
      <c r="V9" s="65"/>
      <c r="W9" s="65"/>
      <c r="X9" s="65"/>
    </row>
    <row r="10" spans="1:24" ht="18" customHeight="1">
      <c r="A10" s="65"/>
      <c r="B10" s="245" t="str">
        <f>'1- Ex Ante Results'!B19</f>
        <v>CY2023 Q3</v>
      </c>
      <c r="C10" s="142"/>
      <c r="D10" s="142"/>
      <c r="E10" s="142"/>
      <c r="F10" s="142"/>
      <c r="G10" s="143"/>
      <c r="H10" s="143"/>
      <c r="I10" s="143"/>
      <c r="J10" s="143"/>
      <c r="K10" s="143"/>
      <c r="L10" s="143"/>
      <c r="M10" s="145"/>
      <c r="N10" s="65"/>
      <c r="O10" s="65"/>
      <c r="P10" s="65"/>
      <c r="Q10" s="65"/>
      <c r="R10" s="65"/>
      <c r="S10" s="65"/>
      <c r="T10" s="65"/>
      <c r="U10" s="65"/>
      <c r="V10" s="65"/>
      <c r="W10" s="65"/>
      <c r="X10" s="65"/>
    </row>
    <row r="11" spans="1:24" ht="28">
      <c r="A11" s="65"/>
      <c r="B11" s="15" t="s">
        <v>180</v>
      </c>
      <c r="C11" s="15"/>
      <c r="D11" s="11" t="s">
        <v>132</v>
      </c>
      <c r="E11" s="11" t="s">
        <v>133</v>
      </c>
      <c r="F11" s="5" t="s">
        <v>134</v>
      </c>
      <c r="G11" s="5" t="s">
        <v>135</v>
      </c>
      <c r="H11" s="5" t="s">
        <v>136</v>
      </c>
      <c r="I11" s="5" t="s">
        <v>137</v>
      </c>
      <c r="J11" s="5" t="s">
        <v>138</v>
      </c>
      <c r="K11" s="5" t="s">
        <v>139</v>
      </c>
      <c r="L11" s="5" t="s">
        <v>181</v>
      </c>
      <c r="M11" s="5" t="s">
        <v>182</v>
      </c>
      <c r="N11" s="5" t="s">
        <v>183</v>
      </c>
      <c r="O11" s="5" t="s">
        <v>184</v>
      </c>
      <c r="P11" s="5" t="s">
        <v>185</v>
      </c>
      <c r="Q11" s="5" t="s">
        <v>186</v>
      </c>
      <c r="R11" s="5" t="s">
        <v>187</v>
      </c>
      <c r="S11" s="65"/>
      <c r="T11" s="65"/>
      <c r="U11" s="65"/>
      <c r="V11" s="65"/>
      <c r="W11" s="65"/>
      <c r="X11" s="65"/>
    </row>
    <row r="12" spans="1:24">
      <c r="A12" s="65"/>
      <c r="B12" s="6" t="s">
        <v>188</v>
      </c>
      <c r="C12" s="50"/>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6">
        <f>'3- Energy'!$D$29</f>
        <v>1849877.162</v>
      </c>
      <c r="Q12" s="46">
        <v>1724232</v>
      </c>
      <c r="R12" s="46">
        <f>'3- Energy'!D32</f>
        <v>1006862.7026695999</v>
      </c>
      <c r="S12" s="65"/>
      <c r="T12" s="65"/>
      <c r="U12" s="65"/>
      <c r="V12" s="65"/>
      <c r="W12" s="65"/>
      <c r="X12" s="65"/>
    </row>
    <row r="13" spans="1:24">
      <c r="A13" s="65"/>
      <c r="B13" s="6" t="s">
        <v>189</v>
      </c>
      <c r="C13" s="50"/>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664025.8615815877</v>
      </c>
      <c r="R13" s="13">
        <f>(R12*1000*0.84903)/2204.62</f>
        <v>387756.91069098999</v>
      </c>
      <c r="S13" s="65"/>
      <c r="T13" s="65"/>
      <c r="U13" s="65"/>
      <c r="V13" s="65"/>
      <c r="W13" s="65"/>
      <c r="X13" s="65"/>
    </row>
    <row r="14" spans="1:24">
      <c r="A14" s="65"/>
      <c r="B14" s="6" t="s">
        <v>190</v>
      </c>
      <c r="C14" s="50"/>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144353.44816991038</v>
      </c>
      <c r="R14" s="13">
        <f>R12*1000*0.84903/(4.6*2204.62)</f>
        <v>84294.980584997829</v>
      </c>
      <c r="S14" s="65"/>
      <c r="T14" s="65"/>
      <c r="U14" s="65"/>
      <c r="V14" s="65"/>
      <c r="W14" s="65"/>
      <c r="X14" s="65"/>
    </row>
    <row r="15" spans="1:24">
      <c r="A15" s="65"/>
      <c r="B15" s="6" t="s">
        <v>191</v>
      </c>
      <c r="C15" s="50"/>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809787.63607510692</v>
      </c>
      <c r="R15" s="13">
        <f>(R12*1000*0.84903)/(0.82*2204.62)</f>
        <v>472874.28133047558</v>
      </c>
      <c r="S15" s="65"/>
      <c r="T15" s="65"/>
      <c r="U15" s="65"/>
      <c r="V15" s="65"/>
      <c r="W15" s="65"/>
      <c r="X15" s="65"/>
    </row>
    <row r="16" spans="1:24">
      <c r="A16" s="65"/>
      <c r="B16" s="6" t="s">
        <v>192</v>
      </c>
      <c r="C16" s="50"/>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198187.58620689655</v>
      </c>
      <c r="R16" s="13">
        <f>R12*1000/8700</f>
        <v>115731.34513443676</v>
      </c>
      <c r="S16" s="65"/>
      <c r="T16" s="65"/>
      <c r="U16" s="65"/>
      <c r="V16" s="65"/>
      <c r="W16" s="65"/>
      <c r="X16" s="65"/>
    </row>
    <row r="17" spans="1:24">
      <c r="A17" s="65"/>
      <c r="B17" s="6" t="s">
        <v>193</v>
      </c>
      <c r="C17" s="50"/>
      <c r="D17" s="13">
        <v>66</v>
      </c>
      <c r="E17" s="13">
        <v>84</v>
      </c>
      <c r="F17" s="13">
        <v>154</v>
      </c>
      <c r="G17" s="13">
        <v>179</v>
      </c>
      <c r="H17" s="14">
        <v>196</v>
      </c>
      <c r="I17" s="14">
        <v>234</v>
      </c>
      <c r="J17" s="14">
        <v>260</v>
      </c>
      <c r="K17" s="13">
        <v>267</v>
      </c>
      <c r="L17" s="13">
        <v>376</v>
      </c>
      <c r="M17" s="14">
        <v>412.48</v>
      </c>
      <c r="N17" s="61">
        <v>482</v>
      </c>
      <c r="O17" s="62">
        <v>475</v>
      </c>
      <c r="P17" s="46">
        <v>442</v>
      </c>
      <c r="Q17" s="46">
        <v>457</v>
      </c>
      <c r="R17" s="46">
        <v>492</v>
      </c>
      <c r="S17" s="140"/>
      <c r="T17" s="140"/>
      <c r="U17" s="140"/>
      <c r="V17" s="140"/>
      <c r="W17" s="65"/>
      <c r="X17" s="65"/>
    </row>
    <row r="18" spans="1:24" s="12" customFormat="1">
      <c r="A18" s="70"/>
      <c r="B18" s="28" t="s">
        <v>194</v>
      </c>
      <c r="C18" s="50"/>
      <c r="D18" s="50"/>
      <c r="E18" s="50"/>
      <c r="F18" s="50"/>
      <c r="G18" s="50"/>
      <c r="H18" s="50"/>
      <c r="I18" s="50"/>
      <c r="J18" s="50"/>
      <c r="K18" s="50"/>
      <c r="L18" s="13">
        <f>459+1299+1+318</f>
        <v>2077</v>
      </c>
      <c r="M18" s="46">
        <f>1561+5119+2497+9+34899</f>
        <v>44085</v>
      </c>
      <c r="N18" s="46">
        <v>75450</v>
      </c>
      <c r="O18" s="46">
        <v>73577</v>
      </c>
      <c r="P18" s="46">
        <v>79722</v>
      </c>
      <c r="Q18" s="46">
        <v>89548</v>
      </c>
      <c r="R18" s="46">
        <v>71067</v>
      </c>
      <c r="S18" s="146"/>
      <c r="T18" s="146"/>
      <c r="U18" s="146"/>
      <c r="V18" s="146"/>
      <c r="W18" s="70"/>
      <c r="X18" s="70"/>
    </row>
    <row r="19" spans="1:24">
      <c r="A19" s="65"/>
      <c r="B19" s="102"/>
      <c r="C19" s="102"/>
      <c r="D19" s="137"/>
      <c r="E19" s="137"/>
      <c r="F19" s="137"/>
      <c r="G19" s="137"/>
      <c r="H19" s="137"/>
      <c r="I19" s="137"/>
      <c r="J19" s="137"/>
      <c r="K19" s="137"/>
      <c r="L19" s="137"/>
      <c r="M19" s="139"/>
      <c r="N19" s="65"/>
      <c r="O19" s="65"/>
      <c r="P19" s="65"/>
      <c r="Q19" s="65"/>
      <c r="R19" s="65"/>
      <c r="S19" s="140"/>
      <c r="T19" s="140"/>
      <c r="U19" s="140"/>
      <c r="V19" s="140"/>
      <c r="W19" s="65"/>
      <c r="X19" s="65"/>
    </row>
    <row r="20" spans="1:24" ht="48.75" customHeight="1">
      <c r="A20" s="65"/>
      <c r="B20" s="15" t="s">
        <v>195</v>
      </c>
      <c r="C20" s="5" t="s">
        <v>196</v>
      </c>
      <c r="D20" s="5" t="s">
        <v>197</v>
      </c>
      <c r="E20" s="5" t="s">
        <v>198</v>
      </c>
      <c r="F20" s="5" t="s">
        <v>199</v>
      </c>
      <c r="G20" s="5" t="s">
        <v>200</v>
      </c>
      <c r="H20" s="5" t="s">
        <v>201</v>
      </c>
      <c r="I20" s="5" t="s">
        <v>202</v>
      </c>
      <c r="J20" s="5" t="s">
        <v>203</v>
      </c>
      <c r="K20" s="5" t="s">
        <v>204</v>
      </c>
      <c r="L20" s="5" t="s">
        <v>205</v>
      </c>
      <c r="M20" s="5" t="s">
        <v>182</v>
      </c>
      <c r="N20" s="5" t="s">
        <v>183</v>
      </c>
      <c r="O20" s="5" t="s">
        <v>184</v>
      </c>
      <c r="P20" s="5" t="s">
        <v>185</v>
      </c>
      <c r="Q20" s="5" t="s">
        <v>186</v>
      </c>
      <c r="R20" s="5" t="s">
        <v>187</v>
      </c>
      <c r="S20" s="140"/>
      <c r="T20" s="140"/>
      <c r="U20" s="140"/>
      <c r="V20" s="140"/>
      <c r="W20" s="65"/>
      <c r="X20" s="65"/>
    </row>
    <row r="21" spans="1:24" ht="24.75" customHeight="1">
      <c r="A21" s="65"/>
      <c r="B21" s="6" t="s">
        <v>206</v>
      </c>
      <c r="C21" s="13">
        <v>1400000</v>
      </c>
      <c r="D21" s="13">
        <v>19800000</v>
      </c>
      <c r="E21" s="13">
        <v>84500000</v>
      </c>
      <c r="F21" s="13">
        <v>211600000</v>
      </c>
      <c r="G21" s="13">
        <v>429800000</v>
      </c>
      <c r="H21" s="13">
        <v>691400000</v>
      </c>
      <c r="I21" s="13">
        <v>1153200000</v>
      </c>
      <c r="J21" s="13">
        <v>1715400000</v>
      </c>
      <c r="K21" s="13">
        <v>2344700000</v>
      </c>
      <c r="L21" s="46">
        <f>3002600000</f>
        <v>3002600000</v>
      </c>
      <c r="M21" s="46">
        <v>3764700000</v>
      </c>
      <c r="N21" s="46">
        <v>4559500000</v>
      </c>
      <c r="O21" s="46">
        <v>5442800000</v>
      </c>
      <c r="P21" s="46">
        <v>6424097000</v>
      </c>
      <c r="Q21" s="46">
        <v>7653843402.3071308</v>
      </c>
      <c r="R21" s="46">
        <v>8756736975.1446075</v>
      </c>
      <c r="S21" s="140"/>
      <c r="T21" s="140"/>
      <c r="U21" s="140"/>
      <c r="V21" s="140"/>
      <c r="W21" s="65"/>
      <c r="X21" s="65"/>
    </row>
    <row r="22" spans="1:24">
      <c r="A22" s="65"/>
      <c r="B22" s="6" t="s">
        <v>207</v>
      </c>
      <c r="C22" s="13">
        <v>12997.1693670485</v>
      </c>
      <c r="D22" s="13">
        <v>187713.304494382</v>
      </c>
      <c r="E22" s="13">
        <v>653580.80466569797</v>
      </c>
      <c r="F22" s="13">
        <v>1265042.7655790001</v>
      </c>
      <c r="G22" s="13">
        <v>2136490.2403814155</v>
      </c>
      <c r="H22" s="13">
        <v>2958586.2127598412</v>
      </c>
      <c r="I22" s="13">
        <v>3934604.1171026533</v>
      </c>
      <c r="J22" s="13">
        <v>4855779.8367007999</v>
      </c>
      <c r="K22" s="46">
        <v>5452538.5959787779</v>
      </c>
      <c r="L22" s="46">
        <v>5721960.3020907417</v>
      </c>
      <c r="M22" s="46">
        <v>33597909.552505702</v>
      </c>
      <c r="N22" s="46">
        <v>41111935.064689398</v>
      </c>
      <c r="O22" s="46">
        <v>49782658.144593798</v>
      </c>
      <c r="P22" s="46">
        <v>59434169.137077436</v>
      </c>
      <c r="Q22" s="46">
        <v>70358375.164017603</v>
      </c>
      <c r="R22" s="46">
        <v>79274858.775983036</v>
      </c>
      <c r="S22" s="140"/>
      <c r="T22" s="140"/>
      <c r="U22" s="140"/>
      <c r="V22" s="140"/>
      <c r="W22" s="65"/>
      <c r="X22" s="65"/>
    </row>
    <row r="23" spans="1:24">
      <c r="A23" s="65"/>
      <c r="B23" s="6" t="s">
        <v>208</v>
      </c>
      <c r="C23" s="13">
        <v>6331.6852338317221</v>
      </c>
      <c r="D23" s="13">
        <v>91446.185295863368</v>
      </c>
      <c r="E23" s="13">
        <v>318397.63052633096</v>
      </c>
      <c r="F23" s="13">
        <v>616276.69631584862</v>
      </c>
      <c r="G23" s="13">
        <v>1040809.9891000015</v>
      </c>
      <c r="H23" s="13">
        <v>1441301.2639384875</v>
      </c>
      <c r="I23" s="13">
        <v>1916776.9600966366</v>
      </c>
      <c r="J23" s="13">
        <v>2365535.8041824256</v>
      </c>
      <c r="K23" s="46">
        <v>2656252.0761315832</v>
      </c>
      <c r="L23" s="46">
        <v>2787503.2270620135</v>
      </c>
      <c r="M23" s="46">
        <v>16367516.787197396</v>
      </c>
      <c r="N23" s="46">
        <v>20028040.324172158</v>
      </c>
      <c r="O23" s="46">
        <v>24252059.242542364</v>
      </c>
      <c r="P23" s="46">
        <v>28953877.608486351</v>
      </c>
      <c r="Q23" s="46">
        <v>27095994.441448353</v>
      </c>
      <c r="R23" s="46">
        <v>30529857.003280777</v>
      </c>
      <c r="S23" s="140"/>
      <c r="T23" s="140"/>
      <c r="U23" s="140"/>
      <c r="V23" s="140"/>
      <c r="W23" s="65"/>
      <c r="X23" s="65"/>
    </row>
    <row r="24" spans="1:24">
      <c r="A24" s="65"/>
      <c r="B24" s="6" t="s">
        <v>209</v>
      </c>
      <c r="C24" s="13">
        <v>1367.5346077390329</v>
      </c>
      <c r="D24" s="13">
        <v>19750.795960229669</v>
      </c>
      <c r="E24" s="13">
        <v>68768.386722749681</v>
      </c>
      <c r="F24" s="13">
        <v>133105.11799478374</v>
      </c>
      <c r="G24" s="13">
        <v>224796.97388768932</v>
      </c>
      <c r="H24" s="13">
        <v>311296.16931716795</v>
      </c>
      <c r="I24" s="13">
        <v>413990.70412454358</v>
      </c>
      <c r="J24" s="13">
        <v>510914.86051456281</v>
      </c>
      <c r="K24" s="46">
        <v>573704.55208025558</v>
      </c>
      <c r="L24" s="46">
        <v>602052.53284276754</v>
      </c>
      <c r="M24" s="46">
        <v>3535100.8179692002</v>
      </c>
      <c r="N24" s="46">
        <v>4325710.6531689325</v>
      </c>
      <c r="O24" s="46">
        <v>5238025.754328805</v>
      </c>
      <c r="P24" s="46">
        <v>6294321.2192361634</v>
      </c>
      <c r="Q24" s="46">
        <v>5890433.574227904</v>
      </c>
      <c r="R24" s="46">
        <v>6636925.4354958218</v>
      </c>
      <c r="S24" s="140"/>
      <c r="T24" s="140"/>
      <c r="U24" s="140"/>
      <c r="V24" s="140"/>
      <c r="W24" s="65"/>
      <c r="X24" s="65"/>
    </row>
    <row r="25" spans="1:24">
      <c r="A25" s="65"/>
      <c r="B25" s="6" t="s">
        <v>210</v>
      </c>
      <c r="C25" s="13">
        <v>8222.9678361450933</v>
      </c>
      <c r="D25" s="13">
        <v>118761.27960501735</v>
      </c>
      <c r="E25" s="13">
        <v>413503.41626796231</v>
      </c>
      <c r="F25" s="13">
        <v>800359.34586473845</v>
      </c>
      <c r="G25" s="13">
        <v>1351701.2845454565</v>
      </c>
      <c r="H25" s="13">
        <v>1871819.8232967372</v>
      </c>
      <c r="I25" s="13">
        <v>2489320.7273982293</v>
      </c>
      <c r="J25" s="13">
        <v>3072124.4210161371</v>
      </c>
      <c r="K25" s="46">
        <v>3449678.0209501078</v>
      </c>
      <c r="L25" s="46">
        <v>3620134.0611194978</v>
      </c>
      <c r="M25" s="46">
        <v>21256515.308048565</v>
      </c>
      <c r="N25" s="46">
        <v>26010441.979444358</v>
      </c>
      <c r="O25" s="46">
        <v>31496180.834470604</v>
      </c>
      <c r="P25" s="46">
        <v>35309606.839617498</v>
      </c>
      <c r="Q25" s="46">
        <v>33043895.66030287</v>
      </c>
      <c r="R25" s="46">
        <v>37231532.930830218</v>
      </c>
      <c r="S25" s="140"/>
      <c r="T25" s="140"/>
      <c r="U25" s="140"/>
      <c r="V25" s="140"/>
      <c r="W25" s="65"/>
      <c r="X25" s="65"/>
    </row>
    <row r="26" spans="1:24">
      <c r="A26" s="65"/>
      <c r="B26" s="6" t="s">
        <v>211</v>
      </c>
      <c r="C26" s="13">
        <v>1502.2155995201688</v>
      </c>
      <c r="D26" s="13">
        <v>21695.943653996994</v>
      </c>
      <c r="E26" s="13">
        <v>75541.008398716833</v>
      </c>
      <c r="F26" s="13">
        <v>146213.91187921868</v>
      </c>
      <c r="G26" s="13">
        <v>246935.99634551778</v>
      </c>
      <c r="H26" s="13">
        <v>341954.02366618585</v>
      </c>
      <c r="I26" s="13">
        <v>454762.38061750465</v>
      </c>
      <c r="J26" s="13">
        <v>561232.06619288027</v>
      </c>
      <c r="K26" s="46">
        <v>630205.57050147711</v>
      </c>
      <c r="L26" s="46">
        <v>661345.38859116274</v>
      </c>
      <c r="M26" s="46">
        <v>3883253.5312651061</v>
      </c>
      <c r="N26" s="46">
        <v>4751726.1979530053</v>
      </c>
      <c r="O26" s="46">
        <v>5753890.2155101486</v>
      </c>
      <c r="P26" s="46">
        <v>6869413.9085850017</v>
      </c>
      <c r="Q26" s="46">
        <v>8087169.5590824839</v>
      </c>
      <c r="R26" s="46">
        <v>9037261.602369247</v>
      </c>
      <c r="S26" s="140"/>
      <c r="T26" s="140"/>
      <c r="U26" s="140"/>
      <c r="V26" s="140"/>
      <c r="W26" s="65"/>
      <c r="X26" s="65"/>
    </row>
    <row r="27" spans="1:24">
      <c r="A27" s="65"/>
      <c r="B27" s="102"/>
      <c r="C27" s="102"/>
      <c r="D27" s="137"/>
      <c r="E27" s="137"/>
      <c r="F27" s="137"/>
      <c r="G27" s="137"/>
      <c r="H27" s="138"/>
      <c r="I27" s="138"/>
      <c r="J27" s="138"/>
      <c r="K27" s="137"/>
      <c r="L27" s="137"/>
      <c r="M27" s="139"/>
      <c r="N27" s="65"/>
      <c r="O27" s="65"/>
      <c r="P27" s="65"/>
      <c r="Q27" s="140"/>
      <c r="R27" s="140"/>
      <c r="S27" s="140"/>
      <c r="T27" s="140"/>
      <c r="U27" s="140"/>
      <c r="V27" s="140"/>
      <c r="W27" s="65"/>
      <c r="X27" s="65"/>
    </row>
    <row r="28" spans="1:24">
      <c r="A28" s="65"/>
      <c r="B28" s="101" t="s">
        <v>97</v>
      </c>
      <c r="C28" s="101"/>
      <c r="D28" s="102"/>
      <c r="E28" s="101"/>
      <c r="F28" s="101"/>
      <c r="G28" s="103"/>
      <c r="H28" s="106"/>
      <c r="I28" s="106"/>
      <c r="J28" s="106"/>
      <c r="K28" s="103"/>
      <c r="L28" s="103"/>
      <c r="M28" s="107"/>
      <c r="N28" s="65"/>
      <c r="O28" s="65"/>
      <c r="P28" s="65"/>
      <c r="Q28" s="65"/>
      <c r="R28" s="65"/>
      <c r="S28" s="65"/>
      <c r="T28" s="65"/>
      <c r="U28" s="65"/>
      <c r="V28" s="65"/>
      <c r="W28" s="65"/>
      <c r="X28" s="65"/>
    </row>
    <row r="29" spans="1:24" ht="29.75" customHeight="1">
      <c r="A29" s="65"/>
      <c r="B29" s="269" t="s">
        <v>212</v>
      </c>
      <c r="C29" s="269"/>
      <c r="D29" s="269"/>
      <c r="E29" s="269"/>
      <c r="F29" s="269"/>
      <c r="G29" s="269"/>
      <c r="H29" s="269"/>
      <c r="I29" s="269"/>
      <c r="J29" s="269"/>
      <c r="K29" s="269"/>
      <c r="L29" s="269"/>
      <c r="M29" s="269"/>
      <c r="N29" s="65"/>
      <c r="O29" s="65"/>
      <c r="P29" s="65"/>
      <c r="Q29" s="65"/>
      <c r="R29" s="65"/>
      <c r="S29" s="65"/>
      <c r="T29" s="65"/>
      <c r="U29" s="65"/>
      <c r="V29" s="65"/>
      <c r="W29" s="65"/>
      <c r="X29" s="65"/>
    </row>
    <row r="30" spans="1:24" ht="27.75" customHeight="1">
      <c r="A30" s="65"/>
      <c r="B30" s="266" t="s">
        <v>213</v>
      </c>
      <c r="C30" s="267"/>
      <c r="D30" s="267"/>
      <c r="E30" s="267"/>
      <c r="F30" s="267"/>
      <c r="G30" s="267"/>
      <c r="H30" s="267"/>
      <c r="I30" s="267"/>
      <c r="J30" s="267"/>
      <c r="K30" s="267"/>
      <c r="L30" s="267"/>
      <c r="M30" s="268"/>
      <c r="N30" s="65"/>
      <c r="O30" s="65"/>
      <c r="P30" s="65"/>
      <c r="Q30" s="65"/>
      <c r="R30" s="65"/>
      <c r="S30" s="65"/>
      <c r="T30" s="65"/>
      <c r="U30" s="65"/>
      <c r="V30" s="65"/>
      <c r="W30" s="65"/>
      <c r="X30" s="65"/>
    </row>
    <row r="31" spans="1:24" ht="45" customHeight="1">
      <c r="A31" s="65"/>
      <c r="B31" s="266" t="s">
        <v>214</v>
      </c>
      <c r="C31" s="267"/>
      <c r="D31" s="267"/>
      <c r="E31" s="267"/>
      <c r="F31" s="267"/>
      <c r="G31" s="267"/>
      <c r="H31" s="267"/>
      <c r="I31" s="267"/>
      <c r="J31" s="267"/>
      <c r="K31" s="267"/>
      <c r="L31" s="267"/>
      <c r="M31" s="268"/>
      <c r="N31" s="65"/>
      <c r="O31" s="65"/>
      <c r="P31" s="65"/>
      <c r="Q31" s="65"/>
      <c r="R31" s="65"/>
      <c r="S31" s="65"/>
      <c r="T31" s="65"/>
      <c r="U31" s="65"/>
      <c r="V31" s="65"/>
      <c r="W31" s="65"/>
      <c r="X31" s="65"/>
    </row>
    <row r="32" spans="1:24" ht="20.75" customHeight="1">
      <c r="A32" s="65"/>
      <c r="B32" s="303" t="s">
        <v>215</v>
      </c>
      <c r="C32" s="303"/>
      <c r="D32" s="303"/>
      <c r="E32" s="303"/>
      <c r="F32" s="303"/>
      <c r="G32" s="303"/>
      <c r="H32" s="303"/>
      <c r="I32" s="303"/>
      <c r="J32" s="303"/>
      <c r="K32" s="303"/>
      <c r="L32" s="303"/>
      <c r="M32" s="303"/>
      <c r="N32" s="65"/>
      <c r="O32" s="65"/>
      <c r="P32" s="65"/>
      <c r="Q32" s="65"/>
      <c r="R32" s="65"/>
      <c r="S32" s="65"/>
      <c r="T32" s="65"/>
      <c r="U32" s="65"/>
      <c r="V32" s="65"/>
      <c r="W32" s="65"/>
      <c r="X32" s="65"/>
    </row>
    <row r="33" spans="1:24" ht="30" customHeight="1">
      <c r="A33" s="65"/>
      <c r="B33" s="300" t="s">
        <v>216</v>
      </c>
      <c r="C33" s="301"/>
      <c r="D33" s="301"/>
      <c r="E33" s="301"/>
      <c r="F33" s="301"/>
      <c r="G33" s="301"/>
      <c r="H33" s="301"/>
      <c r="I33" s="301"/>
      <c r="J33" s="301"/>
      <c r="K33" s="301"/>
      <c r="L33" s="301"/>
      <c r="M33" s="302"/>
      <c r="N33" s="65"/>
      <c r="O33" s="65"/>
      <c r="P33" s="65"/>
      <c r="Q33" s="65"/>
      <c r="R33" s="65"/>
      <c r="S33" s="65"/>
      <c r="T33" s="65"/>
      <c r="U33" s="65"/>
      <c r="V33" s="65"/>
      <c r="W33" s="65"/>
      <c r="X33" s="65"/>
    </row>
    <row r="34" spans="1:24" ht="30" customHeight="1">
      <c r="A34" s="65"/>
      <c r="B34" s="299" t="s">
        <v>217</v>
      </c>
      <c r="C34" s="299"/>
      <c r="D34" s="299"/>
      <c r="E34" s="299"/>
      <c r="F34" s="299"/>
      <c r="G34" s="299"/>
      <c r="H34" s="299"/>
      <c r="I34" s="299"/>
      <c r="J34" s="299"/>
      <c r="K34" s="299"/>
      <c r="L34" s="299"/>
      <c r="M34" s="299"/>
      <c r="N34" s="65"/>
      <c r="O34" s="65"/>
      <c r="P34" s="65"/>
      <c r="Q34" s="65"/>
      <c r="R34" s="65"/>
      <c r="S34" s="65"/>
      <c r="T34" s="65"/>
      <c r="U34" s="65"/>
      <c r="V34" s="65"/>
      <c r="W34" s="65"/>
      <c r="X34" s="65"/>
    </row>
    <row r="35" spans="1:24" ht="33.75" customHeight="1">
      <c r="A35" s="65"/>
      <c r="B35" s="299" t="s">
        <v>218</v>
      </c>
      <c r="C35" s="299"/>
      <c r="D35" s="299"/>
      <c r="E35" s="299"/>
      <c r="F35" s="299"/>
      <c r="G35" s="299"/>
      <c r="H35" s="299"/>
      <c r="I35" s="299"/>
      <c r="J35" s="299"/>
      <c r="K35" s="299"/>
      <c r="L35" s="299"/>
      <c r="M35" s="299"/>
      <c r="N35" s="65"/>
      <c r="O35" s="65"/>
      <c r="P35" s="65"/>
      <c r="Q35" s="65"/>
      <c r="R35" s="65"/>
      <c r="S35" s="65"/>
      <c r="T35" s="65"/>
      <c r="U35" s="65"/>
      <c r="V35" s="65"/>
      <c r="W35" s="65"/>
      <c r="X35" s="65"/>
    </row>
    <row r="36" spans="1:24" ht="27.75" customHeight="1">
      <c r="A36" s="65"/>
      <c r="B36" s="299" t="s">
        <v>219</v>
      </c>
      <c r="C36" s="299"/>
      <c r="D36" s="299"/>
      <c r="E36" s="299"/>
      <c r="F36" s="299"/>
      <c r="G36" s="299"/>
      <c r="H36" s="299"/>
      <c r="I36" s="299"/>
      <c r="J36" s="299"/>
      <c r="K36" s="299"/>
      <c r="L36" s="299"/>
      <c r="M36" s="299"/>
      <c r="N36" s="65"/>
      <c r="O36" s="65"/>
      <c r="P36" s="65"/>
      <c r="Q36" s="65"/>
      <c r="R36" s="65"/>
      <c r="S36" s="65"/>
      <c r="T36" s="65"/>
      <c r="U36" s="65"/>
      <c r="V36" s="65"/>
      <c r="W36" s="65"/>
      <c r="X36" s="65"/>
    </row>
    <row r="37" spans="1:24" ht="1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row>
    <row r="38" spans="1:24">
      <c r="A38" s="65"/>
      <c r="B38" s="65"/>
      <c r="C38" s="65"/>
      <c r="D38" s="65"/>
      <c r="E38" s="65"/>
      <c r="F38" s="65"/>
      <c r="G38" s="65"/>
      <c r="H38" s="65"/>
      <c r="I38" s="65"/>
      <c r="J38" s="65"/>
      <c r="K38" s="65"/>
      <c r="L38" s="65"/>
      <c r="M38" s="65"/>
      <c r="N38" s="65"/>
      <c r="O38" s="65"/>
      <c r="P38" s="65"/>
      <c r="Q38" s="65"/>
      <c r="R38" s="65"/>
      <c r="S38" s="65"/>
      <c r="T38" s="65"/>
      <c r="U38" s="65"/>
      <c r="V38" s="65"/>
      <c r="W38" s="65"/>
      <c r="X38" s="65"/>
    </row>
    <row r="39" spans="1:24">
      <c r="A39" s="65"/>
      <c r="B39" s="65"/>
      <c r="C39" s="65"/>
      <c r="D39" s="65"/>
      <c r="E39" s="65"/>
      <c r="F39" s="65"/>
      <c r="G39" s="65"/>
      <c r="H39" s="65"/>
      <c r="I39" s="65"/>
      <c r="J39" s="65"/>
      <c r="K39" s="65"/>
      <c r="L39" s="65"/>
      <c r="M39" s="65"/>
      <c r="N39" s="65"/>
      <c r="O39" s="65"/>
      <c r="P39" s="65"/>
      <c r="Q39" s="65"/>
      <c r="R39" s="65"/>
      <c r="S39" s="65"/>
      <c r="T39" s="65"/>
      <c r="U39" s="65"/>
      <c r="V39" s="65"/>
      <c r="W39" s="65"/>
      <c r="X39" s="65"/>
    </row>
    <row r="40" spans="1:24">
      <c r="A40" s="65"/>
      <c r="B40" s="65"/>
      <c r="C40" s="65"/>
      <c r="D40" s="65"/>
      <c r="E40" s="65"/>
      <c r="F40" s="65"/>
      <c r="G40" s="65"/>
      <c r="H40" s="65"/>
      <c r="I40" s="65"/>
      <c r="J40" s="65"/>
      <c r="K40" s="65"/>
      <c r="L40" s="65"/>
      <c r="M40" s="65"/>
      <c r="N40" s="65"/>
      <c r="O40" s="65"/>
      <c r="P40" s="65"/>
      <c r="Q40" s="65"/>
      <c r="R40" s="65"/>
      <c r="S40" s="65"/>
      <c r="T40" s="65"/>
      <c r="U40" s="65"/>
      <c r="V40" s="65"/>
      <c r="W40" s="65"/>
      <c r="X40" s="65"/>
    </row>
    <row r="41" spans="1:24">
      <c r="A41" s="65"/>
      <c r="B41" s="65"/>
      <c r="C41" s="65"/>
      <c r="D41" s="65"/>
      <c r="E41" s="65"/>
      <c r="F41" s="65"/>
      <c r="G41" s="65"/>
      <c r="H41" s="65"/>
      <c r="I41" s="65"/>
      <c r="J41" s="65"/>
      <c r="K41" s="65"/>
      <c r="L41" s="65"/>
      <c r="M41" s="65"/>
      <c r="N41" s="65"/>
      <c r="O41" s="65"/>
      <c r="P41" s="65"/>
      <c r="Q41" s="65"/>
      <c r="R41" s="65"/>
      <c r="S41" s="65"/>
      <c r="T41" s="65"/>
      <c r="U41" s="65"/>
      <c r="V41" s="65"/>
      <c r="W41" s="65"/>
      <c r="X41" s="65"/>
    </row>
    <row r="42" spans="1:24" hidden="1">
      <c r="A42" s="65"/>
      <c r="B42" s="65"/>
      <c r="C42" s="65"/>
      <c r="D42" s="65"/>
      <c r="E42" s="65"/>
      <c r="F42" s="65"/>
      <c r="G42" s="65"/>
      <c r="H42" s="65"/>
      <c r="I42" s="65"/>
      <c r="J42" s="65"/>
      <c r="K42" s="65"/>
      <c r="L42" s="65"/>
      <c r="M42" s="65"/>
      <c r="N42" s="65"/>
      <c r="O42" s="65"/>
      <c r="P42" s="65"/>
      <c r="Q42" s="65"/>
      <c r="R42" s="65"/>
      <c r="S42" s="65"/>
      <c r="T42" s="65"/>
      <c r="U42" s="65"/>
      <c r="V42" s="65"/>
      <c r="W42" s="65"/>
      <c r="X42" s="65"/>
    </row>
    <row r="43" spans="1:24" hidden="1">
      <c r="A43" s="65"/>
      <c r="B43" s="65"/>
      <c r="C43" s="65"/>
      <c r="D43" s="65"/>
      <c r="E43" s="65"/>
      <c r="F43" s="65"/>
      <c r="G43" s="65"/>
      <c r="H43" s="65"/>
      <c r="I43" s="65"/>
      <c r="J43" s="65"/>
      <c r="K43" s="65"/>
      <c r="L43" s="65"/>
      <c r="M43" s="65"/>
      <c r="N43" s="65"/>
      <c r="O43" s="65"/>
      <c r="P43" s="65"/>
      <c r="Q43" s="65"/>
      <c r="R43" s="65"/>
      <c r="S43" s="65"/>
      <c r="T43" s="65"/>
      <c r="U43" s="65"/>
      <c r="V43" s="65"/>
      <c r="W43" s="65"/>
      <c r="X43" s="65"/>
    </row>
    <row r="44" spans="1:24" hidden="1">
      <c r="A44" s="65"/>
      <c r="B44" s="65"/>
      <c r="C44" s="65"/>
      <c r="D44" s="65"/>
      <c r="E44" s="65"/>
      <c r="F44" s="65"/>
      <c r="G44" s="65"/>
      <c r="H44" s="65"/>
      <c r="I44" s="65"/>
      <c r="J44" s="65"/>
      <c r="K44" s="65"/>
      <c r="L44" s="65"/>
      <c r="M44" s="65"/>
      <c r="N44" s="65"/>
      <c r="O44" s="65"/>
      <c r="P44" s="65"/>
      <c r="Q44" s="65"/>
      <c r="R44" s="65"/>
      <c r="S44" s="65"/>
      <c r="T44" s="65"/>
      <c r="U44" s="65"/>
      <c r="V44" s="65"/>
      <c r="W44" s="65"/>
      <c r="X44" s="65"/>
    </row>
    <row r="45" spans="1:24" hidden="1">
      <c r="A45" s="65"/>
      <c r="B45" s="65"/>
      <c r="C45" s="65"/>
      <c r="D45" s="65"/>
      <c r="E45" s="65"/>
      <c r="F45" s="65"/>
      <c r="G45" s="65"/>
      <c r="H45" s="65"/>
      <c r="I45" s="65"/>
      <c r="J45" s="65"/>
      <c r="K45" s="65"/>
      <c r="L45" s="65"/>
      <c r="M45" s="65"/>
      <c r="N45" s="65"/>
      <c r="O45" s="65"/>
      <c r="P45" s="65"/>
      <c r="Q45" s="65"/>
      <c r="R45" s="65"/>
      <c r="S45" s="65"/>
      <c r="T45" s="65"/>
      <c r="U45" s="65"/>
      <c r="V45" s="65"/>
      <c r="W45" s="65"/>
      <c r="X45" s="65"/>
    </row>
    <row r="46" spans="1:24" hidden="1">
      <c r="A46" s="65"/>
      <c r="B46" s="65"/>
      <c r="C46" s="65"/>
      <c r="D46" s="65"/>
      <c r="E46" s="65"/>
      <c r="F46" s="65"/>
      <c r="G46" s="65"/>
      <c r="H46" s="65"/>
      <c r="I46" s="65"/>
      <c r="J46" s="65"/>
      <c r="K46" s="65"/>
      <c r="L46" s="65"/>
      <c r="M46" s="65"/>
      <c r="N46" s="65"/>
      <c r="O46" s="65"/>
      <c r="P46" s="65"/>
      <c r="Q46" s="65"/>
      <c r="R46" s="65"/>
      <c r="S46" s="65"/>
      <c r="T46" s="65"/>
      <c r="U46" s="65"/>
      <c r="V46" s="65"/>
      <c r="W46" s="65"/>
      <c r="X46" s="65"/>
    </row>
    <row r="47" spans="1:24" hidden="1">
      <c r="A47" s="65"/>
      <c r="B47" s="65"/>
      <c r="C47" s="65"/>
      <c r="D47" s="65"/>
      <c r="E47" s="65"/>
      <c r="F47" s="65"/>
      <c r="G47" s="65"/>
      <c r="H47" s="65"/>
      <c r="I47" s="65"/>
      <c r="J47" s="65"/>
      <c r="K47" s="65"/>
      <c r="L47" s="65"/>
      <c r="M47" s="65"/>
      <c r="N47" s="65"/>
      <c r="O47" s="65"/>
      <c r="P47" s="65"/>
      <c r="Q47" s="65"/>
      <c r="R47" s="65"/>
      <c r="S47" s="65"/>
      <c r="T47" s="65"/>
      <c r="U47" s="65"/>
      <c r="V47" s="65"/>
      <c r="W47" s="65"/>
      <c r="X47" s="65"/>
    </row>
    <row r="48" spans="1:24" hidden="1">
      <c r="A48" s="65"/>
      <c r="B48" s="65"/>
      <c r="C48" s="65"/>
      <c r="D48" s="65"/>
      <c r="E48" s="65"/>
      <c r="F48" s="65"/>
      <c r="G48" s="65"/>
      <c r="H48" s="65"/>
      <c r="I48" s="65"/>
      <c r="J48" s="65"/>
      <c r="K48" s="65"/>
      <c r="L48" s="65"/>
      <c r="M48" s="65"/>
      <c r="N48" s="65"/>
      <c r="O48" s="65"/>
      <c r="P48" s="65"/>
      <c r="Q48" s="65"/>
      <c r="R48" s="65"/>
      <c r="S48" s="65"/>
      <c r="T48" s="65"/>
      <c r="U48" s="65"/>
      <c r="V48" s="65"/>
      <c r="W48" s="65"/>
      <c r="X48" s="65"/>
    </row>
    <row r="49" spans="1:24" hidden="1">
      <c r="A49" s="65"/>
      <c r="B49" s="65"/>
      <c r="C49" s="65"/>
      <c r="D49" s="65"/>
      <c r="E49" s="65"/>
      <c r="F49" s="65"/>
      <c r="G49" s="65"/>
      <c r="H49" s="65"/>
      <c r="I49" s="65"/>
      <c r="J49" s="65"/>
      <c r="K49" s="65"/>
      <c r="L49" s="65"/>
      <c r="M49" s="65"/>
      <c r="N49" s="65"/>
      <c r="O49" s="65"/>
      <c r="P49" s="65"/>
      <c r="Q49" s="65"/>
      <c r="R49" s="65"/>
      <c r="S49" s="65"/>
      <c r="T49" s="65"/>
      <c r="U49" s="65"/>
      <c r="V49" s="65"/>
      <c r="W49" s="65"/>
      <c r="X49" s="65"/>
    </row>
    <row r="50" spans="1:24" hidden="1">
      <c r="A50" s="65"/>
      <c r="B50" s="65"/>
      <c r="C50" s="65"/>
      <c r="D50" s="65"/>
      <c r="E50" s="65"/>
      <c r="F50" s="65"/>
      <c r="G50" s="65"/>
      <c r="H50" s="65"/>
      <c r="I50" s="65"/>
      <c r="J50" s="65"/>
      <c r="K50" s="65"/>
      <c r="L50" s="65"/>
      <c r="M50" s="65"/>
      <c r="N50" s="65"/>
      <c r="O50" s="65"/>
      <c r="P50" s="65"/>
      <c r="Q50" s="65"/>
      <c r="R50" s="65"/>
      <c r="S50" s="65"/>
      <c r="T50" s="65"/>
      <c r="U50" s="65"/>
      <c r="V50" s="65"/>
      <c r="W50" s="65"/>
      <c r="X50" s="65"/>
    </row>
    <row r="51" spans="1:24" hidden="1">
      <c r="A51" s="65"/>
      <c r="B51" s="65"/>
      <c r="C51" s="65"/>
      <c r="D51" s="65"/>
      <c r="E51" s="65"/>
      <c r="F51" s="65"/>
      <c r="G51" s="65"/>
      <c r="H51" s="65"/>
      <c r="I51" s="65"/>
      <c r="J51" s="65"/>
      <c r="K51" s="65"/>
      <c r="L51" s="65"/>
      <c r="M51" s="65"/>
      <c r="N51" s="65"/>
      <c r="O51" s="65"/>
      <c r="P51" s="65"/>
      <c r="Q51" s="65"/>
      <c r="R51" s="65"/>
      <c r="S51" s="65"/>
      <c r="T51" s="65"/>
      <c r="U51" s="65"/>
      <c r="V51" s="65"/>
      <c r="W51" s="65"/>
      <c r="X51" s="65"/>
    </row>
    <row r="52" spans="1:24" hidden="1">
      <c r="A52" s="65"/>
      <c r="B52" s="65"/>
      <c r="C52" s="65"/>
      <c r="D52" s="65"/>
      <c r="E52" s="65"/>
      <c r="F52" s="65"/>
      <c r="G52" s="65"/>
      <c r="H52" s="65"/>
      <c r="I52" s="65"/>
      <c r="J52" s="65"/>
      <c r="K52" s="65"/>
      <c r="L52" s="65"/>
      <c r="M52" s="65"/>
      <c r="N52" s="65"/>
      <c r="O52" s="65"/>
      <c r="P52" s="65"/>
      <c r="Q52" s="65"/>
      <c r="R52" s="65"/>
      <c r="S52" s="65"/>
      <c r="T52" s="65"/>
      <c r="U52" s="65"/>
      <c r="V52" s="65"/>
      <c r="W52" s="65"/>
      <c r="X52" s="65"/>
    </row>
    <row r="53" spans="1:24" hidden="1">
      <c r="A53" s="65"/>
      <c r="B53" s="65"/>
      <c r="C53" s="65"/>
      <c r="D53" s="65"/>
      <c r="E53" s="65"/>
      <c r="F53" s="65"/>
      <c r="G53" s="65"/>
      <c r="H53" s="65"/>
      <c r="I53" s="65"/>
      <c r="J53" s="65"/>
      <c r="K53" s="65"/>
      <c r="L53" s="65"/>
      <c r="M53" s="65"/>
      <c r="N53" s="65"/>
      <c r="O53" s="65"/>
      <c r="P53" s="65"/>
      <c r="Q53" s="65"/>
      <c r="R53" s="65"/>
      <c r="S53" s="65"/>
      <c r="T53" s="65"/>
      <c r="U53" s="65"/>
      <c r="V53" s="65"/>
      <c r="W53" s="65"/>
      <c r="X53" s="65"/>
    </row>
    <row r="54" spans="1:24" hidden="1">
      <c r="A54" s="65"/>
      <c r="B54" s="65"/>
      <c r="C54" s="65"/>
      <c r="D54" s="65"/>
      <c r="E54" s="65"/>
      <c r="F54" s="65"/>
      <c r="G54" s="65"/>
      <c r="H54" s="65"/>
      <c r="I54" s="65"/>
      <c r="J54" s="65"/>
      <c r="K54" s="65"/>
      <c r="L54" s="65"/>
      <c r="M54" s="65"/>
      <c r="N54" s="65"/>
      <c r="O54" s="65"/>
      <c r="P54" s="65"/>
      <c r="Q54" s="65"/>
      <c r="R54" s="65"/>
      <c r="S54" s="65"/>
      <c r="T54" s="65"/>
      <c r="U54" s="65"/>
      <c r="V54" s="65"/>
      <c r="W54" s="65"/>
      <c r="X54" s="65"/>
    </row>
    <row r="55" spans="1:24" hidden="1">
      <c r="A55" s="65"/>
      <c r="B55" s="65"/>
      <c r="C55" s="65"/>
      <c r="D55" s="65"/>
      <c r="E55" s="65"/>
      <c r="F55" s="65"/>
      <c r="G55" s="65"/>
      <c r="H55" s="65"/>
      <c r="I55" s="65"/>
      <c r="J55" s="65"/>
      <c r="K55" s="65"/>
      <c r="L55" s="65"/>
      <c r="M55" s="65"/>
      <c r="N55" s="65"/>
      <c r="O55" s="65"/>
      <c r="P55" s="65"/>
      <c r="Q55" s="65"/>
      <c r="R55" s="65"/>
      <c r="S55" s="65"/>
      <c r="T55" s="65"/>
      <c r="U55" s="65"/>
      <c r="V55" s="65"/>
      <c r="W55" s="65"/>
      <c r="X55" s="65"/>
    </row>
    <row r="56" spans="1:24" hidden="1">
      <c r="A56" s="65"/>
      <c r="B56" s="65"/>
      <c r="C56" s="65"/>
      <c r="D56" s="65"/>
      <c r="E56" s="65"/>
      <c r="F56" s="65"/>
      <c r="G56" s="65"/>
      <c r="H56" s="65"/>
      <c r="I56" s="65"/>
      <c r="J56" s="65"/>
      <c r="K56" s="65"/>
      <c r="L56" s="65"/>
      <c r="M56" s="65"/>
      <c r="N56" s="65"/>
      <c r="O56" s="65"/>
      <c r="P56" s="65"/>
      <c r="Q56" s="65"/>
      <c r="R56" s="65"/>
      <c r="S56" s="65"/>
      <c r="T56" s="65"/>
      <c r="U56" s="65"/>
      <c r="V56" s="65"/>
      <c r="W56" s="65"/>
      <c r="X56" s="65"/>
    </row>
    <row r="57" spans="1:24" hidden="1">
      <c r="A57" s="65"/>
      <c r="B57" s="65"/>
      <c r="C57" s="65"/>
      <c r="D57" s="65"/>
      <c r="E57" s="65"/>
      <c r="F57" s="65"/>
      <c r="G57" s="65"/>
      <c r="H57" s="65"/>
      <c r="I57" s="65"/>
      <c r="J57" s="65"/>
      <c r="K57" s="65"/>
      <c r="L57" s="65"/>
      <c r="M57" s="65"/>
      <c r="N57" s="65"/>
      <c r="O57" s="65"/>
      <c r="P57" s="65"/>
      <c r="Q57" s="65"/>
      <c r="R57" s="65"/>
      <c r="S57" s="65"/>
      <c r="T57" s="65"/>
      <c r="U57" s="65"/>
      <c r="V57" s="65"/>
      <c r="W57" s="65"/>
      <c r="X57" s="65"/>
    </row>
    <row r="58" spans="1:24" hidden="1">
      <c r="A58" s="65"/>
      <c r="B58" s="65"/>
      <c r="C58" s="65"/>
      <c r="D58" s="65"/>
      <c r="E58" s="65"/>
      <c r="F58" s="65"/>
      <c r="G58" s="65"/>
      <c r="H58" s="65"/>
      <c r="I58" s="65"/>
      <c r="J58" s="65"/>
      <c r="K58" s="65"/>
      <c r="L58" s="65"/>
      <c r="M58" s="65"/>
      <c r="N58" s="65"/>
      <c r="O58" s="65"/>
      <c r="P58" s="65"/>
      <c r="Q58" s="65"/>
      <c r="R58" s="65"/>
      <c r="S58" s="65"/>
      <c r="T58" s="65"/>
      <c r="U58" s="65"/>
      <c r="V58" s="65"/>
      <c r="W58" s="65"/>
      <c r="X58" s="65"/>
    </row>
  </sheetData>
  <mergeCells count="9">
    <mergeCell ref="B36:M36"/>
    <mergeCell ref="B35:M35"/>
    <mergeCell ref="B33:M33"/>
    <mergeCell ref="B34:M34"/>
    <mergeCell ref="B5:L7"/>
    <mergeCell ref="B30:M30"/>
    <mergeCell ref="B29:M29"/>
    <mergeCell ref="B32:M32"/>
    <mergeCell ref="B31:M31"/>
  </mergeCells>
  <phoneticPr fontId="30" type="noConversion"/>
  <printOptions horizontalCentered="1" headings="1"/>
  <pageMargins left="0.5" right="0.5" top="1.25" bottom="1" header="0.5" footer="0.5"/>
  <pageSetup scale="39" fitToHeight="0" orientation="landscape" r:id="rId1"/>
  <headerFooter scaleWithDoc="0">
    <oddHeader>&amp;R&amp;"Arial,Bold"ICC Docket No. 21-0155
Statewide Quarterly Report ComEd 2023 Q3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workbookViewId="0">
      <selection activeCell="D53" sqref="D53"/>
    </sheetView>
  </sheetViews>
  <sheetFormatPr defaultColWidth="0" defaultRowHeight="14.5" zeroHeight="1"/>
  <cols>
    <col min="1" max="1" width="2.54296875" customWidth="1"/>
    <col min="2" max="2" width="4.54296875" style="3" customWidth="1"/>
    <col min="3" max="3" width="4.54296875" customWidth="1"/>
    <col min="4" max="4" width="76.54296875" customWidth="1"/>
    <col min="5" max="5" width="12.1796875" bestFit="1" customWidth="1"/>
    <col min="6" max="6" width="44.26953125" customWidth="1"/>
    <col min="7" max="7" width="30.6328125" bestFit="1" customWidth="1"/>
    <col min="8" max="8" width="10.54296875" bestFit="1" customWidth="1"/>
    <col min="9" max="10" width="9.1796875" customWidth="1"/>
    <col min="11" max="11" width="9.1796875" hidden="1" customWidth="1"/>
    <col min="12" max="13" width="0" hidden="1" customWidth="1"/>
    <col min="14" max="16384" width="9.1796875" hidden="1"/>
  </cols>
  <sheetData>
    <row r="1" spans="1:13" ht="16.5" customHeight="1">
      <c r="A1" s="65"/>
      <c r="B1" s="72" t="s">
        <v>0</v>
      </c>
      <c r="C1" s="65"/>
      <c r="D1" s="65"/>
      <c r="E1" s="91"/>
      <c r="F1" s="91"/>
      <c r="G1" s="65"/>
      <c r="H1" s="65"/>
      <c r="I1" s="65"/>
      <c r="J1" s="65"/>
      <c r="K1" s="65"/>
      <c r="L1" s="65"/>
      <c r="M1" s="65"/>
    </row>
    <row r="2" spans="1:13" ht="14.25" customHeight="1">
      <c r="A2" s="65"/>
      <c r="B2" s="72" t="s">
        <v>220</v>
      </c>
      <c r="C2" s="65"/>
      <c r="D2" s="65"/>
      <c r="E2" s="92"/>
      <c r="F2" s="92"/>
      <c r="G2" s="65"/>
      <c r="H2" s="65"/>
      <c r="I2" s="65"/>
      <c r="J2" s="65"/>
      <c r="K2" s="65"/>
      <c r="L2" s="65"/>
      <c r="M2" s="65"/>
    </row>
    <row r="3" spans="1:13" ht="15.5">
      <c r="A3" s="65"/>
      <c r="B3" s="72"/>
      <c r="C3" s="65"/>
      <c r="D3" s="65"/>
      <c r="E3" s="93"/>
      <c r="F3" s="93"/>
      <c r="G3" s="65"/>
      <c r="H3" s="65"/>
      <c r="I3" s="65"/>
      <c r="J3" s="65"/>
      <c r="K3" s="65"/>
      <c r="L3" s="65"/>
      <c r="M3" s="65"/>
    </row>
    <row r="4" spans="1:13" ht="18.5">
      <c r="A4" s="65"/>
      <c r="B4" s="94"/>
      <c r="C4" s="65"/>
      <c r="D4" s="65"/>
      <c r="E4" s="93"/>
      <c r="F4" s="93"/>
      <c r="G4" s="65"/>
      <c r="H4" s="65"/>
      <c r="I4" s="65"/>
      <c r="J4" s="65"/>
      <c r="K4" s="65"/>
      <c r="L4" s="65"/>
      <c r="M4" s="65"/>
    </row>
    <row r="5" spans="1:13" ht="22.5" customHeight="1">
      <c r="A5" s="65"/>
      <c r="B5" s="276" t="s">
        <v>221</v>
      </c>
      <c r="C5" s="276"/>
      <c r="D5" s="276"/>
      <c r="E5" s="95"/>
      <c r="F5" s="95"/>
      <c r="G5" s="95"/>
      <c r="H5" s="95"/>
      <c r="I5" s="95"/>
      <c r="J5" s="95"/>
      <c r="K5" s="95"/>
      <c r="L5" s="65"/>
      <c r="M5" s="65"/>
    </row>
    <row r="6" spans="1:13" ht="27" customHeight="1">
      <c r="A6" s="65"/>
      <c r="B6" s="276"/>
      <c r="C6" s="276"/>
      <c r="D6" s="276"/>
      <c r="E6" s="95"/>
      <c r="F6" s="95"/>
      <c r="G6" s="95"/>
      <c r="H6" s="95"/>
      <c r="I6" s="95"/>
      <c r="J6" s="95"/>
      <c r="K6" s="95"/>
      <c r="L6" s="65"/>
      <c r="M6" s="65"/>
    </row>
    <row r="7" spans="1:13" ht="22.5" customHeight="1">
      <c r="A7" s="65"/>
      <c r="B7" s="96"/>
      <c r="C7" s="96"/>
      <c r="D7" s="96"/>
      <c r="E7" s="95"/>
      <c r="F7" s="95"/>
      <c r="G7" s="95"/>
      <c r="H7" s="95"/>
      <c r="I7" s="95"/>
      <c r="J7" s="95"/>
      <c r="K7" s="95"/>
      <c r="L7" s="65"/>
      <c r="M7" s="65"/>
    </row>
    <row r="8" spans="1:13" ht="22.5" customHeight="1">
      <c r="A8" s="65"/>
      <c r="B8" s="319" t="s">
        <v>222</v>
      </c>
      <c r="C8" s="319"/>
      <c r="D8" s="319"/>
      <c r="E8" s="95"/>
      <c r="F8" s="95"/>
      <c r="G8" s="95"/>
      <c r="H8" s="95"/>
      <c r="I8" s="95"/>
      <c r="J8" s="95"/>
      <c r="K8" s="95"/>
      <c r="L8" s="65"/>
      <c r="M8" s="65"/>
    </row>
    <row r="9" spans="1:13" ht="21" customHeight="1">
      <c r="A9" s="65"/>
      <c r="B9" s="328" t="s">
        <v>223</v>
      </c>
      <c r="C9" s="328"/>
      <c r="D9" s="328"/>
      <c r="E9" s="96"/>
      <c r="F9" s="96"/>
      <c r="G9" s="96"/>
      <c r="H9" s="96"/>
      <c r="I9" s="96"/>
      <c r="J9" s="96"/>
      <c r="K9" s="96"/>
      <c r="L9" s="65"/>
      <c r="M9" s="65"/>
    </row>
    <row r="10" spans="1:13" ht="21" customHeight="1">
      <c r="A10" s="65"/>
      <c r="B10" s="312" t="s">
        <v>224</v>
      </c>
      <c r="C10" s="312"/>
      <c r="D10" s="312"/>
      <c r="E10" s="96"/>
      <c r="F10" s="96"/>
      <c r="G10" s="96"/>
      <c r="H10" s="96"/>
      <c r="I10" s="96"/>
      <c r="J10" s="96"/>
      <c r="K10" s="96"/>
      <c r="L10" s="65"/>
      <c r="M10" s="65"/>
    </row>
    <row r="11" spans="1:13" ht="21" customHeight="1">
      <c r="A11" s="65"/>
      <c r="B11" s="313" t="s">
        <v>225</v>
      </c>
      <c r="C11" s="313"/>
      <c r="D11" s="313"/>
      <c r="E11" s="96"/>
      <c r="F11" s="96"/>
      <c r="G11" s="96"/>
      <c r="H11" s="96"/>
      <c r="I11" s="96"/>
      <c r="J11" s="96"/>
      <c r="K11" s="96"/>
      <c r="L11" s="65"/>
      <c r="M11" s="65"/>
    </row>
    <row r="12" spans="1:13" ht="21" customHeight="1">
      <c r="A12" s="65"/>
      <c r="B12" s="110"/>
      <c r="C12" s="110"/>
      <c r="D12" s="110"/>
      <c r="E12" s="96"/>
      <c r="F12" s="96"/>
      <c r="G12" s="96"/>
      <c r="H12" s="96"/>
      <c r="I12" s="96"/>
      <c r="J12" s="96"/>
      <c r="K12" s="96"/>
      <c r="L12" s="65"/>
      <c r="M12" s="65"/>
    </row>
    <row r="13" spans="1:13" ht="21" customHeight="1">
      <c r="A13" s="65"/>
      <c r="B13" s="111" t="s">
        <v>226</v>
      </c>
      <c r="C13" s="110"/>
      <c r="D13" s="110"/>
      <c r="E13" s="96"/>
      <c r="F13" s="96"/>
      <c r="G13" s="96"/>
      <c r="H13" s="96"/>
      <c r="I13" s="96"/>
      <c r="J13" s="96"/>
      <c r="K13" s="96"/>
      <c r="L13" s="65"/>
      <c r="M13" s="65"/>
    </row>
    <row r="14" spans="1:13" ht="21" customHeight="1">
      <c r="A14" s="65"/>
      <c r="B14" s="242" t="str">
        <f>'1- Ex Ante Results'!B19</f>
        <v>CY2023 Q3</v>
      </c>
      <c r="C14" s="241"/>
      <c r="D14" s="241"/>
      <c r="E14" s="96"/>
      <c r="F14" s="96"/>
      <c r="G14" s="96"/>
      <c r="H14" s="96"/>
      <c r="I14" s="96"/>
      <c r="J14" s="96"/>
      <c r="K14" s="96"/>
      <c r="L14" s="65"/>
      <c r="M14" s="65"/>
    </row>
    <row r="15" spans="1:13" ht="18" customHeight="1">
      <c r="A15" s="65"/>
      <c r="B15" s="320" t="str">
        <f>"Cumulative Persisting Annual Savings (CPAS) Goal Progress "&amp;'1- Ex Ante Results'!B19</f>
        <v>Cumulative Persisting Annual Savings (CPAS) Goal Progress CY2023 Q3</v>
      </c>
      <c r="C15" s="320"/>
      <c r="D15" s="320"/>
      <c r="E15" s="320"/>
      <c r="F15" s="320"/>
      <c r="G15" s="65"/>
      <c r="H15" s="65"/>
      <c r="I15" s="65"/>
      <c r="J15" s="65"/>
      <c r="K15" s="65"/>
      <c r="L15" s="65"/>
      <c r="M15" s="65"/>
    </row>
    <row r="16" spans="1:13">
      <c r="A16" s="65"/>
      <c r="B16" s="44" t="s">
        <v>227</v>
      </c>
      <c r="C16" s="310" t="s">
        <v>228</v>
      </c>
      <c r="D16" s="311"/>
      <c r="E16" s="174">
        <v>0.14399999999999999</v>
      </c>
      <c r="F16" s="58" t="s">
        <v>229</v>
      </c>
      <c r="G16" s="65"/>
      <c r="H16" s="65"/>
      <c r="I16" s="65"/>
      <c r="J16" s="65"/>
      <c r="K16" s="65"/>
      <c r="L16" s="65"/>
      <c r="M16" s="65"/>
    </row>
    <row r="17" spans="1:13">
      <c r="A17" s="65"/>
      <c r="B17" s="44" t="s">
        <v>230</v>
      </c>
      <c r="C17" s="310" t="s">
        <v>231</v>
      </c>
      <c r="D17" s="311"/>
      <c r="E17" s="175">
        <v>83000528.09633334</v>
      </c>
      <c r="F17" s="58" t="s">
        <v>229</v>
      </c>
      <c r="G17" s="109"/>
      <c r="H17" s="65"/>
      <c r="I17" s="65"/>
      <c r="J17" s="65"/>
      <c r="K17" s="65"/>
      <c r="L17" s="65"/>
      <c r="M17" s="65"/>
    </row>
    <row r="18" spans="1:13">
      <c r="A18" s="65"/>
      <c r="B18" s="44" t="s">
        <v>232</v>
      </c>
      <c r="C18" s="310" t="s">
        <v>233</v>
      </c>
      <c r="D18" s="311"/>
      <c r="E18" s="176">
        <f>E17*E16</f>
        <v>11952076.045871999</v>
      </c>
      <c r="F18" s="59" t="s">
        <v>234</v>
      </c>
      <c r="G18" s="65"/>
      <c r="H18" s="65"/>
      <c r="I18" s="65"/>
      <c r="J18" s="65"/>
      <c r="K18" s="65"/>
      <c r="L18" s="65"/>
      <c r="M18" s="65"/>
    </row>
    <row r="19" spans="1:13">
      <c r="A19" s="65"/>
      <c r="B19" s="44" t="s">
        <v>235</v>
      </c>
      <c r="C19" s="310" t="s">
        <v>236</v>
      </c>
      <c r="D19" s="311"/>
      <c r="E19" s="177">
        <v>11017253.694</v>
      </c>
      <c r="F19" s="60" t="s">
        <v>237</v>
      </c>
      <c r="G19" s="65"/>
      <c r="H19" s="67"/>
      <c r="I19" s="65"/>
      <c r="J19" s="65"/>
      <c r="K19" s="65"/>
      <c r="L19" s="65"/>
      <c r="M19" s="65"/>
    </row>
    <row r="20" spans="1:13" ht="16.5" customHeight="1">
      <c r="A20" s="65"/>
      <c r="B20" s="44"/>
      <c r="C20" s="325" t="s">
        <v>238</v>
      </c>
      <c r="D20" s="326"/>
      <c r="E20" s="326"/>
      <c r="F20" s="327"/>
      <c r="G20" s="65"/>
      <c r="H20" s="65"/>
      <c r="I20" s="65"/>
      <c r="J20" s="65"/>
      <c r="K20" s="65"/>
      <c r="L20" s="65"/>
      <c r="M20" s="65"/>
    </row>
    <row r="21" spans="1:13">
      <c r="A21" s="65"/>
      <c r="B21" s="44" t="s">
        <v>239</v>
      </c>
      <c r="C21" s="306" t="s">
        <v>240</v>
      </c>
      <c r="D21" s="307"/>
      <c r="E21" s="174">
        <v>3.1E-2</v>
      </c>
      <c r="F21" s="58" t="s">
        <v>241</v>
      </c>
      <c r="G21" s="65"/>
      <c r="H21" s="65"/>
      <c r="I21" s="65"/>
      <c r="J21" s="65"/>
      <c r="K21" s="65"/>
      <c r="L21" s="65"/>
      <c r="M21" s="65"/>
    </row>
    <row r="22" spans="1:13">
      <c r="A22" s="65"/>
      <c r="B22" s="44" t="s">
        <v>242</v>
      </c>
      <c r="C22" s="306" t="s">
        <v>243</v>
      </c>
      <c r="D22" s="307"/>
      <c r="E22" s="174">
        <v>3.5000000000000003E-2</v>
      </c>
      <c r="F22" s="58" t="s">
        <v>241</v>
      </c>
      <c r="G22" s="65"/>
      <c r="H22" s="68"/>
      <c r="I22" s="65"/>
      <c r="J22" s="105"/>
      <c r="K22" s="65"/>
      <c r="L22" s="65"/>
      <c r="M22" s="65"/>
    </row>
    <row r="23" spans="1:13">
      <c r="A23" s="65"/>
      <c r="B23" s="44" t="s">
        <v>244</v>
      </c>
      <c r="C23" s="306" t="s">
        <v>245</v>
      </c>
      <c r="D23" s="307"/>
      <c r="E23" s="178">
        <f>E22-E21</f>
        <v>4.0000000000000036E-3</v>
      </c>
      <c r="F23" s="59" t="s">
        <v>246</v>
      </c>
      <c r="G23" s="65"/>
      <c r="H23" s="65"/>
      <c r="I23" s="65"/>
      <c r="J23" s="65"/>
      <c r="K23" s="65"/>
      <c r="L23" s="65"/>
      <c r="M23" s="65"/>
    </row>
    <row r="24" spans="1:13">
      <c r="A24" s="70"/>
      <c r="B24" s="44" t="s">
        <v>247</v>
      </c>
      <c r="C24" s="306" t="s">
        <v>303</v>
      </c>
      <c r="D24" s="307"/>
      <c r="E24" s="176">
        <v>360980.89484033361</v>
      </c>
      <c r="F24" s="59" t="s">
        <v>248</v>
      </c>
      <c r="G24" s="65"/>
      <c r="H24" s="65"/>
      <c r="I24" s="65"/>
      <c r="J24" s="65"/>
      <c r="K24" s="65"/>
      <c r="L24" s="65"/>
      <c r="M24" s="65"/>
    </row>
    <row r="25" spans="1:13">
      <c r="A25" s="65"/>
      <c r="B25" s="44" t="s">
        <v>249</v>
      </c>
      <c r="C25" s="306" t="s">
        <v>250</v>
      </c>
      <c r="D25" s="307"/>
      <c r="E25" s="177">
        <v>215325.99498200847</v>
      </c>
      <c r="F25" s="60" t="s">
        <v>237</v>
      </c>
      <c r="G25" s="65"/>
      <c r="H25" s="65"/>
      <c r="I25" s="65"/>
      <c r="J25" s="65"/>
      <c r="K25" s="65"/>
      <c r="L25" s="65"/>
      <c r="M25" s="65"/>
    </row>
    <row r="26" spans="1:13">
      <c r="A26" s="65"/>
      <c r="B26" s="44" t="s">
        <v>251</v>
      </c>
      <c r="C26" s="308" t="s">
        <v>252</v>
      </c>
      <c r="D26" s="309"/>
      <c r="E26" s="179">
        <f>E24+E25</f>
        <v>576306.88982234208</v>
      </c>
      <c r="F26" s="59" t="s">
        <v>253</v>
      </c>
      <c r="G26" s="65"/>
      <c r="H26" s="65"/>
      <c r="I26" s="65"/>
      <c r="J26" s="65"/>
      <c r="K26" s="65"/>
      <c r="L26" s="65"/>
      <c r="M26" s="65"/>
    </row>
    <row r="27" spans="1:13">
      <c r="A27" s="65"/>
      <c r="B27" s="44" t="s">
        <v>254</v>
      </c>
      <c r="C27" s="310" t="s">
        <v>255</v>
      </c>
      <c r="D27" s="311"/>
      <c r="E27" s="176">
        <f>E18-E19+E26</f>
        <v>1511129.2416943409</v>
      </c>
      <c r="F27" s="59" t="s">
        <v>256</v>
      </c>
      <c r="G27" s="65"/>
      <c r="H27" s="65"/>
      <c r="I27" s="65"/>
      <c r="J27" s="65"/>
      <c r="K27" s="65"/>
      <c r="L27" s="65"/>
      <c r="M27" s="65"/>
    </row>
    <row r="28" spans="1:13">
      <c r="A28" s="65"/>
      <c r="B28" s="44" t="s">
        <v>257</v>
      </c>
      <c r="C28" s="310" t="s">
        <v>258</v>
      </c>
      <c r="D28" s="311"/>
      <c r="E28" s="180">
        <f>'1- Ex Ante Results'!C116</f>
        <v>1006862.7026695999</v>
      </c>
      <c r="F28" s="60" t="s">
        <v>259</v>
      </c>
      <c r="G28" s="69"/>
      <c r="H28" s="65"/>
      <c r="I28" s="65"/>
      <c r="J28" s="65"/>
      <c r="K28" s="65"/>
      <c r="L28" s="65"/>
      <c r="M28" s="65"/>
    </row>
    <row r="29" spans="1:13">
      <c r="A29" s="65"/>
      <c r="B29" s="44" t="s">
        <v>260</v>
      </c>
      <c r="C29" s="310" t="s">
        <v>261</v>
      </c>
      <c r="D29" s="311"/>
      <c r="E29" s="180">
        <f>'1- Ex Ante Results'!C116</f>
        <v>1006862.7026695999</v>
      </c>
      <c r="F29" s="60" t="s">
        <v>262</v>
      </c>
      <c r="G29" s="69"/>
      <c r="H29" s="65"/>
      <c r="I29" s="65"/>
      <c r="J29" s="65"/>
      <c r="K29" s="65"/>
      <c r="L29" s="65"/>
      <c r="M29" s="65"/>
    </row>
    <row r="30" spans="1:13" ht="27" customHeight="1">
      <c r="A30" s="65"/>
      <c r="B30" s="44" t="s">
        <v>263</v>
      </c>
      <c r="C30" s="321" t="s">
        <v>264</v>
      </c>
      <c r="D30" s="322"/>
      <c r="E30" s="181">
        <f>E29/E27</f>
        <v>0.66629820593019795</v>
      </c>
      <c r="F30" s="59" t="s">
        <v>265</v>
      </c>
      <c r="G30" s="65"/>
      <c r="H30" s="65"/>
      <c r="I30" s="65"/>
      <c r="J30" s="65"/>
      <c r="K30" s="65"/>
      <c r="L30" s="65"/>
      <c r="M30" s="65"/>
    </row>
    <row r="31" spans="1:13" ht="18" customHeight="1">
      <c r="A31" s="65"/>
      <c r="B31" s="314" t="s">
        <v>266</v>
      </c>
      <c r="C31" s="314"/>
      <c r="D31" s="314"/>
      <c r="E31" s="314"/>
      <c r="F31" s="314"/>
      <c r="G31" s="65"/>
      <c r="H31" s="65"/>
      <c r="I31" s="65"/>
      <c r="J31" s="65"/>
      <c r="K31" s="65"/>
      <c r="L31" s="65"/>
      <c r="M31" s="65"/>
    </row>
    <row r="32" spans="1:13">
      <c r="A32" s="65"/>
      <c r="B32" s="44" t="s">
        <v>267</v>
      </c>
      <c r="C32" s="323" t="s">
        <v>268</v>
      </c>
      <c r="D32" s="324"/>
      <c r="E32" s="174">
        <v>0.13100000000000001</v>
      </c>
      <c r="F32" s="42" t="s">
        <v>229</v>
      </c>
      <c r="G32" s="65"/>
      <c r="H32" s="65"/>
      <c r="I32" s="65"/>
      <c r="J32" s="97"/>
      <c r="K32" s="65"/>
      <c r="L32" s="65"/>
      <c r="M32" s="65"/>
    </row>
    <row r="33" spans="1:13">
      <c r="A33" s="65"/>
      <c r="B33" s="44" t="s">
        <v>269</v>
      </c>
      <c r="C33" s="323" t="s">
        <v>304</v>
      </c>
      <c r="D33" s="324"/>
      <c r="E33" s="182">
        <v>10981532.623522667</v>
      </c>
      <c r="F33" s="43" t="s">
        <v>270</v>
      </c>
      <c r="G33" s="65"/>
      <c r="H33" s="65"/>
      <c r="I33" s="65"/>
      <c r="J33" s="65"/>
      <c r="K33" s="65"/>
      <c r="L33" s="65"/>
      <c r="M33" s="65"/>
    </row>
    <row r="34" spans="1:13">
      <c r="A34" s="65"/>
      <c r="B34" s="44" t="s">
        <v>271</v>
      </c>
      <c r="C34" s="41" t="s">
        <v>305</v>
      </c>
      <c r="D34" s="41"/>
      <c r="E34" s="182">
        <v>970543.4223493319</v>
      </c>
      <c r="F34" s="43" t="s">
        <v>272</v>
      </c>
      <c r="G34" s="65"/>
      <c r="H34" s="65"/>
      <c r="I34" s="65"/>
      <c r="J34" s="65"/>
      <c r="K34" s="65"/>
      <c r="L34" s="65"/>
      <c r="M34" s="65"/>
    </row>
    <row r="35" spans="1:13">
      <c r="A35" s="65"/>
      <c r="B35" s="44" t="s">
        <v>273</v>
      </c>
      <c r="C35" s="41" t="s">
        <v>274</v>
      </c>
      <c r="D35" s="41"/>
      <c r="E35" s="182">
        <f>E34+E26</f>
        <v>1546850.3121716739</v>
      </c>
      <c r="F35" s="43" t="s">
        <v>275</v>
      </c>
      <c r="G35" s="66"/>
      <c r="H35" s="65"/>
      <c r="I35" s="65"/>
      <c r="J35" s="65"/>
      <c r="K35" s="65"/>
      <c r="L35" s="65"/>
      <c r="M35" s="65"/>
    </row>
    <row r="36" spans="1:13">
      <c r="A36" s="65"/>
      <c r="B36" s="44" t="s">
        <v>276</v>
      </c>
      <c r="C36" s="41" t="s">
        <v>277</v>
      </c>
      <c r="D36" s="41"/>
      <c r="E36" s="182">
        <f>E29</f>
        <v>1006862.7026695999</v>
      </c>
      <c r="F36" s="43" t="s">
        <v>278</v>
      </c>
      <c r="G36" s="65"/>
      <c r="H36" s="66"/>
      <c r="I36" s="65"/>
      <c r="J36" s="65"/>
      <c r="K36" s="65"/>
      <c r="L36" s="65"/>
      <c r="M36" s="65"/>
    </row>
    <row r="37" spans="1:13" ht="32.75" customHeight="1">
      <c r="A37" s="65"/>
      <c r="B37" s="44" t="s">
        <v>279</v>
      </c>
      <c r="C37" s="315" t="s">
        <v>280</v>
      </c>
      <c r="D37" s="316"/>
      <c r="E37" s="183">
        <f>E26</f>
        <v>576306.88982234208</v>
      </c>
      <c r="F37" s="43" t="s">
        <v>281</v>
      </c>
      <c r="G37" s="65"/>
      <c r="H37" s="65"/>
      <c r="I37" s="65"/>
      <c r="J37" s="65"/>
      <c r="K37" s="65"/>
      <c r="L37" s="65"/>
      <c r="M37" s="65"/>
    </row>
    <row r="38" spans="1:13">
      <c r="A38" s="65"/>
      <c r="B38" s="44" t="s">
        <v>282</v>
      </c>
      <c r="C38" s="315" t="s">
        <v>283</v>
      </c>
      <c r="D38" s="316"/>
      <c r="E38" s="182">
        <f>E36-E37</f>
        <v>430555.81284725782</v>
      </c>
      <c r="F38" s="43" t="s">
        <v>284</v>
      </c>
      <c r="G38" s="65"/>
      <c r="H38" s="65"/>
      <c r="I38" s="65"/>
      <c r="J38" s="65"/>
      <c r="K38" s="65"/>
      <c r="L38" s="65"/>
      <c r="M38" s="65"/>
    </row>
    <row r="39" spans="1:13" ht="30" customHeight="1">
      <c r="A39" s="65"/>
      <c r="B39" s="44" t="s">
        <v>285</v>
      </c>
      <c r="C39" s="304" t="s">
        <v>286</v>
      </c>
      <c r="D39" s="305"/>
      <c r="E39" s="184">
        <f>E38/E34</f>
        <v>0.44362344119033759</v>
      </c>
      <c r="F39" s="43" t="s">
        <v>287</v>
      </c>
      <c r="G39" s="65"/>
      <c r="H39" s="65"/>
      <c r="I39" s="65"/>
      <c r="J39" s="65"/>
      <c r="K39" s="65"/>
      <c r="L39" s="65"/>
      <c r="M39" s="65"/>
    </row>
    <row r="40" spans="1:13">
      <c r="A40" s="65"/>
      <c r="B40" s="97"/>
      <c r="C40" s="98"/>
      <c r="D40" s="98"/>
      <c r="E40" s="99"/>
      <c r="F40" s="100"/>
      <c r="G40" s="65"/>
      <c r="H40" s="65"/>
      <c r="I40" s="65"/>
      <c r="J40" s="65"/>
      <c r="K40" s="65"/>
      <c r="L40" s="65"/>
      <c r="M40" s="65"/>
    </row>
    <row r="41" spans="1:13">
      <c r="A41" s="65"/>
      <c r="B41" s="101" t="s">
        <v>97</v>
      </c>
      <c r="C41" s="102"/>
      <c r="D41" s="101"/>
      <c r="E41" s="101"/>
      <c r="F41" s="103"/>
      <c r="G41" s="106"/>
      <c r="H41" s="106"/>
      <c r="I41" s="106"/>
      <c r="J41" s="103"/>
      <c r="K41" s="103"/>
      <c r="L41" s="107"/>
      <c r="M41" s="65"/>
    </row>
    <row r="42" spans="1:13" ht="39" customHeight="1">
      <c r="A42" s="65"/>
      <c r="B42" s="317" t="s">
        <v>306</v>
      </c>
      <c r="C42" s="318"/>
      <c r="D42" s="318"/>
      <c r="E42" s="318"/>
      <c r="F42" s="318"/>
      <c r="G42" s="108"/>
      <c r="H42" s="108"/>
      <c r="I42" s="108"/>
      <c r="J42" s="108"/>
      <c r="K42" s="108"/>
      <c r="L42" s="108"/>
      <c r="M42" s="65"/>
    </row>
    <row r="43" spans="1:13" ht="14.75" customHeight="1">
      <c r="A43" s="65"/>
      <c r="B43" s="317" t="s">
        <v>307</v>
      </c>
      <c r="C43" s="318"/>
      <c r="D43" s="318"/>
      <c r="E43" s="318"/>
      <c r="F43" s="318"/>
      <c r="G43" s="65"/>
      <c r="H43" s="65"/>
      <c r="I43" s="65"/>
      <c r="J43" s="65"/>
      <c r="K43" s="65"/>
      <c r="L43" s="65"/>
      <c r="M43" s="65"/>
    </row>
    <row r="44" spans="1:13">
      <c r="A44" s="65"/>
      <c r="B44" s="104"/>
      <c r="C44" s="65"/>
      <c r="D44" s="65"/>
      <c r="E44" s="65"/>
      <c r="F44" s="65"/>
      <c r="G44" s="65"/>
      <c r="H44" s="65"/>
      <c r="I44" s="65"/>
      <c r="J44" s="65"/>
      <c r="K44" s="65"/>
      <c r="L44" s="65"/>
      <c r="M44" s="65"/>
    </row>
    <row r="45" spans="1:13">
      <c r="A45" s="65"/>
      <c r="B45" s="104"/>
      <c r="C45" s="65"/>
      <c r="D45" s="65"/>
      <c r="E45" s="65"/>
      <c r="F45" s="65"/>
      <c r="G45" s="65"/>
      <c r="H45" s="65"/>
      <c r="I45" s="65"/>
      <c r="J45" s="65"/>
      <c r="K45" s="65"/>
      <c r="L45" s="65"/>
      <c r="M45" s="65"/>
    </row>
    <row r="46" spans="1:13">
      <c r="A46" s="65"/>
      <c r="B46" s="104"/>
      <c r="C46" s="65"/>
      <c r="D46" s="65"/>
      <c r="E46" s="65"/>
      <c r="F46" s="65"/>
      <c r="G46" s="65"/>
      <c r="H46" s="65"/>
      <c r="I46" s="65"/>
      <c r="J46" s="65"/>
      <c r="K46" s="65"/>
      <c r="L46" s="65"/>
      <c r="M46" s="65"/>
    </row>
    <row r="47" spans="1:13">
      <c r="A47" s="65"/>
      <c r="B47" s="104"/>
      <c r="C47" s="65"/>
      <c r="D47" s="65"/>
      <c r="E47" s="65"/>
      <c r="F47" s="65"/>
      <c r="G47" s="65"/>
      <c r="H47" s="65"/>
      <c r="I47" s="65"/>
      <c r="J47" s="65"/>
      <c r="K47" s="65"/>
      <c r="L47" s="65"/>
      <c r="M47" s="65"/>
    </row>
    <row r="48" spans="1:13">
      <c r="A48" s="65"/>
      <c r="B48" s="104"/>
      <c r="C48" s="65"/>
      <c r="D48" s="65"/>
      <c r="E48" s="65"/>
      <c r="F48" s="65"/>
      <c r="G48" s="65"/>
      <c r="H48" s="65"/>
      <c r="I48" s="65"/>
      <c r="J48" s="65"/>
      <c r="K48" s="65"/>
      <c r="L48" s="65"/>
      <c r="M48" s="65"/>
    </row>
    <row r="49" spans="1:13">
      <c r="A49" s="65"/>
      <c r="B49" s="104"/>
      <c r="C49" s="65"/>
      <c r="D49" s="65"/>
      <c r="E49" s="65"/>
      <c r="F49" s="65"/>
      <c r="G49" s="65"/>
      <c r="H49" s="65"/>
      <c r="I49" s="65"/>
      <c r="J49" s="65"/>
      <c r="K49" s="65"/>
      <c r="L49" s="65"/>
      <c r="M49" s="65"/>
    </row>
    <row r="50" spans="1:13">
      <c r="A50" s="65"/>
      <c r="B50" s="104"/>
      <c r="C50" s="65"/>
      <c r="D50" s="65"/>
      <c r="E50" s="65"/>
      <c r="F50" s="65"/>
      <c r="G50" s="65"/>
      <c r="H50" s="65"/>
      <c r="I50" s="65"/>
      <c r="J50" s="65"/>
      <c r="K50" s="65"/>
      <c r="L50" s="65"/>
      <c r="M50" s="65"/>
    </row>
    <row r="51" spans="1:13">
      <c r="A51" s="65"/>
      <c r="B51" s="104"/>
      <c r="C51" s="65"/>
      <c r="D51" s="65"/>
      <c r="E51" s="65"/>
      <c r="F51" s="65"/>
      <c r="G51" s="65"/>
      <c r="H51" s="65"/>
      <c r="I51" s="65"/>
      <c r="J51" s="65"/>
      <c r="K51" s="65"/>
      <c r="L51" s="65"/>
      <c r="M51" s="65"/>
    </row>
    <row r="52" spans="1:13">
      <c r="A52" s="65"/>
      <c r="B52" s="104"/>
      <c r="C52" s="65"/>
      <c r="D52" s="65"/>
      <c r="E52" s="65"/>
      <c r="F52" s="65"/>
      <c r="G52" s="65"/>
      <c r="H52" s="65"/>
      <c r="I52" s="65"/>
      <c r="J52" s="65"/>
      <c r="K52" s="65"/>
      <c r="L52" s="65"/>
      <c r="M52" s="65"/>
    </row>
    <row r="53" spans="1:13">
      <c r="A53" s="65"/>
      <c r="B53" s="104"/>
      <c r="C53" s="65"/>
      <c r="D53" s="65"/>
      <c r="E53" s="65"/>
      <c r="F53" s="65"/>
      <c r="G53" s="65"/>
      <c r="H53" s="65"/>
      <c r="I53" s="65"/>
      <c r="J53" s="65"/>
      <c r="K53" s="65"/>
      <c r="L53" s="65"/>
      <c r="M53" s="65"/>
    </row>
    <row r="54" spans="1:13">
      <c r="A54" s="65"/>
      <c r="B54" s="104"/>
      <c r="C54" s="65"/>
      <c r="D54" s="65"/>
      <c r="E54" s="65"/>
      <c r="F54" s="65"/>
      <c r="G54" s="65"/>
      <c r="H54" s="65"/>
      <c r="I54" s="65"/>
      <c r="J54" s="65"/>
      <c r="K54" s="65"/>
      <c r="L54" s="65"/>
      <c r="M54" s="65"/>
    </row>
    <row r="55" spans="1:13">
      <c r="A55" s="65"/>
      <c r="B55" s="104"/>
      <c r="C55" s="65"/>
      <c r="D55" s="65"/>
      <c r="E55" s="65"/>
      <c r="F55" s="65"/>
      <c r="G55" s="65"/>
      <c r="H55" s="65"/>
      <c r="I55" s="65"/>
      <c r="J55" s="65"/>
      <c r="K55" s="65"/>
      <c r="L55" s="65"/>
      <c r="M55" s="65"/>
    </row>
    <row r="56" spans="1:13">
      <c r="A56" s="65"/>
      <c r="B56" s="104"/>
      <c r="C56" s="65"/>
      <c r="D56" s="65"/>
      <c r="E56" s="65"/>
      <c r="F56" s="65"/>
      <c r="G56" s="65"/>
      <c r="H56" s="65"/>
      <c r="I56" s="65"/>
      <c r="J56" s="65"/>
      <c r="K56" s="65"/>
      <c r="L56" s="65"/>
      <c r="M56" s="65"/>
    </row>
    <row r="57" spans="1:13">
      <c r="A57" s="65"/>
      <c r="B57" s="104"/>
      <c r="C57" s="65"/>
      <c r="D57" s="65"/>
      <c r="E57" s="65"/>
      <c r="F57" s="65"/>
      <c r="G57" s="65"/>
      <c r="H57" s="65"/>
      <c r="I57" s="65"/>
      <c r="J57" s="65"/>
      <c r="K57" s="65"/>
      <c r="L57" s="65"/>
      <c r="M57" s="65"/>
    </row>
  </sheetData>
  <mergeCells count="29">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s>
  <printOptions horizontalCentered="1" headings="1"/>
  <pageMargins left="1" right="1" top="1.25" bottom="1" header="0.5" footer="0.5"/>
  <pageSetup scale="39" orientation="portrait" r:id="rId1"/>
  <headerFooter scaleWithDoc="0">
    <oddHeader>&amp;R&amp;"Arial,Bold"ICC Docket No. 21-0155
Statewide Quarterly Report ComEd 2023 Q3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abSelected="1" workbookViewId="0">
      <selection activeCell="D32" sqref="D32"/>
    </sheetView>
  </sheetViews>
  <sheetFormatPr defaultColWidth="0" defaultRowHeight="14.5" zeroHeight="1"/>
  <cols>
    <col min="1" max="1" width="6.26953125" customWidth="1"/>
    <col min="2" max="2" width="33.26953125" style="12" customWidth="1"/>
    <col min="3" max="3" width="19.26953125" bestFit="1" customWidth="1"/>
    <col min="4" max="4" width="20.36328125" customWidth="1"/>
    <col min="5" max="5" width="18.81640625" customWidth="1"/>
    <col min="6" max="7" width="18.54296875" customWidth="1"/>
    <col min="8" max="8" width="8.81640625" customWidth="1"/>
    <col min="9" max="11" width="9.1796875" customWidth="1"/>
    <col min="12" max="16384" width="9.1796875" hidden="1"/>
  </cols>
  <sheetData>
    <row r="1" spans="1:11">
      <c r="A1" s="65"/>
      <c r="B1" s="71" t="s">
        <v>0</v>
      </c>
      <c r="C1" s="65"/>
      <c r="D1" s="65"/>
      <c r="E1" s="65"/>
      <c r="F1" s="65"/>
      <c r="G1" s="65"/>
      <c r="H1" s="65"/>
      <c r="I1" s="65"/>
      <c r="J1" s="65"/>
      <c r="K1" s="65"/>
    </row>
    <row r="2" spans="1:11">
      <c r="A2" s="65"/>
      <c r="B2" s="71" t="s">
        <v>288</v>
      </c>
      <c r="C2" s="65"/>
      <c r="D2" s="65"/>
      <c r="E2" s="65"/>
      <c r="F2" s="65"/>
      <c r="G2" s="65"/>
      <c r="H2" s="65"/>
      <c r="I2" s="65"/>
      <c r="J2" s="65"/>
      <c r="K2" s="65"/>
    </row>
    <row r="3" spans="1:11">
      <c r="A3" s="65"/>
      <c r="B3" s="72"/>
      <c r="C3" s="65"/>
      <c r="D3" s="65"/>
      <c r="E3" s="65"/>
      <c r="F3" s="65"/>
      <c r="G3" s="65"/>
      <c r="H3" s="65"/>
      <c r="I3" s="65"/>
      <c r="J3" s="65"/>
      <c r="K3" s="65"/>
    </row>
    <row r="4" spans="1:11">
      <c r="A4" s="65"/>
      <c r="B4" s="71"/>
      <c r="C4" s="65"/>
      <c r="D4" s="65"/>
      <c r="E4" s="65"/>
      <c r="F4" s="65"/>
      <c r="G4" s="65"/>
      <c r="H4" s="65"/>
      <c r="I4" s="65"/>
      <c r="J4" s="65"/>
      <c r="K4" s="65"/>
    </row>
    <row r="5" spans="1:11" ht="29.25" customHeight="1">
      <c r="A5" s="65"/>
      <c r="B5" s="297" t="s">
        <v>289</v>
      </c>
      <c r="C5" s="297"/>
      <c r="D5" s="297"/>
      <c r="E5" s="297"/>
      <c r="F5" s="297"/>
      <c r="G5" s="297"/>
      <c r="H5" s="65"/>
      <c r="I5" s="65"/>
      <c r="J5" s="65"/>
      <c r="K5" s="65"/>
    </row>
    <row r="6" spans="1:11">
      <c r="A6" s="65"/>
      <c r="B6" s="297"/>
      <c r="C6" s="297"/>
      <c r="D6" s="297"/>
      <c r="E6" s="297"/>
      <c r="F6" s="297"/>
      <c r="G6" s="297"/>
      <c r="H6" s="65"/>
      <c r="I6" s="65"/>
      <c r="J6" s="65"/>
      <c r="K6" s="65"/>
    </row>
    <row r="7" spans="1:11">
      <c r="A7" s="65"/>
      <c r="B7" s="297"/>
      <c r="C7" s="297"/>
      <c r="D7" s="297"/>
      <c r="E7" s="297"/>
      <c r="F7" s="297"/>
      <c r="G7" s="297"/>
      <c r="H7" s="65"/>
      <c r="I7" s="65"/>
      <c r="J7" s="65"/>
      <c r="K7" s="65"/>
    </row>
    <row r="8" spans="1:11">
      <c r="A8" s="65"/>
      <c r="B8" s="297"/>
      <c r="C8" s="297"/>
      <c r="D8" s="297"/>
      <c r="E8" s="297"/>
      <c r="F8" s="297"/>
      <c r="G8" s="297"/>
      <c r="H8" s="65"/>
      <c r="I8" s="65"/>
      <c r="J8" s="65"/>
      <c r="K8" s="65"/>
    </row>
    <row r="9" spans="1:11" ht="42" customHeight="1">
      <c r="A9" s="65"/>
      <c r="B9" s="297"/>
      <c r="C9" s="297"/>
      <c r="D9" s="297"/>
      <c r="E9" s="297"/>
      <c r="F9" s="297"/>
      <c r="G9" s="297"/>
      <c r="H9" s="65"/>
      <c r="I9" s="65"/>
      <c r="J9" s="65"/>
      <c r="K9" s="65"/>
    </row>
    <row r="10" spans="1:11">
      <c r="A10" s="65"/>
      <c r="B10" s="70"/>
      <c r="C10" s="65"/>
      <c r="D10" s="65"/>
      <c r="E10" s="65"/>
      <c r="F10" s="65"/>
      <c r="G10" s="65"/>
      <c r="H10" s="65"/>
      <c r="I10" s="65"/>
      <c r="J10" s="65"/>
      <c r="K10" s="65"/>
    </row>
    <row r="11" spans="1:11" ht="18">
      <c r="A11" s="65"/>
      <c r="B11" s="73" t="s">
        <v>290</v>
      </c>
      <c r="C11" s="73"/>
      <c r="D11" s="74"/>
      <c r="E11" s="74"/>
      <c r="F11" s="74"/>
      <c r="G11" s="74"/>
      <c r="H11" s="65"/>
      <c r="I11" s="65"/>
      <c r="J11" s="65"/>
      <c r="K11" s="65"/>
    </row>
    <row r="12" spans="1:11" ht="18">
      <c r="A12" s="65"/>
      <c r="B12" s="245" t="str">
        <f>'1- Ex Ante Results'!B19</f>
        <v>CY2023 Q3</v>
      </c>
      <c r="C12" s="75"/>
      <c r="D12" s="74"/>
      <c r="E12" s="74"/>
      <c r="F12" s="74"/>
      <c r="G12" s="74"/>
      <c r="H12" s="65"/>
      <c r="I12" s="65"/>
      <c r="J12" s="65"/>
      <c r="K12" s="65"/>
    </row>
    <row r="13" spans="1:11" s="12" customFormat="1" ht="42">
      <c r="A13" s="70"/>
      <c r="B13" s="11" t="s">
        <v>126</v>
      </c>
      <c r="C13" s="5" t="s">
        <v>291</v>
      </c>
      <c r="D13" s="5" t="s">
        <v>292</v>
      </c>
      <c r="E13" s="5" t="s">
        <v>293</v>
      </c>
      <c r="F13" s="5" t="s">
        <v>294</v>
      </c>
      <c r="G13" s="5" t="s">
        <v>295</v>
      </c>
      <c r="H13" s="70"/>
      <c r="I13" s="70"/>
      <c r="J13" s="70"/>
      <c r="K13" s="70"/>
    </row>
    <row r="14" spans="1:11">
      <c r="A14" s="65"/>
      <c r="B14" s="45" t="s">
        <v>141</v>
      </c>
      <c r="C14" s="51">
        <v>27356150.450000003</v>
      </c>
      <c r="D14" s="52">
        <v>6949809.1399999997</v>
      </c>
      <c r="E14" s="52">
        <f>C14+D14</f>
        <v>34305959.590000004</v>
      </c>
      <c r="F14" s="52">
        <v>0</v>
      </c>
      <c r="G14" s="52">
        <f>SUM(E14,F14)</f>
        <v>34305959.590000004</v>
      </c>
      <c r="H14" s="65"/>
      <c r="I14" s="65"/>
      <c r="J14" s="65"/>
      <c r="K14" s="65"/>
    </row>
    <row r="15" spans="1:11" s="12" customFormat="1">
      <c r="A15" s="70"/>
      <c r="B15" s="45" t="s">
        <v>144</v>
      </c>
      <c r="C15" s="51">
        <v>52071860.044945925</v>
      </c>
      <c r="D15" s="52">
        <v>11471615</v>
      </c>
      <c r="E15" s="52">
        <f t="shared" ref="E15:E25" si="0">C15+D15</f>
        <v>63543475.044945925</v>
      </c>
      <c r="F15" s="52">
        <v>0</v>
      </c>
      <c r="G15" s="52">
        <f t="shared" ref="G15:G25" si="1">SUM(E15,F15)</f>
        <v>63543475.044945925</v>
      </c>
      <c r="H15" s="70"/>
      <c r="I15" s="70"/>
      <c r="J15" s="70"/>
      <c r="K15" s="70"/>
    </row>
    <row r="16" spans="1:11">
      <c r="A16" s="65"/>
      <c r="B16" s="45" t="s">
        <v>147</v>
      </c>
      <c r="C16" s="51">
        <v>75691132.849999994</v>
      </c>
      <c r="D16" s="52">
        <v>28659010.5</v>
      </c>
      <c r="E16" s="52">
        <f t="shared" si="0"/>
        <v>104350143.34999999</v>
      </c>
      <c r="F16" s="52">
        <v>0</v>
      </c>
      <c r="G16" s="52">
        <f t="shared" si="1"/>
        <v>104350143.34999999</v>
      </c>
      <c r="H16" s="65"/>
      <c r="I16" s="65"/>
      <c r="J16" s="65"/>
      <c r="K16" s="65"/>
    </row>
    <row r="17" spans="1:11">
      <c r="A17" s="65"/>
      <c r="B17" s="35" t="s">
        <v>157</v>
      </c>
      <c r="C17" s="127">
        <f>SUM(C14:C16)</f>
        <v>155119143.34494591</v>
      </c>
      <c r="D17" s="127">
        <f>SUM(D14:D16)</f>
        <v>47080434.640000001</v>
      </c>
      <c r="E17" s="127">
        <f t="shared" si="0"/>
        <v>202199577.98494589</v>
      </c>
      <c r="F17" s="127">
        <f>SUM(F14:F16)</f>
        <v>0</v>
      </c>
      <c r="G17" s="127">
        <f t="shared" si="1"/>
        <v>202199577.98494589</v>
      </c>
      <c r="H17" s="65"/>
      <c r="I17" s="65"/>
      <c r="J17" s="65"/>
      <c r="K17" s="65"/>
    </row>
    <row r="18" spans="1:11">
      <c r="A18" s="65"/>
      <c r="B18" s="45" t="s">
        <v>158</v>
      </c>
      <c r="C18" s="51">
        <v>106315194.5</v>
      </c>
      <c r="D18" s="52">
        <v>35049987</v>
      </c>
      <c r="E18" s="52">
        <f t="shared" si="0"/>
        <v>141365181.5</v>
      </c>
      <c r="F18" s="52">
        <v>0</v>
      </c>
      <c r="G18" s="52">
        <f t="shared" si="1"/>
        <v>141365181.5</v>
      </c>
      <c r="H18" s="65"/>
      <c r="I18" s="65"/>
      <c r="J18" s="65"/>
      <c r="K18" s="65"/>
    </row>
    <row r="19" spans="1:11">
      <c r="A19" s="65"/>
      <c r="B19" s="45" t="s">
        <v>159</v>
      </c>
      <c r="C19" s="51">
        <v>107354963.67</v>
      </c>
      <c r="D19" s="52">
        <v>33565649.329999998</v>
      </c>
      <c r="E19" s="52">
        <f t="shared" si="0"/>
        <v>140920613</v>
      </c>
      <c r="F19" s="52">
        <v>31329</v>
      </c>
      <c r="G19" s="52">
        <f t="shared" si="1"/>
        <v>140951942</v>
      </c>
      <c r="H19" s="65"/>
      <c r="I19" s="65"/>
      <c r="J19" s="65"/>
      <c r="K19" s="65"/>
    </row>
    <row r="20" spans="1:11">
      <c r="A20" s="65"/>
      <c r="B20" s="45" t="s">
        <v>161</v>
      </c>
      <c r="C20" s="51">
        <v>124096016.16999999</v>
      </c>
      <c r="D20" s="52">
        <v>31563417</v>
      </c>
      <c r="E20" s="52">
        <f t="shared" si="0"/>
        <v>155659433.16999999</v>
      </c>
      <c r="F20" s="52">
        <v>29469183.289999999</v>
      </c>
      <c r="G20" s="128">
        <f t="shared" si="1"/>
        <v>185128616.45999998</v>
      </c>
      <c r="H20" s="65"/>
      <c r="I20" s="65"/>
      <c r="J20" s="65"/>
      <c r="K20" s="65"/>
    </row>
    <row r="21" spans="1:11">
      <c r="A21" s="65"/>
      <c r="B21" s="35" t="s">
        <v>163</v>
      </c>
      <c r="C21" s="127">
        <f>SUM(C18:C20)</f>
        <v>337766174.34000003</v>
      </c>
      <c r="D21" s="127">
        <f>SUM(D18:D20)</f>
        <v>100179053.33</v>
      </c>
      <c r="E21" s="127">
        <f t="shared" si="0"/>
        <v>437945227.67000002</v>
      </c>
      <c r="F21" s="127">
        <f>SUM(F18:F20)</f>
        <v>29500512.289999999</v>
      </c>
      <c r="G21" s="129">
        <f t="shared" si="1"/>
        <v>467445739.96000004</v>
      </c>
      <c r="H21" s="65"/>
      <c r="I21" s="65"/>
      <c r="J21" s="65"/>
      <c r="K21" s="65"/>
    </row>
    <row r="22" spans="1:11">
      <c r="A22" s="65"/>
      <c r="B22" s="45" t="s">
        <v>164</v>
      </c>
      <c r="C22" s="52">
        <v>128288585</v>
      </c>
      <c r="D22" s="52">
        <v>33728435</v>
      </c>
      <c r="E22" s="52">
        <f t="shared" si="0"/>
        <v>162017020</v>
      </c>
      <c r="F22" s="130">
        <v>39150326.559999995</v>
      </c>
      <c r="G22" s="52">
        <f t="shared" si="1"/>
        <v>201167346.56</v>
      </c>
      <c r="H22" s="65"/>
      <c r="I22" s="65"/>
      <c r="J22" s="65"/>
      <c r="K22" s="65"/>
    </row>
    <row r="23" spans="1:11">
      <c r="A23" s="65"/>
      <c r="B23" s="45" t="s">
        <v>165</v>
      </c>
      <c r="C23" s="52">
        <v>108343594</v>
      </c>
      <c r="D23" s="52">
        <v>3670970</v>
      </c>
      <c r="E23" s="52">
        <f t="shared" si="0"/>
        <v>112014564</v>
      </c>
      <c r="F23" s="130">
        <v>87103873</v>
      </c>
      <c r="G23" s="52">
        <f t="shared" si="1"/>
        <v>199118437</v>
      </c>
      <c r="H23" s="65"/>
      <c r="I23" s="65"/>
      <c r="J23" s="65"/>
      <c r="K23" s="65"/>
    </row>
    <row r="24" spans="1:11">
      <c r="A24" s="65"/>
      <c r="B24" s="45" t="s">
        <v>166</v>
      </c>
      <c r="C24" s="52">
        <v>222451927.53999999</v>
      </c>
      <c r="D24" s="52">
        <v>57854489</v>
      </c>
      <c r="E24" s="52">
        <f t="shared" si="0"/>
        <v>280306416.53999996</v>
      </c>
      <c r="F24" s="130">
        <v>159497825.46000001</v>
      </c>
      <c r="G24" s="128">
        <f t="shared" si="1"/>
        <v>439804242</v>
      </c>
      <c r="H24" s="65"/>
      <c r="I24" s="65"/>
      <c r="J24" s="65"/>
      <c r="K24" s="65"/>
    </row>
    <row r="25" spans="1:11">
      <c r="A25" s="65"/>
      <c r="B25" s="35" t="s">
        <v>167</v>
      </c>
      <c r="C25" s="127">
        <f>SUM(C22:C24)</f>
        <v>459084106.53999996</v>
      </c>
      <c r="D25" s="127">
        <f>SUM(D22:D24)</f>
        <v>95253894</v>
      </c>
      <c r="E25" s="127">
        <f t="shared" si="0"/>
        <v>554338000.53999996</v>
      </c>
      <c r="F25" s="131">
        <f>SUM(F22:F24)</f>
        <v>285752025.01999998</v>
      </c>
      <c r="G25" s="127">
        <f t="shared" si="1"/>
        <v>840090025.55999994</v>
      </c>
      <c r="H25" s="65"/>
      <c r="I25" s="65"/>
      <c r="J25" s="65"/>
      <c r="K25" s="65"/>
    </row>
    <row r="26" spans="1:11" s="12" customFormat="1" ht="38.25" customHeight="1">
      <c r="B26" s="11" t="s">
        <v>126</v>
      </c>
      <c r="C26" s="5" t="s">
        <v>296</v>
      </c>
      <c r="D26" s="5" t="s">
        <v>297</v>
      </c>
      <c r="E26" s="19" t="s">
        <v>13</v>
      </c>
      <c r="F26" s="76"/>
      <c r="G26" s="77"/>
      <c r="H26" s="70"/>
      <c r="I26" s="70"/>
      <c r="J26" s="70"/>
      <c r="K26" s="70"/>
    </row>
    <row r="27" spans="1:11">
      <c r="A27" s="293" t="s">
        <v>168</v>
      </c>
      <c r="B27" s="30">
        <v>2018</v>
      </c>
      <c r="C27" s="132">
        <v>352988359</v>
      </c>
      <c r="D27" s="133">
        <v>351334190</v>
      </c>
      <c r="E27" s="134">
        <f>C27/D27</f>
        <v>1.0047082494305493</v>
      </c>
      <c r="F27" s="78"/>
      <c r="G27" s="79"/>
      <c r="H27" s="65"/>
      <c r="I27" s="65"/>
      <c r="J27" s="65"/>
      <c r="K27" s="65"/>
    </row>
    <row r="28" spans="1:11">
      <c r="A28" s="294"/>
      <c r="B28" s="30">
        <v>2019</v>
      </c>
      <c r="C28" s="132">
        <v>351381796</v>
      </c>
      <c r="D28" s="133">
        <v>351334190</v>
      </c>
      <c r="E28" s="134">
        <f>IF(C28=0,"N/A",C28/D28)</f>
        <v>1.0001355006183714</v>
      </c>
      <c r="F28" s="78"/>
      <c r="G28" s="79"/>
      <c r="H28" s="65"/>
      <c r="I28" s="65"/>
      <c r="J28" s="65"/>
      <c r="K28" s="65"/>
    </row>
    <row r="29" spans="1:11">
      <c r="A29" s="294"/>
      <c r="B29" s="30">
        <v>2020</v>
      </c>
      <c r="C29" s="132">
        <v>346480330</v>
      </c>
      <c r="D29" s="133">
        <v>351334190</v>
      </c>
      <c r="E29" s="134">
        <f>IF(C29=0,"N/A",C29/D29)</f>
        <v>0.98618449288980381</v>
      </c>
      <c r="F29" s="78"/>
      <c r="G29" s="79"/>
      <c r="H29" s="65"/>
      <c r="I29" s="65"/>
      <c r="J29" s="65"/>
      <c r="K29" s="65"/>
    </row>
    <row r="30" spans="1:11">
      <c r="A30" s="294"/>
      <c r="B30" s="30">
        <v>2021</v>
      </c>
      <c r="C30" s="132">
        <v>351037751.65463001</v>
      </c>
      <c r="D30" s="133">
        <v>351334190</v>
      </c>
      <c r="E30" s="134">
        <f>IF(C30=0,"N/A",C30/D30)</f>
        <v>0.99915624965116545</v>
      </c>
      <c r="F30" s="78"/>
      <c r="G30" s="79"/>
      <c r="H30" s="65"/>
      <c r="I30" s="65"/>
      <c r="J30" s="65"/>
      <c r="K30" s="65"/>
    </row>
    <row r="31" spans="1:11">
      <c r="A31" s="295"/>
      <c r="B31" s="35" t="s">
        <v>169</v>
      </c>
      <c r="C31" s="135">
        <f>SUM(C27:C30)</f>
        <v>1401888236.6546299</v>
      </c>
      <c r="D31" s="135">
        <f>SUM(D27:D30)</f>
        <v>1405336760</v>
      </c>
      <c r="E31" s="136">
        <f>IF(C31=0,"N/A",C31/D31)</f>
        <v>0.99754612314747249</v>
      </c>
      <c r="F31" s="78"/>
      <c r="G31" s="79"/>
      <c r="H31" s="65"/>
      <c r="I31" s="65"/>
      <c r="J31" s="65"/>
      <c r="K31" s="65"/>
    </row>
    <row r="32" spans="1:11">
      <c r="A32" s="293" t="s">
        <v>170</v>
      </c>
      <c r="B32" s="30">
        <v>2022</v>
      </c>
      <c r="C32" s="132">
        <v>399377042</v>
      </c>
      <c r="D32" s="133">
        <v>427470991</v>
      </c>
      <c r="E32" s="134">
        <f>C32/D32</f>
        <v>0.93427870056333251</v>
      </c>
      <c r="F32" s="79"/>
      <c r="G32" s="79"/>
      <c r="H32" s="65"/>
      <c r="I32" s="65"/>
      <c r="J32" s="65"/>
      <c r="K32" s="65"/>
    </row>
    <row r="33" spans="1:11">
      <c r="A33" s="294"/>
      <c r="B33" s="30">
        <v>2023</v>
      </c>
      <c r="C33" s="132">
        <f>'2- Costs'!$C$32</f>
        <v>298979195.70223653</v>
      </c>
      <c r="D33" s="133">
        <f>'2- Costs'!$D$32</f>
        <v>439746496.2964471</v>
      </c>
      <c r="E33" s="134">
        <f>IF(C33=0,"N/A",C33/D33)</f>
        <v>0.67988988706048759</v>
      </c>
      <c r="F33" s="65"/>
      <c r="G33" s="65"/>
      <c r="H33" s="65"/>
      <c r="I33" s="65"/>
      <c r="J33" s="65"/>
      <c r="K33" s="65"/>
    </row>
    <row r="34" spans="1:11">
      <c r="A34" s="294"/>
      <c r="B34" s="30">
        <v>2024</v>
      </c>
      <c r="C34" s="132">
        <v>0</v>
      </c>
      <c r="D34" s="133">
        <v>423304298.49758613</v>
      </c>
      <c r="E34" s="134" t="str">
        <f>IF(C34=0,"N/A",C34/D34)</f>
        <v>N/A</v>
      </c>
      <c r="F34" s="65"/>
      <c r="G34" s="65"/>
      <c r="H34" s="65"/>
      <c r="I34" s="65"/>
      <c r="J34" s="65"/>
      <c r="K34" s="65"/>
    </row>
    <row r="35" spans="1:11">
      <c r="A35" s="294"/>
      <c r="B35" s="30">
        <v>2025</v>
      </c>
      <c r="C35" s="132">
        <v>0</v>
      </c>
      <c r="D35" s="133">
        <v>423304298.49758613</v>
      </c>
      <c r="E35" s="134" t="str">
        <f>IF(C35=0,"N/A",C35/D35)</f>
        <v>N/A</v>
      </c>
      <c r="F35" s="65"/>
      <c r="G35" s="65"/>
      <c r="H35" s="65"/>
      <c r="I35" s="65"/>
      <c r="J35" s="65"/>
      <c r="K35" s="65"/>
    </row>
    <row r="36" spans="1:11">
      <c r="A36" s="295"/>
      <c r="B36" s="35" t="s">
        <v>173</v>
      </c>
      <c r="C36" s="135">
        <f>SUM(C32:C35)</f>
        <v>698356237.70223653</v>
      </c>
      <c r="D36" s="135">
        <f>SUM(D32:D35)</f>
        <v>1713826084.2916193</v>
      </c>
      <c r="E36" s="136">
        <f>IF(C36=0,"N/A",C36/D36)</f>
        <v>0.40748372550934192</v>
      </c>
      <c r="F36" s="65"/>
      <c r="G36" s="65"/>
      <c r="H36" s="65"/>
      <c r="I36" s="65"/>
      <c r="J36" s="65"/>
      <c r="K36" s="65"/>
    </row>
    <row r="37" spans="1:11">
      <c r="A37" s="70"/>
      <c r="B37" s="70"/>
      <c r="C37" s="65"/>
      <c r="D37" s="65"/>
      <c r="E37" s="65"/>
      <c r="F37" s="65"/>
      <c r="G37" s="65"/>
      <c r="H37" s="65"/>
      <c r="I37" s="65"/>
      <c r="J37" s="65"/>
      <c r="K37" s="65"/>
    </row>
    <row r="38" spans="1:11">
      <c r="A38" s="65"/>
      <c r="B38" s="70"/>
      <c r="C38" s="65"/>
      <c r="D38" s="65"/>
      <c r="E38" s="65"/>
      <c r="F38" s="65"/>
      <c r="G38" s="65"/>
      <c r="H38" s="65"/>
      <c r="I38" s="65"/>
      <c r="J38" s="65"/>
      <c r="K38" s="65"/>
    </row>
    <row r="39" spans="1:11">
      <c r="A39" s="65"/>
      <c r="B39" s="70"/>
      <c r="C39" s="65"/>
      <c r="D39" s="65"/>
      <c r="E39" s="65"/>
      <c r="F39" s="65"/>
      <c r="G39" s="65"/>
      <c r="H39" s="65"/>
      <c r="I39" s="65"/>
      <c r="J39" s="65"/>
      <c r="K39" s="65"/>
    </row>
    <row r="40" spans="1:11">
      <c r="A40" s="65"/>
      <c r="B40" s="70"/>
      <c r="C40" s="65"/>
      <c r="D40" s="65"/>
      <c r="E40" s="65"/>
      <c r="F40" s="65"/>
      <c r="G40" s="65"/>
      <c r="H40" s="65"/>
      <c r="I40" s="65"/>
      <c r="J40" s="65"/>
      <c r="K40" s="65"/>
    </row>
    <row r="41" spans="1:11">
      <c r="A41" s="65"/>
      <c r="B41" s="70"/>
      <c r="C41" s="65"/>
      <c r="D41" s="65"/>
      <c r="E41" s="65"/>
      <c r="F41" s="65"/>
      <c r="G41" s="65"/>
      <c r="H41" s="65"/>
      <c r="I41" s="65"/>
      <c r="J41" s="65"/>
      <c r="K41" s="65"/>
    </row>
    <row r="42" spans="1:11">
      <c r="A42" s="65"/>
      <c r="B42" s="70"/>
      <c r="C42" s="65"/>
      <c r="D42" s="65"/>
      <c r="E42" s="65"/>
      <c r="F42" s="65"/>
      <c r="G42" s="65"/>
      <c r="H42" s="65"/>
      <c r="I42" s="65"/>
      <c r="J42" s="65"/>
      <c r="K42" s="65"/>
    </row>
  </sheetData>
  <mergeCells count="3">
    <mergeCell ref="B5:G9"/>
    <mergeCell ref="A32:A36"/>
    <mergeCell ref="A27:A31"/>
  </mergeCells>
  <printOptions horizontalCentered="1"/>
  <pageMargins left="1" right="1" top="1.25" bottom="1" header="0.5" footer="0.5"/>
  <pageSetup scale="61" orientation="portrait" r:id="rId1"/>
  <headerFooter scaleWithDoc="0">
    <oddHeader>&amp;R&amp;"Arial,Bold"ICC Docket No. 21-0155
Statewide Quarterly Report ComEd 2023 Q3
Tab: &amp;A</oddHeader>
  </headerFooter>
  <ignoredErrors>
    <ignoredError sqref="E17:E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Celia Johnson</cp:lastModifiedBy>
  <dcterms:created xsi:type="dcterms:W3CDTF">1900-01-01T06:00:00Z</dcterms:created>
  <dcterms:modified xsi:type="dcterms:W3CDTF">2023-11-21T10:54:29Z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2022-01-28T15:50:21Z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2c1ec06e-b615-464f-be7b-4ddee875247d</vt:lpwstr>
  </property>
  <property fmtid="{D5CDD505-2E9C-101B-9397-08002B2CF9AE}" pid="8" name="MSIP_Label_c968b3d1-e05f-4796-9c23-acaf26d588cb_ContentBits">
    <vt:lpwstr>0</vt:lpwstr>
  </property>
</Properties>
</file>