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2021/Fuel Conversion Working Group/Meetings 3-4 - May/May 24 Meeting/"/>
    </mc:Choice>
  </mc:AlternateContent>
  <xr:revisionPtr revIDLastSave="0" documentId="8_{B747F994-59E5-4579-9D95-2E2927BF1C70}" xr6:coauthVersionLast="46" xr6:coauthVersionMax="46" xr10:uidLastSave="{00000000-0000-0000-0000-000000000000}"/>
  <bookViews>
    <workbookView xWindow="-110" yWindow="-110" windowWidth="19420" windowHeight="10420" xr2:uid="{681B2855-C4C8-44E1-8BFE-CEDC989B8547}"/>
  </bookViews>
  <sheets>
    <sheet name="Sheet1" sheetId="1" r:id="rId1"/>
  </sheets>
  <definedNames>
    <definedName name="Util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D38" i="1"/>
  <c r="G29" i="1"/>
  <c r="D30" i="1"/>
  <c r="C30" i="1"/>
  <c r="C46" i="1" l="1"/>
  <c r="C15" i="1"/>
  <c r="F29" i="1"/>
  <c r="C50" i="1"/>
  <c r="I49" i="1"/>
  <c r="I48" i="1"/>
  <c r="C24" i="1"/>
  <c r="J36" i="1" s="1"/>
  <c r="C23" i="1"/>
  <c r="C17" i="1"/>
  <c r="C21" i="1" s="1"/>
  <c r="C12" i="1"/>
  <c r="C13" i="1" s="1"/>
  <c r="C56" i="1" l="1"/>
  <c r="C55" i="1"/>
  <c r="C31" i="1"/>
  <c r="G30" i="1"/>
  <c r="L37" i="1"/>
  <c r="L38" i="1" s="1"/>
  <c r="M36" i="1"/>
  <c r="J37" i="1"/>
  <c r="J38" i="1" s="1"/>
  <c r="J39" i="1" s="1"/>
  <c r="E30" i="1"/>
  <c r="D37" i="1" s="1"/>
  <c r="C54" i="1"/>
  <c r="C14" i="1"/>
  <c r="F30" i="1" l="1"/>
  <c r="H30" i="1" s="1"/>
  <c r="D29" i="1"/>
  <c r="M37" i="1" s="1"/>
  <c r="N37" i="1" s="1"/>
  <c r="M38" i="1"/>
  <c r="N38" i="1" s="1"/>
  <c r="F31" i="1"/>
  <c r="C37" i="1"/>
  <c r="C16" i="1"/>
  <c r="C25" i="1" s="1"/>
  <c r="C22" i="1"/>
  <c r="N40" i="1" l="1"/>
  <c r="K40" i="1"/>
  <c r="I36" i="1"/>
  <c r="L36" i="1"/>
  <c r="N36" i="1" s="1"/>
  <c r="G37" i="1"/>
  <c r="C36" i="1"/>
  <c r="F37" i="1"/>
  <c r="G31" i="1"/>
  <c r="H31" i="1" s="1"/>
  <c r="H29" i="1"/>
  <c r="E29" i="1"/>
  <c r="D31" i="1"/>
  <c r="E31" i="1" s="1"/>
  <c r="C38" i="1"/>
  <c r="C39" i="1"/>
  <c r="F39" i="1" s="1"/>
  <c r="E37" i="1"/>
  <c r="C57" i="1"/>
  <c r="H40" i="1" l="1"/>
  <c r="E40" i="1"/>
  <c r="E38" i="1"/>
  <c r="F38" i="1"/>
  <c r="H38" i="1" s="1"/>
  <c r="D39" i="1"/>
  <c r="E39" i="1" s="1"/>
  <c r="G39" i="1"/>
  <c r="H39" i="1" s="1"/>
  <c r="E36" i="1"/>
  <c r="F36" i="1"/>
  <c r="H36" i="1" s="1"/>
  <c r="I37" i="1"/>
  <c r="K36" i="1"/>
  <c r="H37" i="1"/>
  <c r="C58" i="1"/>
  <c r="C59" i="1" l="1"/>
  <c r="C60" i="1" s="1"/>
  <c r="C61" i="1"/>
  <c r="N39" i="1" s="1"/>
  <c r="K37" i="1"/>
  <c r="I38" i="1"/>
  <c r="K38" i="1" l="1"/>
  <c r="I39" i="1"/>
  <c r="K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raikar</author>
  </authors>
  <commentList>
    <comment ref="B17" authorId="0" shapeId="0" xr:uid="{51EA40B0-06F4-4BBC-8C0D-2DCEF1D92F70}">
      <text>
        <r>
          <rPr>
            <b/>
            <sz val="9"/>
            <color indexed="81"/>
            <rFont val="Tahoma"/>
            <family val="2"/>
          </rPr>
          <t>raikar:</t>
        </r>
        <r>
          <rPr>
            <sz val="9"/>
            <color indexed="81"/>
            <rFont val="Tahoma"/>
            <family val="2"/>
          </rPr>
          <t xml:space="preserve">
From ICF draft paper, Table 3, Total Heat Recovered</t>
        </r>
      </text>
    </comment>
    <comment ref="B20" authorId="0" shapeId="0" xr:uid="{3BF70E66-658C-4818-801F-B34DC2EA193F}">
      <text>
        <r>
          <rPr>
            <b/>
            <sz val="9"/>
            <color indexed="81"/>
            <rFont val="Tahoma"/>
            <family val="2"/>
          </rPr>
          <t>raikar:</t>
        </r>
        <r>
          <rPr>
            <sz val="9"/>
            <color indexed="81"/>
            <rFont val="Tahoma"/>
            <family val="2"/>
          </rPr>
          <t xml:space="preserve">
From ICF draft paper, Table 3, Electrical Efficiency</t>
        </r>
      </text>
    </comment>
  </commentList>
</comments>
</file>

<file path=xl/sharedStrings.xml><?xml version="1.0" encoding="utf-8"?>
<sst xmlns="http://schemas.openxmlformats.org/spreadsheetml/2006/main" count="109" uniqueCount="97">
  <si>
    <t>S fuel CHP = F grid + F thermal CHP – F total CHP</t>
  </si>
  <si>
    <t>F grid = E CHP X H grid</t>
  </si>
  <si>
    <t>H CHP = (F total CHP – F thermal CHP) / E CHP</t>
  </si>
  <si>
    <t>S CHP Elec = S fuel CHP / H CHP</t>
  </si>
  <si>
    <t>S CHP gas = S fuel CHP / 100,000 Btu/therm</t>
  </si>
  <si>
    <t>Units</t>
  </si>
  <si>
    <t>Assumptions</t>
  </si>
  <si>
    <t>kW</t>
  </si>
  <si>
    <t>CHP Capacity (kW)</t>
  </si>
  <si>
    <t>yrs</t>
  </si>
  <si>
    <t>Measure Life (years)</t>
  </si>
  <si>
    <t>Hrs</t>
  </si>
  <si>
    <t>Operating Hours (Hrs)</t>
  </si>
  <si>
    <t>kWh</t>
  </si>
  <si>
    <t>E CHP (kWh)</t>
  </si>
  <si>
    <t>Parasitic Loads (kWh)</t>
  </si>
  <si>
    <t>Total E CHP (kWh)</t>
  </si>
  <si>
    <t>kBtu/kWh</t>
  </si>
  <si>
    <t>Grid heat rate (kBtu/kWh) (Hgrid)</t>
  </si>
  <si>
    <t>kBtu/yr</t>
  </si>
  <si>
    <t>F grid (Fg) (kBtu/yr)</t>
  </si>
  <si>
    <t>kBtu/hr</t>
  </si>
  <si>
    <t>Usable Waste heat from CHP (kBtu/hr)</t>
  </si>
  <si>
    <t>Thermal Utilization</t>
  </si>
  <si>
    <t>Displaced thermal Eff</t>
  </si>
  <si>
    <t>Electric Efficiency % (HHV)</t>
  </si>
  <si>
    <t>F thermal CHP (Ft) (kBtu/yr)</t>
  </si>
  <si>
    <t>Total CHP efficiency</t>
  </si>
  <si>
    <t>Fuel Use by CHP (kBtu/hr)</t>
  </si>
  <si>
    <t>F total CHP (Fc)  (kBtu/yr)</t>
  </si>
  <si>
    <t>S fuel CHP [ Fg+Ft-Fc ]</t>
  </si>
  <si>
    <t>CO2 tons/MMBtu from gas on-site</t>
  </si>
  <si>
    <t>Avg electric T&amp;D marginal losses</t>
  </si>
  <si>
    <t>CO2 tons/MWh from electricity</t>
  </si>
  <si>
    <t>CO2 tons/yr from on-site fuel</t>
  </si>
  <si>
    <t>CO2 tons/yr displaced thermal</t>
  </si>
  <si>
    <t>CO2 tons/yr displaced electric</t>
  </si>
  <si>
    <t>CO2 tons/yr net impact</t>
  </si>
  <si>
    <t>Equivalent electricity impact (kWh)</t>
  </si>
  <si>
    <t>equiv elec CO2 impact as % of CHP elec output</t>
  </si>
  <si>
    <t>fossil gas CO2 emissions rate</t>
  </si>
  <si>
    <t>kg/MMBtu</t>
  </si>
  <si>
    <t xml:space="preserve">From both EPA (http://www.epa.gov/climateleadership/documents/emission-factors.pdf) and EIA (http://www.eia.gov/oiaf/1605/coefficients.html#tbl1) </t>
  </si>
  <si>
    <t>kg to lb. conversion</t>
  </si>
  <si>
    <t>Con Ed (RFCW)</t>
  </si>
  <si>
    <t>Ameren (SRMW)</t>
  </si>
  <si>
    <t>Statewide Wtd Avg</t>
  </si>
  <si>
    <t>non-baseload</t>
  </si>
  <si>
    <t>all fossil</t>
  </si>
  <si>
    <t>Total</t>
  </si>
  <si>
    <t>Penalty for Increased Gas Use</t>
  </si>
  <si>
    <t>Site</t>
  </si>
  <si>
    <t>Source</t>
  </si>
  <si>
    <t>Electric kWh Output</t>
  </si>
  <si>
    <t>Increase</t>
  </si>
  <si>
    <t>Savings</t>
  </si>
  <si>
    <t>Net Impact</t>
  </si>
  <si>
    <t>Changes in Energy Consumption (kBtu)</t>
  </si>
  <si>
    <t>Electricity</t>
  </si>
  <si>
    <t>Gas</t>
  </si>
  <si>
    <t>Reduction</t>
  </si>
  <si>
    <t>CO2 Equivalency Assumptions and Calcs</t>
  </si>
  <si>
    <t>Gas to kWh - site BTU conversion (3412 Btu/kWh)</t>
  </si>
  <si>
    <t>Gas to kWh - source BTU conversion (heat rate)</t>
  </si>
  <si>
    <t>Gas to kWh - CO2 equivalency conversion (C02/grid kWh)</t>
  </si>
  <si>
    <t>No adjustment for increased gas use</t>
  </si>
  <si>
    <t>2019 Egrid</t>
  </si>
  <si>
    <t>Savings claim calcs</t>
  </si>
  <si>
    <t>Electric Utility Only - kWh Savings</t>
  </si>
  <si>
    <t>Joint Program - kWh Savings</t>
  </si>
  <si>
    <t>Joint Program - therm Savings</t>
  </si>
  <si>
    <t>Efficient CHP</t>
  </si>
  <si>
    <t>Baseline Therms (65% CHP Effic)</t>
  </si>
  <si>
    <t>Penalty for Increased Gas Use (vs. 65% CHP)</t>
  </si>
  <si>
    <t>Scenario</t>
  </si>
  <si>
    <t>Heat Rate</t>
  </si>
  <si>
    <t>electric grid CO2 emissions rate</t>
  </si>
  <si>
    <t>Key Assumptions</t>
  </si>
  <si>
    <t>affects scenario 3</t>
  </si>
  <si>
    <t>affects scenario 4</t>
  </si>
  <si>
    <t>Current TRM formula (based on CO2 equivalency)</t>
  </si>
  <si>
    <t>Gas Only Program - therm Savings</t>
  </si>
  <si>
    <t>CHP</t>
  </si>
  <si>
    <t>n.a.</t>
  </si>
  <si>
    <t>Equivalent gas impact (therms)</t>
  </si>
  <si>
    <t>gas only baseline is 60% CHP; CHP savings are purely efficiency gains vs. baseline</t>
  </si>
  <si>
    <t>current TRM formulae</t>
  </si>
  <si>
    <t>Gas T&amp;D losses</t>
  </si>
  <si>
    <t>Methane to CO2 multiplier</t>
  </si>
  <si>
    <t>EPA says 28 to 36 over 100 years (https://www.epa.gov/ghgemissions/understanding-global-warming-potentials#:~:text=Methane%20(CH4)%20is%20estimated,uses%20a%20different%20value.).&amp;text=Nitrous%20Oxide%20(N2O,for%20a%20100%2Dyear%20timescale)</t>
  </si>
  <si>
    <t>national avg LAUG - excludes losses upstream of city gate which could also be added</t>
  </si>
  <si>
    <t>gas only baseline is thermal therms displaced; CHP savings = [increased on-site therms - (decreased site electric BTUs / 100,000)]</t>
  </si>
  <si>
    <t>gas only baseline is thermal therms displaced, CHP savings = [increased on-site gas therms - (decreased grid BTUs / 100,000)]</t>
  </si>
  <si>
    <t>CHP savings = CO2e emission reductions / CO2e emissions per therm of gas</t>
  </si>
  <si>
    <t>Baseline Therms  (vs. 60% CHP or no CHP)</t>
  </si>
  <si>
    <t>Grid CO2 lbs/MWh</t>
  </si>
  <si>
    <t>lbs CO2/MWh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</si>
</sst>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"/>
    <numFmt numFmtId="167" formatCode="0.000"/>
    <numFmt numFmtId="168" formatCode="_(* #,##0.00000_);_(* \(#,##0.00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 val="singleAccounting"/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9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8" fillId="0" borderId="0" xfId="0" applyFont="1"/>
    <xf numFmtId="0" fontId="0" fillId="0" borderId="0" xfId="0" applyAlignment="1">
      <alignment wrapText="1"/>
    </xf>
    <xf numFmtId="10" fontId="0" fillId="2" borderId="0" xfId="0" applyNumberForma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6" fontId="0" fillId="0" borderId="0" xfId="0" applyNumberFormat="1" applyFill="1"/>
    <xf numFmtId="167" fontId="0" fillId="0" borderId="0" xfId="0" applyNumberFormat="1" applyFill="1"/>
    <xf numFmtId="164" fontId="0" fillId="0" borderId="0" xfId="0" applyNumberFormat="1" applyFill="1"/>
    <xf numFmtId="165" fontId="6" fillId="0" borderId="0" xfId="2" applyNumberFormat="1" applyFont="1" applyFill="1"/>
    <xf numFmtId="8" fontId="0" fillId="0" borderId="0" xfId="0" applyNumberFormat="1" applyFill="1"/>
    <xf numFmtId="6" fontId="0" fillId="0" borderId="0" xfId="0" applyNumberFormat="1" applyFill="1"/>
    <xf numFmtId="43" fontId="0" fillId="0" borderId="0" xfId="0" applyNumberFormat="1" applyFill="1"/>
    <xf numFmtId="164" fontId="6" fillId="0" borderId="0" xfId="1" applyNumberFormat="1" applyFont="1" applyFill="1"/>
    <xf numFmtId="0" fontId="4" fillId="0" borderId="0" xfId="0" applyFont="1" applyFill="1" applyBorder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ill="1" applyBorder="1"/>
    <xf numFmtId="164" fontId="4" fillId="0" borderId="0" xfId="1" applyNumberFormat="1" applyFont="1" applyFill="1" applyBorder="1"/>
    <xf numFmtId="164" fontId="7" fillId="0" borderId="0" xfId="1" applyNumberFormat="1" applyFont="1" applyFill="1" applyBorder="1"/>
    <xf numFmtId="43" fontId="4" fillId="0" borderId="0" xfId="1" applyFont="1" applyFill="1" applyBorder="1"/>
    <xf numFmtId="10" fontId="7" fillId="0" borderId="0" xfId="2" applyNumberFormat="1" applyFont="1" applyFill="1" applyBorder="1"/>
    <xf numFmtId="10" fontId="7" fillId="2" borderId="0" xfId="2" applyNumberFormat="1" applyFont="1" applyFill="1" applyBorder="1"/>
    <xf numFmtId="165" fontId="4" fillId="2" borderId="0" xfId="2" applyNumberFormat="1" applyFont="1" applyFill="1" applyBorder="1"/>
    <xf numFmtId="0" fontId="3" fillId="2" borderId="0" xfId="0" applyFont="1" applyFill="1" applyBorder="1"/>
    <xf numFmtId="164" fontId="4" fillId="2" borderId="0" xfId="1" applyNumberFormat="1" applyFont="1" applyFill="1" applyBorder="1"/>
    <xf numFmtId="164" fontId="7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11" fillId="0" borderId="0" xfId="1" applyNumberFormat="1" applyFont="1" applyFill="1" applyBorder="1"/>
    <xf numFmtId="1" fontId="4" fillId="0" borderId="0" xfId="0" applyNumberFormat="1" applyFont="1" applyFill="1" applyBorder="1" applyAlignment="1">
      <alignment horizontal="right"/>
    </xf>
    <xf numFmtId="164" fontId="0" fillId="0" borderId="1" xfId="0" applyNumberFormat="1" applyBorder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2" fillId="0" borderId="0" xfId="0" applyFont="1"/>
    <xf numFmtId="164" fontId="0" fillId="2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164" fontId="4" fillId="5" borderId="1" xfId="1" applyNumberFormat="1" applyFont="1" applyFill="1" applyBorder="1"/>
    <xf numFmtId="164" fontId="0" fillId="5" borderId="1" xfId="0" applyNumberFormat="1" applyFill="1" applyBorder="1"/>
    <xf numFmtId="168" fontId="0" fillId="0" borderId="0" xfId="0" applyNumberFormat="1" applyFill="1"/>
    <xf numFmtId="164" fontId="0" fillId="0" borderId="1" xfId="0" applyNumberFormat="1" applyBorder="1" applyAlignment="1">
      <alignment horizontal="center"/>
    </xf>
    <xf numFmtId="0" fontId="14" fillId="0" borderId="0" xfId="0" applyFont="1"/>
    <xf numFmtId="164" fontId="0" fillId="2" borderId="0" xfId="1" applyNumberFormat="1" applyFont="1" applyFill="1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left"/>
    </xf>
    <xf numFmtId="164" fontId="7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7" fillId="3" borderId="1" xfId="1" applyNumberFormat="1" applyFont="1" applyFill="1" applyBorder="1" applyAlignment="1">
      <alignment horizontal="center"/>
    </xf>
  </cellXfs>
  <cellStyles count="4">
    <cellStyle name="Comma" xfId="1" builtinId="3"/>
    <cellStyle name="Currency 2" xfId="3" xr:uid="{18FAFE61-7F98-4F53-9F44-EF88DEBDEB7E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9755E-C9AD-42F3-B8A7-713278C13E9C}">
  <dimension ref="A1:O80"/>
  <sheetViews>
    <sheetView tabSelected="1" topLeftCell="A23" zoomScale="70" zoomScaleNormal="70" workbookViewId="0">
      <selection activeCell="M38" sqref="M38"/>
    </sheetView>
  </sheetViews>
  <sheetFormatPr defaultRowHeight="14.5" x14ac:dyDescent="0.35"/>
  <cols>
    <col min="1" max="1" width="9" customWidth="1"/>
    <col min="2" max="2" width="51" customWidth="1"/>
    <col min="3" max="3" width="12.90625" style="9" customWidth="1"/>
    <col min="4" max="4" width="12.1796875" customWidth="1"/>
    <col min="5" max="5" width="14.36328125" customWidth="1"/>
    <col min="6" max="6" width="14.54296875" customWidth="1"/>
    <col min="7" max="7" width="12.54296875" customWidth="1"/>
    <col min="8" max="8" width="13.1796875" customWidth="1"/>
    <col min="9" max="9" width="15.08984375" customWidth="1"/>
    <col min="10" max="10" width="13.6328125" customWidth="1"/>
    <col min="11" max="11" width="13.54296875" customWidth="1"/>
    <col min="12" max="12" width="15.1796875" customWidth="1"/>
    <col min="13" max="14" width="14.1796875" customWidth="1"/>
  </cols>
  <sheetData>
    <row r="1" spans="1:3" x14ac:dyDescent="0.35">
      <c r="B1" t="s">
        <v>0</v>
      </c>
    </row>
    <row r="2" spans="1:3" x14ac:dyDescent="0.35">
      <c r="B2" t="s">
        <v>1</v>
      </c>
    </row>
    <row r="3" spans="1:3" x14ac:dyDescent="0.35">
      <c r="B3" s="1" t="s">
        <v>2</v>
      </c>
    </row>
    <row r="4" spans="1:3" x14ac:dyDescent="0.35">
      <c r="B4" s="1" t="s">
        <v>3</v>
      </c>
    </row>
    <row r="5" spans="1:3" x14ac:dyDescent="0.35">
      <c r="B5" s="1" t="s">
        <v>4</v>
      </c>
      <c r="C5" s="10"/>
    </row>
    <row r="6" spans="1:3" x14ac:dyDescent="0.35">
      <c r="C6" s="11"/>
    </row>
    <row r="7" spans="1:3" x14ac:dyDescent="0.35">
      <c r="C7" s="12"/>
    </row>
    <row r="8" spans="1:3" x14ac:dyDescent="0.35">
      <c r="A8" s="3" t="s">
        <v>5</v>
      </c>
      <c r="B8" s="3" t="s">
        <v>6</v>
      </c>
      <c r="C8" s="24"/>
    </row>
    <row r="9" spans="1:3" x14ac:dyDescent="0.35">
      <c r="A9" s="4" t="s">
        <v>7</v>
      </c>
      <c r="B9" t="s">
        <v>8</v>
      </c>
      <c r="C9" s="31">
        <v>850</v>
      </c>
    </row>
    <row r="10" spans="1:3" x14ac:dyDescent="0.35">
      <c r="A10" s="4" t="s">
        <v>9</v>
      </c>
      <c r="B10" t="s">
        <v>10</v>
      </c>
      <c r="C10" s="24">
        <v>20</v>
      </c>
    </row>
    <row r="11" spans="1:3" x14ac:dyDescent="0.35">
      <c r="A11" s="4" t="s">
        <v>11</v>
      </c>
      <c r="B11" t="s">
        <v>12</v>
      </c>
      <c r="C11" s="32">
        <v>6002.4009999999998</v>
      </c>
    </row>
    <row r="12" spans="1:3" x14ac:dyDescent="0.35">
      <c r="A12" s="4" t="s">
        <v>13</v>
      </c>
      <c r="B12" t="s">
        <v>14</v>
      </c>
      <c r="C12" s="25">
        <f t="shared" ref="C12" si="0">C11*C9</f>
        <v>5102040.8499999996</v>
      </c>
    </row>
    <row r="13" spans="1:3" x14ac:dyDescent="0.35">
      <c r="A13" s="5">
        <v>0.02</v>
      </c>
      <c r="B13" t="s">
        <v>15</v>
      </c>
      <c r="C13" s="25">
        <f>C12*$A$13</f>
        <v>102040.817</v>
      </c>
    </row>
    <row r="14" spans="1:3" x14ac:dyDescent="0.35">
      <c r="A14" s="5"/>
      <c r="B14" t="s">
        <v>16</v>
      </c>
      <c r="C14" s="26">
        <f t="shared" ref="C14" si="1">C12-C13</f>
        <v>5000000.0329999998</v>
      </c>
    </row>
    <row r="15" spans="1:3" x14ac:dyDescent="0.35">
      <c r="A15" s="4" t="s">
        <v>17</v>
      </c>
      <c r="B15" s="1" t="s">
        <v>18</v>
      </c>
      <c r="C15" s="27">
        <f>J27/1000</f>
        <v>10</v>
      </c>
    </row>
    <row r="16" spans="1:3" x14ac:dyDescent="0.35">
      <c r="A16" s="4" t="s">
        <v>19</v>
      </c>
      <c r="B16" t="s">
        <v>20</v>
      </c>
      <c r="C16" s="25">
        <f t="shared" ref="C16" si="2">C14*C15</f>
        <v>50000000.329999998</v>
      </c>
    </row>
    <row r="17" spans="1:11" x14ac:dyDescent="0.35">
      <c r="A17" s="4" t="s">
        <v>21</v>
      </c>
      <c r="B17" s="6" t="s">
        <v>22</v>
      </c>
      <c r="C17" s="25">
        <f>2.78*1000/633*C9</f>
        <v>3733.0173775671406</v>
      </c>
    </row>
    <row r="18" spans="1:11" x14ac:dyDescent="0.35">
      <c r="A18" s="4"/>
      <c r="B18" t="s">
        <v>23</v>
      </c>
      <c r="C18" s="29">
        <v>0.81499999999999995</v>
      </c>
    </row>
    <row r="19" spans="1:11" x14ac:dyDescent="0.35">
      <c r="A19" s="4"/>
      <c r="B19" t="s">
        <v>24</v>
      </c>
      <c r="C19" s="30">
        <v>0.70237539000000004</v>
      </c>
    </row>
    <row r="20" spans="1:11" x14ac:dyDescent="0.35">
      <c r="A20" s="4"/>
      <c r="B20" t="s">
        <v>25</v>
      </c>
      <c r="C20" s="30">
        <v>0.34816327000000002</v>
      </c>
    </row>
    <row r="21" spans="1:11" x14ac:dyDescent="0.35">
      <c r="A21" s="4" t="s">
        <v>19</v>
      </c>
      <c r="B21" t="s">
        <v>26</v>
      </c>
      <c r="C21" s="25">
        <f t="shared" ref="C21" si="3">(C17*C11*C18)/C19</f>
        <v>25999999.516929258</v>
      </c>
    </row>
    <row r="22" spans="1:11" x14ac:dyDescent="0.35">
      <c r="A22" s="4"/>
      <c r="B22" s="1" t="s">
        <v>27</v>
      </c>
      <c r="C22" s="28">
        <f t="shared" ref="C22" si="4">(C21*C19+C14*3.412)/C24</f>
        <v>0.70643520312754593</v>
      </c>
    </row>
    <row r="23" spans="1:11" x14ac:dyDescent="0.35">
      <c r="A23" s="4" t="s">
        <v>21</v>
      </c>
      <c r="B23" t="s">
        <v>28</v>
      </c>
      <c r="C23" s="25">
        <f t="shared" ref="C23" si="5">C9*3412/C20/1000</f>
        <v>8329.9998876963673</v>
      </c>
    </row>
    <row r="24" spans="1:11" ht="18.5" x14ac:dyDescent="0.45">
      <c r="A24" s="4" t="s">
        <v>19</v>
      </c>
      <c r="B24" t="s">
        <v>29</v>
      </c>
      <c r="C24" s="25">
        <f t="shared" ref="C24" si="6">(C9*3412/C20/1000)*C11</f>
        <v>49999999.655908562</v>
      </c>
      <c r="J24" s="42" t="s">
        <v>77</v>
      </c>
    </row>
    <row r="25" spans="1:11" x14ac:dyDescent="0.35">
      <c r="A25" s="4" t="s">
        <v>19</v>
      </c>
      <c r="B25" t="s">
        <v>30</v>
      </c>
      <c r="C25" s="26">
        <f t="shared" ref="C25" si="7">C16+C21-C24</f>
        <v>26000000.19102069</v>
      </c>
    </row>
    <row r="26" spans="1:11" ht="29" x14ac:dyDescent="0.35">
      <c r="A26" s="4"/>
      <c r="C26" s="26"/>
      <c r="J26" s="41" t="s">
        <v>75</v>
      </c>
      <c r="K26" s="55" t="s">
        <v>95</v>
      </c>
    </row>
    <row r="27" spans="1:11" x14ac:dyDescent="0.35">
      <c r="A27" s="4"/>
      <c r="C27" s="60" t="s">
        <v>51</v>
      </c>
      <c r="D27" s="60"/>
      <c r="E27" s="60"/>
      <c r="F27" s="60" t="s">
        <v>52</v>
      </c>
      <c r="G27" s="60"/>
      <c r="H27" s="60"/>
      <c r="J27" s="43">
        <v>10000</v>
      </c>
      <c r="K27" s="43">
        <v>1800</v>
      </c>
    </row>
    <row r="28" spans="1:11" x14ac:dyDescent="0.35">
      <c r="A28" s="35" t="s">
        <v>57</v>
      </c>
      <c r="C28" s="33" t="s">
        <v>54</v>
      </c>
      <c r="D28" s="34" t="s">
        <v>60</v>
      </c>
      <c r="E28" s="34" t="s">
        <v>56</v>
      </c>
      <c r="F28" s="33" t="s">
        <v>54</v>
      </c>
      <c r="G28" s="34" t="s">
        <v>60</v>
      </c>
      <c r="H28" s="34" t="s">
        <v>56</v>
      </c>
      <c r="J28" s="57" t="s">
        <v>78</v>
      </c>
      <c r="K28" s="57" t="s">
        <v>79</v>
      </c>
    </row>
    <row r="29" spans="1:11" x14ac:dyDescent="0.35">
      <c r="A29" s="4"/>
      <c r="B29" t="s">
        <v>58</v>
      </c>
      <c r="C29" s="25">
        <v>0</v>
      </c>
      <c r="D29" s="25">
        <f>C14*3.413</f>
        <v>17065000.112629</v>
      </c>
      <c r="E29" s="25">
        <f>C29-D29</f>
        <v>-17065000.112629</v>
      </c>
      <c r="F29" s="25">
        <f>C29</f>
        <v>0</v>
      </c>
      <c r="G29" s="25">
        <f>C14*C15*(1+C51)</f>
        <v>55000000.363000005</v>
      </c>
      <c r="H29" s="25">
        <f>F29-G29</f>
        <v>-55000000.363000005</v>
      </c>
      <c r="J29" s="58"/>
      <c r="K29" s="58"/>
    </row>
    <row r="30" spans="1:11" ht="15" x14ac:dyDescent="0.4">
      <c r="A30" s="4"/>
      <c r="B30" t="s">
        <v>59</v>
      </c>
      <c r="C30" s="36">
        <f>C24*(1+C52)</f>
        <v>51749999.643865354</v>
      </c>
      <c r="D30" s="36">
        <f>C21*(1+C52)</f>
        <v>26909999.500021778</v>
      </c>
      <c r="E30" s="36">
        <f t="shared" ref="E30:E31" si="8">C30-D30</f>
        <v>24840000.143843576</v>
      </c>
      <c r="F30" s="36">
        <f>C30</f>
        <v>51749999.643865354</v>
      </c>
      <c r="G30" s="36">
        <f>D30</f>
        <v>26909999.500021778</v>
      </c>
      <c r="H30" s="36">
        <f t="shared" ref="H30:H31" si="9">F30-G30</f>
        <v>24840000.143843576</v>
      </c>
    </row>
    <row r="31" spans="1:11" x14ac:dyDescent="0.35">
      <c r="A31" s="4"/>
      <c r="B31" t="s">
        <v>49</v>
      </c>
      <c r="C31" s="25">
        <f>C30+C29</f>
        <v>51749999.643865354</v>
      </c>
      <c r="D31" s="25">
        <f>D30+D29</f>
        <v>43974999.612650782</v>
      </c>
      <c r="E31" s="25">
        <f t="shared" si="8"/>
        <v>7775000.0312145725</v>
      </c>
      <c r="F31" s="25">
        <f t="shared" ref="F31:G31" si="10">F30+F29</f>
        <v>51749999.643865354</v>
      </c>
      <c r="G31" s="25">
        <f t="shared" si="10"/>
        <v>81909999.863021791</v>
      </c>
      <c r="H31" s="25">
        <f t="shared" si="9"/>
        <v>-30160000.219156437</v>
      </c>
    </row>
    <row r="32" spans="1:11" x14ac:dyDescent="0.35">
      <c r="A32" s="4"/>
      <c r="C32" s="25"/>
      <c r="D32" s="25"/>
      <c r="E32" s="25"/>
      <c r="F32" s="25"/>
      <c r="G32" s="25"/>
      <c r="H32" s="25"/>
    </row>
    <row r="33" spans="1:15" x14ac:dyDescent="0.35">
      <c r="A33" s="3" t="s">
        <v>67</v>
      </c>
      <c r="C33" s="25"/>
      <c r="D33" s="25"/>
      <c r="E33" s="25"/>
      <c r="F33" s="25"/>
      <c r="G33" s="25"/>
      <c r="H33" s="25"/>
    </row>
    <row r="34" spans="1:15" x14ac:dyDescent="0.35">
      <c r="A34" s="59" t="s">
        <v>74</v>
      </c>
      <c r="B34" s="59"/>
      <c r="C34" s="62" t="s">
        <v>68</v>
      </c>
      <c r="D34" s="62"/>
      <c r="E34" s="62"/>
      <c r="F34" s="56" t="s">
        <v>69</v>
      </c>
      <c r="G34" s="56"/>
      <c r="H34" s="56"/>
      <c r="I34" s="56" t="s">
        <v>70</v>
      </c>
      <c r="J34" s="56"/>
      <c r="K34" s="56"/>
      <c r="L34" s="56" t="s">
        <v>81</v>
      </c>
      <c r="M34" s="56"/>
      <c r="N34" s="56"/>
    </row>
    <row r="35" spans="1:15" ht="58" x14ac:dyDescent="0.35">
      <c r="A35" s="59"/>
      <c r="B35" s="59"/>
      <c r="C35" s="45" t="s">
        <v>53</v>
      </c>
      <c r="D35" s="39" t="s">
        <v>50</v>
      </c>
      <c r="E35" s="40" t="s">
        <v>49</v>
      </c>
      <c r="F35" s="45" t="s">
        <v>53</v>
      </c>
      <c r="G35" s="39" t="s">
        <v>73</v>
      </c>
      <c r="H35" s="40" t="s">
        <v>49</v>
      </c>
      <c r="I35" s="39" t="s">
        <v>72</v>
      </c>
      <c r="J35" s="40" t="s">
        <v>71</v>
      </c>
      <c r="K35" s="40" t="s">
        <v>55</v>
      </c>
      <c r="L35" s="39" t="s">
        <v>94</v>
      </c>
      <c r="M35" s="44" t="s">
        <v>82</v>
      </c>
      <c r="N35" s="44" t="s">
        <v>55</v>
      </c>
    </row>
    <row r="36" spans="1:15" x14ac:dyDescent="0.35">
      <c r="A36" s="46">
        <v>1</v>
      </c>
      <c r="B36" s="47" t="s">
        <v>65</v>
      </c>
      <c r="C36" s="38">
        <f>C37</f>
        <v>5000000.0329999998</v>
      </c>
      <c r="D36" s="38">
        <v>0</v>
      </c>
      <c r="E36" s="38">
        <f>C36-D36</f>
        <v>5000000.0329999998</v>
      </c>
      <c r="F36" s="38">
        <f>C36</f>
        <v>5000000.0329999998</v>
      </c>
      <c r="G36" s="38">
        <v>0</v>
      </c>
      <c r="H36" s="38">
        <f t="shared" ref="H36:H39" si="11">F36-G36</f>
        <v>5000000.0329999998</v>
      </c>
      <c r="I36" s="38">
        <f>$C$24*$C$22/0.65/100</f>
        <v>543411.69097383064</v>
      </c>
      <c r="J36" s="38">
        <f>$C$24/100</f>
        <v>499999.99655908562</v>
      </c>
      <c r="K36" s="38">
        <f>I36-J36</f>
        <v>43411.694414745027</v>
      </c>
      <c r="L36" s="38">
        <f>$C$24*$C$22/0.6/100</f>
        <v>588695.99855498329</v>
      </c>
      <c r="M36" s="38">
        <f>$C$24/100</f>
        <v>499999.99655908562</v>
      </c>
      <c r="N36" s="38">
        <f>L36-M36</f>
        <v>88696.001995897677</v>
      </c>
      <c r="O36" s="53" t="s">
        <v>85</v>
      </c>
    </row>
    <row r="37" spans="1:15" x14ac:dyDescent="0.35">
      <c r="A37" s="46">
        <v>2</v>
      </c>
      <c r="B37" s="47" t="s">
        <v>62</v>
      </c>
      <c r="C37" s="38">
        <f>C14</f>
        <v>5000000.0329999998</v>
      </c>
      <c r="D37" s="38">
        <f>E30/3.413</f>
        <v>7278054.539655311</v>
      </c>
      <c r="E37" s="38">
        <f>C37-D37</f>
        <v>-2278054.5066553112</v>
      </c>
      <c r="F37" s="38">
        <f t="shared" ref="F37:F39" si="12">C37</f>
        <v>5000000.0329999998</v>
      </c>
      <c r="G37" s="38">
        <f>(($C$30*$C$22/0.65)-$D$30)/3.413</f>
        <v>8594524.0304042436</v>
      </c>
      <c r="H37" s="38">
        <f t="shared" si="11"/>
        <v>-3594523.9974042438</v>
      </c>
      <c r="I37" s="38">
        <f>I36</f>
        <v>543411.69097383064</v>
      </c>
      <c r="J37" s="38">
        <f>J36</f>
        <v>499999.99655908562</v>
      </c>
      <c r="K37" s="38">
        <f t="shared" ref="K37:K39" si="13">I37-J37</f>
        <v>43411.694414745027</v>
      </c>
      <c r="L37" s="38">
        <f>C21/100</f>
        <v>259999.99516929258</v>
      </c>
      <c r="M37" s="38">
        <f>(C24/100)-(D29/100)</f>
        <v>329349.99543279561</v>
      </c>
      <c r="N37" s="38">
        <f>L37-M37</f>
        <v>-69350.000263503025</v>
      </c>
      <c r="O37" s="53" t="s">
        <v>91</v>
      </c>
    </row>
    <row r="38" spans="1:15" x14ac:dyDescent="0.35">
      <c r="A38" s="46">
        <v>3</v>
      </c>
      <c r="B38" s="47" t="s">
        <v>63</v>
      </c>
      <c r="C38" s="38">
        <f>C37</f>
        <v>5000000.0329999998</v>
      </c>
      <c r="D38" s="38">
        <f>H30/(C15*(1+C51))</f>
        <v>2258181.831258507</v>
      </c>
      <c r="E38" s="38">
        <f>C38-D38</f>
        <v>2741818.2017414928</v>
      </c>
      <c r="F38" s="38">
        <f t="shared" si="12"/>
        <v>5000000.0329999998</v>
      </c>
      <c r="G38" s="38">
        <f>(($C$30*$C$22/0.65)-$D$30)/(C15*(1+C51))</f>
        <v>2666646.4105245168</v>
      </c>
      <c r="H38" s="38">
        <f t="shared" si="11"/>
        <v>2333353.622475483</v>
      </c>
      <c r="I38" s="38">
        <f t="shared" ref="I38:I39" si="14">I37</f>
        <v>543411.69097383064</v>
      </c>
      <c r="J38" s="38">
        <f t="shared" ref="J38:J39" si="15">J37</f>
        <v>499999.99655908562</v>
      </c>
      <c r="K38" s="38">
        <f t="shared" si="13"/>
        <v>43411.694414745027</v>
      </c>
      <c r="L38" s="38">
        <f t="shared" ref="L38" si="16">L37</f>
        <v>259999.99516929258</v>
      </c>
      <c r="M38" s="38">
        <f>($C$24/100)-($G$29/100)</f>
        <v>-50000.007070914435</v>
      </c>
      <c r="N38" s="38">
        <f t="shared" ref="N38" si="17">L38-M38</f>
        <v>310000.00224020705</v>
      </c>
      <c r="O38" s="53" t="s">
        <v>92</v>
      </c>
    </row>
    <row r="39" spans="1:15" x14ac:dyDescent="0.35">
      <c r="A39" s="46">
        <v>4</v>
      </c>
      <c r="B39" s="47" t="s">
        <v>64</v>
      </c>
      <c r="C39" s="38">
        <f>C37</f>
        <v>5000000.0329999998</v>
      </c>
      <c r="D39" s="38">
        <f>(C55-C56)/(C54/1000)</f>
        <v>3005957.9672735813</v>
      </c>
      <c r="E39" s="38">
        <f>C39-D39</f>
        <v>1994042.0657264185</v>
      </c>
      <c r="F39" s="38">
        <f t="shared" si="12"/>
        <v>5000000.0329999998</v>
      </c>
      <c r="G39" s="38">
        <f>((C55*C22/0.65)-C56)/(C54/1000)</f>
        <v>3549681.8337035184</v>
      </c>
      <c r="H39" s="38">
        <f t="shared" si="11"/>
        <v>1450318.1992964814</v>
      </c>
      <c r="I39" s="38">
        <f t="shared" si="14"/>
        <v>543411.69097383064</v>
      </c>
      <c r="J39" s="38">
        <f t="shared" si="15"/>
        <v>499999.99655908562</v>
      </c>
      <c r="K39" s="38">
        <f t="shared" si="13"/>
        <v>43411.694414745027</v>
      </c>
      <c r="L39" s="52" t="s">
        <v>83</v>
      </c>
      <c r="M39" s="52" t="s">
        <v>83</v>
      </c>
      <c r="N39" s="38">
        <f>-C61</f>
        <v>337519.22680309118</v>
      </c>
      <c r="O39" s="53" t="s">
        <v>93</v>
      </c>
    </row>
    <row r="40" spans="1:15" x14ac:dyDescent="0.35">
      <c r="A40" s="46">
        <v>5</v>
      </c>
      <c r="B40" s="48" t="s">
        <v>80</v>
      </c>
      <c r="C40" s="49"/>
      <c r="D40" s="49"/>
      <c r="E40" s="38">
        <f>C36*(0.65+(C22-0.6))</f>
        <v>3782176.0406000912</v>
      </c>
      <c r="F40" s="50"/>
      <c r="G40" s="50"/>
      <c r="H40" s="38">
        <f>0.7*C36</f>
        <v>3500000.0230999999</v>
      </c>
      <c r="I40" s="50"/>
      <c r="J40" s="50"/>
      <c r="K40" s="38">
        <f>($C$22-0.65)*100*0.025*$C$21/100</f>
        <v>36682.881351349955</v>
      </c>
      <c r="L40" s="50"/>
      <c r="M40" s="50"/>
      <c r="N40" s="38">
        <f>($C$22-0.6)*100*0.025*$C$21/100</f>
        <v>69182.880747511575</v>
      </c>
      <c r="O40" s="53" t="s">
        <v>86</v>
      </c>
    </row>
    <row r="41" spans="1:15" x14ac:dyDescent="0.35">
      <c r="A41" s="4"/>
      <c r="C41" s="26"/>
    </row>
    <row r="42" spans="1:15" x14ac:dyDescent="0.35">
      <c r="A42" s="4"/>
      <c r="B42" s="1"/>
      <c r="C42" s="21"/>
    </row>
    <row r="43" spans="1:15" x14ac:dyDescent="0.35">
      <c r="A43" s="35" t="s">
        <v>61</v>
      </c>
      <c r="B43" s="1"/>
      <c r="C43" s="21"/>
    </row>
    <row r="44" spans="1:15" x14ac:dyDescent="0.35">
      <c r="A44" s="4"/>
      <c r="B44" s="1" t="s">
        <v>40</v>
      </c>
      <c r="C44" s="21">
        <v>53.06</v>
      </c>
      <c r="D44" t="s">
        <v>41</v>
      </c>
      <c r="E44" s="1" t="s">
        <v>42</v>
      </c>
    </row>
    <row r="45" spans="1:15" x14ac:dyDescent="0.35">
      <c r="A45" s="4"/>
      <c r="B45" s="1"/>
      <c r="C45" s="21">
        <v>2.2046199999999998</v>
      </c>
      <c r="D45" s="1" t="s">
        <v>43</v>
      </c>
    </row>
    <row r="46" spans="1:15" x14ac:dyDescent="0.35">
      <c r="A46" s="4"/>
      <c r="B46" s="1" t="s">
        <v>76</v>
      </c>
      <c r="C46" s="37">
        <f>K27</f>
        <v>1800</v>
      </c>
      <c r="D46" t="s">
        <v>96</v>
      </c>
      <c r="G46" s="61" t="s">
        <v>66</v>
      </c>
      <c r="H46" s="61"/>
      <c r="I46" s="61"/>
    </row>
    <row r="47" spans="1:15" ht="26" x14ac:dyDescent="0.35">
      <c r="A47" s="4"/>
      <c r="B47" s="1"/>
      <c r="C47" s="21"/>
      <c r="G47" s="23" t="s">
        <v>44</v>
      </c>
      <c r="H47" s="23" t="s">
        <v>45</v>
      </c>
      <c r="I47" s="23" t="s">
        <v>46</v>
      </c>
    </row>
    <row r="48" spans="1:15" x14ac:dyDescent="0.35">
      <c r="A48" s="4"/>
      <c r="B48" s="1"/>
      <c r="C48" s="21"/>
      <c r="F48" s="1" t="s">
        <v>47</v>
      </c>
      <c r="G48" s="22">
        <v>1832</v>
      </c>
      <c r="H48" s="22">
        <v>1961</v>
      </c>
      <c r="I48" s="22">
        <f>(G48*$G$50)+(H48*$H$50)</f>
        <v>1870.6999999999998</v>
      </c>
    </row>
    <row r="49" spans="2:9" x14ac:dyDescent="0.35">
      <c r="F49" s="1" t="s">
        <v>48</v>
      </c>
      <c r="G49" s="22">
        <v>1068</v>
      </c>
      <c r="H49" s="22">
        <v>1584</v>
      </c>
      <c r="I49" s="22">
        <f>(G49*$G$50)+(H49*$H$50)</f>
        <v>1222.8</v>
      </c>
    </row>
    <row r="50" spans="2:9" x14ac:dyDescent="0.35">
      <c r="B50" t="s">
        <v>31</v>
      </c>
      <c r="C50" s="13">
        <f>C44*C45/2000</f>
        <v>5.8488568599999999E-2</v>
      </c>
      <c r="G50" s="2">
        <v>0.7</v>
      </c>
      <c r="H50" s="2">
        <v>0.3</v>
      </c>
    </row>
    <row r="51" spans="2:9" x14ac:dyDescent="0.35">
      <c r="B51" t="s">
        <v>32</v>
      </c>
      <c r="C51" s="8">
        <v>0.1</v>
      </c>
      <c r="G51" s="2"/>
      <c r="H51" s="2"/>
    </row>
    <row r="52" spans="2:9" x14ac:dyDescent="0.35">
      <c r="B52" t="s">
        <v>87</v>
      </c>
      <c r="C52" s="8">
        <v>3.5000000000000003E-2</v>
      </c>
      <c r="D52" s="53" t="s">
        <v>90</v>
      </c>
      <c r="G52" s="2"/>
      <c r="H52" s="2"/>
    </row>
    <row r="53" spans="2:9" x14ac:dyDescent="0.35">
      <c r="B53" t="s">
        <v>88</v>
      </c>
      <c r="C53" s="54">
        <v>32</v>
      </c>
      <c r="D53" s="53" t="s">
        <v>89</v>
      </c>
      <c r="G53" s="2"/>
      <c r="H53" s="2"/>
    </row>
    <row r="54" spans="2:9" x14ac:dyDescent="0.35">
      <c r="B54" t="s">
        <v>33</v>
      </c>
      <c r="C54" s="14">
        <f>C46*(1+C51)/2000</f>
        <v>0.9900000000000001</v>
      </c>
    </row>
    <row r="55" spans="2:9" x14ac:dyDescent="0.35">
      <c r="B55" t="s">
        <v>34</v>
      </c>
      <c r="C55" s="15">
        <f>C50*(1+(C52*C53))*C24/1000</f>
        <v>6199.7882289341187</v>
      </c>
    </row>
    <row r="56" spans="2:9" x14ac:dyDescent="0.35">
      <c r="B56" t="s">
        <v>35</v>
      </c>
      <c r="C56" s="15">
        <f>C50*(1+(C52*C53))*C21/1000</f>
        <v>3223.8898413332731</v>
      </c>
    </row>
    <row r="57" spans="2:9" x14ac:dyDescent="0.35">
      <c r="B57" t="s">
        <v>36</v>
      </c>
      <c r="C57" s="15">
        <f>C54*C14/1000</f>
        <v>4950.000032670001</v>
      </c>
    </row>
    <row r="58" spans="2:9" x14ac:dyDescent="0.35">
      <c r="B58" t="s">
        <v>37</v>
      </c>
      <c r="C58" s="15">
        <f t="shared" ref="C58" si="18">C55-C57-C56</f>
        <v>-1974.1016450691554</v>
      </c>
    </row>
    <row r="59" spans="2:9" x14ac:dyDescent="0.35">
      <c r="B59" t="s">
        <v>38</v>
      </c>
      <c r="C59" s="15">
        <f t="shared" ref="C59" si="19">(C58/C54)*1000</f>
        <v>-1994042.0657264194</v>
      </c>
    </row>
    <row r="60" spans="2:9" x14ac:dyDescent="0.35">
      <c r="B60" s="7" t="s">
        <v>39</v>
      </c>
      <c r="C60" s="16">
        <f>-C59/C14</f>
        <v>0.39880841051314841</v>
      </c>
    </row>
    <row r="61" spans="2:9" x14ac:dyDescent="0.35">
      <c r="B61" t="s">
        <v>84</v>
      </c>
      <c r="C61" s="15">
        <f>C58/(C50/10)</f>
        <v>-337519.22680309118</v>
      </c>
    </row>
    <row r="62" spans="2:9" x14ac:dyDescent="0.35">
      <c r="C62" s="15"/>
    </row>
    <row r="63" spans="2:9" x14ac:dyDescent="0.35">
      <c r="C63" s="51"/>
    </row>
    <row r="64" spans="2:9" x14ac:dyDescent="0.35">
      <c r="C64" s="15"/>
    </row>
    <row r="65" spans="3:3" x14ac:dyDescent="0.35">
      <c r="C65" s="16"/>
    </row>
    <row r="68" spans="3:3" x14ac:dyDescent="0.35">
      <c r="C68" s="17"/>
    </row>
    <row r="69" spans="3:3" x14ac:dyDescent="0.35">
      <c r="C69" s="18"/>
    </row>
    <row r="71" spans="3:3" x14ac:dyDescent="0.35">
      <c r="C71" s="17"/>
    </row>
    <row r="72" spans="3:3" x14ac:dyDescent="0.35">
      <c r="C72" s="18"/>
    </row>
    <row r="73" spans="3:3" x14ac:dyDescent="0.35">
      <c r="C73" s="18"/>
    </row>
    <row r="74" spans="3:3" x14ac:dyDescent="0.35">
      <c r="C74" s="18"/>
    </row>
    <row r="77" spans="3:3" x14ac:dyDescent="0.35">
      <c r="C77" s="19"/>
    </row>
    <row r="79" spans="3:3" x14ac:dyDescent="0.35">
      <c r="C79" s="20"/>
    </row>
    <row r="80" spans="3:3" x14ac:dyDescent="0.35">
      <c r="C80" s="15"/>
    </row>
  </sheetData>
  <mergeCells count="10">
    <mergeCell ref="G46:I46"/>
    <mergeCell ref="C34:E34"/>
    <mergeCell ref="F34:H34"/>
    <mergeCell ref="I34:K34"/>
    <mergeCell ref="L34:N34"/>
    <mergeCell ref="J28:J29"/>
    <mergeCell ref="K28:K29"/>
    <mergeCell ref="A34:B35"/>
    <mergeCell ref="C27:E27"/>
    <mergeCell ref="F27:H27"/>
  </mergeCells>
  <phoneticPr fontId="13" type="noConversion"/>
  <pageMargins left="0.7" right="0.7" top="0.75" bottom="0.75" header="0.3" footer="0.3"/>
  <pageSetup orientation="portrait" horizontalDpi="4294967293" verticalDpi="429496729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58427FD0CC4444B87AB1CF5C8D52EB" ma:contentTypeVersion="13" ma:contentTypeDescription="Create a new document." ma:contentTypeScope="" ma:versionID="4ab785188ee20def7303332e8c7fd2a0">
  <xsd:schema xmlns:xsd="http://www.w3.org/2001/XMLSchema" xmlns:xs="http://www.w3.org/2001/XMLSchema" xmlns:p="http://schemas.microsoft.com/office/2006/metadata/properties" xmlns:ns2="173c2605-4b7d-457e-8dba-1d57dca954fb" xmlns:ns3="2546f5b2-04f2-4a0e-9993-466f4f9aad71" targetNamespace="http://schemas.microsoft.com/office/2006/metadata/properties" ma:root="true" ma:fieldsID="8eda87d1bccf0c863aad46c73ed8b7c0" ns2:_="" ns3:_="">
    <xsd:import namespace="173c2605-4b7d-457e-8dba-1d57dca954fb"/>
    <xsd:import namespace="2546f5b2-04f2-4a0e-9993-466f4f9aad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c2605-4b7d-457e-8dba-1d57dca954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6f5b2-04f2-4a0e-9993-466f4f9aad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35D3C7-6DD3-4353-8E9E-AB4A6AE6A74B}">
  <ds:schemaRefs>
    <ds:schemaRef ds:uri="173c2605-4b7d-457e-8dba-1d57dca954fb"/>
    <ds:schemaRef ds:uri="http://schemas.microsoft.com/office/2006/documentManagement/types"/>
    <ds:schemaRef ds:uri="2546f5b2-04f2-4a0e-9993-466f4f9aad7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A03A5E-7E70-431E-B168-6AC578727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13DDC5-38B0-47E1-881B-3B00E3F0F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3c2605-4b7d-457e-8dba-1d57dca954fb"/>
    <ds:schemaRef ds:uri="2546f5b2-04f2-4a0e-9993-466f4f9aad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Neme</dc:creator>
  <cp:lastModifiedBy>CJ Consulting</cp:lastModifiedBy>
  <dcterms:created xsi:type="dcterms:W3CDTF">2021-05-21T14:17:25Z</dcterms:created>
  <dcterms:modified xsi:type="dcterms:W3CDTF">2021-05-30T11:24:20Z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0x010100A558427FD0CC4444B87AB1CF5C8D52EB</vt:lpwstr>
  </property>
</Properties>
</file>