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Ameren/Ameren IL 2019/"/>
    </mc:Choice>
  </mc:AlternateContent>
  <xr:revisionPtr revIDLastSave="0" documentId="8_{2E6BE761-9290-44E3-BF2F-665B44FF5772}" xr6:coauthVersionLast="45" xr6:coauthVersionMax="45" xr10:uidLastSave="{00000000-0000-0000-0000-000000000000}"/>
  <bookViews>
    <workbookView xWindow="-110" yWindow="-110" windowWidth="19420" windowHeight="10420" tabRatio="759" activeTab="1" xr2:uid="{00000000-000D-0000-FFFF-FFFF00000000}"/>
  </bookViews>
  <sheets>
    <sheet name="2019 Electric EM&amp;V Tables" sheetId="26" r:id="rId1"/>
    <sheet name="2019 Gas EM&amp;V Tables" sheetId="2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20" l="1"/>
  <c r="C27" i="20" l="1"/>
  <c r="I26" i="20"/>
  <c r="H26" i="20"/>
  <c r="J26" i="20" s="1"/>
  <c r="C26" i="20"/>
  <c r="I23" i="20"/>
  <c r="I25" i="20" l="1"/>
  <c r="I24" i="20"/>
  <c r="E26" i="20"/>
  <c r="H17" i="20" l="1"/>
  <c r="H18" i="20"/>
  <c r="H19" i="20"/>
  <c r="H7" i="20"/>
  <c r="J7" i="20" s="1"/>
  <c r="C20" i="20"/>
  <c r="C9" i="20"/>
  <c r="C18" i="20"/>
  <c r="C15" i="20"/>
  <c r="O20" i="20" l="1"/>
  <c r="H20" i="20" s="1"/>
  <c r="C19" i="20"/>
  <c r="C10" i="20"/>
  <c r="C16" i="20"/>
  <c r="C8" i="20"/>
  <c r="C13" i="20"/>
  <c r="H15" i="20"/>
  <c r="J15" i="20" s="1"/>
  <c r="I15" i="20"/>
  <c r="H14" i="20"/>
  <c r="J14" i="20" s="1"/>
  <c r="I14" i="20"/>
  <c r="H8" i="20"/>
  <c r="J8" i="20" s="1"/>
  <c r="I8" i="20"/>
  <c r="F8" i="20"/>
  <c r="I13" i="20"/>
  <c r="C17" i="20"/>
  <c r="F7" i="20"/>
  <c r="I7" i="20"/>
  <c r="F12" i="20"/>
  <c r="I12" i="20"/>
  <c r="F11" i="20"/>
  <c r="I11" i="20"/>
  <c r="H12" i="20"/>
  <c r="J12" i="20" s="1"/>
  <c r="H16" i="20"/>
  <c r="J16" i="20" s="1"/>
  <c r="I16" i="20"/>
  <c r="F19" i="20"/>
  <c r="E19" i="20" s="1"/>
  <c r="H10" i="20"/>
  <c r="J10" i="20" s="1"/>
  <c r="I10" i="20"/>
  <c r="F16" i="20"/>
  <c r="H9" i="20"/>
  <c r="J9" i="20" s="1"/>
  <c r="I9" i="20"/>
  <c r="F9" i="20"/>
  <c r="H13" i="20"/>
  <c r="J13" i="20" s="1"/>
  <c r="F17" i="20"/>
  <c r="H11" i="20"/>
  <c r="J11" i="20" s="1"/>
  <c r="C14" i="20"/>
  <c r="F14" i="20"/>
  <c r="F18" i="20"/>
  <c r="F10" i="20"/>
  <c r="J17" i="20"/>
  <c r="C12" i="20"/>
  <c r="C7" i="20"/>
  <c r="C11" i="20"/>
  <c r="E17" i="20"/>
  <c r="I17" i="20" l="1"/>
  <c r="L13" i="26"/>
  <c r="L12" i="26"/>
  <c r="L8" i="26"/>
  <c r="L9" i="26"/>
  <c r="L10" i="26"/>
  <c r="L11" i="26"/>
  <c r="K8" i="26"/>
  <c r="K9" i="26"/>
  <c r="K10" i="26"/>
  <c r="K11" i="26"/>
  <c r="K12" i="26"/>
  <c r="K13" i="26"/>
  <c r="L17" i="26" l="1"/>
  <c r="K17" i="26"/>
  <c r="J29" i="26" l="1"/>
  <c r="I29" i="26"/>
  <c r="E29" i="26"/>
  <c r="H29" i="26"/>
  <c r="E11" i="20" l="1"/>
  <c r="E9" i="20"/>
  <c r="E8" i="20"/>
  <c r="E10" i="20"/>
  <c r="G9" i="26" l="1"/>
  <c r="F9" i="26" s="1"/>
  <c r="C9" i="26"/>
  <c r="G8" i="26" l="1"/>
  <c r="F8" i="26" s="1"/>
  <c r="G10" i="26"/>
  <c r="F10" i="26" s="1"/>
  <c r="C10" i="26"/>
  <c r="C8" i="26"/>
  <c r="E14" i="20" l="1"/>
  <c r="E16" i="20"/>
  <c r="E12" i="20" l="1"/>
  <c r="E18" i="20"/>
  <c r="G29" i="20" l="1"/>
  <c r="B29" i="20" l="1"/>
  <c r="D29" i="20"/>
  <c r="O29" i="20" l="1"/>
  <c r="F29" i="20"/>
  <c r="C29" i="20"/>
  <c r="G15" i="26"/>
  <c r="C11" i="26"/>
  <c r="C14" i="26"/>
  <c r="C13" i="26" l="1"/>
  <c r="G16" i="26"/>
  <c r="C17" i="26"/>
  <c r="C18" i="26"/>
  <c r="G12" i="26"/>
  <c r="C12" i="26"/>
  <c r="C19" i="26"/>
  <c r="G17" i="26"/>
  <c r="C16" i="26"/>
  <c r="G14" i="26"/>
  <c r="C15" i="26"/>
  <c r="G13" i="26"/>
  <c r="G11" i="26"/>
  <c r="G18" i="26"/>
  <c r="G19" i="26"/>
  <c r="L24" i="26" l="1"/>
  <c r="L25" i="26"/>
  <c r="L26" i="26"/>
  <c r="L29" i="26" l="1"/>
  <c r="K24" i="26"/>
  <c r="K25" i="26"/>
  <c r="K26" i="26"/>
  <c r="F24" i="26"/>
  <c r="F25" i="26"/>
  <c r="F26" i="26"/>
  <c r="F23" i="26"/>
  <c r="B29" i="26" l="1"/>
  <c r="D29" i="26"/>
  <c r="Q29" i="26" s="1"/>
  <c r="C26" i="26"/>
  <c r="C25" i="26"/>
  <c r="C24" i="26"/>
  <c r="K23" i="26"/>
  <c r="L23" i="26"/>
  <c r="C23" i="26"/>
  <c r="F12" i="26"/>
  <c r="F18" i="26"/>
  <c r="L16" i="26"/>
  <c r="K16" i="26"/>
  <c r="F16" i="26"/>
  <c r="K15" i="26"/>
  <c r="K14" i="26"/>
  <c r="L7" i="26"/>
  <c r="K7" i="26"/>
  <c r="G7" i="26"/>
  <c r="F7" i="26" s="1"/>
  <c r="C7" i="26"/>
  <c r="C29" i="26" l="1"/>
  <c r="K29" i="26"/>
  <c r="G29" i="26"/>
  <c r="F19" i="26"/>
  <c r="F13" i="26"/>
  <c r="F11" i="26"/>
  <c r="L14" i="26"/>
  <c r="F14" i="26"/>
  <c r="F17" i="26"/>
  <c r="L15" i="26"/>
  <c r="F15" i="26"/>
  <c r="F29" i="26" l="1"/>
  <c r="H24" i="20"/>
  <c r="J24" i="20" s="1"/>
  <c r="H25" i="20"/>
  <c r="J25" i="20" s="1"/>
  <c r="H23" i="20"/>
  <c r="H29" i="20" l="1"/>
  <c r="J23" i="20"/>
  <c r="F25" i="20"/>
  <c r="E25" i="20"/>
  <c r="C25" i="20"/>
  <c r="F24" i="20"/>
  <c r="E24" i="20"/>
  <c r="C24" i="20"/>
  <c r="F23" i="20"/>
  <c r="E23" i="20"/>
  <c r="C23" i="20"/>
  <c r="E7" i="20" l="1"/>
  <c r="E29" i="20" s="1"/>
  <c r="J27" i="20"/>
  <c r="J29" i="20" s="1"/>
  <c r="I27" i="20"/>
  <c r="I29" i="20" s="1"/>
</calcChain>
</file>

<file path=xl/sharedStrings.xml><?xml version="1.0" encoding="utf-8"?>
<sst xmlns="http://schemas.openxmlformats.org/spreadsheetml/2006/main" count="239" uniqueCount="75">
  <si>
    <t>Business Programs</t>
  </si>
  <si>
    <t>Residential Programs</t>
  </si>
  <si>
    <t>%</t>
  </si>
  <si>
    <t>$</t>
  </si>
  <si>
    <t>MW</t>
  </si>
  <si>
    <t>Years</t>
  </si>
  <si>
    <t>Units Definition</t>
  </si>
  <si>
    <t># Units</t>
  </si>
  <si>
    <t>Net-to-Gross Ratio</t>
  </si>
  <si>
    <t>Program Costs</t>
  </si>
  <si>
    <t>First Year Cost per Lifetime Savings</t>
  </si>
  <si>
    <t>First Year Cost per First Year Annual Savings</t>
  </si>
  <si>
    <t>Lifetime Savings</t>
  </si>
  <si>
    <t>First Year Peak Demand Savings</t>
  </si>
  <si>
    <t>First Year Annual Savings</t>
  </si>
  <si>
    <t>Net-to-Gross 
Ratio</t>
  </si>
  <si>
    <t>First Year Annual Energy Savings</t>
  </si>
  <si>
    <t>Weighted Average Measure Life</t>
  </si>
  <si>
    <t>Participation</t>
  </si>
  <si>
    <t>Evaluation Estimate (Where Available)</t>
  </si>
  <si>
    <t>Actual</t>
  </si>
  <si>
    <t>Realization Rate</t>
  </si>
  <si>
    <t>Ex Ante Gross</t>
  </si>
  <si>
    <t>Projects</t>
  </si>
  <si>
    <t>Deemed / Used</t>
  </si>
  <si>
    <t>Custom</t>
  </si>
  <si>
    <t>Standard</t>
  </si>
  <si>
    <t>Verified Gross</t>
  </si>
  <si>
    <t>Energy Savings 
(Ex Ante Gross / Verified Gross)</t>
  </si>
  <si>
    <t>MWh</t>
  </si>
  <si>
    <t>$/MWh</t>
  </si>
  <si>
    <t>Residential Program</t>
  </si>
  <si>
    <t>Business Program</t>
  </si>
  <si>
    <t>Streetlighting</t>
  </si>
  <si>
    <t>Retro-Commissioning</t>
  </si>
  <si>
    <t>Verified Net</t>
  </si>
  <si>
    <t>Therms</t>
  </si>
  <si>
    <t>$/Therm</t>
  </si>
  <si>
    <t>Advanced thermostats</t>
  </si>
  <si>
    <t>Customers treated</t>
  </si>
  <si>
    <t>Products rebated</t>
  </si>
  <si>
    <t>Tenant units</t>
  </si>
  <si>
    <t>Measures distributed</t>
  </si>
  <si>
    <t>Various</t>
  </si>
  <si>
    <t>Notes</t>
  </si>
  <si>
    <t>Portfolio Total</t>
  </si>
  <si>
    <t>Kits distributed</t>
  </si>
  <si>
    <t>N/A</t>
  </si>
  <si>
    <t>AIC 2019 Initiatives</t>
  </si>
  <si>
    <t>Residential NPSO Adder</t>
  </si>
  <si>
    <t>Building Operator Certification</t>
  </si>
  <si>
    <t>No 2019 research</t>
  </si>
  <si>
    <t>2019 Detailed Verified Savings Results - Electric</t>
  </si>
  <si>
    <t>2019 Detailed Verified Savings Results - Gas</t>
  </si>
  <si>
    <t>• Savings presented reflect actual savings achieved by the programs and do not reflect the Future Energy Jobs Act-allowed conversion of alternate fuels to MWh.
• If the conversion had been included, it would add an additional 13,121 in verified net MWh to the Income Qualified - Single Family Initiative and 2,684 MWh to the Custom Initiative as compared to the totals presented here.
• Program costs presented in the "Portfolio Total" row include unallocated portfolio-level administrative costs and therefore are in excess of the sums of the individual rows.</t>
  </si>
  <si>
    <t>Retail Products</t>
  </si>
  <si>
    <t>Income Qualified - CAA</t>
  </si>
  <si>
    <t>Income Qualified - Single Family</t>
  </si>
  <si>
    <t>Income Qualified - Multifamily</t>
  </si>
  <si>
    <t>Income Qualified - Smart Savers</t>
  </si>
  <si>
    <t>Public Housing</t>
  </si>
  <si>
    <t>Behavioral Modification</t>
  </si>
  <si>
    <t>HVAC</t>
  </si>
  <si>
    <t>Appliance Recycling</t>
  </si>
  <si>
    <t>Multifamily</t>
  </si>
  <si>
    <t>Direct Distribution - School Kits</t>
  </si>
  <si>
    <t>Direct Distribution - Appliance Recycling Kits</t>
  </si>
  <si>
    <t>Direct Distribution - Community Kits</t>
  </si>
  <si>
    <t>Properties treated</t>
  </si>
  <si>
    <t>Measures rebated</t>
  </si>
  <si>
    <t>Measures recycled</t>
  </si>
  <si>
    <t>• Savings presented reflect actual savings achieved by the programs and do not reflect the Future Energy Jobs Act-allowed conversion of alternate fuels to MWh.
• If the conversion had been included, it would subtract 447,806 in verified net therms from the Income Qualified -Single Family Initiative and 91,598 in verified net therms from the Custom Initiative, for a total of -539,404 in verified net therm savings as compared to the totals presented here.
• Program costs presented in the "Portfolio Total" row include unallocated portfolio-level administrative costs and therefore are in excess of the sums of the individual rows.</t>
  </si>
  <si>
    <t>Units treated</t>
  </si>
  <si>
    <t>Homes served</t>
  </si>
  <si>
    <t>Customers trained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</si>
</sst>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00"/>
    <numFmt numFmtId="168" formatCode="#,##0.000"/>
  </numFmts>
  <fonts count="12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Franklin Gothic Medium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i/>
      <sz val="11"/>
      <color theme="1"/>
      <name val="Franklin Gothic Book"/>
      <family val="2"/>
    </font>
    <font>
      <sz val="10"/>
      <color theme="0"/>
      <name val="Franklin Gothic Medium"/>
      <family val="2"/>
    </font>
    <font>
      <sz val="11"/>
      <name val="Franklin Gothic Book"/>
      <family val="2"/>
      <scheme val="minor"/>
    </font>
    <font>
      <sz val="11"/>
      <color rgb="FF000000"/>
      <name val="Franklin Gothic Book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3572"/>
        <bgColor indexed="64"/>
      </patternFill>
    </fill>
    <fill>
      <patternFill patternType="lightUp">
        <fgColor theme="6"/>
      </patternFill>
    </fill>
  </fills>
  <borders count="19">
    <border>
      <left/>
      <right/>
      <top/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rgb="FF4D4D4F"/>
      </left>
      <right/>
      <top/>
      <bottom style="thin">
        <color rgb="FF4D4D4F"/>
      </bottom>
      <diagonal/>
    </border>
    <border>
      <left/>
      <right/>
      <top/>
      <bottom style="thin">
        <color rgb="FF4D4D4F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rgb="FF4D4D4F"/>
      </left>
      <right style="thin">
        <color rgb="FF4D4D4F"/>
      </right>
      <top/>
      <bottom/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 style="thin">
        <color theme="6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9" fontId="2" fillId="0" borderId="0" xfId="3" applyFont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horizontal="right" vertical="center"/>
    </xf>
    <xf numFmtId="164" fontId="6" fillId="4" borderId="2" xfId="1" applyNumberFormat="1" applyFont="1" applyFill="1" applyBorder="1" applyAlignment="1">
      <alignment vertical="center"/>
    </xf>
    <xf numFmtId="2" fontId="6" fillId="0" borderId="2" xfId="0" quotePrefix="1" applyNumberFormat="1" applyFont="1" applyBorder="1" applyAlignment="1">
      <alignment horizontal="right" vertical="center"/>
    </xf>
    <xf numFmtId="3" fontId="6" fillId="0" borderId="2" xfId="0" applyNumberFormat="1" applyFont="1" applyFill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6" fillId="0" borderId="2" xfId="1" applyNumberFormat="1" applyFont="1" applyBorder="1" applyAlignment="1">
      <alignment vertical="center"/>
    </xf>
    <xf numFmtId="44" fontId="6" fillId="0" borderId="2" xfId="2" applyFont="1" applyBorder="1" applyAlignment="1">
      <alignment vertical="center"/>
    </xf>
    <xf numFmtId="165" fontId="6" fillId="0" borderId="2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7" fontId="6" fillId="0" borderId="2" xfId="3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167" fontId="6" fillId="0" borderId="2" xfId="3" applyNumberFormat="1" applyFont="1" applyFill="1" applyBorder="1" applyAlignment="1">
      <alignment horizontal="right" vertical="center"/>
    </xf>
    <xf numFmtId="167" fontId="6" fillId="2" borderId="2" xfId="0" applyNumberFormat="1" applyFont="1" applyFill="1" applyBorder="1" applyAlignment="1">
      <alignment vertical="center" wrapText="1"/>
    </xf>
    <xf numFmtId="167" fontId="5" fillId="3" borderId="4" xfId="0" applyNumberFormat="1" applyFont="1" applyFill="1" applyBorder="1" applyAlignment="1">
      <alignment vertical="center"/>
    </xf>
    <xf numFmtId="166" fontId="6" fillId="0" borderId="2" xfId="2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9" fontId="6" fillId="0" borderId="2" xfId="3" applyFont="1" applyFill="1" applyBorder="1" applyAlignment="1">
      <alignment horizontal="left" vertical="center"/>
    </xf>
    <xf numFmtId="0" fontId="3" fillId="0" borderId="0" xfId="0" applyFont="1" applyFill="1"/>
    <xf numFmtId="0" fontId="7" fillId="0" borderId="0" xfId="0" applyFont="1" applyFill="1"/>
    <xf numFmtId="0" fontId="10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9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167" fontId="5" fillId="0" borderId="2" xfId="3" applyNumberFormat="1" applyFont="1" applyFill="1" applyBorder="1" applyAlignment="1">
      <alignment vertical="center"/>
    </xf>
    <xf numFmtId="44" fontId="5" fillId="0" borderId="2" xfId="0" applyNumberFormat="1" applyFont="1" applyBorder="1" applyAlignment="1">
      <alignment vertical="center"/>
    </xf>
    <xf numFmtId="44" fontId="5" fillId="0" borderId="2" xfId="2" applyFont="1" applyBorder="1" applyAlignment="1">
      <alignment vertical="center"/>
    </xf>
    <xf numFmtId="166" fontId="5" fillId="0" borderId="3" xfId="2" applyNumberFormat="1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 wrapText="1"/>
    </xf>
    <xf numFmtId="165" fontId="5" fillId="0" borderId="2" xfId="0" applyNumberFormat="1" applyFont="1" applyBorder="1" applyAlignment="1">
      <alignment vertical="center"/>
    </xf>
    <xf numFmtId="166" fontId="5" fillId="0" borderId="2" xfId="2" applyNumberFormat="1" applyFont="1" applyBorder="1" applyAlignment="1">
      <alignment vertical="center"/>
    </xf>
    <xf numFmtId="168" fontId="5" fillId="0" borderId="2" xfId="0" applyNumberFormat="1" applyFont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166" fontId="6" fillId="0" borderId="3" xfId="2" applyNumberFormat="1" applyFont="1" applyBorder="1" applyAlignment="1">
      <alignment horizontal="right" vertical="center"/>
    </xf>
    <xf numFmtId="44" fontId="6" fillId="0" borderId="2" xfId="2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9" fontId="10" fillId="0" borderId="1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horizontal="right" vertical="center"/>
    </xf>
    <xf numFmtId="164" fontId="10" fillId="0" borderId="1" xfId="1" applyNumberFormat="1" applyFont="1" applyFill="1" applyBorder="1" applyAlignment="1">
      <alignment vertical="center"/>
    </xf>
    <xf numFmtId="167" fontId="10" fillId="0" borderId="1" xfId="3" applyNumberFormat="1" applyFont="1" applyFill="1" applyBorder="1" applyAlignment="1">
      <alignment horizontal="right" vertical="center"/>
    </xf>
    <xf numFmtId="2" fontId="10" fillId="0" borderId="1" xfId="0" quotePrefix="1" applyNumberFormat="1" applyFont="1" applyBorder="1" applyAlignment="1">
      <alignment horizontal="right" vertical="center"/>
    </xf>
    <xf numFmtId="3" fontId="10" fillId="0" borderId="1" xfId="0" applyNumberFormat="1" applyFont="1" applyFill="1" applyBorder="1" applyAlignment="1">
      <alignment vertical="center"/>
    </xf>
    <xf numFmtId="44" fontId="10" fillId="0" borderId="1" xfId="0" applyNumberFormat="1" applyFont="1" applyBorder="1" applyAlignment="1">
      <alignment vertical="center"/>
    </xf>
    <xf numFmtId="166" fontId="10" fillId="0" borderId="1" xfId="0" applyNumberFormat="1" applyFont="1" applyBorder="1" applyAlignment="1">
      <alignment vertical="center"/>
    </xf>
    <xf numFmtId="165" fontId="10" fillId="4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44" fontId="10" fillId="0" borderId="1" xfId="2" applyNumberFormat="1" applyFont="1" applyBorder="1" applyAlignment="1">
      <alignment vertical="center"/>
    </xf>
    <xf numFmtId="166" fontId="10" fillId="0" borderId="1" xfId="2" applyNumberFormat="1" applyFont="1" applyBorder="1" applyAlignment="1">
      <alignment vertical="center"/>
    </xf>
    <xf numFmtId="44" fontId="10" fillId="0" borderId="1" xfId="2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9" fontId="10" fillId="0" borderId="1" xfId="0" applyNumberFormat="1" applyFont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44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right" vertical="center"/>
    </xf>
    <xf numFmtId="164" fontId="6" fillId="4" borderId="3" xfId="1" applyNumberFormat="1" applyFont="1" applyFill="1" applyBorder="1" applyAlignment="1">
      <alignment vertical="center"/>
    </xf>
    <xf numFmtId="4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165" fontId="6" fillId="0" borderId="2" xfId="0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horizontal="left" vertical="center"/>
    </xf>
    <xf numFmtId="164" fontId="6" fillId="4" borderId="2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9" fontId="6" fillId="0" borderId="2" xfId="3" applyFont="1" applyFill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0" fontId="8" fillId="5" borderId="8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166" fontId="10" fillId="0" borderId="12" xfId="2" applyNumberFormat="1" applyFont="1" applyBorder="1" applyAlignment="1">
      <alignment horizontal="center" vertical="center"/>
    </xf>
    <xf numFmtId="166" fontId="10" fillId="0" borderId="14" xfId="2" applyNumberFormat="1" applyFont="1" applyBorder="1" applyAlignment="1">
      <alignment horizontal="center" vertical="center"/>
    </xf>
    <xf numFmtId="166" fontId="10" fillId="0" borderId="15" xfId="2" applyNumberFormat="1" applyFont="1" applyBorder="1" applyAlignment="1">
      <alignment horizontal="center" vertical="center"/>
    </xf>
    <xf numFmtId="44" fontId="10" fillId="0" borderId="12" xfId="2" applyNumberFormat="1" applyFont="1" applyFill="1" applyBorder="1" applyAlignment="1">
      <alignment horizontal="center" vertical="center"/>
    </xf>
    <xf numFmtId="44" fontId="10" fillId="0" borderId="14" xfId="2" applyNumberFormat="1" applyFont="1" applyFill="1" applyBorder="1" applyAlignment="1">
      <alignment horizontal="center" vertical="center"/>
    </xf>
    <xf numFmtId="44" fontId="10" fillId="0" borderId="15" xfId="2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166" fontId="10" fillId="0" borderId="18" xfId="2" applyNumberFormat="1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 5" xfId="4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pinion Dynamics">
  <a:themeElements>
    <a:clrScheme name="Custom 4">
      <a:dk1>
        <a:sysClr val="windowText" lastClr="000000"/>
      </a:dk1>
      <a:lt1>
        <a:srgbClr val="FFFFFF"/>
      </a:lt1>
      <a:dk2>
        <a:srgbClr val="053572"/>
      </a:dk2>
      <a:lt2>
        <a:srgbClr val="FFFFFF"/>
      </a:lt2>
      <a:accent1>
        <a:srgbClr val="053572"/>
      </a:accent1>
      <a:accent2>
        <a:srgbClr val="1295D8"/>
      </a:accent2>
      <a:accent3>
        <a:srgbClr val="4D4D4F"/>
      </a:accent3>
      <a:accent4>
        <a:srgbClr val="0069B6"/>
      </a:accent4>
      <a:accent5>
        <a:srgbClr val="64B3E8"/>
      </a:accent5>
      <a:accent6>
        <a:srgbClr val="696969"/>
      </a:accent6>
      <a:hlink>
        <a:srgbClr val="FF6C2F"/>
      </a:hlink>
      <a:folHlink>
        <a:srgbClr val="FFB511"/>
      </a:folHlink>
    </a:clrScheme>
    <a:fontScheme name="Custom 1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zoomScale="75" zoomScaleNormal="75" workbookViewId="0">
      <pane xSplit="1" topLeftCell="B1" activePane="topRight" state="frozen"/>
      <selection pane="topRight" activeCell="M27" sqref="M27"/>
    </sheetView>
  </sheetViews>
  <sheetFormatPr defaultColWidth="9.23046875" defaultRowHeight="15" x14ac:dyDescent="0.4"/>
  <cols>
    <col min="1" max="1" width="28.765625" style="1" customWidth="1"/>
    <col min="2" max="15" width="13.765625" style="1" customWidth="1"/>
    <col min="16" max="16" width="17.765625" style="1" customWidth="1"/>
    <col min="17" max="17" width="13.765625" style="1" customWidth="1"/>
    <col min="18" max="16384" width="9.23046875" style="3"/>
  </cols>
  <sheetData>
    <row r="1" spans="1:17" x14ac:dyDescent="0.4">
      <c r="A1" s="39" t="s">
        <v>52</v>
      </c>
      <c r="B1" s="39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4">
      <c r="A2" s="40"/>
      <c r="B2" s="3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45" x14ac:dyDescent="0.4">
      <c r="A3" s="102" t="s">
        <v>48</v>
      </c>
      <c r="B3" s="25" t="s">
        <v>22</v>
      </c>
      <c r="C3" s="25" t="s">
        <v>21</v>
      </c>
      <c r="D3" s="101" t="s">
        <v>27</v>
      </c>
      <c r="E3" s="101"/>
      <c r="F3" s="101"/>
      <c r="G3" s="25" t="s">
        <v>24</v>
      </c>
      <c r="H3" s="101" t="s">
        <v>35</v>
      </c>
      <c r="I3" s="101"/>
      <c r="J3" s="101"/>
      <c r="K3" s="101"/>
      <c r="L3" s="101"/>
      <c r="M3" s="24" t="s">
        <v>20</v>
      </c>
      <c r="N3" s="25" t="s">
        <v>19</v>
      </c>
      <c r="O3" s="101" t="s">
        <v>18</v>
      </c>
      <c r="P3" s="101"/>
      <c r="Q3" s="25" t="s">
        <v>17</v>
      </c>
    </row>
    <row r="4" spans="1:17" ht="45" x14ac:dyDescent="0.4">
      <c r="A4" s="102"/>
      <c r="B4" s="25" t="s">
        <v>16</v>
      </c>
      <c r="C4" s="25" t="s">
        <v>28</v>
      </c>
      <c r="D4" s="25" t="s">
        <v>16</v>
      </c>
      <c r="E4" s="25" t="s">
        <v>13</v>
      </c>
      <c r="F4" s="25" t="s">
        <v>12</v>
      </c>
      <c r="G4" s="25" t="s">
        <v>15</v>
      </c>
      <c r="H4" s="25" t="s">
        <v>14</v>
      </c>
      <c r="I4" s="25" t="s">
        <v>13</v>
      </c>
      <c r="J4" s="25" t="s">
        <v>12</v>
      </c>
      <c r="K4" s="25" t="s">
        <v>11</v>
      </c>
      <c r="L4" s="25" t="s">
        <v>10</v>
      </c>
      <c r="M4" s="25" t="s">
        <v>9</v>
      </c>
      <c r="N4" s="25" t="s">
        <v>8</v>
      </c>
      <c r="O4" s="102" t="s">
        <v>7</v>
      </c>
      <c r="P4" s="102" t="s">
        <v>6</v>
      </c>
      <c r="Q4" s="101" t="s">
        <v>5</v>
      </c>
    </row>
    <row r="5" spans="1:17" x14ac:dyDescent="0.4">
      <c r="A5" s="102"/>
      <c r="B5" s="25" t="s">
        <v>29</v>
      </c>
      <c r="C5" s="25" t="s">
        <v>2</v>
      </c>
      <c r="D5" s="25" t="s">
        <v>29</v>
      </c>
      <c r="E5" s="25" t="s">
        <v>4</v>
      </c>
      <c r="F5" s="25" t="s">
        <v>29</v>
      </c>
      <c r="G5" s="25" t="s">
        <v>2</v>
      </c>
      <c r="H5" s="25" t="s">
        <v>29</v>
      </c>
      <c r="I5" s="25" t="s">
        <v>4</v>
      </c>
      <c r="J5" s="25" t="s">
        <v>29</v>
      </c>
      <c r="K5" s="25" t="s">
        <v>30</v>
      </c>
      <c r="L5" s="25" t="s">
        <v>30</v>
      </c>
      <c r="M5" s="25" t="s">
        <v>3</v>
      </c>
      <c r="N5" s="25" t="s">
        <v>2</v>
      </c>
      <c r="O5" s="102"/>
      <c r="P5" s="102"/>
      <c r="Q5" s="101"/>
    </row>
    <row r="6" spans="1:17" x14ac:dyDescent="0.4">
      <c r="A6" s="60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61"/>
    </row>
    <row r="7" spans="1:17" x14ac:dyDescent="0.4">
      <c r="A7" s="41" t="s">
        <v>55</v>
      </c>
      <c r="B7" s="62">
        <v>109992.33635672199</v>
      </c>
      <c r="C7" s="63">
        <f>IFERROR(D7/B7,"N.A.")</f>
        <v>1.0375876126948884</v>
      </c>
      <c r="D7" s="62">
        <v>114126.68569510436</v>
      </c>
      <c r="E7" s="64">
        <v>15.48</v>
      </c>
      <c r="F7" s="65">
        <f>J7/G7</f>
        <v>585677.20418738388</v>
      </c>
      <c r="G7" s="66">
        <f>IFERROR(H7/D7, "N.A.")</f>
        <v>0.71648815544950284</v>
      </c>
      <c r="H7" s="62">
        <v>81770.418521250482</v>
      </c>
      <c r="I7" s="67">
        <v>11.22</v>
      </c>
      <c r="J7" s="68">
        <v>419630.77971704054</v>
      </c>
      <c r="K7" s="69">
        <f>IFERROR(M7/H7,"N.A.")</f>
        <v>97.814525896322706</v>
      </c>
      <c r="L7" s="69">
        <f>IFERROR(M7/J7, "N.A.")</f>
        <v>19.060410023767378</v>
      </c>
      <c r="M7" s="70">
        <v>7998334.7200000007</v>
      </c>
      <c r="N7" s="41" t="s">
        <v>43</v>
      </c>
      <c r="O7" s="62">
        <v>2655061</v>
      </c>
      <c r="P7" s="41" t="s">
        <v>40</v>
      </c>
      <c r="Q7" s="71">
        <v>9.1483802886902534</v>
      </c>
    </row>
    <row r="8" spans="1:17" x14ac:dyDescent="0.4">
      <c r="A8" s="41" t="s">
        <v>56</v>
      </c>
      <c r="B8" s="62">
        <v>955.03717833800044</v>
      </c>
      <c r="C8" s="63">
        <f t="shared" ref="C8:C9" si="0">IFERROR(D8/B8,"N.A.")</f>
        <v>0.85330912688629412</v>
      </c>
      <c r="D8" s="62">
        <v>814.94194079154909</v>
      </c>
      <c r="E8" s="64">
        <v>0.21536633516783735</v>
      </c>
      <c r="F8" s="65">
        <f t="shared" ref="F8:F9" si="1">J8/G8</f>
        <v>10188.069491552382</v>
      </c>
      <c r="G8" s="66">
        <f t="shared" ref="G8:G9" si="2">IFERROR(H8/D8, "N.A.")</f>
        <v>1</v>
      </c>
      <c r="H8" s="62">
        <v>814.94194079154909</v>
      </c>
      <c r="I8" s="67">
        <v>0.21536633516783735</v>
      </c>
      <c r="J8" s="68">
        <v>10188.069491552382</v>
      </c>
      <c r="K8" s="69">
        <f t="shared" ref="K8:K13" si="3">IFERROR(M8/H8,"N.A.")</f>
        <v>2867.2505402414681</v>
      </c>
      <c r="L8" s="69">
        <f t="shared" ref="L8:L13" si="4">IFERROR(M8/J8, "N.A.")</f>
        <v>229.35088163046674</v>
      </c>
      <c r="M8" s="70">
        <v>2336642.7199999997</v>
      </c>
      <c r="N8" s="41" t="s">
        <v>47</v>
      </c>
      <c r="O8" s="37">
        <v>380</v>
      </c>
      <c r="P8" s="4" t="s">
        <v>73</v>
      </c>
      <c r="Q8" s="71">
        <v>14.942039402188716</v>
      </c>
    </row>
    <row r="9" spans="1:17" x14ac:dyDescent="0.4">
      <c r="A9" s="41" t="s">
        <v>57</v>
      </c>
      <c r="B9" s="62">
        <v>8745.9849510660133</v>
      </c>
      <c r="C9" s="63">
        <f t="shared" si="0"/>
        <v>1.0670609432260789</v>
      </c>
      <c r="D9" s="62">
        <v>9332.4989513255914</v>
      </c>
      <c r="E9" s="64">
        <v>3.0405806714094989</v>
      </c>
      <c r="F9" s="65">
        <f t="shared" si="1"/>
        <v>102090.67695391814</v>
      </c>
      <c r="G9" s="66">
        <f t="shared" si="2"/>
        <v>1</v>
      </c>
      <c r="H9" s="62">
        <v>9332.4989513255914</v>
      </c>
      <c r="I9" s="67">
        <v>3.0405806714094989</v>
      </c>
      <c r="J9" s="68">
        <v>102090.67695391814</v>
      </c>
      <c r="K9" s="69">
        <f t="shared" si="3"/>
        <v>2098.2104077513591</v>
      </c>
      <c r="L9" s="69">
        <f t="shared" si="4"/>
        <v>191.80543232991539</v>
      </c>
      <c r="M9" s="70">
        <v>19581546.43</v>
      </c>
      <c r="N9" s="41" t="s">
        <v>47</v>
      </c>
      <c r="O9" s="37">
        <v>4157</v>
      </c>
      <c r="P9" s="4" t="s">
        <v>73</v>
      </c>
      <c r="Q9" s="71">
        <v>14.676709154163438</v>
      </c>
    </row>
    <row r="10" spans="1:17" x14ac:dyDescent="0.4">
      <c r="A10" s="41" t="s">
        <v>58</v>
      </c>
      <c r="B10" s="62">
        <v>1562.4706494069999</v>
      </c>
      <c r="C10" s="63">
        <f t="shared" ref="C10" si="5">IFERROR(D10/B10,"N.A.")</f>
        <v>1.0432023202813028</v>
      </c>
      <c r="D10" s="62">
        <v>1629.9730068328163</v>
      </c>
      <c r="E10" s="64">
        <v>0.24136502171894425</v>
      </c>
      <c r="F10" s="65">
        <f t="shared" ref="F10" si="6">J10/G10</f>
        <v>15304.297896962307</v>
      </c>
      <c r="G10" s="66">
        <f t="shared" ref="G10" si="7">IFERROR(H10/D10, "N.A.")</f>
        <v>1</v>
      </c>
      <c r="H10" s="62">
        <v>1629.9730068328163</v>
      </c>
      <c r="I10" s="67">
        <v>0.24136502171894425</v>
      </c>
      <c r="J10" s="68">
        <v>15304.297896962307</v>
      </c>
      <c r="K10" s="69">
        <f t="shared" si="3"/>
        <v>564.96018408877387</v>
      </c>
      <c r="L10" s="69">
        <f t="shared" si="4"/>
        <v>60.170669455067262</v>
      </c>
      <c r="M10" s="70">
        <v>920869.85000000009</v>
      </c>
      <c r="N10" s="41" t="s">
        <v>47</v>
      </c>
      <c r="O10" s="37">
        <v>1108</v>
      </c>
      <c r="P10" s="4" t="s">
        <v>72</v>
      </c>
      <c r="Q10" s="71">
        <v>10.731542361422973</v>
      </c>
    </row>
    <row r="11" spans="1:17" x14ac:dyDescent="0.4">
      <c r="A11" s="41" t="s">
        <v>59</v>
      </c>
      <c r="B11" s="62">
        <v>3059.0766237059561</v>
      </c>
      <c r="C11" s="63">
        <f t="shared" ref="C11:C19" si="8">IFERROR(D11/B11,"N.A.")</f>
        <v>0.92323367421197566</v>
      </c>
      <c r="D11" s="62">
        <v>2824.2425510000153</v>
      </c>
      <c r="E11" s="64">
        <v>0.65937500159993789</v>
      </c>
      <c r="F11" s="65">
        <f t="shared" ref="F11:F19" si="9">J11/G11</f>
        <v>31066.66806100016</v>
      </c>
      <c r="G11" s="66">
        <f t="shared" ref="G11:G19" si="10">IFERROR(H11/D11, "N.A.")</f>
        <v>1</v>
      </c>
      <c r="H11" s="62">
        <v>2824.2425510000153</v>
      </c>
      <c r="I11" s="67">
        <v>0.6593952600000168</v>
      </c>
      <c r="J11" s="68">
        <v>31066.66806100016</v>
      </c>
      <c r="K11" s="69">
        <f t="shared" si="3"/>
        <v>533.92621659427436</v>
      </c>
      <c r="L11" s="69">
        <f t="shared" si="4"/>
        <v>48.538746963115862</v>
      </c>
      <c r="M11" s="70">
        <v>1507937.1400000001</v>
      </c>
      <c r="N11" s="41" t="s">
        <v>47</v>
      </c>
      <c r="O11" s="37">
        <v>6048</v>
      </c>
      <c r="P11" s="4" t="s">
        <v>38</v>
      </c>
      <c r="Q11" s="71">
        <v>11</v>
      </c>
    </row>
    <row r="12" spans="1:17" x14ac:dyDescent="0.4">
      <c r="A12" s="41" t="s">
        <v>60</v>
      </c>
      <c r="B12" s="62">
        <v>1163.613194415</v>
      </c>
      <c r="C12" s="63">
        <f>IFERROR(D12/B12,"N.A.")</f>
        <v>0.99842749257602148</v>
      </c>
      <c r="D12" s="62">
        <v>1161.783404028143</v>
      </c>
      <c r="E12" s="64">
        <v>0.18813712809917676</v>
      </c>
      <c r="F12" s="65">
        <f>J12/G12</f>
        <v>8605.4725584683201</v>
      </c>
      <c r="G12" s="66">
        <f>IFERROR(H12/D12, "N.A.")</f>
        <v>1</v>
      </c>
      <c r="H12" s="62">
        <v>1161.783404028143</v>
      </c>
      <c r="I12" s="67">
        <v>0.18813712809917676</v>
      </c>
      <c r="J12" s="68">
        <v>8605.4725584683201</v>
      </c>
      <c r="K12" s="69">
        <f t="shared" si="3"/>
        <v>818.83231995019582</v>
      </c>
      <c r="L12" s="69">
        <f t="shared" si="4"/>
        <v>110.54660781688925</v>
      </c>
      <c r="M12" s="70">
        <v>951305.79999999993</v>
      </c>
      <c r="N12" s="41" t="s">
        <v>47</v>
      </c>
      <c r="O12" s="62">
        <v>90</v>
      </c>
      <c r="P12" s="41" t="s">
        <v>68</v>
      </c>
      <c r="Q12" s="71">
        <v>10.408530094402963</v>
      </c>
    </row>
    <row r="13" spans="1:17" x14ac:dyDescent="0.4">
      <c r="A13" s="41" t="s">
        <v>61</v>
      </c>
      <c r="B13" s="62">
        <v>3617</v>
      </c>
      <c r="C13" s="63">
        <f>IFERROR(D13/B13,"N.A.")</f>
        <v>0.2933268899880313</v>
      </c>
      <c r="D13" s="62">
        <v>1060.9633610867093</v>
      </c>
      <c r="E13" s="64">
        <v>0.18362827403423809</v>
      </c>
      <c r="F13" s="65">
        <f>J13/G13</f>
        <v>2699.5440306715714</v>
      </c>
      <c r="G13" s="66">
        <f>IFERROR(H13/D13, "N.A.")</f>
        <v>1</v>
      </c>
      <c r="H13" s="62">
        <v>1060.9633610867093</v>
      </c>
      <c r="I13" s="67">
        <v>0.18362827403423809</v>
      </c>
      <c r="J13" s="68">
        <v>2699.5440306715714</v>
      </c>
      <c r="K13" s="69">
        <f t="shared" si="3"/>
        <v>724.66008554009375</v>
      </c>
      <c r="L13" s="69">
        <f t="shared" si="4"/>
        <v>284.80283754021031</v>
      </c>
      <c r="M13" s="70">
        <v>768837.8</v>
      </c>
      <c r="N13" s="41" t="s">
        <v>47</v>
      </c>
      <c r="O13" s="62">
        <v>71177</v>
      </c>
      <c r="P13" s="4" t="s">
        <v>39</v>
      </c>
      <c r="Q13" s="71">
        <v>5</v>
      </c>
    </row>
    <row r="14" spans="1:17" x14ac:dyDescent="0.4">
      <c r="A14" s="41" t="s">
        <v>62</v>
      </c>
      <c r="B14" s="62">
        <v>7478</v>
      </c>
      <c r="C14" s="63">
        <f t="shared" si="8"/>
        <v>1.2208940164156765</v>
      </c>
      <c r="D14" s="62">
        <v>9129.8454547564288</v>
      </c>
      <c r="E14" s="64">
        <v>4.2686185660390068</v>
      </c>
      <c r="F14" s="65">
        <f t="shared" si="9"/>
        <v>111067.32172509635</v>
      </c>
      <c r="G14" s="66">
        <f t="shared" si="10"/>
        <v>0.75472067663078157</v>
      </c>
      <c r="H14" s="62">
        <v>6890.4831391482376</v>
      </c>
      <c r="I14" s="67">
        <v>3.1646948311322642</v>
      </c>
      <c r="J14" s="68">
        <v>83824.804203933425</v>
      </c>
      <c r="K14" s="73">
        <f t="shared" ref="K14:K16" si="11">IFERROR(M14/H14,"N.A.")</f>
        <v>529.8900434507616</v>
      </c>
      <c r="L14" s="73">
        <f t="shared" ref="L14:L16" si="12">IFERROR(M14/J14, "N.A.")</f>
        <v>43.557494045762056</v>
      </c>
      <c r="M14" s="74">
        <v>3651198.41</v>
      </c>
      <c r="N14" s="41" t="s">
        <v>51</v>
      </c>
      <c r="O14" s="62">
        <v>9836</v>
      </c>
      <c r="P14" s="41" t="s">
        <v>69</v>
      </c>
      <c r="Q14" s="71">
        <v>16.480954298871826</v>
      </c>
    </row>
    <row r="15" spans="1:17" x14ac:dyDescent="0.4">
      <c r="A15" s="41" t="s">
        <v>63</v>
      </c>
      <c r="B15" s="62">
        <v>4714</v>
      </c>
      <c r="C15" s="63">
        <f t="shared" si="8"/>
        <v>1.0919579974543911</v>
      </c>
      <c r="D15" s="62">
        <v>5147.49</v>
      </c>
      <c r="E15" s="64">
        <v>0.63</v>
      </c>
      <c r="F15" s="65">
        <f t="shared" si="9"/>
        <v>38606.174999999996</v>
      </c>
      <c r="G15" s="66">
        <f t="shared" si="10"/>
        <v>0.54120759798936835</v>
      </c>
      <c r="H15" s="62">
        <v>2785.8606985742936</v>
      </c>
      <c r="I15" s="67">
        <v>0.34</v>
      </c>
      <c r="J15" s="68">
        <v>20893.955239307201</v>
      </c>
      <c r="K15" s="75">
        <f t="shared" si="11"/>
        <v>587.81230189939072</v>
      </c>
      <c r="L15" s="73">
        <f t="shared" si="12"/>
        <v>78.374973586585426</v>
      </c>
      <c r="M15" s="74">
        <v>1637563.1900000002</v>
      </c>
      <c r="N15" s="41" t="s">
        <v>51</v>
      </c>
      <c r="O15" s="62">
        <v>5422</v>
      </c>
      <c r="P15" s="41" t="s">
        <v>70</v>
      </c>
      <c r="Q15" s="71">
        <v>6.5</v>
      </c>
    </row>
    <row r="16" spans="1:17" x14ac:dyDescent="0.4">
      <c r="A16" s="41" t="s">
        <v>64</v>
      </c>
      <c r="B16" s="62">
        <v>1334.782817752</v>
      </c>
      <c r="C16" s="63">
        <f t="shared" si="8"/>
        <v>1.0669318601931488</v>
      </c>
      <c r="D16" s="62">
        <v>1424.1223146979939</v>
      </c>
      <c r="E16" s="64">
        <v>0.20804419913261099</v>
      </c>
      <c r="F16" s="65">
        <f t="shared" si="9"/>
        <v>13049.133996584529</v>
      </c>
      <c r="G16" s="66">
        <f t="shared" si="10"/>
        <v>0.92072930100367678</v>
      </c>
      <c r="H16" s="62">
        <v>1311.2311433556222</v>
      </c>
      <c r="I16" s="67">
        <v>0.19450916311334554</v>
      </c>
      <c r="J16" s="68">
        <v>12014.720023378588</v>
      </c>
      <c r="K16" s="75">
        <f t="shared" si="11"/>
        <v>473.29209891385779</v>
      </c>
      <c r="L16" s="73">
        <f t="shared" si="12"/>
        <v>51.652917320788809</v>
      </c>
      <c r="M16" s="74">
        <v>620595.34</v>
      </c>
      <c r="N16" s="41" t="s">
        <v>51</v>
      </c>
      <c r="O16" s="62">
        <v>916</v>
      </c>
      <c r="P16" s="76" t="s">
        <v>41</v>
      </c>
      <c r="Q16" s="71">
        <v>10.309081027071349</v>
      </c>
    </row>
    <row r="17" spans="1:17" x14ac:dyDescent="0.4">
      <c r="A17" s="41" t="s">
        <v>65</v>
      </c>
      <c r="B17" s="62">
        <v>2007.4045424265521</v>
      </c>
      <c r="C17" s="63">
        <f t="shared" si="8"/>
        <v>1.0031798493291624</v>
      </c>
      <c r="D17" s="62">
        <v>2013.7877864141446</v>
      </c>
      <c r="E17" s="64">
        <v>0.28348614573219544</v>
      </c>
      <c r="F17" s="65">
        <f t="shared" si="9"/>
        <v>13525.105289762176</v>
      </c>
      <c r="G17" s="66">
        <f t="shared" si="10"/>
        <v>0.9305482860374451</v>
      </c>
      <c r="H17" s="62">
        <v>1873.926773090823</v>
      </c>
      <c r="I17" s="67">
        <v>0.26697895419595313</v>
      </c>
      <c r="J17" s="68">
        <v>12585.763545864174</v>
      </c>
      <c r="K17" s="98">
        <f>IFERROR($M17/SUM(H17:H19),"N.A.")</f>
        <v>304.33545002368982</v>
      </c>
      <c r="L17" s="98">
        <f>IFERROR($M17/SUM(J17:J19),"N.A.")</f>
        <v>46.137234542606571</v>
      </c>
      <c r="M17" s="95">
        <v>905191.42999999993</v>
      </c>
      <c r="N17" s="41" t="s">
        <v>51</v>
      </c>
      <c r="O17" s="30">
        <v>67626</v>
      </c>
      <c r="P17" s="13" t="s">
        <v>42</v>
      </c>
      <c r="Q17" s="71">
        <v>8.7889093550914694</v>
      </c>
    </row>
    <row r="18" spans="1:17" x14ac:dyDescent="0.4">
      <c r="A18" s="41" t="s">
        <v>66</v>
      </c>
      <c r="B18" s="62">
        <v>126.25102725894655</v>
      </c>
      <c r="C18" s="63">
        <f t="shared" si="8"/>
        <v>0.95185070150161011</v>
      </c>
      <c r="D18" s="62">
        <v>120.17212886172717</v>
      </c>
      <c r="E18" s="64">
        <v>1.5727440636871717E-2</v>
      </c>
      <c r="F18" s="65">
        <f t="shared" si="9"/>
        <v>792.85561150675346</v>
      </c>
      <c r="G18" s="66">
        <f t="shared" si="10"/>
        <v>1</v>
      </c>
      <c r="H18" s="62">
        <v>120.17212886172717</v>
      </c>
      <c r="I18" s="67">
        <v>1.5727440636871714E-2</v>
      </c>
      <c r="J18" s="68">
        <v>792.85561150675346</v>
      </c>
      <c r="K18" s="99"/>
      <c r="L18" s="99"/>
      <c r="M18" s="96"/>
      <c r="N18" s="41" t="s">
        <v>47</v>
      </c>
      <c r="O18" s="30">
        <v>4716</v>
      </c>
      <c r="P18" s="13" t="s">
        <v>42</v>
      </c>
      <c r="Q18" s="71">
        <v>8.9041135192819176</v>
      </c>
    </row>
    <row r="19" spans="1:17" x14ac:dyDescent="0.4">
      <c r="A19" s="41" t="s">
        <v>67</v>
      </c>
      <c r="B19" s="62">
        <v>980.05188658399993</v>
      </c>
      <c r="C19" s="63">
        <f t="shared" si="8"/>
        <v>1.0001740446042235</v>
      </c>
      <c r="D19" s="62">
        <v>980.22245932671899</v>
      </c>
      <c r="E19" s="64">
        <v>0.14369731423488127</v>
      </c>
      <c r="F19" s="65">
        <f t="shared" si="9"/>
        <v>6240.9232572070077</v>
      </c>
      <c r="G19" s="66">
        <f t="shared" si="10"/>
        <v>1</v>
      </c>
      <c r="H19" s="62">
        <v>980.22245932671899</v>
      </c>
      <c r="I19" s="67">
        <v>0.14369731423488127</v>
      </c>
      <c r="J19" s="68">
        <v>6240.9232572070077</v>
      </c>
      <c r="K19" s="100"/>
      <c r="L19" s="100"/>
      <c r="M19" s="97"/>
      <c r="N19" s="41" t="s">
        <v>47</v>
      </c>
      <c r="O19" s="30">
        <v>5692</v>
      </c>
      <c r="P19" s="4" t="s">
        <v>46</v>
      </c>
      <c r="Q19" s="71">
        <v>9.0886964476341152</v>
      </c>
    </row>
    <row r="20" spans="1:17" x14ac:dyDescent="0.4">
      <c r="A20" s="41" t="s">
        <v>49</v>
      </c>
      <c r="B20" s="72" t="s">
        <v>47</v>
      </c>
      <c r="C20" s="77" t="s">
        <v>47</v>
      </c>
      <c r="D20" s="72" t="s">
        <v>47</v>
      </c>
      <c r="E20" s="64" t="s">
        <v>47</v>
      </c>
      <c r="F20" s="78" t="s">
        <v>47</v>
      </c>
      <c r="G20" s="66" t="s">
        <v>47</v>
      </c>
      <c r="H20" s="62">
        <v>2966.479392731691</v>
      </c>
      <c r="I20" s="67">
        <v>0.47646414789674979</v>
      </c>
      <c r="J20" s="68">
        <v>17999.542507929946</v>
      </c>
      <c r="K20" s="79" t="s">
        <v>47</v>
      </c>
      <c r="L20" s="79" t="s">
        <v>47</v>
      </c>
      <c r="M20" s="80" t="s">
        <v>47</v>
      </c>
      <c r="N20" s="41" t="s">
        <v>47</v>
      </c>
      <c r="O20" s="62" t="s">
        <v>47</v>
      </c>
      <c r="P20" s="41" t="s">
        <v>47</v>
      </c>
      <c r="Q20" s="71">
        <v>9.5196763054943734</v>
      </c>
    </row>
    <row r="21" spans="1:17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x14ac:dyDescent="0.4">
      <c r="A22" s="19" t="s">
        <v>32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</row>
    <row r="23" spans="1:17" x14ac:dyDescent="0.4">
      <c r="A23" s="12" t="s">
        <v>26</v>
      </c>
      <c r="B23" s="6">
        <v>200778.18303873288</v>
      </c>
      <c r="C23" s="5">
        <f t="shared" ref="C23:C26" si="13">IFERROR(D23/B23,"N.A.")</f>
        <v>0.99361986223807397</v>
      </c>
      <c r="D23" s="6">
        <v>199497.19057135656</v>
      </c>
      <c r="E23" s="7">
        <v>34.113307944646799</v>
      </c>
      <c r="F23" s="28">
        <f>J23/G23</f>
        <v>2586242.6758935968</v>
      </c>
      <c r="G23" s="27">
        <v>0.83470616471496839</v>
      </c>
      <c r="H23" s="6">
        <v>172770.8756886046</v>
      </c>
      <c r="I23" s="9">
        <v>29.639597998166654</v>
      </c>
      <c r="J23" s="16">
        <v>2158752.7050173213</v>
      </c>
      <c r="K23" s="11">
        <f t="shared" ref="K23:K26" si="14">IFERROR(M23/H23,"N.A.")</f>
        <v>196.68077831153374</v>
      </c>
      <c r="L23" s="17">
        <f t="shared" ref="L23:L26" si="15">IFERROR(M23/J23, "N.A.")</f>
        <v>15.740899928473903</v>
      </c>
      <c r="M23" s="29">
        <v>33980710.299999997</v>
      </c>
      <c r="N23" s="41" t="s">
        <v>43</v>
      </c>
      <c r="O23" s="6">
        <v>7403</v>
      </c>
      <c r="P23" s="13" t="s">
        <v>23</v>
      </c>
      <c r="Q23" s="18">
        <v>13.299001275464741</v>
      </c>
    </row>
    <row r="24" spans="1:17" x14ac:dyDescent="0.4">
      <c r="A24" s="12" t="s">
        <v>25</v>
      </c>
      <c r="B24" s="6">
        <v>27129.964153506993</v>
      </c>
      <c r="C24" s="5">
        <f t="shared" si="13"/>
        <v>1.0166839472808087</v>
      </c>
      <c r="D24" s="6">
        <v>27582.599045174331</v>
      </c>
      <c r="E24" s="7">
        <v>3.9579963694450369</v>
      </c>
      <c r="F24" s="28">
        <f t="shared" ref="F24:F26" si="16">J24/G24</f>
        <v>406363.04551225906</v>
      </c>
      <c r="G24" s="27">
        <v>0.8250632085978068</v>
      </c>
      <c r="H24" s="6">
        <v>22672.896415133298</v>
      </c>
      <c r="I24" s="9">
        <v>3.2534730156838192</v>
      </c>
      <c r="J24" s="16">
        <v>335275.19818592106</v>
      </c>
      <c r="K24" s="11">
        <f t="shared" si="14"/>
        <v>275.41584346638876</v>
      </c>
      <c r="L24" s="17">
        <f t="shared" si="15"/>
        <v>18.624923417500252</v>
      </c>
      <c r="M24" s="29">
        <v>6244474.8899999997</v>
      </c>
      <c r="N24" s="41" t="s">
        <v>51</v>
      </c>
      <c r="O24" s="6">
        <v>140</v>
      </c>
      <c r="P24" s="13" t="s">
        <v>23</v>
      </c>
      <c r="Q24" s="18">
        <v>14.787488640495773</v>
      </c>
    </row>
    <row r="25" spans="1:17" x14ac:dyDescent="0.4">
      <c r="A25" s="12" t="s">
        <v>34</v>
      </c>
      <c r="B25" s="6">
        <v>5322.0437400000001</v>
      </c>
      <c r="C25" s="5">
        <f t="shared" si="13"/>
        <v>0.87936475564847982</v>
      </c>
      <c r="D25" s="6">
        <v>4680.0176929756217</v>
      </c>
      <c r="E25" s="7">
        <v>0.3263777343317032</v>
      </c>
      <c r="F25" s="28">
        <f t="shared" si="16"/>
        <v>24270.561015276318</v>
      </c>
      <c r="G25" s="27">
        <v>0.91399999999999992</v>
      </c>
      <c r="H25" s="6">
        <v>4165.215746748303</v>
      </c>
      <c r="I25" s="9">
        <v>0.29047618355521587</v>
      </c>
      <c r="J25" s="16">
        <v>22183.292767962554</v>
      </c>
      <c r="K25" s="11">
        <f t="shared" si="14"/>
        <v>95.31104848768581</v>
      </c>
      <c r="L25" s="17">
        <f t="shared" si="15"/>
        <v>17.895949179075004</v>
      </c>
      <c r="M25" s="29">
        <v>396991.07999999996</v>
      </c>
      <c r="N25" s="41" t="s">
        <v>51</v>
      </c>
      <c r="O25" s="6">
        <v>20</v>
      </c>
      <c r="P25" s="13" t="s">
        <v>23</v>
      </c>
      <c r="Q25" s="18">
        <v>5.3258448341554887</v>
      </c>
    </row>
    <row r="26" spans="1:17" x14ac:dyDescent="0.4">
      <c r="A26" s="12" t="s">
        <v>33</v>
      </c>
      <c r="B26" s="6">
        <v>4014</v>
      </c>
      <c r="C26" s="5">
        <f t="shared" si="13"/>
        <v>1</v>
      </c>
      <c r="D26" s="6">
        <v>4014</v>
      </c>
      <c r="E26" s="7">
        <v>0</v>
      </c>
      <c r="F26" s="28">
        <f t="shared" si="16"/>
        <v>42646.742977800001</v>
      </c>
      <c r="G26" s="27">
        <v>1</v>
      </c>
      <c r="H26" s="6">
        <v>4014</v>
      </c>
      <c r="I26" s="9">
        <v>0</v>
      </c>
      <c r="J26" s="16">
        <v>42646.742977800001</v>
      </c>
      <c r="K26" s="11">
        <f t="shared" si="14"/>
        <v>222.96198555057296</v>
      </c>
      <c r="L26" s="17">
        <f t="shared" si="15"/>
        <v>20.985645034273336</v>
      </c>
      <c r="M26" s="29">
        <v>894969.40999999992</v>
      </c>
      <c r="N26" s="41" t="s">
        <v>51</v>
      </c>
      <c r="O26" s="6">
        <v>50</v>
      </c>
      <c r="P26" s="13" t="s">
        <v>23</v>
      </c>
      <c r="Q26" s="18">
        <v>12</v>
      </c>
    </row>
    <row r="27" spans="1:17" x14ac:dyDescent="0.4">
      <c r="A27" s="12" t="s">
        <v>50</v>
      </c>
      <c r="B27" s="57" t="s">
        <v>47</v>
      </c>
      <c r="C27" s="57" t="s">
        <v>47</v>
      </c>
      <c r="D27" s="57" t="s">
        <v>47</v>
      </c>
      <c r="E27" s="57" t="s">
        <v>47</v>
      </c>
      <c r="F27" s="57" t="s">
        <v>47</v>
      </c>
      <c r="G27" s="57" t="s">
        <v>47</v>
      </c>
      <c r="H27" s="6">
        <v>322</v>
      </c>
      <c r="I27" s="9">
        <v>6.4000000000000001E-2</v>
      </c>
      <c r="J27" s="16">
        <v>4648.4219774368221</v>
      </c>
      <c r="K27" s="59" t="s">
        <v>47</v>
      </c>
      <c r="L27" s="59" t="s">
        <v>47</v>
      </c>
      <c r="M27" s="58" t="s">
        <v>47</v>
      </c>
      <c r="N27" s="41" t="s">
        <v>47</v>
      </c>
      <c r="O27" s="6">
        <v>12</v>
      </c>
      <c r="P27" s="13" t="s">
        <v>74</v>
      </c>
      <c r="Q27" s="18">
        <v>14.871228606655272</v>
      </c>
    </row>
    <row r="28" spans="1:17" x14ac:dyDescent="0.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55"/>
      <c r="N28" s="56"/>
      <c r="O28" s="56"/>
      <c r="P28" s="15"/>
      <c r="Q28" s="15"/>
    </row>
    <row r="29" spans="1:17" x14ac:dyDescent="0.4">
      <c r="A29" s="42" t="s">
        <v>45</v>
      </c>
      <c r="B29" s="43">
        <f>SUM(B7:B27)</f>
        <v>382980.20015991532</v>
      </c>
      <c r="C29" s="44">
        <f>D29/B29</f>
        <v>1.006685296531644</v>
      </c>
      <c r="D29" s="43">
        <f>SUM(D7:D27)</f>
        <v>385540.53636373271</v>
      </c>
      <c r="E29" s="45">
        <f>SUM(E7:E27)</f>
        <v>63.95570814622873</v>
      </c>
      <c r="F29" s="43">
        <f>SUM(F7:F27)</f>
        <v>3998436.4734590454</v>
      </c>
      <c r="G29" s="46">
        <f>H29/D29</f>
        <v>0.82862411391286994</v>
      </c>
      <c r="H29" s="43">
        <f>SUM(H7:H27)</f>
        <v>319468.18532189063</v>
      </c>
      <c r="I29" s="45">
        <f>SUM(I7:I27)</f>
        <v>53.598091739045458</v>
      </c>
      <c r="J29" s="43">
        <f>SUM(J7:J27)</f>
        <v>3307444.4340251819</v>
      </c>
      <c r="K29" s="47">
        <f t="shared" ref="K29" si="17">IFERROR(M29/H29,"N.A.")</f>
        <v>295.37075094010663</v>
      </c>
      <c r="L29" s="48">
        <f t="shared" ref="L29" si="18">IFERROR(M29/J29, "N.A.")</f>
        <v>28.530050823910997</v>
      </c>
      <c r="M29" s="49">
        <v>94361557.799999982</v>
      </c>
      <c r="N29" s="50"/>
      <c r="O29" s="50"/>
      <c r="P29" s="51"/>
      <c r="Q29" s="52">
        <f>SUMPRODUCT(D7:D27,Q7:Q27)/D29</f>
        <v>11.982003556653561</v>
      </c>
    </row>
    <row r="30" spans="1:17" x14ac:dyDescent="0.4">
      <c r="A30" s="90"/>
      <c r="B30" s="91"/>
      <c r="C30" s="90"/>
      <c r="D30" s="91"/>
      <c r="E30" s="90"/>
      <c r="F30" s="90"/>
      <c r="G30" s="90"/>
      <c r="H30" s="91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35">
      <c r="A31" s="92" t="s">
        <v>44</v>
      </c>
      <c r="B31" s="93"/>
      <c r="C31" s="93"/>
      <c r="D31" s="93"/>
      <c r="E31" s="93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</row>
    <row r="32" spans="1:17" ht="106.5" customHeight="1" x14ac:dyDescent="0.4">
      <c r="A32" s="94" t="s">
        <v>54</v>
      </c>
      <c r="B32" s="94"/>
      <c r="C32" s="94"/>
      <c r="D32" s="94"/>
      <c r="E32" s="94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</row>
    <row r="33" spans="1:17" x14ac:dyDescent="0.4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</row>
    <row r="60" spans="7:7" s="1" customFormat="1" x14ac:dyDescent="0.4">
      <c r="G60" s="2"/>
    </row>
    <row r="61" spans="7:7" s="1" customFormat="1" x14ac:dyDescent="0.4">
      <c r="G61" s="2"/>
    </row>
    <row r="62" spans="7:7" s="1" customFormat="1" x14ac:dyDescent="0.4">
      <c r="G62" s="2"/>
    </row>
    <row r="63" spans="7:7" s="1" customFormat="1" x14ac:dyDescent="0.4">
      <c r="G63" s="2"/>
    </row>
    <row r="64" spans="7:7" s="1" customFormat="1" x14ac:dyDescent="0.4">
      <c r="G64" s="2"/>
    </row>
    <row r="65" spans="7:7" s="1" customFormat="1" x14ac:dyDescent="0.4">
      <c r="G65" s="2"/>
    </row>
    <row r="66" spans="7:7" s="1" customFormat="1" x14ac:dyDescent="0.4">
      <c r="G66" s="2"/>
    </row>
    <row r="67" spans="7:7" s="1" customFormat="1" x14ac:dyDescent="0.4">
      <c r="G67" s="2"/>
    </row>
    <row r="68" spans="7:7" s="1" customFormat="1" x14ac:dyDescent="0.4">
      <c r="G68" s="2"/>
    </row>
    <row r="69" spans="7:7" s="1" customFormat="1" x14ac:dyDescent="0.4">
      <c r="G69" s="2"/>
    </row>
    <row r="70" spans="7:7" s="1" customFormat="1" x14ac:dyDescent="0.4">
      <c r="G70" s="2"/>
    </row>
    <row r="71" spans="7:7" s="1" customFormat="1" x14ac:dyDescent="0.4">
      <c r="G71" s="2"/>
    </row>
    <row r="72" spans="7:7" s="1" customFormat="1" x14ac:dyDescent="0.4">
      <c r="G72" s="2"/>
    </row>
    <row r="73" spans="7:7" s="1" customFormat="1" x14ac:dyDescent="0.4">
      <c r="G73" s="2"/>
    </row>
    <row r="74" spans="7:7" s="1" customFormat="1" x14ac:dyDescent="0.4">
      <c r="G74" s="2"/>
    </row>
    <row r="75" spans="7:7" s="1" customFormat="1" x14ac:dyDescent="0.4">
      <c r="G75" s="2"/>
    </row>
    <row r="76" spans="7:7" s="1" customFormat="1" x14ac:dyDescent="0.4">
      <c r="G76" s="2"/>
    </row>
    <row r="77" spans="7:7" s="1" customFormat="1" x14ac:dyDescent="0.4">
      <c r="G77" s="2"/>
    </row>
    <row r="78" spans="7:7" s="1" customFormat="1" x14ac:dyDescent="0.4">
      <c r="G78" s="2"/>
    </row>
    <row r="79" spans="7:7" s="1" customFormat="1" x14ac:dyDescent="0.4">
      <c r="G79" s="2"/>
    </row>
    <row r="80" spans="7:7" s="1" customFormat="1" x14ac:dyDescent="0.4">
      <c r="G80" s="2"/>
    </row>
    <row r="81" spans="7:7" s="1" customFormat="1" x14ac:dyDescent="0.4">
      <c r="G81" s="2"/>
    </row>
    <row r="82" spans="7:7" s="1" customFormat="1" x14ac:dyDescent="0.4">
      <c r="G82" s="2"/>
    </row>
    <row r="83" spans="7:7" s="1" customFormat="1" x14ac:dyDescent="0.4">
      <c r="G83" s="2"/>
    </row>
    <row r="84" spans="7:7" s="1" customFormat="1" x14ac:dyDescent="0.4">
      <c r="G84" s="2"/>
    </row>
    <row r="85" spans="7:7" s="1" customFormat="1" x14ac:dyDescent="0.4">
      <c r="G85" s="2"/>
    </row>
    <row r="86" spans="7:7" s="1" customFormat="1" x14ac:dyDescent="0.4">
      <c r="G86" s="2"/>
    </row>
    <row r="87" spans="7:7" s="1" customFormat="1" x14ac:dyDescent="0.4">
      <c r="G87" s="2"/>
    </row>
    <row r="88" spans="7:7" s="1" customFormat="1" x14ac:dyDescent="0.4">
      <c r="G88" s="2"/>
    </row>
  </sheetData>
  <mergeCells count="12">
    <mergeCell ref="Q4:Q5"/>
    <mergeCell ref="A3:A5"/>
    <mergeCell ref="D3:F3"/>
    <mergeCell ref="H3:L3"/>
    <mergeCell ref="O3:P3"/>
    <mergeCell ref="O4:O5"/>
    <mergeCell ref="P4:P5"/>
    <mergeCell ref="A31:E31"/>
    <mergeCell ref="A32:E32"/>
    <mergeCell ref="M17:M19"/>
    <mergeCell ref="K17:K19"/>
    <mergeCell ref="L17:L19"/>
  </mergeCells>
  <pageMargins left="0.7" right="0.7" top="0.75" bottom="0.75" header="0.3" footer="0.3"/>
  <pageSetup orientation="portrait" r:id="rId1"/>
  <ignoredErrors>
    <ignoredError sqref="K17:L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8"/>
  <sheetViews>
    <sheetView tabSelected="1" topLeftCell="A19" zoomScale="75" zoomScaleNormal="75" workbookViewId="0">
      <pane xSplit="1" topLeftCell="B1" activePane="topRight" state="frozen"/>
      <selection pane="topRight" activeCell="K29" sqref="K29"/>
    </sheetView>
  </sheetViews>
  <sheetFormatPr defaultColWidth="9.23046875" defaultRowHeight="15" x14ac:dyDescent="0.4"/>
  <cols>
    <col min="1" max="1" width="28.765625" style="1" customWidth="1"/>
    <col min="2" max="13" width="13.765625" style="1" customWidth="1"/>
    <col min="14" max="14" width="17.765625" style="1" customWidth="1"/>
    <col min="15" max="15" width="13.765625" style="1" customWidth="1"/>
    <col min="16" max="16384" width="9.23046875" style="3"/>
  </cols>
  <sheetData>
    <row r="1" spans="1:15" x14ac:dyDescent="0.4">
      <c r="A1" s="39" t="s">
        <v>53</v>
      </c>
      <c r="B1" s="39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4">
      <c r="A2" s="40"/>
      <c r="B2" s="3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5" x14ac:dyDescent="0.4">
      <c r="A3" s="104" t="s">
        <v>48</v>
      </c>
      <c r="B3" s="23" t="s">
        <v>22</v>
      </c>
      <c r="C3" s="23" t="s">
        <v>21</v>
      </c>
      <c r="D3" s="101" t="s">
        <v>27</v>
      </c>
      <c r="E3" s="101"/>
      <c r="F3" s="23" t="s">
        <v>24</v>
      </c>
      <c r="G3" s="101" t="s">
        <v>35</v>
      </c>
      <c r="H3" s="101"/>
      <c r="I3" s="101"/>
      <c r="J3" s="101"/>
      <c r="K3" s="22" t="s">
        <v>20</v>
      </c>
      <c r="L3" s="23" t="s">
        <v>19</v>
      </c>
      <c r="M3" s="101" t="s">
        <v>18</v>
      </c>
      <c r="N3" s="101"/>
      <c r="O3" s="23" t="s">
        <v>17</v>
      </c>
    </row>
    <row r="4" spans="1:15" ht="45" x14ac:dyDescent="0.4">
      <c r="A4" s="105"/>
      <c r="B4" s="23" t="s">
        <v>16</v>
      </c>
      <c r="C4" s="23" t="s">
        <v>28</v>
      </c>
      <c r="D4" s="23" t="s">
        <v>16</v>
      </c>
      <c r="E4" s="23" t="s">
        <v>12</v>
      </c>
      <c r="F4" s="23" t="s">
        <v>15</v>
      </c>
      <c r="G4" s="23" t="s">
        <v>14</v>
      </c>
      <c r="H4" s="23" t="s">
        <v>12</v>
      </c>
      <c r="I4" s="23" t="s">
        <v>11</v>
      </c>
      <c r="J4" s="23" t="s">
        <v>10</v>
      </c>
      <c r="K4" s="23" t="s">
        <v>9</v>
      </c>
      <c r="L4" s="23" t="s">
        <v>8</v>
      </c>
      <c r="M4" s="102" t="s">
        <v>7</v>
      </c>
      <c r="N4" s="102" t="s">
        <v>6</v>
      </c>
      <c r="O4" s="101" t="s">
        <v>5</v>
      </c>
    </row>
    <row r="5" spans="1:15" x14ac:dyDescent="0.4">
      <c r="A5" s="106"/>
      <c r="B5" s="23" t="s">
        <v>36</v>
      </c>
      <c r="C5" s="23" t="s">
        <v>2</v>
      </c>
      <c r="D5" s="26" t="s">
        <v>36</v>
      </c>
      <c r="E5" s="26" t="s">
        <v>36</v>
      </c>
      <c r="F5" s="23" t="s">
        <v>2</v>
      </c>
      <c r="G5" s="26" t="s">
        <v>36</v>
      </c>
      <c r="H5" s="26" t="s">
        <v>36</v>
      </c>
      <c r="I5" s="23" t="s">
        <v>37</v>
      </c>
      <c r="J5" s="23" t="s">
        <v>37</v>
      </c>
      <c r="K5" s="23" t="s">
        <v>3</v>
      </c>
      <c r="L5" s="23" t="s">
        <v>2</v>
      </c>
      <c r="M5" s="102"/>
      <c r="N5" s="102"/>
      <c r="O5" s="101"/>
    </row>
    <row r="6" spans="1:15" x14ac:dyDescent="0.4">
      <c r="A6" s="19" t="s">
        <v>1</v>
      </c>
      <c r="B6" s="20"/>
      <c r="C6" s="20"/>
      <c r="D6" s="20"/>
      <c r="E6" s="20"/>
      <c r="F6" s="20"/>
      <c r="G6" s="20"/>
      <c r="H6" s="20"/>
      <c r="I6" s="31"/>
      <c r="J6" s="31"/>
      <c r="K6" s="31"/>
      <c r="L6" s="20"/>
      <c r="M6" s="20"/>
      <c r="N6" s="20"/>
      <c r="O6" s="21"/>
    </row>
    <row r="7" spans="1:15" x14ac:dyDescent="0.4">
      <c r="A7" s="4" t="s">
        <v>55</v>
      </c>
      <c r="B7" s="6">
        <v>739243</v>
      </c>
      <c r="C7" s="81">
        <f>IFERROR(D7/B7,"N/A")</f>
        <v>0.94777901177285417</v>
      </c>
      <c r="D7" s="6">
        <v>700639</v>
      </c>
      <c r="E7" s="8">
        <f>H7/F7</f>
        <v>7707383</v>
      </c>
      <c r="F7" s="33">
        <f>IFERROR(G7/D7, "N/A.")</f>
        <v>0.99993720018440313</v>
      </c>
      <c r="G7" s="6">
        <v>700595</v>
      </c>
      <c r="H7" s="82">
        <f>IFERROR(G7*$O7,"N/A")</f>
        <v>7706898.9777688654</v>
      </c>
      <c r="I7" s="83">
        <f>IFERROR(K7/G7,"N/A")</f>
        <v>1.4995193942291909</v>
      </c>
      <c r="J7" s="83">
        <f>IFERROR(K7/H7, "N/A")</f>
        <v>0.13631368375664557</v>
      </c>
      <c r="K7" s="80">
        <v>1050555.79</v>
      </c>
      <c r="L7" s="86" t="s">
        <v>43</v>
      </c>
      <c r="M7" s="6">
        <v>16221</v>
      </c>
      <c r="N7" s="4" t="s">
        <v>40</v>
      </c>
      <c r="O7" s="18">
        <v>11.000505253061847</v>
      </c>
    </row>
    <row r="8" spans="1:15" x14ac:dyDescent="0.4">
      <c r="A8" s="4" t="s">
        <v>56</v>
      </c>
      <c r="B8" s="6">
        <v>89141.243965999965</v>
      </c>
      <c r="C8" s="81">
        <f t="shared" ref="C8:C20" si="0">IFERROR(D8/B8,"N/A")</f>
        <v>1.0179220064065357</v>
      </c>
      <c r="D8" s="6">
        <v>90738.833911445181</v>
      </c>
      <c r="E8" s="8">
        <f t="shared" ref="E8:E19" si="1">H8/F8</f>
        <v>1734753.4932601086</v>
      </c>
      <c r="F8" s="33">
        <f t="shared" ref="F8:F19" si="2">IFERROR(G8/D8, "N/A.")</f>
        <v>1</v>
      </c>
      <c r="G8" s="6">
        <v>90738.833911445181</v>
      </c>
      <c r="H8" s="82">
        <f t="shared" ref="H8:H20" si="3">IFERROR(G8*$O8,"N/A")</f>
        <v>1734753.4932601086</v>
      </c>
      <c r="I8" s="83">
        <f t="shared" ref="I8:I15" si="4">IFERROR(K8/G8,"N/A")</f>
        <v>8.4934364568993104</v>
      </c>
      <c r="J8" s="83">
        <f t="shared" ref="J8:J15" si="5">IFERROR(K8/H8, "N/A")</f>
        <v>0.44426169077870459</v>
      </c>
      <c r="K8" s="74">
        <v>770684.52</v>
      </c>
      <c r="L8" s="57" t="s">
        <v>47</v>
      </c>
      <c r="M8" s="37">
        <v>380</v>
      </c>
      <c r="N8" s="4" t="s">
        <v>73</v>
      </c>
      <c r="O8" s="18">
        <v>19.1180933066994</v>
      </c>
    </row>
    <row r="9" spans="1:15" x14ac:dyDescent="0.4">
      <c r="A9" s="4" t="s">
        <v>57</v>
      </c>
      <c r="B9" s="6">
        <v>815506.29992899892</v>
      </c>
      <c r="C9" s="81">
        <f t="shared" si="0"/>
        <v>1.0271801270871435</v>
      </c>
      <c r="D9" s="6">
        <v>837671.86480143527</v>
      </c>
      <c r="E9" s="8">
        <f t="shared" si="1"/>
        <v>14179497.575499127</v>
      </c>
      <c r="F9" s="33">
        <f t="shared" si="2"/>
        <v>1</v>
      </c>
      <c r="G9" s="6">
        <v>837671.86480143527</v>
      </c>
      <c r="H9" s="82">
        <f t="shared" si="3"/>
        <v>14179497.575499127</v>
      </c>
      <c r="I9" s="83">
        <f t="shared" si="4"/>
        <v>6.4040205543630293</v>
      </c>
      <c r="J9" s="83">
        <f t="shared" si="5"/>
        <v>0.37832566432179576</v>
      </c>
      <c r="K9" s="74">
        <v>5364467.84</v>
      </c>
      <c r="L9" s="57" t="s">
        <v>47</v>
      </c>
      <c r="M9" s="37">
        <v>4157</v>
      </c>
      <c r="N9" s="4" t="s">
        <v>73</v>
      </c>
      <c r="O9" s="18">
        <v>16.927269699884555</v>
      </c>
    </row>
    <row r="10" spans="1:15" x14ac:dyDescent="0.4">
      <c r="A10" s="4" t="s">
        <v>58</v>
      </c>
      <c r="B10" s="6">
        <v>25360.904805999995</v>
      </c>
      <c r="C10" s="81">
        <f t="shared" si="0"/>
        <v>1.0150858657409163</v>
      </c>
      <c r="D10" s="6">
        <v>25743.49601097147</v>
      </c>
      <c r="E10" s="8">
        <f t="shared" si="1"/>
        <v>278068.96644078323</v>
      </c>
      <c r="F10" s="33">
        <f t="shared" si="2"/>
        <v>1</v>
      </c>
      <c r="G10" s="6">
        <v>25743.49601097147</v>
      </c>
      <c r="H10" s="82">
        <f t="shared" si="3"/>
        <v>278068.96644078323</v>
      </c>
      <c r="I10" s="83">
        <f t="shared" si="4"/>
        <v>4.6543728928244512</v>
      </c>
      <c r="J10" s="83">
        <f t="shared" si="5"/>
        <v>0.43089968482878682</v>
      </c>
      <c r="K10" s="74">
        <v>119819.83</v>
      </c>
      <c r="L10" s="57" t="s">
        <v>47</v>
      </c>
      <c r="M10" s="37">
        <v>1108</v>
      </c>
      <c r="N10" s="4" t="s">
        <v>72</v>
      </c>
      <c r="O10" s="18">
        <v>10.801523084598713</v>
      </c>
    </row>
    <row r="11" spans="1:15" x14ac:dyDescent="0.4">
      <c r="A11" s="4" t="s">
        <v>59</v>
      </c>
      <c r="B11" s="6">
        <v>300262.17799999804</v>
      </c>
      <c r="C11" s="81">
        <f t="shared" si="0"/>
        <v>0.95098530091925815</v>
      </c>
      <c r="D11" s="6">
        <v>285544.91769999999</v>
      </c>
      <c r="E11" s="8">
        <f t="shared" si="1"/>
        <v>3140994.0946999998</v>
      </c>
      <c r="F11" s="33">
        <f t="shared" si="2"/>
        <v>1</v>
      </c>
      <c r="G11" s="6">
        <v>285544.91769999999</v>
      </c>
      <c r="H11" s="82">
        <f t="shared" si="3"/>
        <v>3140994.0946999998</v>
      </c>
      <c r="I11" s="83">
        <f t="shared" si="4"/>
        <v>3.5879004194932658</v>
      </c>
      <c r="J11" s="83">
        <f t="shared" si="5"/>
        <v>0.32617276540847873</v>
      </c>
      <c r="K11" s="74">
        <v>1024506.73</v>
      </c>
      <c r="L11" s="57" t="s">
        <v>47</v>
      </c>
      <c r="M11" s="37">
        <v>6048</v>
      </c>
      <c r="N11" s="4" t="s">
        <v>38</v>
      </c>
      <c r="O11" s="18">
        <v>11</v>
      </c>
    </row>
    <row r="12" spans="1:15" x14ac:dyDescent="0.4">
      <c r="A12" s="4" t="s">
        <v>60</v>
      </c>
      <c r="B12" s="6">
        <v>31662</v>
      </c>
      <c r="C12" s="81">
        <f t="shared" si="0"/>
        <v>1.0163918893310593</v>
      </c>
      <c r="D12" s="6">
        <v>32181</v>
      </c>
      <c r="E12" s="8">
        <f t="shared" si="1"/>
        <v>370206</v>
      </c>
      <c r="F12" s="33">
        <f t="shared" si="2"/>
        <v>1</v>
      </c>
      <c r="G12" s="6">
        <v>32181</v>
      </c>
      <c r="H12" s="82">
        <f t="shared" si="3"/>
        <v>370206</v>
      </c>
      <c r="I12" s="83">
        <f t="shared" si="4"/>
        <v>4.1557356825456013</v>
      </c>
      <c r="J12" s="83">
        <f t="shared" si="5"/>
        <v>0.36124679232643447</v>
      </c>
      <c r="K12" s="74">
        <v>133735.73000000001</v>
      </c>
      <c r="L12" s="57" t="s">
        <v>47</v>
      </c>
      <c r="M12" s="6">
        <v>90</v>
      </c>
      <c r="N12" s="4" t="s">
        <v>68</v>
      </c>
      <c r="O12" s="14">
        <v>11.503868742425654</v>
      </c>
    </row>
    <row r="13" spans="1:15" x14ac:dyDescent="0.4">
      <c r="A13" s="4" t="s">
        <v>61</v>
      </c>
      <c r="B13" s="6">
        <v>35694</v>
      </c>
      <c r="C13" s="81">
        <f t="shared" si="0"/>
        <v>0</v>
      </c>
      <c r="D13" s="8">
        <v>0</v>
      </c>
      <c r="E13" s="8">
        <v>0</v>
      </c>
      <c r="F13" s="57" t="s">
        <v>47</v>
      </c>
      <c r="G13" s="8">
        <v>0</v>
      </c>
      <c r="H13" s="82">
        <f t="shared" si="3"/>
        <v>0</v>
      </c>
      <c r="I13" s="83" t="str">
        <f t="shared" si="4"/>
        <v>N/A</v>
      </c>
      <c r="J13" s="83" t="str">
        <f t="shared" si="5"/>
        <v>N/A</v>
      </c>
      <c r="K13" s="74">
        <v>43681.64</v>
      </c>
      <c r="L13" s="57" t="s">
        <v>47</v>
      </c>
      <c r="M13" s="30">
        <v>71047</v>
      </c>
      <c r="N13" s="4" t="s">
        <v>39</v>
      </c>
      <c r="O13" s="85">
        <v>5</v>
      </c>
    </row>
    <row r="14" spans="1:15" x14ac:dyDescent="0.4">
      <c r="A14" s="4" t="s">
        <v>62</v>
      </c>
      <c r="B14" s="6">
        <v>69492</v>
      </c>
      <c r="C14" s="81">
        <f t="shared" si="0"/>
        <v>1.0040724112128014</v>
      </c>
      <c r="D14" s="6">
        <v>69775</v>
      </c>
      <c r="E14" s="8">
        <f t="shared" si="1"/>
        <v>767525</v>
      </c>
      <c r="F14" s="33">
        <f t="shared" si="2"/>
        <v>1</v>
      </c>
      <c r="G14" s="6">
        <v>69775</v>
      </c>
      <c r="H14" s="82">
        <f t="shared" si="3"/>
        <v>767525</v>
      </c>
      <c r="I14" s="83">
        <f t="shared" si="4"/>
        <v>2.0243954138301685</v>
      </c>
      <c r="J14" s="83">
        <f t="shared" si="5"/>
        <v>0.18403594671183349</v>
      </c>
      <c r="K14" s="80">
        <v>141252.19</v>
      </c>
      <c r="L14" s="38" t="s">
        <v>51</v>
      </c>
      <c r="M14" s="30">
        <v>1393</v>
      </c>
      <c r="N14" s="4" t="s">
        <v>38</v>
      </c>
      <c r="O14" s="18">
        <v>11</v>
      </c>
    </row>
    <row r="15" spans="1:15" x14ac:dyDescent="0.4">
      <c r="A15" s="4" t="s">
        <v>63</v>
      </c>
      <c r="B15" s="8">
        <v>0</v>
      </c>
      <c r="C15" s="81" t="str">
        <f t="shared" si="0"/>
        <v>N/A</v>
      </c>
      <c r="D15" s="8">
        <v>0</v>
      </c>
      <c r="E15" s="8">
        <v>0</v>
      </c>
      <c r="F15" s="57" t="s">
        <v>47</v>
      </c>
      <c r="G15" s="8">
        <v>0</v>
      </c>
      <c r="H15" s="82" t="str">
        <f t="shared" si="3"/>
        <v>N/A</v>
      </c>
      <c r="I15" s="83" t="str">
        <f t="shared" si="4"/>
        <v>N/A</v>
      </c>
      <c r="J15" s="83" t="str">
        <f t="shared" si="5"/>
        <v>N/A</v>
      </c>
      <c r="K15" s="80">
        <v>0</v>
      </c>
      <c r="L15" s="38" t="s">
        <v>51</v>
      </c>
      <c r="M15" s="57" t="s">
        <v>47</v>
      </c>
      <c r="N15" s="88" t="s">
        <v>47</v>
      </c>
      <c r="O15" s="85" t="s">
        <v>47</v>
      </c>
    </row>
    <row r="16" spans="1:15" x14ac:dyDescent="0.4">
      <c r="A16" s="4" t="s">
        <v>64</v>
      </c>
      <c r="B16" s="6">
        <v>27626.127973999999</v>
      </c>
      <c r="C16" s="81">
        <f t="shared" si="0"/>
        <v>1.000870215577722</v>
      </c>
      <c r="D16" s="6">
        <v>27650.168660915118</v>
      </c>
      <c r="E16" s="8">
        <f t="shared" si="1"/>
        <v>304476.8572525183</v>
      </c>
      <c r="F16" s="33">
        <f t="shared" si="2"/>
        <v>0.99834513670599068</v>
      </c>
      <c r="G16" s="6">
        <v>27604.411411725003</v>
      </c>
      <c r="H16" s="82">
        <f t="shared" si="3"/>
        <v>303972.98967757577</v>
      </c>
      <c r="I16" s="69">
        <f t="shared" ref="I16" si="6">IFERROR(K16/G16,"N.A.")</f>
        <v>3.4418995059479411</v>
      </c>
      <c r="J16" s="69">
        <f t="shared" ref="J16" si="7">IFERROR(K16/H16, "N.A.")</f>
        <v>0.31256596219545307</v>
      </c>
      <c r="K16" s="80">
        <v>95011.61</v>
      </c>
      <c r="L16" s="38" t="s">
        <v>51</v>
      </c>
      <c r="M16" s="30">
        <v>916</v>
      </c>
      <c r="N16" s="4" t="s">
        <v>72</v>
      </c>
      <c r="O16" s="18">
        <v>11.011754068716094</v>
      </c>
    </row>
    <row r="17" spans="1:15" x14ac:dyDescent="0.4">
      <c r="A17" s="4" t="s">
        <v>65</v>
      </c>
      <c r="B17" s="6">
        <v>25825.402942701465</v>
      </c>
      <c r="C17" s="81">
        <f t="shared" si="0"/>
        <v>1.0054232620379087</v>
      </c>
      <c r="D17" s="6">
        <v>25965.460870094314</v>
      </c>
      <c r="E17" s="8">
        <f t="shared" si="1"/>
        <v>240878.27543320227</v>
      </c>
      <c r="F17" s="33">
        <f t="shared" si="2"/>
        <v>1</v>
      </c>
      <c r="G17" s="6">
        <v>25965.460870094314</v>
      </c>
      <c r="H17" s="82">
        <f t="shared" si="3"/>
        <v>240878.27543320227</v>
      </c>
      <c r="I17" s="98">
        <f>IFERROR($K17/SUM(F17:F19),"N.A.")</f>
        <v>43215.976666666662</v>
      </c>
      <c r="J17" s="98">
        <f>IFERROR($K17/SUM(H17:H19),"N.A.")</f>
        <v>0.16046945809681606</v>
      </c>
      <c r="K17" s="95">
        <v>129647.93</v>
      </c>
      <c r="L17" s="38" t="s">
        <v>51</v>
      </c>
      <c r="M17" s="30">
        <v>67626</v>
      </c>
      <c r="N17" s="13" t="s">
        <v>42</v>
      </c>
      <c r="O17" s="18">
        <v>9.2768727132678599</v>
      </c>
    </row>
    <row r="18" spans="1:15" x14ac:dyDescent="0.4">
      <c r="A18" s="4" t="s">
        <v>66</v>
      </c>
      <c r="B18" s="6">
        <v>5723.8988971138979</v>
      </c>
      <c r="C18" s="81">
        <f t="shared" si="0"/>
        <v>1.0004535320976389</v>
      </c>
      <c r="D18" s="6">
        <v>5726.494868987379</v>
      </c>
      <c r="E18" s="8">
        <f t="shared" si="1"/>
        <v>56002.839621647792</v>
      </c>
      <c r="F18" s="33">
        <f t="shared" si="2"/>
        <v>1</v>
      </c>
      <c r="G18" s="6">
        <v>5726.494868987379</v>
      </c>
      <c r="H18" s="82">
        <f t="shared" si="3"/>
        <v>56002.839621647792</v>
      </c>
      <c r="I18" s="99"/>
      <c r="J18" s="99"/>
      <c r="K18" s="96"/>
      <c r="L18" s="38" t="s">
        <v>51</v>
      </c>
      <c r="M18" s="30">
        <v>4716</v>
      </c>
      <c r="N18" s="13" t="s">
        <v>42</v>
      </c>
      <c r="O18" s="18">
        <v>9.7796018162766334</v>
      </c>
    </row>
    <row r="19" spans="1:15" x14ac:dyDescent="0.4">
      <c r="A19" s="4" t="s">
        <v>67</v>
      </c>
      <c r="B19" s="6">
        <v>50697.760000000009</v>
      </c>
      <c r="C19" s="81">
        <f t="shared" si="0"/>
        <v>1.0446005463715278</v>
      </c>
      <c r="D19" s="6">
        <v>52958.9077958126</v>
      </c>
      <c r="E19" s="8">
        <f t="shared" si="1"/>
        <v>511047.89235651348</v>
      </c>
      <c r="F19" s="33">
        <f t="shared" si="2"/>
        <v>1</v>
      </c>
      <c r="G19" s="6">
        <v>52958.9077958126</v>
      </c>
      <c r="H19" s="82">
        <f t="shared" si="3"/>
        <v>511047.89235651348</v>
      </c>
      <c r="I19" s="100"/>
      <c r="J19" s="100"/>
      <c r="K19" s="103"/>
      <c r="L19" s="38" t="s">
        <v>51</v>
      </c>
      <c r="M19" s="30">
        <v>5692</v>
      </c>
      <c r="N19" s="4" t="s">
        <v>46</v>
      </c>
      <c r="O19" s="18">
        <v>9.649894864276666</v>
      </c>
    </row>
    <row r="20" spans="1:15" x14ac:dyDescent="0.4">
      <c r="A20" s="4" t="s">
        <v>49</v>
      </c>
      <c r="B20" s="57" t="s">
        <v>47</v>
      </c>
      <c r="C20" s="81" t="str">
        <f t="shared" si="0"/>
        <v>N/A</v>
      </c>
      <c r="D20" s="57" t="s">
        <v>47</v>
      </c>
      <c r="E20" s="57" t="s">
        <v>47</v>
      </c>
      <c r="F20" s="57" t="s">
        <v>47</v>
      </c>
      <c r="G20" s="10">
        <v>36253.354380400036</v>
      </c>
      <c r="H20" s="82">
        <f t="shared" si="3"/>
        <v>492849.42814156535</v>
      </c>
      <c r="I20" s="57" t="s">
        <v>47</v>
      </c>
      <c r="J20" s="57" t="s">
        <v>47</v>
      </c>
      <c r="K20" s="57" t="s">
        <v>47</v>
      </c>
      <c r="L20" s="57" t="s">
        <v>47</v>
      </c>
      <c r="M20" s="57" t="s">
        <v>47</v>
      </c>
      <c r="N20" s="57" t="s">
        <v>47</v>
      </c>
      <c r="O20" s="18">
        <f>SUMPRODUCT(D7:D19,O7:O19)/SUM(D7:D19)</f>
        <v>13.594588323336469</v>
      </c>
    </row>
    <row r="21" spans="1:15" x14ac:dyDescent="0.4">
      <c r="A21" s="15"/>
      <c r="B21" s="15"/>
      <c r="C21" s="15"/>
      <c r="D21" s="15"/>
      <c r="E21" s="15"/>
      <c r="F21" s="34"/>
      <c r="G21" s="15"/>
      <c r="H21" s="15"/>
      <c r="I21" s="32"/>
      <c r="J21" s="32"/>
      <c r="K21" s="32"/>
      <c r="L21" s="15"/>
      <c r="M21" s="15"/>
      <c r="N21" s="15"/>
      <c r="O21" s="15"/>
    </row>
    <row r="22" spans="1:15" x14ac:dyDescent="0.4">
      <c r="A22" s="19" t="s">
        <v>0</v>
      </c>
      <c r="B22" s="20"/>
      <c r="C22" s="20"/>
      <c r="D22" s="20"/>
      <c r="E22" s="20"/>
      <c r="F22" s="35"/>
      <c r="G22" s="20"/>
      <c r="H22" s="20"/>
      <c r="I22" s="20"/>
      <c r="J22" s="20"/>
      <c r="K22" s="20"/>
      <c r="L22" s="20"/>
      <c r="M22" s="20"/>
      <c r="N22" s="20"/>
      <c r="O22" s="21"/>
    </row>
    <row r="23" spans="1:15" x14ac:dyDescent="0.4">
      <c r="A23" s="12" t="s">
        <v>26</v>
      </c>
      <c r="B23" s="6">
        <v>2285498.2500029998</v>
      </c>
      <c r="C23" s="5">
        <f t="shared" ref="C23:C25" si="8">IFERROR(D23/B23,"N.A.")</f>
        <v>1.013660738737505</v>
      </c>
      <c r="D23" s="6">
        <v>2316719.8444813155</v>
      </c>
      <c r="E23" s="8">
        <f>IFERROR(D23*$O$7,"N.A.")</f>
        <v>25485088.819089338</v>
      </c>
      <c r="F23" s="27">
        <f>IFERROR(G23/D23, "N.A.")</f>
        <v>0.60032796121577026</v>
      </c>
      <c r="G23" s="6">
        <v>1390791.7009455843</v>
      </c>
      <c r="H23" s="16">
        <f>IFERROR(G23*$O23,"N.A.")</f>
        <v>10303330.474645872</v>
      </c>
      <c r="I23" s="83">
        <f>IFERROR(K23/G23,"N/A")</f>
        <v>1.119667545428449</v>
      </c>
      <c r="J23" s="83">
        <f>IFERROR(K23/H23, "N/A")</f>
        <v>0.15113795814197856</v>
      </c>
      <c r="K23" s="36">
        <v>1557224.3299999998</v>
      </c>
      <c r="L23" s="84" t="s">
        <v>43</v>
      </c>
      <c r="M23" s="6">
        <v>739</v>
      </c>
      <c r="N23" s="13" t="s">
        <v>23</v>
      </c>
      <c r="O23" s="18">
        <v>7.4082484585152093</v>
      </c>
    </row>
    <row r="24" spans="1:15" x14ac:dyDescent="0.4">
      <c r="A24" s="12" t="s">
        <v>25</v>
      </c>
      <c r="B24" s="6">
        <v>1486999.6029999999</v>
      </c>
      <c r="C24" s="5">
        <f t="shared" si="8"/>
        <v>0.76114955977053078</v>
      </c>
      <c r="D24" s="6">
        <v>1131829.093202404</v>
      </c>
      <c r="E24" s="8">
        <f>IFERROR(D24*$O$7,"N.A.")</f>
        <v>12450691.885341272</v>
      </c>
      <c r="F24" s="27">
        <f>IFERROR(G24/D24, "N.A.")</f>
        <v>0.93900000000000006</v>
      </c>
      <c r="G24" s="6">
        <v>1062787.5185170574</v>
      </c>
      <c r="H24" s="16">
        <f>IFERROR(G24*$O24,"N.A.")</f>
        <v>12814845.271127049</v>
      </c>
      <c r="I24" s="83">
        <f t="shared" ref="I24:I26" si="9">IFERROR(K24/G24,"N/A")</f>
        <v>2.1789023766775011</v>
      </c>
      <c r="J24" s="83">
        <f t="shared" ref="J24:J26" si="10">IFERROR(K24/H24, "N/A")</f>
        <v>0.18070528367732186</v>
      </c>
      <c r="K24" s="36">
        <v>2315710.25</v>
      </c>
      <c r="L24" s="38" t="s">
        <v>51</v>
      </c>
      <c r="M24" s="6">
        <v>34</v>
      </c>
      <c r="N24" s="13" t="s">
        <v>23</v>
      </c>
      <c r="O24" s="18">
        <v>12.057767943123784</v>
      </c>
    </row>
    <row r="25" spans="1:15" x14ac:dyDescent="0.4">
      <c r="A25" s="12" t="s">
        <v>34</v>
      </c>
      <c r="B25" s="6">
        <v>83622</v>
      </c>
      <c r="C25" s="5">
        <f t="shared" si="8"/>
        <v>0.87533376384205119</v>
      </c>
      <c r="D25" s="6">
        <v>73197.16</v>
      </c>
      <c r="E25" s="8">
        <f>IFERROR(D25*$O$7,"N.A.")</f>
        <v>805205.74308920861</v>
      </c>
      <c r="F25" s="27">
        <f>IFERROR(G25/D25, "N.A.")</f>
        <v>0.89</v>
      </c>
      <c r="G25" s="6">
        <v>65145.472400000006</v>
      </c>
      <c r="H25" s="16">
        <f>IFERROR(G25*$O25,"N.A.")</f>
        <v>488591.04300000006</v>
      </c>
      <c r="I25" s="83">
        <f t="shared" si="9"/>
        <v>3.8760546312348172</v>
      </c>
      <c r="J25" s="83">
        <f t="shared" si="10"/>
        <v>0.51680728416464228</v>
      </c>
      <c r="K25" s="36">
        <v>252507.40999999997</v>
      </c>
      <c r="L25" s="38" t="s">
        <v>51</v>
      </c>
      <c r="M25" s="6">
        <v>3</v>
      </c>
      <c r="N25" s="13" t="s">
        <v>23</v>
      </c>
      <c r="O25" s="18">
        <v>7.5</v>
      </c>
    </row>
    <row r="26" spans="1:15" x14ac:dyDescent="0.4">
      <c r="A26" s="12" t="s">
        <v>33</v>
      </c>
      <c r="B26" s="8">
        <v>0</v>
      </c>
      <c r="C26" s="81" t="str">
        <f t="shared" ref="C26" si="11">IFERROR(D26/B26,"N/A")</f>
        <v>N/A</v>
      </c>
      <c r="D26" s="8">
        <v>0</v>
      </c>
      <c r="E26" s="8">
        <f>IFERROR(D26*$O$7,"N.A.")</f>
        <v>0</v>
      </c>
      <c r="F26" s="57" t="s">
        <v>47</v>
      </c>
      <c r="G26" s="8">
        <v>0</v>
      </c>
      <c r="H26" s="16" t="str">
        <f>IFERROR(G26*$O26,"N.A.")</f>
        <v>N.A.</v>
      </c>
      <c r="I26" s="83" t="str">
        <f t="shared" si="9"/>
        <v>N/A</v>
      </c>
      <c r="J26" s="83" t="str">
        <f t="shared" si="10"/>
        <v>N/A</v>
      </c>
      <c r="K26" s="36">
        <v>0</v>
      </c>
      <c r="L26" s="38" t="s">
        <v>51</v>
      </c>
      <c r="M26" s="6">
        <v>0</v>
      </c>
      <c r="N26" s="13" t="s">
        <v>23</v>
      </c>
      <c r="O26" s="85" t="s">
        <v>47</v>
      </c>
    </row>
    <row r="27" spans="1:15" x14ac:dyDescent="0.4">
      <c r="A27" s="12" t="s">
        <v>50</v>
      </c>
      <c r="B27" s="87" t="s">
        <v>47</v>
      </c>
      <c r="C27" s="81" t="str">
        <f t="shared" ref="C27" si="12">IFERROR(D27/B27,"N/A")</f>
        <v>N/A</v>
      </c>
      <c r="D27" s="87" t="s">
        <v>47</v>
      </c>
      <c r="E27" s="87" t="s">
        <v>47</v>
      </c>
      <c r="F27" s="57" t="s">
        <v>47</v>
      </c>
      <c r="G27" s="8">
        <v>18076</v>
      </c>
      <c r="H27" s="16" t="str">
        <f>IFERROR(G27*$O27,"N.A.")</f>
        <v>N.A.</v>
      </c>
      <c r="I27" s="83" t="str">
        <f t="shared" ref="I27" si="13">IFERROR(K27/G27,"N/A")</f>
        <v>N/A</v>
      </c>
      <c r="J27" s="83" t="str">
        <f t="shared" ref="J27" si="14">IFERROR(K27/H27, "N/A")</f>
        <v>N/A</v>
      </c>
      <c r="K27" s="58" t="s">
        <v>47</v>
      </c>
      <c r="L27" s="89" t="s">
        <v>47</v>
      </c>
      <c r="M27" s="6">
        <v>12</v>
      </c>
      <c r="N27" s="13" t="s">
        <v>74</v>
      </c>
      <c r="O27" s="85" t="s">
        <v>47</v>
      </c>
    </row>
    <row r="28" spans="1:15" x14ac:dyDescent="0.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4">
      <c r="A29" s="42" t="s">
        <v>45</v>
      </c>
      <c r="B29" s="43">
        <f>SUM(B7:B28)</f>
        <v>6072354.6695178114</v>
      </c>
      <c r="C29" s="44">
        <f>D29/B29</f>
        <v>0.93478420666000439</v>
      </c>
      <c r="D29" s="43">
        <f>SUM(D7:D28)</f>
        <v>5676341.2423033807</v>
      </c>
      <c r="E29" s="43">
        <f>SUM(E7:E28)</f>
        <v>68031820.442083731</v>
      </c>
      <c r="F29" s="54">
        <f>G29/D29</f>
        <v>0.83285328203685216</v>
      </c>
      <c r="G29" s="43">
        <f>SUM(G7:G28)</f>
        <v>4727559.4336135136</v>
      </c>
      <c r="H29" s="43">
        <f>SUM(H7:H28)</f>
        <v>53389462.321672305</v>
      </c>
      <c r="I29" s="48">
        <f>SUM(I8:I28)</f>
        <v>43255.913052145901</v>
      </c>
      <c r="J29" s="48">
        <f>SUM(J8:J28)</f>
        <v>3.4466284906522455</v>
      </c>
      <c r="K29" s="53">
        <v>14415806.640000001</v>
      </c>
      <c r="L29" s="50"/>
      <c r="M29" s="50"/>
      <c r="N29" s="51"/>
      <c r="O29" s="52">
        <f>SUMPRODUCT(D7:D25,O7:O25)/D29</f>
        <v>10.684696158921216</v>
      </c>
    </row>
    <row r="30" spans="1:15" x14ac:dyDescent="0.4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1:15" x14ac:dyDescent="0.35">
      <c r="A31" s="92" t="s">
        <v>44</v>
      </c>
      <c r="B31" s="93"/>
      <c r="C31" s="93"/>
      <c r="D31" s="93"/>
      <c r="E31" s="93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ht="119.25" customHeight="1" x14ac:dyDescent="0.4">
      <c r="A32" s="94" t="s">
        <v>71</v>
      </c>
      <c r="B32" s="94"/>
      <c r="C32" s="94"/>
      <c r="D32" s="94"/>
      <c r="E32" s="94"/>
      <c r="F32" s="90"/>
      <c r="G32" s="90"/>
      <c r="H32" s="90"/>
      <c r="I32" s="90"/>
      <c r="J32" s="90"/>
      <c r="K32" s="90"/>
      <c r="L32" s="90"/>
      <c r="M32" s="90"/>
      <c r="N32" s="90"/>
      <c r="O32" s="90"/>
    </row>
    <row r="33" spans="1:15" x14ac:dyDescent="0.4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</row>
    <row r="35" spans="1:15" x14ac:dyDescent="0.4">
      <c r="G35" s="3"/>
    </row>
    <row r="60" spans="6:6" x14ac:dyDescent="0.4">
      <c r="F60" s="2"/>
    </row>
    <row r="61" spans="6:6" x14ac:dyDescent="0.4">
      <c r="F61" s="2"/>
    </row>
    <row r="62" spans="6:6" x14ac:dyDescent="0.4">
      <c r="F62" s="2"/>
    </row>
    <row r="63" spans="6:6" x14ac:dyDescent="0.4">
      <c r="F63" s="2"/>
    </row>
    <row r="64" spans="6:6" x14ac:dyDescent="0.4">
      <c r="F64" s="2"/>
    </row>
    <row r="65" spans="6:6" x14ac:dyDescent="0.4">
      <c r="F65" s="2"/>
    </row>
    <row r="66" spans="6:6" x14ac:dyDescent="0.4">
      <c r="F66" s="2"/>
    </row>
    <row r="67" spans="6:6" x14ac:dyDescent="0.4">
      <c r="F67" s="2"/>
    </row>
    <row r="68" spans="6:6" x14ac:dyDescent="0.4">
      <c r="F68" s="2"/>
    </row>
    <row r="69" spans="6:6" x14ac:dyDescent="0.4">
      <c r="F69" s="2"/>
    </row>
    <row r="70" spans="6:6" x14ac:dyDescent="0.4">
      <c r="F70" s="2"/>
    </row>
    <row r="71" spans="6:6" x14ac:dyDescent="0.4">
      <c r="F71" s="2"/>
    </row>
    <row r="72" spans="6:6" x14ac:dyDescent="0.4">
      <c r="F72" s="2"/>
    </row>
    <row r="73" spans="6:6" x14ac:dyDescent="0.4">
      <c r="F73" s="2"/>
    </row>
    <row r="74" spans="6:6" x14ac:dyDescent="0.4">
      <c r="F74" s="2"/>
    </row>
    <row r="75" spans="6:6" x14ac:dyDescent="0.4">
      <c r="F75" s="2"/>
    </row>
    <row r="76" spans="6:6" x14ac:dyDescent="0.4">
      <c r="F76" s="2"/>
    </row>
    <row r="77" spans="6:6" x14ac:dyDescent="0.4">
      <c r="F77" s="2"/>
    </row>
    <row r="78" spans="6:6" x14ac:dyDescent="0.4">
      <c r="F78" s="2"/>
    </row>
    <row r="79" spans="6:6" x14ac:dyDescent="0.4">
      <c r="F79" s="2"/>
    </row>
    <row r="80" spans="6:6" x14ac:dyDescent="0.4">
      <c r="F80" s="2"/>
    </row>
    <row r="81" spans="6:6" x14ac:dyDescent="0.4">
      <c r="F81" s="2"/>
    </row>
    <row r="82" spans="6:6" x14ac:dyDescent="0.4">
      <c r="F82" s="2"/>
    </row>
    <row r="83" spans="6:6" x14ac:dyDescent="0.4">
      <c r="F83" s="2"/>
    </row>
    <row r="84" spans="6:6" x14ac:dyDescent="0.4">
      <c r="F84" s="2"/>
    </row>
    <row r="85" spans="6:6" x14ac:dyDescent="0.4">
      <c r="F85" s="2"/>
    </row>
    <row r="86" spans="6:6" x14ac:dyDescent="0.4">
      <c r="F86" s="2"/>
    </row>
    <row r="87" spans="6:6" x14ac:dyDescent="0.4">
      <c r="F87" s="2"/>
    </row>
    <row r="88" spans="6:6" x14ac:dyDescent="0.4">
      <c r="F88" s="2"/>
    </row>
  </sheetData>
  <mergeCells count="12">
    <mergeCell ref="O4:O5"/>
    <mergeCell ref="A3:A5"/>
    <mergeCell ref="D3:E3"/>
    <mergeCell ref="G3:J3"/>
    <mergeCell ref="M3:N3"/>
    <mergeCell ref="M4:M5"/>
    <mergeCell ref="N4:N5"/>
    <mergeCell ref="A31:E31"/>
    <mergeCell ref="A32:E32"/>
    <mergeCell ref="K17:K19"/>
    <mergeCell ref="I17:I19"/>
    <mergeCell ref="J17:J19"/>
  </mergeCells>
  <pageMargins left="0.7" right="0.7" top="0.75" bottom="0.75" header="0.3" footer="0.3"/>
  <pageSetup orientation="portrait" r:id="rId1"/>
  <ignoredErrors>
    <ignoredError sqref="F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Electric EM&amp;V Tables</vt:lpstr>
      <vt:lpstr>2019 Gas EM&amp;V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Soriano</dc:creator>
  <cp:lastModifiedBy>CJ Consulting</cp:lastModifiedBy>
  <dcterms:created xsi:type="dcterms:W3CDTF">2018-06-06T18:28:35Z</dcterms:created>
  <dcterms:modified xsi:type="dcterms:W3CDTF">2020-08-28T19:48:10Z</dcterms:modified>
</cp:coreProperties>
</file>